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Default Extension="png" ContentType="image/png"/>
  <Override PartName="/xl/worksheets/sheet14.xml" ContentType="application/vnd.openxmlformats-officedocument.spreadsheetml.worksheet+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00" yWindow="1185" windowWidth="12285" windowHeight="7485" tabRatio="882" firstSheet="5" activeTab="9"/>
  </bookViews>
  <sheets>
    <sheet name="Data_Formatting" sheetId="47" r:id="rId1"/>
    <sheet name="Aggregated_Data" sheetId="50" r:id="rId2"/>
    <sheet name="Config" sheetId="49" r:id="rId3"/>
    <sheet name="Gen Info" sheetId="32" r:id="rId4"/>
    <sheet name="Hist &amp; Proj" sheetId="25" r:id="rId5"/>
    <sheet name="Port &amp; Other" sheetId="29" r:id="rId6"/>
    <sheet name="Liab &amp; Shrs" sheetId="41" r:id="rId7"/>
    <sheet name="Amort" sheetId="44" r:id="rId8"/>
    <sheet name="Assump" sheetId="38" r:id="rId9"/>
    <sheet name="Fin Output" sheetId="40" r:id="rId10"/>
    <sheet name="Graphs &amp; Tables" sheetId="17" r:id="rId11"/>
    <sheet name="Rating" sheetId="14" r:id="rId12"/>
    <sheet name="Definitions" sheetId="27" r:id="rId13"/>
    <sheet name="Mgmt Backup" sheetId="37" r:id="rId14"/>
    <sheet name="Usage" sheetId="34" r:id="rId15"/>
    <sheet name="Dealdata IC proposal" sheetId="42" r:id="rId16"/>
    <sheet name="Tranche-Capital Call 1" sheetId="43" r:id="rId17"/>
  </sheets>
  <externalReferences>
    <externalReference r:id="rId18"/>
    <externalReference r:id="rId19"/>
  </externalReferences>
  <definedNames>
    <definedName name="_bdm.EC54E061A7AA44989777BBD7CE41F454.edm" localSheetId="7" hidden="1">#REF!</definedName>
    <definedName name="_bdm.EC54E061A7AA44989777BBD7CE41F454.edm" localSheetId="10" hidden="1">'Graphs &amp; Tables'!$1:$1048576</definedName>
    <definedName name="_bdm.EC54E061A7AA44989777BBD7CE41F454.edm" localSheetId="6" hidden="1">#REF!</definedName>
    <definedName name="_bdm.EC54E061A7AA44989777BBD7CE41F454.edm" localSheetId="5" hidden="1">#REF!</definedName>
    <definedName name="_bdm.EC54E061A7AA44989777BBD7CE41F454.edm" hidden="1">#REF!</definedName>
    <definedName name="Amortization">Definitions!$A$117:$A$124</definedName>
    <definedName name="Audited">Definitions!$A$95:$A$96</definedName>
    <definedName name="Brake">Definitions!$A$104:$A$105</definedName>
    <definedName name="BS" localSheetId="2">'[1]Balance Sheet'!$H$9:$AQ$35</definedName>
    <definedName name="BS">'[2]Balance Sheet'!$H$9:$AQ$35</definedName>
    <definedName name="BS_PERIOD_START" localSheetId="2">'[1]Balance Sheet'!$D$9</definedName>
    <definedName name="BS_PERIOD_START">'[2]Balance Sheet'!$D$9</definedName>
    <definedName name="BS_PERIODS" localSheetId="2">'[1]Balance Sheet'!$H$9:$AQ$9</definedName>
    <definedName name="BS_PERIODS">'[2]Balance Sheet'!$H$9:$AQ$9</definedName>
    <definedName name="Case">Definitions!$A$99:$A$103</definedName>
    <definedName name="Choose_Case">Assump!$AL$7</definedName>
    <definedName name="Currency" localSheetId="7">#REF!</definedName>
    <definedName name="Currency" localSheetId="6">#REF!</definedName>
    <definedName name="Currency">Definitions!$A$97:$A$98</definedName>
    <definedName name="FX">Definitions!$A$79:$A$81</definedName>
    <definedName name="FX_1" localSheetId="2">'[1]Balance Sheet'!M$39:AV$45</definedName>
    <definedName name="FX_1">'[2]Balance Sheet'!M$39:AV$45</definedName>
    <definedName name="IS_PERIOD_START">#REF!</definedName>
    <definedName name="IS_PERIODS">#REF!</definedName>
    <definedName name="Line_Items">#REF!</definedName>
    <definedName name="Loan_Type">Definitions!$A$111:$A$116</definedName>
    <definedName name="Months">Definitions!$A$82:$A$94</definedName>
    <definedName name="_xlnm.Print_Area" localSheetId="7">Amort!$B$1:$H$20</definedName>
    <definedName name="_xlnm.Print_Area" localSheetId="9">'Fin Output'!$A$3:$AN$210</definedName>
    <definedName name="_xlnm.Print_Area" localSheetId="6">'Liab &amp; Shrs'!$B$1:$I$22</definedName>
    <definedName name="_xlnm.Print_Area" localSheetId="13">'Mgmt Backup'!$A$3:$AN$118</definedName>
    <definedName name="_xlnm.Print_Area" localSheetId="5">'Port &amp; Other'!$A$1:$T$43</definedName>
    <definedName name="_xlnm.Print_Area" localSheetId="11">Rating!$A$1:$L$110</definedName>
    <definedName name="_xlnm.Print_Titles" localSheetId="11">Rating!$9:$9</definedName>
    <definedName name="Region">Definitions!$A$106:$A$110</definedName>
    <definedName name="UA_Dates">#REF!</definedName>
  </definedNames>
  <calcPr calcId="125725" iterate="1"/>
</workbook>
</file>

<file path=xl/calcChain.xml><?xml version="1.0" encoding="utf-8"?>
<calcChain xmlns="http://schemas.openxmlformats.org/spreadsheetml/2006/main">
  <c r="E98" i="40"/>
  <c r="D98"/>
  <c r="C98"/>
  <c r="E97"/>
  <c r="D97"/>
  <c r="E96"/>
  <c r="D96"/>
  <c r="E95"/>
  <c r="D95"/>
  <c r="E94"/>
  <c r="D94"/>
  <c r="C97"/>
  <c r="C96"/>
  <c r="C95"/>
  <c r="C94"/>
  <c r="E92"/>
  <c r="E91"/>
  <c r="D92"/>
  <c r="D91"/>
  <c r="C92"/>
  <c r="C91"/>
  <c r="B5" i="25"/>
  <c r="B7" i="32"/>
  <c r="B50"/>
  <c r="B6"/>
  <c r="B5"/>
  <c r="B4"/>
  <c r="B3"/>
  <c r="B2"/>
  <c r="E9" i="25" l="1"/>
  <c r="B4"/>
  <c r="AD7" s="1"/>
  <c r="Q38" i="38"/>
  <c r="G5" i="40"/>
  <c r="H5" s="1"/>
  <c r="I5" s="1"/>
  <c r="J5" s="1"/>
  <c r="K5" s="1"/>
  <c r="L5" s="1"/>
  <c r="M5" s="1"/>
  <c r="N5" s="1"/>
  <c r="O5" s="1"/>
  <c r="P5" s="1"/>
  <c r="Q5" s="1"/>
  <c r="G116" i="29"/>
  <c r="G117"/>
  <c r="G118"/>
  <c r="G119"/>
  <c r="G120"/>
  <c r="G121"/>
  <c r="G122"/>
  <c r="F123"/>
  <c r="AX34" i="38"/>
  <c r="AY34" s="1"/>
  <c r="AX25"/>
  <c r="BH29"/>
  <c r="AW21"/>
  <c r="AX21" s="1"/>
  <c r="G59" i="32"/>
  <c r="G60"/>
  <c r="G61"/>
  <c r="G62"/>
  <c r="G63"/>
  <c r="G64"/>
  <c r="G65"/>
  <c r="G66"/>
  <c r="G67"/>
  <c r="G68"/>
  <c r="G69"/>
  <c r="G70"/>
  <c r="B71"/>
  <c r="C71"/>
  <c r="D71"/>
  <c r="E71"/>
  <c r="F71"/>
  <c r="G73"/>
  <c r="G74"/>
  <c r="G75"/>
  <c r="G76"/>
  <c r="G77"/>
  <c r="B78"/>
  <c r="C78"/>
  <c r="D78"/>
  <c r="E78"/>
  <c r="F78"/>
  <c r="C80"/>
  <c r="E80"/>
  <c r="C49" i="42"/>
  <c r="A10" i="44"/>
  <c r="A38" i="38"/>
  <c r="A36"/>
  <c r="C168" i="29"/>
  <c r="D168"/>
  <c r="E168"/>
  <c r="F168"/>
  <c r="B168"/>
  <c r="B141"/>
  <c r="G83"/>
  <c r="AN71" i="37"/>
  <c r="AM71"/>
  <c r="AL71"/>
  <c r="AK71"/>
  <c r="AJ71"/>
  <c r="AP71" s="1"/>
  <c r="AN68"/>
  <c r="AT28" i="38" s="1"/>
  <c r="AZ28" s="1"/>
  <c r="BH28" s="1"/>
  <c r="AM68" i="37"/>
  <c r="AS28" i="38" s="1"/>
  <c r="AY28" s="1"/>
  <c r="BG28" s="1"/>
  <c r="AL68" i="37"/>
  <c r="AR28" i="38" s="1"/>
  <c r="AX28" s="1"/>
  <c r="BF28" s="1"/>
  <c r="AK68" i="37"/>
  <c r="AQ28" i="38" s="1"/>
  <c r="AW28" s="1"/>
  <c r="BE28" s="1"/>
  <c r="AJ68" i="37"/>
  <c r="AN63"/>
  <c r="AN64" s="1"/>
  <c r="AN110" s="1"/>
  <c r="AT27" i="38" s="1"/>
  <c r="AM63" i="37"/>
  <c r="AM64" s="1"/>
  <c r="AM110" s="1"/>
  <c r="AS27" i="38" s="1"/>
  <c r="AL63" i="37"/>
  <c r="AL64" s="1"/>
  <c r="AL110" s="1"/>
  <c r="AR27" i="38" s="1"/>
  <c r="AK63" i="37"/>
  <c r="AK64" s="1"/>
  <c r="AK110" s="1"/>
  <c r="AQ27" i="38" s="1"/>
  <c r="AW27" s="1"/>
  <c r="BE27" s="1"/>
  <c r="AJ63" i="37"/>
  <c r="AN57"/>
  <c r="AM57"/>
  <c r="AL57"/>
  <c r="AK57"/>
  <c r="AJ57"/>
  <c r="AP57" s="1"/>
  <c r="AN56"/>
  <c r="AM56"/>
  <c r="AL56"/>
  <c r="AK56"/>
  <c r="AJ56"/>
  <c r="AP56" s="1"/>
  <c r="AN52"/>
  <c r="AM52"/>
  <c r="AL52"/>
  <c r="AK52"/>
  <c r="AJ52"/>
  <c r="AP52" s="1"/>
  <c r="AN51"/>
  <c r="AM51"/>
  <c r="AL51"/>
  <c r="AK51"/>
  <c r="AJ51"/>
  <c r="AP51" s="1"/>
  <c r="AN46"/>
  <c r="AM46"/>
  <c r="AL46"/>
  <c r="AK46"/>
  <c r="AJ46"/>
  <c r="AP46" s="1"/>
  <c r="AN47"/>
  <c r="AM47"/>
  <c r="AL47"/>
  <c r="AK47"/>
  <c r="AJ47"/>
  <c r="AP47" s="1"/>
  <c r="AN45"/>
  <c r="AM45"/>
  <c r="AL45"/>
  <c r="AK45"/>
  <c r="AJ45"/>
  <c r="AP45" s="1"/>
  <c r="AN44"/>
  <c r="AM44"/>
  <c r="AL44"/>
  <c r="AK44"/>
  <c r="AJ44"/>
  <c r="AP44" s="1"/>
  <c r="G20" i="41"/>
  <c r="H10" s="1"/>
  <c r="M14" i="29"/>
  <c r="L14"/>
  <c r="G15"/>
  <c r="F15"/>
  <c r="L12" s="1"/>
  <c r="E15"/>
  <c r="K13" s="1"/>
  <c r="K14"/>
  <c r="D15"/>
  <c r="J12"/>
  <c r="J14"/>
  <c r="C15"/>
  <c r="I12" s="1"/>
  <c r="I14"/>
  <c r="B15"/>
  <c r="H13"/>
  <c r="H14"/>
  <c r="E53" i="14"/>
  <c r="E45"/>
  <c r="E44"/>
  <c r="E43"/>
  <c r="E42"/>
  <c r="Z18" i="44"/>
  <c r="X17"/>
  <c r="Z17" s="1"/>
  <c r="X16"/>
  <c r="Z16" s="1"/>
  <c r="X15"/>
  <c r="Z15" s="1"/>
  <c r="X14"/>
  <c r="X13"/>
  <c r="Z13"/>
  <c r="X12"/>
  <c r="X11"/>
  <c r="Z11" s="1"/>
  <c r="W19"/>
  <c r="C19"/>
  <c r="A17"/>
  <c r="A11"/>
  <c r="A12"/>
  <c r="A13"/>
  <c r="A14"/>
  <c r="A15"/>
  <c r="A16"/>
  <c r="A8"/>
  <c r="B19"/>
  <c r="A1"/>
  <c r="D19"/>
  <c r="E19"/>
  <c r="F94" i="29"/>
  <c r="D94"/>
  <c r="E85"/>
  <c r="B94"/>
  <c r="C85"/>
  <c r="H93"/>
  <c r="G93"/>
  <c r="H92"/>
  <c r="G92"/>
  <c r="H91"/>
  <c r="G91"/>
  <c r="H90"/>
  <c r="G90"/>
  <c r="H89"/>
  <c r="G89"/>
  <c r="H88"/>
  <c r="G88"/>
  <c r="H87"/>
  <c r="G87"/>
  <c r="H86"/>
  <c r="G86"/>
  <c r="H85"/>
  <c r="G85"/>
  <c r="H84"/>
  <c r="G84"/>
  <c r="H83"/>
  <c r="A81"/>
  <c r="A231" i="17"/>
  <c r="K230"/>
  <c r="I230"/>
  <c r="G230"/>
  <c r="C230"/>
  <c r="AM85" i="37"/>
  <c r="AS49" i="38" s="1"/>
  <c r="AY49" s="1"/>
  <c r="BG49" s="1"/>
  <c r="D229" i="17"/>
  <c r="E229"/>
  <c r="F229" s="1"/>
  <c r="G229" s="1"/>
  <c r="A241"/>
  <c r="A240"/>
  <c r="A238"/>
  <c r="A237"/>
  <c r="A242"/>
  <c r="A236"/>
  <c r="A235"/>
  <c r="A234"/>
  <c r="A233"/>
  <c r="A220"/>
  <c r="C58" i="29"/>
  <c r="D132" s="1"/>
  <c r="A89" i="37"/>
  <c r="A166" i="40"/>
  <c r="AN8" i="37"/>
  <c r="AM8"/>
  <c r="AL8"/>
  <c r="AK8"/>
  <c r="AJ8"/>
  <c r="AE8"/>
  <c r="AD8"/>
  <c r="AD43" s="1"/>
  <c r="AC8"/>
  <c r="AC43" s="1"/>
  <c r="AB8"/>
  <c r="AB43" s="1"/>
  <c r="AA8"/>
  <c r="AA43" s="1"/>
  <c r="Z8"/>
  <c r="Z43" s="1"/>
  <c r="Y8"/>
  <c r="X8"/>
  <c r="X43" s="1"/>
  <c r="W8"/>
  <c r="W43" s="1"/>
  <c r="V8"/>
  <c r="V43" s="1"/>
  <c r="U8"/>
  <c r="U43" s="1"/>
  <c r="T8"/>
  <c r="T43" s="1"/>
  <c r="S8"/>
  <c r="R8"/>
  <c r="R43" s="1"/>
  <c r="Q8"/>
  <c r="Q43" s="1"/>
  <c r="P8"/>
  <c r="P43" s="1"/>
  <c r="O8"/>
  <c r="N8"/>
  <c r="N43" s="1"/>
  <c r="M8"/>
  <c r="M43" s="1"/>
  <c r="L8"/>
  <c r="L43" s="1"/>
  <c r="K8"/>
  <c r="K43" s="1"/>
  <c r="J8"/>
  <c r="J43" s="1"/>
  <c r="I8"/>
  <c r="I43" s="1"/>
  <c r="H8"/>
  <c r="H43" s="1"/>
  <c r="G8"/>
  <c r="G43" s="1"/>
  <c r="F8"/>
  <c r="F43" s="1"/>
  <c r="E8"/>
  <c r="E43" s="1"/>
  <c r="D8"/>
  <c r="D43" s="1"/>
  <c r="C8"/>
  <c r="C43" s="1"/>
  <c r="B8"/>
  <c r="B43" s="1"/>
  <c r="AE8" i="40"/>
  <c r="AE43" s="1"/>
  <c r="AD8"/>
  <c r="AC8"/>
  <c r="AC43" s="1"/>
  <c r="AB8"/>
  <c r="AA8"/>
  <c r="AA43" s="1"/>
  <c r="Z8"/>
  <c r="Z43" s="1"/>
  <c r="Y8"/>
  <c r="X8"/>
  <c r="X43" s="1"/>
  <c r="W8"/>
  <c r="V8"/>
  <c r="V43" s="1"/>
  <c r="U8"/>
  <c r="U43" s="1"/>
  <c r="T8"/>
  <c r="S8"/>
  <c r="S43" s="1"/>
  <c r="R8"/>
  <c r="Q8"/>
  <c r="Q43" s="1"/>
  <c r="P8"/>
  <c r="P43" s="1"/>
  <c r="O8"/>
  <c r="N8"/>
  <c r="M8"/>
  <c r="L8"/>
  <c r="K8"/>
  <c r="J8"/>
  <c r="I8"/>
  <c r="H8"/>
  <c r="H43" s="1"/>
  <c r="G8"/>
  <c r="G43" s="1"/>
  <c r="F8"/>
  <c r="F43" s="1"/>
  <c r="E8"/>
  <c r="E43" s="1"/>
  <c r="D8"/>
  <c r="D43" s="1"/>
  <c r="C8"/>
  <c r="C43" s="1"/>
  <c r="B8"/>
  <c r="B9" i="43"/>
  <c r="B4"/>
  <c r="D49" i="42"/>
  <c r="C40"/>
  <c r="C28"/>
  <c r="C25"/>
  <c r="C24"/>
  <c r="C23"/>
  <c r="C22"/>
  <c r="C19"/>
  <c r="C18"/>
  <c r="C17"/>
  <c r="C16"/>
  <c r="C14"/>
  <c r="D48"/>
  <c r="C10"/>
  <c r="G28" i="32"/>
  <c r="C28"/>
  <c r="B28"/>
  <c r="G27"/>
  <c r="C27"/>
  <c r="B27"/>
  <c r="C7" i="42"/>
  <c r="C29"/>
  <c r="C6"/>
  <c r="C5"/>
  <c r="C4"/>
  <c r="C3"/>
  <c r="C57"/>
  <c r="D57"/>
  <c r="D84"/>
  <c r="D85"/>
  <c r="C86"/>
  <c r="D86"/>
  <c r="C87"/>
  <c r="D87"/>
  <c r="C90"/>
  <c r="D90"/>
  <c r="C91"/>
  <c r="D91"/>
  <c r="C105"/>
  <c r="D105"/>
  <c r="C106"/>
  <c r="D106"/>
  <c r="AD106" i="25"/>
  <c r="AC106"/>
  <c r="AC109" i="40"/>
  <c r="AC46" i="38" s="1"/>
  <c r="AB106" i="25"/>
  <c r="AA106"/>
  <c r="AA82" i="37"/>
  <c r="Z106" i="25"/>
  <c r="Y106"/>
  <c r="X106"/>
  <c r="W106"/>
  <c r="W82" i="37"/>
  <c r="V106" i="25"/>
  <c r="U106"/>
  <c r="T106"/>
  <c r="S106"/>
  <c r="S82" i="37"/>
  <c r="AL106" i="25"/>
  <c r="AK106"/>
  <c r="AJ106"/>
  <c r="AI106"/>
  <c r="AK82" i="37"/>
  <c r="AQ46" i="38" s="1"/>
  <c r="AW46" s="1"/>
  <c r="BE46" s="1"/>
  <c r="AL103" i="25"/>
  <c r="AK103"/>
  <c r="AJ103"/>
  <c r="AI103"/>
  <c r="AH103"/>
  <c r="AD103"/>
  <c r="AC103"/>
  <c r="AB103"/>
  <c r="AA103"/>
  <c r="Z103"/>
  <c r="Y103"/>
  <c r="X103"/>
  <c r="W103"/>
  <c r="V103"/>
  <c r="U103"/>
  <c r="T103"/>
  <c r="C48" i="42"/>
  <c r="H122" i="29"/>
  <c r="H121"/>
  <c r="H120"/>
  <c r="H119"/>
  <c r="H118"/>
  <c r="H117"/>
  <c r="C172" i="17"/>
  <c r="C171"/>
  <c r="C170"/>
  <c r="C169"/>
  <c r="H107" i="29"/>
  <c r="G107"/>
  <c r="C168" i="17" s="1"/>
  <c r="H106" i="29"/>
  <c r="G106"/>
  <c r="C167" i="17" s="1"/>
  <c r="H105" i="29"/>
  <c r="G105"/>
  <c r="C166" i="17" s="1"/>
  <c r="H104" i="29"/>
  <c r="G104"/>
  <c r="C165" i="17" s="1"/>
  <c r="H103" i="29"/>
  <c r="G103"/>
  <c r="C164" i="17"/>
  <c r="H102" i="29"/>
  <c r="G102"/>
  <c r="C163" i="17" s="1"/>
  <c r="H74" i="29"/>
  <c r="G74"/>
  <c r="H73"/>
  <c r="G73"/>
  <c r="H72"/>
  <c r="G72"/>
  <c r="H71"/>
  <c r="G71"/>
  <c r="H70"/>
  <c r="G70"/>
  <c r="H69"/>
  <c r="G69"/>
  <c r="H68"/>
  <c r="G68"/>
  <c r="H67"/>
  <c r="G67"/>
  <c r="I57"/>
  <c r="H57"/>
  <c r="I56"/>
  <c r="H56"/>
  <c r="B215" i="17"/>
  <c r="I213"/>
  <c r="J213"/>
  <c r="C204"/>
  <c r="D204"/>
  <c r="E204" s="1"/>
  <c r="F204" s="1"/>
  <c r="G204" s="1"/>
  <c r="H204" s="1"/>
  <c r="I204" s="1"/>
  <c r="J204" s="1"/>
  <c r="C203"/>
  <c r="D203"/>
  <c r="C202"/>
  <c r="D202"/>
  <c r="E202" s="1"/>
  <c r="C18" i="41"/>
  <c r="C17"/>
  <c r="B18"/>
  <c r="B17"/>
  <c r="D20"/>
  <c r="G17"/>
  <c r="O10"/>
  <c r="G18"/>
  <c r="P10" s="1"/>
  <c r="D18"/>
  <c r="D17"/>
  <c r="H116" i="29"/>
  <c r="H66"/>
  <c r="B172" i="17"/>
  <c r="A172"/>
  <c r="B171"/>
  <c r="A171"/>
  <c r="B170"/>
  <c r="A170"/>
  <c r="B169"/>
  <c r="A169"/>
  <c r="B168"/>
  <c r="A168"/>
  <c r="B167"/>
  <c r="A167"/>
  <c r="B166"/>
  <c r="A166"/>
  <c r="B165"/>
  <c r="A165"/>
  <c r="B164"/>
  <c r="A164"/>
  <c r="B163"/>
  <c r="A163"/>
  <c r="G26" i="32"/>
  <c r="C26"/>
  <c r="B26"/>
  <c r="AT58" i="38"/>
  <c r="AZ58" s="1"/>
  <c r="BH58" s="1"/>
  <c r="AS58"/>
  <c r="AY58" s="1"/>
  <c r="BG58" s="1"/>
  <c r="AR58"/>
  <c r="AQ58"/>
  <c r="AW58" s="1"/>
  <c r="AP58"/>
  <c r="AT57"/>
  <c r="AZ57" s="1"/>
  <c r="AS57"/>
  <c r="AY57" s="1"/>
  <c r="BG57" s="1"/>
  <c r="AR57"/>
  <c r="AX57" s="1"/>
  <c r="BF57" s="1"/>
  <c r="AQ57"/>
  <c r="AW57" s="1"/>
  <c r="BE57" s="1"/>
  <c r="AP57"/>
  <c r="AV57" s="1"/>
  <c r="AT56"/>
  <c r="AS56"/>
  <c r="AY56" s="1"/>
  <c r="AR56"/>
  <c r="AX56" s="1"/>
  <c r="BF56" s="1"/>
  <c r="AQ56"/>
  <c r="AP56"/>
  <c r="AV56" s="1"/>
  <c r="BD56" s="1"/>
  <c r="AT55"/>
  <c r="AS55"/>
  <c r="AY55" s="1"/>
  <c r="BG55" s="1"/>
  <c r="AR55"/>
  <c r="AX55" s="1"/>
  <c r="BF55" s="1"/>
  <c r="AQ55"/>
  <c r="AW55" s="1"/>
  <c r="AP55"/>
  <c r="AT54"/>
  <c r="AZ54" s="1"/>
  <c r="BH54" s="1"/>
  <c r="AS54"/>
  <c r="AY54" s="1"/>
  <c r="BG54" s="1"/>
  <c r="AR54"/>
  <c r="AX54" s="1"/>
  <c r="BF54" s="1"/>
  <c r="AQ54"/>
  <c r="AP54"/>
  <c r="AV54" s="1"/>
  <c r="BD54" s="1"/>
  <c r="AT53"/>
  <c r="AS53"/>
  <c r="AY53" s="1"/>
  <c r="AR53"/>
  <c r="AQ53"/>
  <c r="AW53" s="1"/>
  <c r="BE53" s="1"/>
  <c r="AP53"/>
  <c r="AV53" s="1"/>
  <c r="BD53" s="1"/>
  <c r="AH106" i="25"/>
  <c r="Y82" i="37"/>
  <c r="U82"/>
  <c r="U79"/>
  <c r="S103" i="25"/>
  <c r="S79" i="37"/>
  <c r="A25" i="40"/>
  <c r="A30"/>
  <c r="A25" i="37"/>
  <c r="A26"/>
  <c r="A27"/>
  <c r="A28"/>
  <c r="A29"/>
  <c r="A30"/>
  <c r="AD85"/>
  <c r="AC85"/>
  <c r="AB85"/>
  <c r="AA85"/>
  <c r="Z85"/>
  <c r="Y85"/>
  <c r="X85"/>
  <c r="W85"/>
  <c r="V85"/>
  <c r="U85"/>
  <c r="T85"/>
  <c r="S85"/>
  <c r="A85"/>
  <c r="AD112" i="40"/>
  <c r="AD49" i="38" s="1"/>
  <c r="AC112" i="40"/>
  <c r="AC49" i="38" s="1"/>
  <c r="AB112" i="40"/>
  <c r="AB49" i="38" s="1"/>
  <c r="AA112" i="40"/>
  <c r="AA49" i="38" s="1"/>
  <c r="Z112" i="40"/>
  <c r="Z49" i="38" s="1"/>
  <c r="Y112" i="40"/>
  <c r="Y49" i="38" s="1"/>
  <c r="X112" i="40"/>
  <c r="X49" i="38" s="1"/>
  <c r="W112" i="40"/>
  <c r="W49" i="38" s="1"/>
  <c r="V112" i="40"/>
  <c r="V49" i="38" s="1"/>
  <c r="U112" i="40"/>
  <c r="U49" i="38" s="1"/>
  <c r="T112" i="40"/>
  <c r="T49" i="38" s="1"/>
  <c r="S112" i="40"/>
  <c r="S49" i="38" s="1"/>
  <c r="A112" i="40"/>
  <c r="A49" i="38" s="1"/>
  <c r="AD80" i="37"/>
  <c r="AC80"/>
  <c r="AB80"/>
  <c r="AA80"/>
  <c r="Z80"/>
  <c r="Y80"/>
  <c r="X80"/>
  <c r="W80"/>
  <c r="V80"/>
  <c r="U80"/>
  <c r="T80"/>
  <c r="S80"/>
  <c r="A80"/>
  <c r="AD107" i="40"/>
  <c r="AD44" i="38" s="1"/>
  <c r="AC107" i="40"/>
  <c r="AC44" i="38" s="1"/>
  <c r="AB107" i="40"/>
  <c r="AB44" i="38" s="1"/>
  <c r="AA107" i="40"/>
  <c r="AA44" i="38" s="1"/>
  <c r="Z107" i="40"/>
  <c r="Z44" i="38" s="1"/>
  <c r="Y107" i="40"/>
  <c r="Y44" i="38" s="1"/>
  <c r="X107" i="40"/>
  <c r="X44" i="38" s="1"/>
  <c r="W107" i="40"/>
  <c r="W44" i="38" s="1"/>
  <c r="V107" i="40"/>
  <c r="V44" i="38" s="1"/>
  <c r="U107" i="40"/>
  <c r="U44" i="38" s="1"/>
  <c r="T107" i="40"/>
  <c r="T44" i="38" s="1"/>
  <c r="S107" i="40"/>
  <c r="S44" i="38" s="1"/>
  <c r="A107" i="40"/>
  <c r="A44" i="38" s="1"/>
  <c r="M39" i="29"/>
  <c r="L39"/>
  <c r="J39"/>
  <c r="H39"/>
  <c r="M38"/>
  <c r="L38"/>
  <c r="K38"/>
  <c r="J38"/>
  <c r="H38"/>
  <c r="C40"/>
  <c r="I36"/>
  <c r="I39"/>
  <c r="M33"/>
  <c r="L33"/>
  <c r="K33"/>
  <c r="J33"/>
  <c r="I33"/>
  <c r="H33"/>
  <c r="F34"/>
  <c r="L30" s="1"/>
  <c r="D34"/>
  <c r="J30" s="1"/>
  <c r="J31"/>
  <c r="C34"/>
  <c r="I30"/>
  <c r="B34"/>
  <c r="H30"/>
  <c r="M26"/>
  <c r="L26"/>
  <c r="J26"/>
  <c r="H26"/>
  <c r="G27"/>
  <c r="M25"/>
  <c r="E27"/>
  <c r="K25"/>
  <c r="K26"/>
  <c r="D27"/>
  <c r="J24" s="1"/>
  <c r="C27"/>
  <c r="I24" s="1"/>
  <c r="I26"/>
  <c r="G20"/>
  <c r="M18"/>
  <c r="F20"/>
  <c r="L18"/>
  <c r="C20"/>
  <c r="I18"/>
  <c r="I38"/>
  <c r="E27" i="41"/>
  <c r="A8"/>
  <c r="G10" i="29"/>
  <c r="E10"/>
  <c r="C10"/>
  <c r="A64"/>
  <c r="A100"/>
  <c r="B162" i="17" s="1"/>
  <c r="A114" i="29"/>
  <c r="A129"/>
  <c r="A53"/>
  <c r="A134" i="25"/>
  <c r="A124"/>
  <c r="A101"/>
  <c r="A47"/>
  <c r="A13"/>
  <c r="AP162" i="40"/>
  <c r="A1" i="41"/>
  <c r="A48"/>
  <c r="A49"/>
  <c r="A50" s="1"/>
  <c r="A51" s="1"/>
  <c r="A52" s="1"/>
  <c r="A53" s="1"/>
  <c r="A36"/>
  <c r="A37"/>
  <c r="A38" s="1"/>
  <c r="A39" s="1"/>
  <c r="A40" s="1"/>
  <c r="A41" s="1"/>
  <c r="E29"/>
  <c r="F28" s="1"/>
  <c r="F29" s="1"/>
  <c r="D29"/>
  <c r="K15"/>
  <c r="K14"/>
  <c r="K13"/>
  <c r="K12"/>
  <c r="K11"/>
  <c r="A11"/>
  <c r="A12" s="1"/>
  <c r="A13" s="1"/>
  <c r="A14" s="1"/>
  <c r="A15" s="1"/>
  <c r="K10"/>
  <c r="I123" i="29"/>
  <c r="D123"/>
  <c r="E117" s="1"/>
  <c r="B123"/>
  <c r="G123" s="1"/>
  <c r="F108"/>
  <c r="D108"/>
  <c r="E102" s="1"/>
  <c r="E108" s="1"/>
  <c r="B108"/>
  <c r="C102" s="1"/>
  <c r="C108" s="1"/>
  <c r="F75"/>
  <c r="D75"/>
  <c r="E74"/>
  <c r="B75"/>
  <c r="C66"/>
  <c r="C75" s="1"/>
  <c r="G66"/>
  <c r="G58"/>
  <c r="E58"/>
  <c r="F56" s="1"/>
  <c r="I55"/>
  <c r="H55"/>
  <c r="A97" i="27"/>
  <c r="A98"/>
  <c r="A1" i="29"/>
  <c r="T5" i="37"/>
  <c r="U5"/>
  <c r="B6"/>
  <c r="C6"/>
  <c r="D6"/>
  <c r="E6"/>
  <c r="R6"/>
  <c r="AE6"/>
  <c r="A7"/>
  <c r="A9"/>
  <c r="A10"/>
  <c r="A11"/>
  <c r="A12"/>
  <c r="A13"/>
  <c r="A15"/>
  <c r="A16"/>
  <c r="B16"/>
  <c r="F16"/>
  <c r="G16"/>
  <c r="H16"/>
  <c r="I16"/>
  <c r="J16"/>
  <c r="K16"/>
  <c r="L16"/>
  <c r="M16"/>
  <c r="N16"/>
  <c r="O16"/>
  <c r="P16"/>
  <c r="Q16"/>
  <c r="A17"/>
  <c r="A20"/>
  <c r="A21"/>
  <c r="A23"/>
  <c r="A24"/>
  <c r="A31"/>
  <c r="A32"/>
  <c r="A35"/>
  <c r="A36"/>
  <c r="A37"/>
  <c r="A39"/>
  <c r="A42"/>
  <c r="A44"/>
  <c r="A45"/>
  <c r="A46"/>
  <c r="A47"/>
  <c r="A48"/>
  <c r="A49"/>
  <c r="A51"/>
  <c r="A52"/>
  <c r="A53"/>
  <c r="A54"/>
  <c r="A56"/>
  <c r="A57"/>
  <c r="A58"/>
  <c r="A60"/>
  <c r="A61"/>
  <c r="A63"/>
  <c r="A66"/>
  <c r="A68"/>
  <c r="A69"/>
  <c r="A71"/>
  <c r="A72"/>
  <c r="A73"/>
  <c r="A78"/>
  <c r="A79"/>
  <c r="T79"/>
  <c r="V79"/>
  <c r="X79"/>
  <c r="Z79"/>
  <c r="AB79"/>
  <c r="AD79"/>
  <c r="A81"/>
  <c r="S81"/>
  <c r="T81"/>
  <c r="U81"/>
  <c r="V81"/>
  <c r="W81"/>
  <c r="X81"/>
  <c r="Y81"/>
  <c r="Z81"/>
  <c r="AA81"/>
  <c r="AB81"/>
  <c r="AC81"/>
  <c r="AD81"/>
  <c r="A82"/>
  <c r="T82"/>
  <c r="V82"/>
  <c r="X82"/>
  <c r="Z82"/>
  <c r="AB82"/>
  <c r="AD82"/>
  <c r="A83"/>
  <c r="S83"/>
  <c r="T83"/>
  <c r="U83"/>
  <c r="V83"/>
  <c r="W83"/>
  <c r="X83"/>
  <c r="Y83"/>
  <c r="Z83"/>
  <c r="AA83"/>
  <c r="AB83"/>
  <c r="AC83"/>
  <c r="AD83"/>
  <c r="A84"/>
  <c r="S84"/>
  <c r="T84"/>
  <c r="U84"/>
  <c r="V84"/>
  <c r="W84"/>
  <c r="X84"/>
  <c r="Y84"/>
  <c r="Z84"/>
  <c r="AA84"/>
  <c r="AB84"/>
  <c r="AC84"/>
  <c r="AD84"/>
  <c r="B120"/>
  <c r="S5" i="17"/>
  <c r="T5"/>
  <c r="U5" s="1"/>
  <c r="V5" s="1"/>
  <c r="W5" s="1"/>
  <c r="X5" s="1"/>
  <c r="Y5" s="1"/>
  <c r="Z5" s="1"/>
  <c r="AA5" s="1"/>
  <c r="AB5" s="1"/>
  <c r="AC5" s="1"/>
  <c r="A8"/>
  <c r="A38"/>
  <c r="A39"/>
  <c r="A4" i="40"/>
  <c r="T5"/>
  <c r="U5" s="1"/>
  <c r="V5" s="1"/>
  <c r="W5" s="1"/>
  <c r="X5" s="1"/>
  <c r="Y5" s="1"/>
  <c r="Z5" s="1"/>
  <c r="AA5" s="1"/>
  <c r="AB5" s="1"/>
  <c r="AC5" s="1"/>
  <c r="AD5" s="1"/>
  <c r="B6"/>
  <c r="C6"/>
  <c r="D6"/>
  <c r="E6"/>
  <c r="R6"/>
  <c r="AE6"/>
  <c r="A7"/>
  <c r="R43"/>
  <c r="AJ8"/>
  <c r="AK8"/>
  <c r="AL8"/>
  <c r="AM8"/>
  <c r="AN8"/>
  <c r="A9"/>
  <c r="A10"/>
  <c r="A11"/>
  <c r="AP11"/>
  <c r="A12"/>
  <c r="AP12"/>
  <c r="A13"/>
  <c r="AP13"/>
  <c r="A15"/>
  <c r="A232" i="17" s="1"/>
  <c r="A16" i="40"/>
  <c r="B16"/>
  <c r="F16"/>
  <c r="G16"/>
  <c r="H16"/>
  <c r="I16"/>
  <c r="J16"/>
  <c r="K16"/>
  <c r="L16"/>
  <c r="M16"/>
  <c r="N16"/>
  <c r="O16"/>
  <c r="P16"/>
  <c r="Q16"/>
  <c r="A17"/>
  <c r="A20"/>
  <c r="A21"/>
  <c r="A23"/>
  <c r="A24"/>
  <c r="A26"/>
  <c r="AP26"/>
  <c r="A27"/>
  <c r="AP27"/>
  <c r="A28"/>
  <c r="AP28"/>
  <c r="A29"/>
  <c r="AP29"/>
  <c r="A31"/>
  <c r="A32"/>
  <c r="A35"/>
  <c r="A36"/>
  <c r="A37"/>
  <c r="A39"/>
  <c r="A42"/>
  <c r="A44"/>
  <c r="A45"/>
  <c r="A46"/>
  <c r="A47"/>
  <c r="A48"/>
  <c r="A49"/>
  <c r="A51"/>
  <c r="A52"/>
  <c r="A53"/>
  <c r="A54"/>
  <c r="A56"/>
  <c r="AP56"/>
  <c r="A57"/>
  <c r="AP57"/>
  <c r="A58"/>
  <c r="A26" i="38" s="1"/>
  <c r="A60" i="40"/>
  <c r="A61"/>
  <c r="A63"/>
  <c r="A66"/>
  <c r="A239" i="17" s="1"/>
  <c r="A68" i="40"/>
  <c r="A28" i="38" s="1"/>
  <c r="A69" i="40"/>
  <c r="A71"/>
  <c r="A72"/>
  <c r="A73"/>
  <c r="A77"/>
  <c r="A79"/>
  <c r="A80"/>
  <c r="A81"/>
  <c r="A82"/>
  <c r="A83"/>
  <c r="B83"/>
  <c r="A84"/>
  <c r="A85"/>
  <c r="B85"/>
  <c r="A86"/>
  <c r="B86"/>
  <c r="A105"/>
  <c r="A106"/>
  <c r="A43" i="38" s="1"/>
  <c r="S106" i="40"/>
  <c r="S43" i="38" s="1"/>
  <c r="T106" i="40"/>
  <c r="T43" i="38" s="1"/>
  <c r="U106" i="40"/>
  <c r="U43" i="38" s="1"/>
  <c r="V106" i="40"/>
  <c r="V43" i="38" s="1"/>
  <c r="X106" i="40"/>
  <c r="X43" i="38" s="1"/>
  <c r="Z106" i="40"/>
  <c r="Z43" i="38" s="1"/>
  <c r="AB106" i="40"/>
  <c r="AB43" i="38" s="1"/>
  <c r="AD106" i="40"/>
  <c r="AD43" i="38" s="1"/>
  <c r="A108" i="40"/>
  <c r="A45" i="38" s="1"/>
  <c r="S108" i="40"/>
  <c r="S45" i="38" s="1"/>
  <c r="T108" i="40"/>
  <c r="T45" i="38" s="1"/>
  <c r="U108" i="40"/>
  <c r="U45" i="38" s="1"/>
  <c r="V108" i="40"/>
  <c r="V45" i="38" s="1"/>
  <c r="W108" i="40"/>
  <c r="W45" i="38" s="1"/>
  <c r="X108" i="40"/>
  <c r="X45" i="38" s="1"/>
  <c r="Y108" i="40"/>
  <c r="Y45" i="38" s="1"/>
  <c r="Z108" i="40"/>
  <c r="Z45" i="38" s="1"/>
  <c r="AA108" i="40"/>
  <c r="AA45" i="38" s="1"/>
  <c r="AB108" i="40"/>
  <c r="AB45" i="38" s="1"/>
  <c r="AC108" i="40"/>
  <c r="AC45" i="38" s="1"/>
  <c r="AD108" i="40"/>
  <c r="AD45" i="38" s="1"/>
  <c r="A109" i="40"/>
  <c r="A46" i="38" s="1"/>
  <c r="T109" i="40"/>
  <c r="T46" i="38" s="1"/>
  <c r="U109" i="40"/>
  <c r="U46" i="38" s="1"/>
  <c r="V109" i="40"/>
  <c r="V46" i="38" s="1"/>
  <c r="W109" i="40"/>
  <c r="W46" i="38" s="1"/>
  <c r="X109" i="40"/>
  <c r="X46" i="38" s="1"/>
  <c r="Y109" i="40"/>
  <c r="Y46" i="38" s="1"/>
  <c r="Z109" i="40"/>
  <c r="Z46" i="38" s="1"/>
  <c r="AA109" i="40"/>
  <c r="AA46" i="38" s="1"/>
  <c r="AB109" i="40"/>
  <c r="AB46" i="38" s="1"/>
  <c r="AD109" i="40"/>
  <c r="AD46" i="38" s="1"/>
  <c r="A110" i="40"/>
  <c r="A47" i="38" s="1"/>
  <c r="S110" i="40"/>
  <c r="S47" i="38" s="1"/>
  <c r="T110" i="40"/>
  <c r="T47" i="38" s="1"/>
  <c r="U110" i="40"/>
  <c r="U47" i="38" s="1"/>
  <c r="V110" i="40"/>
  <c r="V47" i="38" s="1"/>
  <c r="W110" i="40"/>
  <c r="W47" i="38" s="1"/>
  <c r="X110" i="40"/>
  <c r="X47" i="38" s="1"/>
  <c r="Y110" i="40"/>
  <c r="Y47" i="38" s="1"/>
  <c r="Z110" i="40"/>
  <c r="Z47" i="38" s="1"/>
  <c r="AA110" i="40"/>
  <c r="AA47" i="38" s="1"/>
  <c r="AB110" i="40"/>
  <c r="AB47" i="38" s="1"/>
  <c r="AC110" i="40"/>
  <c r="AC47" i="38" s="1"/>
  <c r="AD110" i="40"/>
  <c r="AD47" i="38" s="1"/>
  <c r="A111" i="40"/>
  <c r="A48" i="38" s="1"/>
  <c r="S111" i="40"/>
  <c r="S48" i="38" s="1"/>
  <c r="T111" i="40"/>
  <c r="T48" i="38" s="1"/>
  <c r="U111" i="40"/>
  <c r="U48" i="38" s="1"/>
  <c r="V111" i="40"/>
  <c r="V48" i="38" s="1"/>
  <c r="W111" i="40"/>
  <c r="W48" i="38" s="1"/>
  <c r="X111" i="40"/>
  <c r="X48" i="38" s="1"/>
  <c r="Y111" i="40"/>
  <c r="Y48" i="38" s="1"/>
  <c r="Z111" i="40"/>
  <c r="Z48" i="38" s="1"/>
  <c r="AA111" i="40"/>
  <c r="AA48" i="38" s="1"/>
  <c r="AB111" i="40"/>
  <c r="AB48" i="38" s="1"/>
  <c r="AC111" i="40"/>
  <c r="AC48" i="38" s="1"/>
  <c r="AD111" i="40"/>
  <c r="AD48" i="38" s="1"/>
  <c r="AP147" i="40"/>
  <c r="A153"/>
  <c r="A78" s="1"/>
  <c r="A161"/>
  <c r="A163"/>
  <c r="B163"/>
  <c r="A198"/>
  <c r="B198"/>
  <c r="F198"/>
  <c r="G198"/>
  <c r="H198"/>
  <c r="I198"/>
  <c r="J198"/>
  <c r="K198"/>
  <c r="L198"/>
  <c r="M198"/>
  <c r="N198"/>
  <c r="O198"/>
  <c r="P198"/>
  <c r="Q198"/>
  <c r="A199"/>
  <c r="B199"/>
  <c r="A213"/>
  <c r="A224"/>
  <c r="A226"/>
  <c r="A227"/>
  <c r="B232"/>
  <c r="B10" i="38"/>
  <c r="J10" i="14"/>
  <c r="J11"/>
  <c r="J12"/>
  <c r="D14"/>
  <c r="L14" s="1"/>
  <c r="I14"/>
  <c r="J15"/>
  <c r="J16"/>
  <c r="J20"/>
  <c r="D20"/>
  <c r="L20"/>
  <c r="I20"/>
  <c r="J21"/>
  <c r="J22"/>
  <c r="D28"/>
  <c r="L28" s="1"/>
  <c r="I28"/>
  <c r="J29"/>
  <c r="J30"/>
  <c r="J31"/>
  <c r="J32"/>
  <c r="J33"/>
  <c r="D34"/>
  <c r="L34" s="1"/>
  <c r="I34"/>
  <c r="J35"/>
  <c r="J36"/>
  <c r="J37"/>
  <c r="J38"/>
  <c r="D40"/>
  <c r="I40"/>
  <c r="J41"/>
  <c r="J42"/>
  <c r="J43"/>
  <c r="J44"/>
  <c r="J45"/>
  <c r="D46"/>
  <c r="I46"/>
  <c r="E47"/>
  <c r="E52" s="1"/>
  <c r="J47"/>
  <c r="J48"/>
  <c r="J49"/>
  <c r="J50"/>
  <c r="J51"/>
  <c r="D52"/>
  <c r="I52"/>
  <c r="J53"/>
  <c r="J57"/>
  <c r="J54"/>
  <c r="E55"/>
  <c r="J55"/>
  <c r="E56"/>
  <c r="J56"/>
  <c r="D57"/>
  <c r="L57" s="1"/>
  <c r="I57"/>
  <c r="B58"/>
  <c r="D58"/>
  <c r="A1" i="38"/>
  <c r="AL8"/>
  <c r="A10"/>
  <c r="A11"/>
  <c r="B11"/>
  <c r="F11"/>
  <c r="G11"/>
  <c r="H11"/>
  <c r="I11"/>
  <c r="J11"/>
  <c r="K11"/>
  <c r="L11"/>
  <c r="M11"/>
  <c r="N11"/>
  <c r="O11"/>
  <c r="P11"/>
  <c r="Q11"/>
  <c r="A13"/>
  <c r="A21"/>
  <c r="B21"/>
  <c r="A22"/>
  <c r="B22"/>
  <c r="A23"/>
  <c r="B23"/>
  <c r="F23"/>
  <c r="G23"/>
  <c r="H23"/>
  <c r="I23"/>
  <c r="J23"/>
  <c r="K23"/>
  <c r="L23"/>
  <c r="M23"/>
  <c r="N23"/>
  <c r="O23"/>
  <c r="P23"/>
  <c r="Q23"/>
  <c r="A24"/>
  <c r="A25"/>
  <c r="B25"/>
  <c r="A27"/>
  <c r="A29"/>
  <c r="B29"/>
  <c r="A34"/>
  <c r="A35"/>
  <c r="A37"/>
  <c r="B38"/>
  <c r="F38"/>
  <c r="G38"/>
  <c r="H38"/>
  <c r="I38"/>
  <c r="J38"/>
  <c r="K38"/>
  <c r="L38"/>
  <c r="M38"/>
  <c r="N38"/>
  <c r="O38"/>
  <c r="P38"/>
  <c r="A53"/>
  <c r="A54"/>
  <c r="A55"/>
  <c r="A56"/>
  <c r="A57"/>
  <c r="A58"/>
  <c r="AV58"/>
  <c r="BD58" s="1"/>
  <c r="A1" i="25"/>
  <c r="V10"/>
  <c r="C9"/>
  <c r="D9"/>
  <c r="S9"/>
  <c r="T9"/>
  <c r="U9"/>
  <c r="V9"/>
  <c r="W9"/>
  <c r="X9"/>
  <c r="Y9"/>
  <c r="Z9"/>
  <c r="AA9"/>
  <c r="AB9"/>
  <c r="AC9"/>
  <c r="F10"/>
  <c r="G10"/>
  <c r="H10"/>
  <c r="I10"/>
  <c r="J10"/>
  <c r="K10"/>
  <c r="L10"/>
  <c r="M10"/>
  <c r="N10"/>
  <c r="O10"/>
  <c r="P10"/>
  <c r="Q10"/>
  <c r="R10" s="1"/>
  <c r="X10"/>
  <c r="Y10"/>
  <c r="Z10"/>
  <c r="AA10"/>
  <c r="AB10"/>
  <c r="AC10"/>
  <c r="AD10"/>
  <c r="AH18"/>
  <c r="AI18"/>
  <c r="AI25" s="1"/>
  <c r="AJ18"/>
  <c r="AJ25" s="1"/>
  <c r="AK18"/>
  <c r="AK25" s="1"/>
  <c r="AL18"/>
  <c r="AL25" s="1"/>
  <c r="AH41"/>
  <c r="AJ37" i="37"/>
  <c r="AI41" i="25"/>
  <c r="AJ41"/>
  <c r="AK41"/>
  <c r="AL41"/>
  <c r="AH55"/>
  <c r="AH56" s="1"/>
  <c r="AI55"/>
  <c r="AI56" s="1"/>
  <c r="AJ55"/>
  <c r="AJ60"/>
  <c r="AK55"/>
  <c r="AK56"/>
  <c r="AL55"/>
  <c r="AL56"/>
  <c r="AH65"/>
  <c r="AI65"/>
  <c r="AJ65"/>
  <c r="AK65"/>
  <c r="AK67" s="1"/>
  <c r="AL65"/>
  <c r="AH95"/>
  <c r="AI95"/>
  <c r="AJ95"/>
  <c r="AK95"/>
  <c r="AL95"/>
  <c r="AH96"/>
  <c r="AH97" s="1"/>
  <c r="AI96"/>
  <c r="AI97" s="1"/>
  <c r="AJ96"/>
  <c r="AJ97"/>
  <c r="AK96"/>
  <c r="AK97"/>
  <c r="AL96"/>
  <c r="AL97"/>
  <c r="AF97"/>
  <c r="I43" i="40"/>
  <c r="J40" i="14"/>
  <c r="J14"/>
  <c r="E54"/>
  <c r="AK60" i="25"/>
  <c r="AK61"/>
  <c r="AI60"/>
  <c r="AI61" s="1"/>
  <c r="AH25"/>
  <c r="T10"/>
  <c r="W10"/>
  <c r="U10"/>
  <c r="S10"/>
  <c r="BG53" i="38"/>
  <c r="B115" i="37"/>
  <c r="AZ56" i="38"/>
  <c r="BH56" s="1"/>
  <c r="AZ55"/>
  <c r="BH55"/>
  <c r="AV55"/>
  <c r="BD55" s="1"/>
  <c r="G75" i="29"/>
  <c r="E57" i="14"/>
  <c r="BG56" i="38"/>
  <c r="BE55"/>
  <c r="AX58"/>
  <c r="BF58" s="1"/>
  <c r="AP30" i="40"/>
  <c r="BD16" i="38"/>
  <c r="BF16"/>
  <c r="BH16"/>
  <c r="BE16"/>
  <c r="BG16"/>
  <c r="A12"/>
  <c r="R9" i="25"/>
  <c r="L52" i="14"/>
  <c r="L46"/>
  <c r="L40"/>
  <c r="I58"/>
  <c r="L58" s="1"/>
  <c r="AJ85" i="37"/>
  <c r="AP49" i="38" s="1"/>
  <c r="AV49" s="1"/>
  <c r="BD49" s="1"/>
  <c r="AJ80" i="37"/>
  <c r="AP44" i="38" s="1"/>
  <c r="AV44" s="1"/>
  <c r="BD44" s="1"/>
  <c r="AJ15" i="37"/>
  <c r="AJ24"/>
  <c r="AJ28"/>
  <c r="AJ30"/>
  <c r="AP15" i="38" s="1"/>
  <c r="AV15" s="1"/>
  <c r="BD15" s="1"/>
  <c r="AJ31" i="37"/>
  <c r="AP14" i="38" s="1"/>
  <c r="AV14" s="1"/>
  <c r="BD14" s="1"/>
  <c r="AJ35" i="37"/>
  <c r="AJ36"/>
  <c r="AJ79"/>
  <c r="AP43" i="38" s="1"/>
  <c r="AV43" s="1"/>
  <c r="BD43" s="1"/>
  <c r="AJ82" i="37"/>
  <c r="AP46" i="38" s="1"/>
  <c r="AV46" s="1"/>
  <c r="BD46" s="1"/>
  <c r="AJ84" i="37"/>
  <c r="AP48" i="38" s="1"/>
  <c r="AV48" s="1"/>
  <c r="BD48" s="1"/>
  <c r="AJ92" i="37"/>
  <c r="AJ93"/>
  <c r="AJ11"/>
  <c r="AJ13"/>
  <c r="AJ17"/>
  <c r="AJ18" s="1"/>
  <c r="AJ20"/>
  <c r="AP12" i="38" s="1"/>
  <c r="AV12" s="1"/>
  <c r="BD12" s="1"/>
  <c r="AJ26" i="37"/>
  <c r="AJ81"/>
  <c r="AP45" i="38" s="1"/>
  <c r="AV45" s="1"/>
  <c r="BD45" s="1"/>
  <c r="AJ83" i="37"/>
  <c r="AP47" i="38" s="1"/>
  <c r="AV47" s="1"/>
  <c r="BD47" s="1"/>
  <c r="AJ90" i="37"/>
  <c r="AJ98"/>
  <c r="AJ12"/>
  <c r="AJ29"/>
  <c r="AJ91"/>
  <c r="AJ94"/>
  <c r="AJ95"/>
  <c r="AJ96"/>
  <c r="AJ97"/>
  <c r="AJ99"/>
  <c r="AJ117" s="1"/>
  <c r="AP37" i="38" s="1"/>
  <c r="AV37" s="1"/>
  <c r="BD37" s="1"/>
  <c r="AK80" i="37"/>
  <c r="AQ44" i="38" s="1"/>
  <c r="AW44" s="1"/>
  <c r="BE44" s="1"/>
  <c r="AK85" i="37"/>
  <c r="AQ49" i="38" s="1"/>
  <c r="AW49" s="1"/>
  <c r="BE49" s="1"/>
  <c r="AK84" i="37"/>
  <c r="AQ48" i="38" s="1"/>
  <c r="AW48" s="1"/>
  <c r="BE48" s="1"/>
  <c r="AK83" i="37"/>
  <c r="AQ47" i="38" s="1"/>
  <c r="AW47" s="1"/>
  <c r="BE47" s="1"/>
  <c r="AK81" i="37"/>
  <c r="AQ45" i="38" s="1"/>
  <c r="AW45" s="1"/>
  <c r="BE45" s="1"/>
  <c r="AK11" i="37"/>
  <c r="AK12"/>
  <c r="AK13"/>
  <c r="AK17"/>
  <c r="AK20"/>
  <c r="AQ12" i="38" s="1"/>
  <c r="AW12" s="1"/>
  <c r="BE12" s="1"/>
  <c r="AK31" i="37"/>
  <c r="AQ14" i="38" s="1"/>
  <c r="AW14" s="1"/>
  <c r="BE14" s="1"/>
  <c r="AK90" i="37"/>
  <c r="AK91"/>
  <c r="AK94"/>
  <c r="AK95"/>
  <c r="AK96"/>
  <c r="AK28"/>
  <c r="AK92"/>
  <c r="AK93"/>
  <c r="AK99"/>
  <c r="AK117" s="1"/>
  <c r="AQ37" i="38" s="1"/>
  <c r="AW37" s="1"/>
  <c r="BE37" s="1"/>
  <c r="AK15" i="37"/>
  <c r="AK24"/>
  <c r="AK112" s="1"/>
  <c r="AQ13" i="38" s="1"/>
  <c r="AW13" s="1"/>
  <c r="BE13" s="1"/>
  <c r="AK35" i="37"/>
  <c r="AQ16" i="38" s="1"/>
  <c r="AK36" i="37"/>
  <c r="AK97"/>
  <c r="AK98"/>
  <c r="AK100" s="1"/>
  <c r="AK37"/>
  <c r="AK79"/>
  <c r="AQ43" i="38" s="1"/>
  <c r="AW43" s="1"/>
  <c r="BE43" s="1"/>
  <c r="AL80" i="37"/>
  <c r="AR44" i="38" s="1"/>
  <c r="AX44" s="1"/>
  <c r="BF44" s="1"/>
  <c r="AL85" i="37"/>
  <c r="AR49" i="38" s="1"/>
  <c r="AX49" s="1"/>
  <c r="BF49" s="1"/>
  <c r="AL84" i="37"/>
  <c r="AR48" i="38" s="1"/>
  <c r="AX48" s="1"/>
  <c r="BF48" s="1"/>
  <c r="AL83" i="37"/>
  <c r="AR47" i="38" s="1"/>
  <c r="AX47" s="1"/>
  <c r="BF47" s="1"/>
  <c r="AL81" i="37"/>
  <c r="AR45" i="38" s="1"/>
  <c r="AX45" s="1"/>
  <c r="BF45" s="1"/>
  <c r="AL79" i="37"/>
  <c r="AR43" i="38" s="1"/>
  <c r="AX43" s="1"/>
  <c r="BF43" s="1"/>
  <c r="AL15" i="37"/>
  <c r="AL17"/>
  <c r="AL20"/>
  <c r="AR12" i="38" s="1"/>
  <c r="AL24" i="37"/>
  <c r="AL28"/>
  <c r="AL31"/>
  <c r="AR14" i="38" s="1"/>
  <c r="AL35" i="37"/>
  <c r="AR16" i="38" s="1"/>
  <c r="AL36" i="37"/>
  <c r="AL92"/>
  <c r="AL93"/>
  <c r="AL12"/>
  <c r="AL91"/>
  <c r="AL94"/>
  <c r="AL95"/>
  <c r="AL96"/>
  <c r="AL97"/>
  <c r="AL98"/>
  <c r="AR36" i="38" s="1"/>
  <c r="AL11" i="37"/>
  <c r="AL13"/>
  <c r="AL90"/>
  <c r="AL99"/>
  <c r="AL117" s="1"/>
  <c r="AR37" i="38" s="1"/>
  <c r="AX37" s="1"/>
  <c r="BF37" s="1"/>
  <c r="AL37" i="37"/>
  <c r="AL82"/>
  <c r="AR46" i="38" s="1"/>
  <c r="AX46" s="1"/>
  <c r="BF46" s="1"/>
  <c r="O12" i="41"/>
  <c r="P14"/>
  <c r="P11"/>
  <c r="AD43" i="40"/>
  <c r="W43"/>
  <c r="K43"/>
  <c r="B43"/>
  <c r="N43"/>
  <c r="Y43"/>
  <c r="AX53" i="38"/>
  <c r="BF53" s="1"/>
  <c r="AZ53"/>
  <c r="BH53" s="1"/>
  <c r="AW54"/>
  <c r="BE54" s="1"/>
  <c r="AW56"/>
  <c r="BE56" s="1"/>
  <c r="BD57"/>
  <c r="BH57"/>
  <c r="BE58"/>
  <c r="O43" i="40"/>
  <c r="M43"/>
  <c r="T43"/>
  <c r="L43"/>
  <c r="AF43"/>
  <c r="W79" i="37"/>
  <c r="W106" i="40"/>
  <c r="W43" i="38" s="1"/>
  <c r="Y79" i="37"/>
  <c r="Y106" i="40"/>
  <c r="Y43" i="38" s="1"/>
  <c r="AA79" i="37"/>
  <c r="AA106" i="40"/>
  <c r="AA43" i="38" s="1"/>
  <c r="AC79" i="37"/>
  <c r="AC106" i="40"/>
  <c r="AC43" i="38" s="1"/>
  <c r="S109" i="40"/>
  <c r="S46" i="38" s="1"/>
  <c r="AC82" i="37"/>
  <c r="AB43" i="40"/>
  <c r="J43"/>
  <c r="AJ56" i="25"/>
  <c r="AL60"/>
  <c r="AL61"/>
  <c r="E104" i="29"/>
  <c r="C71"/>
  <c r="D56"/>
  <c r="E72"/>
  <c r="V5" i="37"/>
  <c r="W5"/>
  <c r="X5" s="1"/>
  <c r="Y5" s="1"/>
  <c r="Z5" s="1"/>
  <c r="AA5" s="1"/>
  <c r="AB5" s="1"/>
  <c r="AC5" s="1"/>
  <c r="AD5" s="1"/>
  <c r="O43"/>
  <c r="S43"/>
  <c r="Y43"/>
  <c r="AE43"/>
  <c r="AF43" s="1"/>
  <c r="G108" i="29"/>
  <c r="I32"/>
  <c r="J29"/>
  <c r="B40"/>
  <c r="H37"/>
  <c r="D40"/>
  <c r="J37"/>
  <c r="F40"/>
  <c r="L37"/>
  <c r="L19"/>
  <c r="B20"/>
  <c r="H17" s="1"/>
  <c r="H19"/>
  <c r="D20"/>
  <c r="J17" s="1"/>
  <c r="J19"/>
  <c r="E20"/>
  <c r="K18"/>
  <c r="G40"/>
  <c r="M36"/>
  <c r="E34"/>
  <c r="K30"/>
  <c r="K31"/>
  <c r="I31"/>
  <c r="I19"/>
  <c r="B7" i="43"/>
  <c r="B6"/>
  <c r="H12" i="29"/>
  <c r="H29"/>
  <c r="H32"/>
  <c r="H31"/>
  <c r="M19"/>
  <c r="F27"/>
  <c r="L24"/>
  <c r="B27"/>
  <c r="H24"/>
  <c r="G34"/>
  <c r="M29"/>
  <c r="M31"/>
  <c r="J32"/>
  <c r="E40"/>
  <c r="K37"/>
  <c r="K39"/>
  <c r="A1" i="27"/>
  <c r="I13" i="29"/>
  <c r="K12"/>
  <c r="M12"/>
  <c r="M13"/>
  <c r="F38" i="14"/>
  <c r="E38" s="1"/>
  <c r="J13" i="29"/>
  <c r="K24"/>
  <c r="M22"/>
  <c r="L31"/>
  <c r="L32"/>
  <c r="M32"/>
  <c r="K17"/>
  <c r="F39" i="14"/>
  <c r="E39" s="1"/>
  <c r="K32" i="29"/>
  <c r="T19" i="44"/>
  <c r="Q19"/>
  <c r="F19"/>
  <c r="C215" i="17"/>
  <c r="AM98" i="37"/>
  <c r="AM93"/>
  <c r="AM31"/>
  <c r="AS14" i="38" s="1"/>
  <c r="AM12" i="37"/>
  <c r="AM84"/>
  <c r="AS48" i="38" s="1"/>
  <c r="AY48" s="1"/>
  <c r="BG48" s="1"/>
  <c r="AM90" i="37"/>
  <c r="AM13"/>
  <c r="AM79"/>
  <c r="AS43" i="38" s="1"/>
  <c r="AY43" s="1"/>
  <c r="BG43" s="1"/>
  <c r="AM95" i="37"/>
  <c r="AM15"/>
  <c r="AM113" s="1"/>
  <c r="AM92"/>
  <c r="AM11"/>
  <c r="AM83"/>
  <c r="AS47" i="38" s="1"/>
  <c r="AY47" s="1"/>
  <c r="BG47" s="1"/>
  <c r="AM82" i="37"/>
  <c r="AS46" i="38" s="1"/>
  <c r="AY46" s="1"/>
  <c r="BG46" s="1"/>
  <c r="AM97" i="37"/>
  <c r="AM115" s="1"/>
  <c r="AS35" i="38" s="1"/>
  <c r="AM35" i="37"/>
  <c r="AM20"/>
  <c r="AS12" i="38" s="1"/>
  <c r="AM81" i="37"/>
  <c r="AS45" i="38" s="1"/>
  <c r="AY45" s="1"/>
  <c r="BG45" s="1"/>
  <c r="AM94" i="37"/>
  <c r="AM24"/>
  <c r="AM112" s="1"/>
  <c r="AS13" i="38" s="1"/>
  <c r="AM37" i="37"/>
  <c r="AM99"/>
  <c r="AM117" s="1"/>
  <c r="AS37" i="38" s="1"/>
  <c r="AY37" s="1"/>
  <c r="BG37" s="1"/>
  <c r="AM91" i="37"/>
  <c r="AM96"/>
  <c r="AM36"/>
  <c r="AM28"/>
  <c r="AM17"/>
  <c r="AM119" s="1"/>
  <c r="AS38" i="38" s="1"/>
  <c r="AM80" i="37"/>
  <c r="AS44" i="38" s="1"/>
  <c r="AY44" s="1"/>
  <c r="BG44" s="1"/>
  <c r="U19" i="44"/>
  <c r="S19"/>
  <c r="R19"/>
  <c r="G19"/>
  <c r="AN15" i="37"/>
  <c r="AN113" s="1"/>
  <c r="AN24"/>
  <c r="AN94"/>
  <c r="AN99"/>
  <c r="AN117" s="1"/>
  <c r="AT37" i="38" s="1"/>
  <c r="AZ37" s="1"/>
  <c r="BH37" s="1"/>
  <c r="AN36" i="37"/>
  <c r="AN37"/>
  <c r="AP37" s="1"/>
  <c r="AN84"/>
  <c r="AT48" i="38" s="1"/>
  <c r="AZ48" s="1"/>
  <c r="BH48" s="1"/>
  <c r="AN81" i="37"/>
  <c r="AT45" i="38" s="1"/>
  <c r="AZ45" s="1"/>
  <c r="BH45" s="1"/>
  <c r="AN11" i="37"/>
  <c r="AN17"/>
  <c r="AN90"/>
  <c r="AN92"/>
  <c r="AN96"/>
  <c r="AN79"/>
  <c r="AT43" i="38" s="1"/>
  <c r="AZ43" s="1"/>
  <c r="BH43" s="1"/>
  <c r="AN12" i="37"/>
  <c r="AN20"/>
  <c r="AT12" i="38" s="1"/>
  <c r="AN28" i="37"/>
  <c r="AP28" s="1"/>
  <c r="AN93"/>
  <c r="AN97"/>
  <c r="AN35"/>
  <c r="AN98"/>
  <c r="AT36" i="38" s="1"/>
  <c r="AN85" i="37"/>
  <c r="AT49" i="38" s="1"/>
  <c r="AZ49" s="1"/>
  <c r="BH49" s="1"/>
  <c r="AN83" i="37"/>
  <c r="AT47" i="38" s="1"/>
  <c r="AZ47" s="1"/>
  <c r="BH47" s="1"/>
  <c r="AN80" i="37"/>
  <c r="AT44" i="38" s="1"/>
  <c r="AZ44" s="1"/>
  <c r="BH44" s="1"/>
  <c r="AN13" i="37"/>
  <c r="AP13" s="1"/>
  <c r="AN31"/>
  <c r="AT14" i="38" s="1"/>
  <c r="AN91" i="37"/>
  <c r="AN95"/>
  <c r="AN82"/>
  <c r="AT46" i="38" s="1"/>
  <c r="AZ46" s="1"/>
  <c r="BH46" s="1"/>
  <c r="V19" i="44"/>
  <c r="H19"/>
  <c r="I19"/>
  <c r="J19"/>
  <c r="K19"/>
  <c r="L19"/>
  <c r="M19"/>
  <c r="N19"/>
  <c r="O19"/>
  <c r="P19"/>
  <c r="X10"/>
  <c r="P12" i="41"/>
  <c r="I37" i="29"/>
  <c r="I17"/>
  <c r="I20" s="1"/>
  <c r="H18"/>
  <c r="J18"/>
  <c r="AL67" i="25"/>
  <c r="AL68" s="1"/>
  <c r="J52" i="14"/>
  <c r="J46"/>
  <c r="J34"/>
  <c r="J28"/>
  <c r="AH31" i="25"/>
  <c r="AJ27" i="37" s="1"/>
  <c r="K19" i="29"/>
  <c r="H12" i="41"/>
  <c r="H11"/>
  <c r="P13"/>
  <c r="P15"/>
  <c r="C103" i="42"/>
  <c r="C84"/>
  <c r="C100"/>
  <c r="C101"/>
  <c r="D101"/>
  <c r="D100"/>
  <c r="D99"/>
  <c r="AJ67" i="25"/>
  <c r="AJ71" s="1"/>
  <c r="AJ74" s="1"/>
  <c r="AJ77" s="1"/>
  <c r="AJ78" s="1"/>
  <c r="AJ61"/>
  <c r="A14" i="38"/>
  <c r="H13" i="41"/>
  <c r="O15"/>
  <c r="O14"/>
  <c r="BH36" i="38"/>
  <c r="BH11"/>
  <c r="BF24"/>
  <c r="AI31" i="25"/>
  <c r="AK27" i="37" s="1"/>
  <c r="AK29"/>
  <c r="BG36" i="38"/>
  <c r="BH24"/>
  <c r="AL29" i="37"/>
  <c r="AM29"/>
  <c r="AN29"/>
  <c r="H94" i="29"/>
  <c r="C86"/>
  <c r="E92"/>
  <c r="E84"/>
  <c r="C87"/>
  <c r="E87"/>
  <c r="H36"/>
  <c r="H40" s="1"/>
  <c r="AI67" i="25"/>
  <c r="AH60"/>
  <c r="AH61" s="1"/>
  <c r="BE34" i="38"/>
  <c r="BF27"/>
  <c r="AK122" i="37"/>
  <c r="AQ24" i="38" s="1"/>
  <c r="AW24" s="1"/>
  <c r="BE24" s="1"/>
  <c r="AK58" i="37"/>
  <c r="AQ26" i="38" s="1"/>
  <c r="AW26" s="1"/>
  <c r="BE26" s="1"/>
  <c r="BH22"/>
  <c r="BG13"/>
  <c r="BD34"/>
  <c r="BG10"/>
  <c r="BG35"/>
  <c r="BF35"/>
  <c r="BE25"/>
  <c r="BG27"/>
  <c r="BH10"/>
  <c r="BH27"/>
  <c r="AJ48" i="37"/>
  <c r="AJ49" s="1"/>
  <c r="AI68" i="25"/>
  <c r="AI71"/>
  <c r="AI74" s="1"/>
  <c r="AI77" s="1"/>
  <c r="AI78" s="1"/>
  <c r="BF11" i="38"/>
  <c r="BH13"/>
  <c r="BH35"/>
  <c r="BG24"/>
  <c r="BH23"/>
  <c r="BG23"/>
  <c r="BF13"/>
  <c r="BF34"/>
  <c r="BF36"/>
  <c r="BF29"/>
  <c r="BG22"/>
  <c r="BF10"/>
  <c r="BG11"/>
  <c r="BG29"/>
  <c r="E41" i="14"/>
  <c r="E46" s="1"/>
  <c r="G78" i="32"/>
  <c r="F80"/>
  <c r="D80"/>
  <c r="B80"/>
  <c r="G71"/>
  <c r="G80" s="1"/>
  <c r="C12" i="42" s="1"/>
  <c r="C13"/>
  <c r="X19" i="44"/>
  <c r="Z10"/>
  <c r="Z12"/>
  <c r="Z14"/>
  <c r="C27" i="42"/>
  <c r="BE36" i="38"/>
  <c r="BD21"/>
  <c r="BF25"/>
  <c r="BD25"/>
  <c r="BF23"/>
  <c r="BE21"/>
  <c r="BD36"/>
  <c r="E93" i="29"/>
  <c r="E90"/>
  <c r="K23"/>
  <c r="J25"/>
  <c r="C107"/>
  <c r="C122"/>
  <c r="E73"/>
  <c r="C121"/>
  <c r="F37" i="14"/>
  <c r="E37" s="1"/>
  <c r="M24" i="29"/>
  <c r="C70"/>
  <c r="E107"/>
  <c r="E103"/>
  <c r="L23"/>
  <c r="C67"/>
  <c r="C73"/>
  <c r="F57"/>
  <c r="D131"/>
  <c r="D137"/>
  <c r="D133"/>
  <c r="D140"/>
  <c r="D136"/>
  <c r="M37"/>
  <c r="L22"/>
  <c r="Z19" i="44"/>
  <c r="BF22" i="38"/>
  <c r="AY25"/>
  <c r="AZ25"/>
  <c r="BG25"/>
  <c r="BH25"/>
  <c r="H15" i="41"/>
  <c r="H14"/>
  <c r="E122" i="29"/>
  <c r="E120"/>
  <c r="E118"/>
  <c r="E116"/>
  <c r="E121"/>
  <c r="E119"/>
  <c r="I40"/>
  <c r="H25"/>
  <c r="D134"/>
  <c r="D138"/>
  <c r="D55"/>
  <c r="D135"/>
  <c r="D139"/>
  <c r="I58"/>
  <c r="C103"/>
  <c r="L17"/>
  <c r="L20" s="1"/>
  <c r="D57"/>
  <c r="M17"/>
  <c r="M20"/>
  <c r="C105"/>
  <c r="E69"/>
  <c r="C91"/>
  <c r="C90"/>
  <c r="I29"/>
  <c r="I34" s="1"/>
  <c r="M23"/>
  <c r="I22"/>
  <c r="C104"/>
  <c r="E68"/>
  <c r="F55"/>
  <c r="C106"/>
  <c r="H58"/>
  <c r="H22"/>
  <c r="L25"/>
  <c r="L27"/>
  <c r="L36"/>
  <c r="L40" s="1"/>
  <c r="J36"/>
  <c r="J40" s="1"/>
  <c r="H23"/>
  <c r="K22"/>
  <c r="K27" s="1"/>
  <c r="K20"/>
  <c r="C120"/>
  <c r="C119"/>
  <c r="H75"/>
  <c r="M27"/>
  <c r="M40"/>
  <c r="H34"/>
  <c r="M15"/>
  <c r="K29"/>
  <c r="K34" s="1"/>
  <c r="H15"/>
  <c r="J15"/>
  <c r="M30"/>
  <c r="M34" s="1"/>
  <c r="E105"/>
  <c r="H123"/>
  <c r="C68"/>
  <c r="C72"/>
  <c r="L13"/>
  <c r="I25"/>
  <c r="K36"/>
  <c r="K40" s="1"/>
  <c r="H108"/>
  <c r="E66"/>
  <c r="E75"/>
  <c r="E67"/>
  <c r="E71"/>
  <c r="C118"/>
  <c r="J22"/>
  <c r="E83"/>
  <c r="E94"/>
  <c r="E86"/>
  <c r="E89"/>
  <c r="E91"/>
  <c r="C89"/>
  <c r="C93"/>
  <c r="E88"/>
  <c r="C84"/>
  <c r="C88"/>
  <c r="C92"/>
  <c r="C83"/>
  <c r="C94" s="1"/>
  <c r="G94"/>
  <c r="L29"/>
  <c r="I23"/>
  <c r="J23"/>
  <c r="C116"/>
  <c r="E70"/>
  <c r="C74"/>
  <c r="C69"/>
  <c r="E106"/>
  <c r="E203" i="17"/>
  <c r="F203"/>
  <c r="G203" s="1"/>
  <c r="H203" s="1"/>
  <c r="I203" s="1"/>
  <c r="J203" s="1"/>
  <c r="D215"/>
  <c r="AJ114" i="37"/>
  <c r="AP34" i="38" s="1"/>
  <c r="H17" i="41"/>
  <c r="E123" i="29"/>
  <c r="D58"/>
  <c r="C123"/>
  <c r="H27"/>
  <c r="I18" i="41"/>
  <c r="AP31" i="37"/>
  <c r="AL58"/>
  <c r="AL10"/>
  <c r="AL120" s="1"/>
  <c r="AR10" i="38" s="1"/>
  <c r="AP20" i="37"/>
  <c r="AP35"/>
  <c r="AT16" i="38"/>
  <c r="AK18" i="37"/>
  <c r="AP12"/>
  <c r="AM114"/>
  <c r="AS34" i="38" s="1"/>
  <c r="AN122" i="37"/>
  <c r="AT24" i="38" s="1"/>
  <c r="AN100" i="37"/>
  <c r="AM116"/>
  <c r="AM101"/>
  <c r="AM102" s="1"/>
  <c r="AK53" l="1"/>
  <c r="AK54" s="1"/>
  <c r="AK48"/>
  <c r="AK49" s="1"/>
  <c r="AK10"/>
  <c r="AK21" s="1"/>
  <c r="AN115"/>
  <c r="AT35" i="38" s="1"/>
  <c r="AM122" i="37"/>
  <c r="AS24" i="38" s="1"/>
  <c r="AN108" i="37"/>
  <c r="AT25" i="38" s="1"/>
  <c r="AN10" i="37"/>
  <c r="AJ116"/>
  <c r="AP116" s="1"/>
  <c r="AJ10"/>
  <c r="AP92"/>
  <c r="AT11" i="38"/>
  <c r="AN16" i="37"/>
  <c r="AP29"/>
  <c r="AP36"/>
  <c r="AN116"/>
  <c r="AN119"/>
  <c r="AT38" i="38" s="1"/>
  <c r="AK116" i="37"/>
  <c r="AJ101"/>
  <c r="AJ102" s="1"/>
  <c r="AP11"/>
  <c r="A197" i="40"/>
  <c r="AL119" i="37"/>
  <c r="AR38" i="38" s="1"/>
  <c r="AL48" i="37"/>
  <c r="AL49" s="1"/>
  <c r="AN48"/>
  <c r="AN53" s="1"/>
  <c r="AN54" s="1"/>
  <c r="AN118"/>
  <c r="AL122"/>
  <c r="AR24" i="38" s="1"/>
  <c r="AK108" i="37"/>
  <c r="AQ25" i="38" s="1"/>
  <c r="AP63" i="37"/>
  <c r="AN49"/>
  <c r="AP48"/>
  <c r="AJ64"/>
  <c r="AP114"/>
  <c r="AK60"/>
  <c r="AJ53"/>
  <c r="AJ122"/>
  <c r="AM18"/>
  <c r="AL53"/>
  <c r="AL54" s="1"/>
  <c r="AL107"/>
  <c r="AR21" i="38" s="1"/>
  <c r="AP99" i="37"/>
  <c r="AP96"/>
  <c r="AP94"/>
  <c r="C117" i="29"/>
  <c r="F58"/>
  <c r="D141"/>
  <c r="J34"/>
  <c r="L34"/>
  <c r="I27"/>
  <c r="J27"/>
  <c r="J20"/>
  <c r="H20"/>
  <c r="K15"/>
  <c r="I15"/>
  <c r="L15"/>
  <c r="F202" i="17"/>
  <c r="E215"/>
  <c r="AJ30" i="25"/>
  <c r="AK26" i="37"/>
  <c r="AI29" i="25"/>
  <c r="I20" i="41"/>
  <c r="H20"/>
  <c r="K20"/>
  <c r="H18"/>
  <c r="L20"/>
  <c r="AZ34" i="38"/>
  <c r="BH34" s="1"/>
  <c r="BG34"/>
  <c r="AM16" i="37"/>
  <c r="AS11" i="38"/>
  <c r="AK71" i="25"/>
  <c r="AK74" s="1"/>
  <c r="AK77" s="1"/>
  <c r="AK78" s="1"/>
  <c r="AK68"/>
  <c r="AJ34"/>
  <c r="AK30" i="37"/>
  <c r="AQ15" i="38" s="1"/>
  <c r="AW15" s="1"/>
  <c r="BE15" s="1"/>
  <c r="BF21"/>
  <c r="AY21"/>
  <c r="AH67" i="25"/>
  <c r="AH29"/>
  <c r="AJ68"/>
  <c r="AL71"/>
  <c r="AL74" s="1"/>
  <c r="AL77" s="1"/>
  <c r="AL78" s="1"/>
  <c r="AM10" i="37"/>
  <c r="AM120" s="1"/>
  <c r="AS10" i="38" s="1"/>
  <c r="L18" i="41"/>
  <c r="AP91" i="37"/>
  <c r="C9" i="42"/>
  <c r="AK107" i="37"/>
  <c r="AQ21" i="38" s="1"/>
  <c r="AK121" i="37"/>
  <c r="AQ23" i="38" s="1"/>
  <c r="AW23" s="1"/>
  <c r="BE23" s="1"/>
  <c r="AM58" i="37"/>
  <c r="AS26" i="38" s="1"/>
  <c r="AY26" s="1"/>
  <c r="BG26" s="1"/>
  <c r="AJ58" i="37"/>
  <c r="AN58"/>
  <c r="AM21"/>
  <c r="AR26" i="38"/>
  <c r="AX26" s="1"/>
  <c r="BF26" s="1"/>
  <c r="AL60" i="37"/>
  <c r="AN101"/>
  <c r="AP90"/>
  <c r="AL115"/>
  <c r="AR35" i="38" s="1"/>
  <c r="AL114" i="37"/>
  <c r="AR34" i="38" s="1"/>
  <c r="AL113" i="37"/>
  <c r="AL18"/>
  <c r="AL21" s="1"/>
  <c r="AK113"/>
  <c r="AL121"/>
  <c r="AR23" i="38" s="1"/>
  <c r="AL108" i="37"/>
  <c r="AR25" i="38" s="1"/>
  <c r="AP36"/>
  <c r="AJ100" i="37"/>
  <c r="AP100" s="1"/>
  <c r="AP98"/>
  <c r="AJ112"/>
  <c r="AP24"/>
  <c r="A1" i="17"/>
  <c r="A1" i="14"/>
  <c r="AM107" i="37"/>
  <c r="AS21" i="38" s="1"/>
  <c r="AM48" i="37"/>
  <c r="AK118"/>
  <c r="AM121"/>
  <c r="AS23" i="38" s="1"/>
  <c r="AM108" i="37"/>
  <c r="AS25" i="38" s="1"/>
  <c r="AJ120" i="37"/>
  <c r="AJ21"/>
  <c r="AP15"/>
  <c r="AN114"/>
  <c r="AT34" i="38" s="1"/>
  <c r="AN112" i="37"/>
  <c r="AT13" i="38" s="1"/>
  <c r="AN107" i="37"/>
  <c r="AT21" i="38" s="1"/>
  <c r="AN121" i="37"/>
  <c r="AT23" i="38" s="1"/>
  <c r="AP17" i="37"/>
  <c r="AN18"/>
  <c r="AP18" s="1"/>
  <c r="AM100"/>
  <c r="AS36" i="38"/>
  <c r="AK114" i="37"/>
  <c r="AQ34" i="38" s="1"/>
  <c r="AK115" i="37"/>
  <c r="AQ35" i="38" s="1"/>
  <c r="AK119" i="37"/>
  <c r="AQ38" i="38" s="1"/>
  <c r="AP97" i="37"/>
  <c r="AJ119"/>
  <c r="AJ115"/>
  <c r="O13" i="41"/>
  <c r="O11"/>
  <c r="C99" i="42"/>
  <c r="C104"/>
  <c r="D102"/>
  <c r="C85"/>
  <c r="C102"/>
  <c r="C92"/>
  <c r="C93" s="1"/>
  <c r="D103"/>
  <c r="D92"/>
  <c r="D93" s="1"/>
  <c r="D104"/>
  <c r="AP28" i="38"/>
  <c r="AV28" s="1"/>
  <c r="BD28" s="1"/>
  <c r="AP68" i="37"/>
  <c r="AP10"/>
  <c r="AN120"/>
  <c r="AT10" i="38" s="1"/>
  <c r="AP117" i="37"/>
  <c r="AK120"/>
  <c r="AQ10" i="38" s="1"/>
  <c r="AW10" s="1"/>
  <c r="BE10" s="1"/>
  <c r="AQ36"/>
  <c r="AL100" i="37"/>
  <c r="AL101"/>
  <c r="AL102" s="1"/>
  <c r="AM118"/>
  <c r="AL118"/>
  <c r="AL116"/>
  <c r="A1" i="40"/>
  <c r="A1" i="37"/>
  <c r="AS16" i="38"/>
  <c r="AL112" i="37"/>
  <c r="AR13" i="38" s="1"/>
  <c r="AK101" i="37"/>
  <c r="AK102" s="1"/>
  <c r="AP95"/>
  <c r="AP93"/>
  <c r="K18" i="41"/>
  <c r="AC7" i="25"/>
  <c r="AD7" i="37"/>
  <c r="AD9" i="38"/>
  <c r="AD83" i="25"/>
  <c r="AD7" i="40"/>
  <c r="AD134" i="25"/>
  <c r="AD14"/>
  <c r="AD31" s="1"/>
  <c r="AD102"/>
  <c r="AD114"/>
  <c r="AD124"/>
  <c r="E7"/>
  <c r="E83" s="1"/>
  <c r="Q7"/>
  <c r="AD48"/>
  <c r="AD63" l="1"/>
  <c r="AD56" i="40" s="1"/>
  <c r="AD64" i="25"/>
  <c r="AP53" i="37"/>
  <c r="AJ54"/>
  <c r="AP24" i="38"/>
  <c r="AV24" s="1"/>
  <c r="BD24" s="1"/>
  <c r="AP122" i="37"/>
  <c r="AK61"/>
  <c r="AK66"/>
  <c r="AK69" s="1"/>
  <c r="AP64"/>
  <c r="AJ110"/>
  <c r="AT26" i="38"/>
  <c r="AZ26" s="1"/>
  <c r="BH26" s="1"/>
  <c r="AN60" i="37"/>
  <c r="AH68" i="25"/>
  <c r="AH71"/>
  <c r="AH74" s="1"/>
  <c r="AH77" s="1"/>
  <c r="AH78" s="1"/>
  <c r="AL30" i="37"/>
  <c r="AR15" i="38" s="1"/>
  <c r="AX15" s="1"/>
  <c r="BF15" s="1"/>
  <c r="AK34" i="25"/>
  <c r="AJ31"/>
  <c r="AL27" i="37" s="1"/>
  <c r="AI36" i="25"/>
  <c r="AI43" s="1"/>
  <c r="AI44" s="1"/>
  <c r="AK25" i="37"/>
  <c r="AL26"/>
  <c r="AJ29" i="25"/>
  <c r="AK30"/>
  <c r="G202" i="17"/>
  <c r="F215"/>
  <c r="AP26" i="38"/>
  <c r="AV26" s="1"/>
  <c r="BD26" s="1"/>
  <c r="AP58" i="37"/>
  <c r="AJ60"/>
  <c r="AJ25"/>
  <c r="AH36" i="25"/>
  <c r="AH43" s="1"/>
  <c r="AH44" s="1"/>
  <c r="AZ21" i="38"/>
  <c r="BH21" s="1"/>
  <c r="BG21"/>
  <c r="AP119" i="37"/>
  <c r="AP38" i="38"/>
  <c r="AM49" i="37"/>
  <c r="AP49" s="1"/>
  <c r="AM53"/>
  <c r="AL66"/>
  <c r="AL69" s="1"/>
  <c r="AL61"/>
  <c r="AN21"/>
  <c r="AP21" s="1"/>
  <c r="L17" i="41"/>
  <c r="I17"/>
  <c r="K17"/>
  <c r="AP35" i="38"/>
  <c r="AP115" i="37"/>
  <c r="AP10" i="38"/>
  <c r="AV10" s="1"/>
  <c r="BD10" s="1"/>
  <c r="AP120" i="37"/>
  <c r="AP112"/>
  <c r="AP13" i="38"/>
  <c r="AV13" s="1"/>
  <c r="BD13" s="1"/>
  <c r="AQ11"/>
  <c r="AW11" s="1"/>
  <c r="BE11" s="1"/>
  <c r="AK16" i="37"/>
  <c r="AL16"/>
  <c r="AR11" i="38"/>
  <c r="AN102" i="37"/>
  <c r="AP101"/>
  <c r="AP102" s="1"/>
  <c r="E114" i="25"/>
  <c r="E116" s="1"/>
  <c r="E215" i="40" s="1"/>
  <c r="E54" i="38" s="1"/>
  <c r="E48" i="25"/>
  <c r="E14"/>
  <c r="D7"/>
  <c r="D83" s="1"/>
  <c r="AD73"/>
  <c r="AD54"/>
  <c r="AD51"/>
  <c r="AD52"/>
  <c r="AD76"/>
  <c r="AD58"/>
  <c r="AD53"/>
  <c r="AD70"/>
  <c r="AD59"/>
  <c r="E134"/>
  <c r="E124"/>
  <c r="E7" i="37"/>
  <c r="D164" i="29"/>
  <c r="H8"/>
  <c r="E7" i="40"/>
  <c r="B8" i="29"/>
  <c r="B45" s="1"/>
  <c r="E9" i="38"/>
  <c r="AD115" i="25"/>
  <c r="AD214" i="40" s="1"/>
  <c r="AD120" i="25"/>
  <c r="AD219" i="40" s="1"/>
  <c r="AD58" i="38" s="1"/>
  <c r="AD119" i="25"/>
  <c r="AD218" i="40" s="1"/>
  <c r="AD117" i="25"/>
  <c r="AD216" i="40" s="1"/>
  <c r="AD55" i="38" s="1"/>
  <c r="AD116" i="25"/>
  <c r="AD215" i="40" s="1"/>
  <c r="AD54" i="38" s="1"/>
  <c r="AD118" i="25"/>
  <c r="AD217" i="40" s="1"/>
  <c r="AD32" i="25"/>
  <c r="AD24"/>
  <c r="AD33"/>
  <c r="AD21"/>
  <c r="AD35"/>
  <c r="AD34"/>
  <c r="AD28"/>
  <c r="AD20"/>
  <c r="AD40"/>
  <c r="AD30"/>
  <c r="AD23"/>
  <c r="AD19"/>
  <c r="AD39"/>
  <c r="AD22"/>
  <c r="AD152" i="40"/>
  <c r="AD90"/>
  <c r="AD231"/>
  <c r="AD105"/>
  <c r="AD42"/>
  <c r="AD139"/>
  <c r="AD196"/>
  <c r="AD166"/>
  <c r="AD76"/>
  <c r="AD182"/>
  <c r="AD222"/>
  <c r="AD213"/>
  <c r="AD20" i="38"/>
  <c r="AD52"/>
  <c r="AD33"/>
  <c r="AD42"/>
  <c r="AC102" i="25"/>
  <c r="AC7" i="37"/>
  <c r="AC7" i="40"/>
  <c r="AC14" i="25"/>
  <c r="AC31" s="1"/>
  <c r="AC9" i="38"/>
  <c r="AB7" i="25"/>
  <c r="AC48"/>
  <c r="AC124"/>
  <c r="AC114"/>
  <c r="AC83"/>
  <c r="AC134"/>
  <c r="P7"/>
  <c r="Q48"/>
  <c r="Q83"/>
  <c r="Q14"/>
  <c r="Q31" s="1"/>
  <c r="Q9" i="38"/>
  <c r="Q114" i="25"/>
  <c r="Q7" i="37"/>
  <c r="Q134" i="25"/>
  <c r="R7"/>
  <c r="Q124"/>
  <c r="Q7" i="40"/>
  <c r="AD131" i="25"/>
  <c r="AD130"/>
  <c r="AD135"/>
  <c r="AD137"/>
  <c r="AD136"/>
  <c r="AD138"/>
  <c r="AD129"/>
  <c r="AD127"/>
  <c r="AD126"/>
  <c r="AD93"/>
  <c r="AD88"/>
  <c r="AD92"/>
  <c r="AD85"/>
  <c r="AD89"/>
  <c r="AD86"/>
  <c r="AD91"/>
  <c r="AD87"/>
  <c r="AD90"/>
  <c r="AD94"/>
  <c r="AD78" i="37"/>
  <c r="AD106"/>
  <c r="AD42"/>
  <c r="AD89"/>
  <c r="E32" i="25"/>
  <c r="E93"/>
  <c r="E91"/>
  <c r="E87"/>
  <c r="E90"/>
  <c r="E88"/>
  <c r="E89"/>
  <c r="E85"/>
  <c r="E92"/>
  <c r="E86"/>
  <c r="E94"/>
  <c r="AD56" i="37" l="1"/>
  <c r="AD65" i="25"/>
  <c r="AC63"/>
  <c r="AC56" i="37" s="1"/>
  <c r="AC64" i="25"/>
  <c r="AD57" i="37"/>
  <c r="AD58" s="1"/>
  <c r="AD57" i="40"/>
  <c r="AD58" s="1"/>
  <c r="AD26" i="38" s="1"/>
  <c r="AC56" i="40"/>
  <c r="E58" i="25"/>
  <c r="E51" i="37" s="1"/>
  <c r="E73" i="25"/>
  <c r="E68" i="37" s="1"/>
  <c r="D124" i="25"/>
  <c r="D138" s="1"/>
  <c r="E52"/>
  <c r="E45" i="37" s="1"/>
  <c r="E53" i="25"/>
  <c r="E46" i="40" s="1"/>
  <c r="D48" i="25"/>
  <c r="E40"/>
  <c r="E36" i="37" s="1"/>
  <c r="E31" i="25"/>
  <c r="E76"/>
  <c r="E71" i="40" s="1"/>
  <c r="E54" i="25"/>
  <c r="E47" i="37" s="1"/>
  <c r="C164" i="29"/>
  <c r="D134" i="25"/>
  <c r="D114"/>
  <c r="D115" s="1"/>
  <c r="D214" i="40" s="1"/>
  <c r="AP27" i="38"/>
  <c r="AV27" s="1"/>
  <c r="BD27" s="1"/>
  <c r="AP110" i="37"/>
  <c r="AK111"/>
  <c r="AQ29" i="38" s="1"/>
  <c r="AW29" s="1"/>
  <c r="BE29" s="1"/>
  <c r="AK72" i="37"/>
  <c r="AK73" s="1"/>
  <c r="E24" i="25"/>
  <c r="E20" i="37" s="1"/>
  <c r="E119" i="25"/>
  <c r="E218" i="40" s="1"/>
  <c r="E19" i="25"/>
  <c r="E11" i="37" s="1"/>
  <c r="E30" i="25"/>
  <c r="E26" i="40" s="1"/>
  <c r="E120" i="25"/>
  <c r="E219" i="40" s="1"/>
  <c r="E58" i="38" s="1"/>
  <c r="E118" i="25"/>
  <c r="E217" i="40" s="1"/>
  <c r="E159" s="1"/>
  <c r="E63" i="25"/>
  <c r="E56" i="40" s="1"/>
  <c r="E51" i="25"/>
  <c r="E44" i="37" s="1"/>
  <c r="E59" i="25"/>
  <c r="E52" i="37" s="1"/>
  <c r="E70" i="25"/>
  <c r="E63" i="37" s="1"/>
  <c r="E64" s="1"/>
  <c r="E110" s="1"/>
  <c r="E64" i="25"/>
  <c r="E57" i="37" s="1"/>
  <c r="D7" i="40"/>
  <c r="D166" s="1"/>
  <c r="D9" i="38"/>
  <c r="D33" s="1"/>
  <c r="C7" i="25"/>
  <c r="C9" i="38" s="1"/>
  <c r="D7" i="37"/>
  <c r="D42" s="1"/>
  <c r="D14" i="25"/>
  <c r="AJ61" i="37"/>
  <c r="AJ66"/>
  <c r="AP60"/>
  <c r="G215" i="17"/>
  <c r="H202"/>
  <c r="AL25" i="37"/>
  <c r="AL109" s="1"/>
  <c r="AR22" i="38" s="1"/>
  <c r="AJ36" i="25"/>
  <c r="AJ43" s="1"/>
  <c r="AJ44" s="1"/>
  <c r="AK32" i="37"/>
  <c r="AK39" s="1"/>
  <c r="AJ32"/>
  <c r="AK109"/>
  <c r="AQ22" i="38" s="1"/>
  <c r="AW22" s="1"/>
  <c r="BE22" s="1"/>
  <c r="AL30" i="25"/>
  <c r="AM26" i="37"/>
  <c r="AM30"/>
  <c r="AS15" i="38" s="1"/>
  <c r="AY15" s="1"/>
  <c r="BG15" s="1"/>
  <c r="AL34" i="25"/>
  <c r="AK31"/>
  <c r="AM27" i="37" s="1"/>
  <c r="AN66"/>
  <c r="AN69" s="1"/>
  <c r="AN61"/>
  <c r="AL72"/>
  <c r="AL73" s="1"/>
  <c r="AL111"/>
  <c r="AR29" i="38" s="1"/>
  <c r="AM54" i="37"/>
  <c r="AP54" s="1"/>
  <c r="AM60"/>
  <c r="E22" i="25"/>
  <c r="E15" i="37" s="1"/>
  <c r="E39" i="25"/>
  <c r="E35" i="37" s="1"/>
  <c r="E20" i="25"/>
  <c r="E12" i="40" s="1"/>
  <c r="E35" i="25"/>
  <c r="E31" i="37" s="1"/>
  <c r="E115" i="25"/>
  <c r="E214" i="40" s="1"/>
  <c r="E53" i="38" s="1"/>
  <c r="E117" i="25"/>
  <c r="E216" i="40" s="1"/>
  <c r="E55" i="38" s="1"/>
  <c r="E21" i="25"/>
  <c r="E13" i="37" s="1"/>
  <c r="E34" i="25"/>
  <c r="E30" i="40" s="1"/>
  <c r="E15" i="38" s="1"/>
  <c r="E28" i="25"/>
  <c r="E24" i="40" s="1"/>
  <c r="F13" i="25"/>
  <c r="S13" s="1"/>
  <c r="E23"/>
  <c r="E17" i="37" s="1"/>
  <c r="E33" i="25"/>
  <c r="E29" i="40" s="1"/>
  <c r="AD128" i="25"/>
  <c r="AD95" i="37"/>
  <c r="AD172" i="40"/>
  <c r="AD96" i="37"/>
  <c r="AD173" i="40"/>
  <c r="AD94" i="37"/>
  <c r="AD171" i="40"/>
  <c r="AD97" i="37"/>
  <c r="AD174" i="40"/>
  <c r="AD98" i="37"/>
  <c r="AD175" i="40"/>
  <c r="AD95" i="25"/>
  <c r="Q152" i="40"/>
  <c r="Q42"/>
  <c r="Q222"/>
  <c r="Q90"/>
  <c r="Q213"/>
  <c r="Q76"/>
  <c r="Q182"/>
  <c r="Q139"/>
  <c r="Q196"/>
  <c r="Q166"/>
  <c r="Q231"/>
  <c r="AH7" i="25"/>
  <c r="E164" i="29"/>
  <c r="R7" i="37"/>
  <c r="R9" i="38"/>
  <c r="R134" i="25"/>
  <c r="J8" i="29"/>
  <c r="R114" i="25"/>
  <c r="R124"/>
  <c r="R83"/>
  <c r="R48"/>
  <c r="D8" i="29"/>
  <c r="F45" s="1"/>
  <c r="R7" i="40"/>
  <c r="R14" i="25"/>
  <c r="R31" s="1"/>
  <c r="Q89" i="37"/>
  <c r="Q42"/>
  <c r="Q106"/>
  <c r="Q52" i="38"/>
  <c r="Q33"/>
  <c r="Q20"/>
  <c r="Q91" i="25"/>
  <c r="Q86"/>
  <c r="Q90"/>
  <c r="Q87"/>
  <c r="Q94"/>
  <c r="Q89"/>
  <c r="Q85"/>
  <c r="Q93"/>
  <c r="Q92"/>
  <c r="Q88"/>
  <c r="P9" i="38"/>
  <c r="P114" i="25"/>
  <c r="P124"/>
  <c r="O7"/>
  <c r="P7" i="37"/>
  <c r="P83" i="25"/>
  <c r="P7" i="40"/>
  <c r="P48" i="25"/>
  <c r="P14"/>
  <c r="P31" s="1"/>
  <c r="P134"/>
  <c r="AC93"/>
  <c r="AC87"/>
  <c r="AC91"/>
  <c r="AC88"/>
  <c r="AC85"/>
  <c r="AC92"/>
  <c r="AC89"/>
  <c r="AC90"/>
  <c r="AC94"/>
  <c r="AC86"/>
  <c r="AC137"/>
  <c r="AC126"/>
  <c r="AC129"/>
  <c r="AC135"/>
  <c r="AC136"/>
  <c r="AC138"/>
  <c r="AC131"/>
  <c r="AC127"/>
  <c r="AC130"/>
  <c r="AB124"/>
  <c r="AB14"/>
  <c r="AB31" s="1"/>
  <c r="AA7"/>
  <c r="AB9" i="38"/>
  <c r="AB83" i="25"/>
  <c r="AB102"/>
  <c r="AB7" i="37"/>
  <c r="AB114" i="25"/>
  <c r="AB48"/>
  <c r="AB134"/>
  <c r="AB7" i="40"/>
  <c r="AC24" i="25"/>
  <c r="AC19"/>
  <c r="AC22"/>
  <c r="AC34"/>
  <c r="AC32"/>
  <c r="AC40"/>
  <c r="AC39"/>
  <c r="AC21"/>
  <c r="AC23"/>
  <c r="AC30"/>
  <c r="AC35"/>
  <c r="AC33"/>
  <c r="AC28"/>
  <c r="AC20"/>
  <c r="AC42" i="37"/>
  <c r="AC89"/>
  <c r="AC106"/>
  <c r="AC78"/>
  <c r="AD15"/>
  <c r="AD6" i="25"/>
  <c r="AD15" i="40"/>
  <c r="AD11" i="37"/>
  <c r="AD11" i="40"/>
  <c r="AD18" i="25"/>
  <c r="AD25" s="1"/>
  <c r="AD26" i="40"/>
  <c r="AD26" i="37"/>
  <c r="AD12" i="40"/>
  <c r="AD12" i="37"/>
  <c r="AD30"/>
  <c r="AD30" i="40"/>
  <c r="AD15" i="38" s="1"/>
  <c r="AD13" i="40"/>
  <c r="AD13" i="37"/>
  <c r="AD20"/>
  <c r="AD20" i="40"/>
  <c r="AD12" i="38" s="1"/>
  <c r="AD56"/>
  <c r="AD159" i="40"/>
  <c r="E33" i="38"/>
  <c r="E20"/>
  <c r="E52"/>
  <c r="E182" i="40"/>
  <c r="E152"/>
  <c r="E166"/>
  <c r="E42"/>
  <c r="E139"/>
  <c r="E213"/>
  <c r="E231"/>
  <c r="E37" i="17"/>
  <c r="E66"/>
  <c r="E8"/>
  <c r="E222" i="40"/>
  <c r="E128" i="17"/>
  <c r="E196" i="40"/>
  <c r="E90"/>
  <c r="E98" i="17"/>
  <c r="E76" i="40"/>
  <c r="E136" i="25"/>
  <c r="E138"/>
  <c r="E127"/>
  <c r="E135"/>
  <c r="E129"/>
  <c r="E126"/>
  <c r="E131"/>
  <c r="E137"/>
  <c r="E130"/>
  <c r="AD52" i="37"/>
  <c r="AD52" i="40"/>
  <c r="AD46"/>
  <c r="AD46" i="37"/>
  <c r="AD71"/>
  <c r="AD71" i="40"/>
  <c r="AD44" i="37"/>
  <c r="AD55" i="25"/>
  <c r="AD56" s="1"/>
  <c r="AD44" i="40"/>
  <c r="AD68" i="37"/>
  <c r="AD68" i="40"/>
  <c r="AD28" i="38" s="1"/>
  <c r="AD176" i="40"/>
  <c r="AD99" i="37"/>
  <c r="AD117" s="1"/>
  <c r="AD92"/>
  <c r="AD169" i="40"/>
  <c r="AD91" i="37"/>
  <c r="AD168" i="40"/>
  <c r="AD184" s="1"/>
  <c r="AD96" i="25"/>
  <c r="AD97" s="1"/>
  <c r="AD90" i="37"/>
  <c r="AD167" i="40"/>
  <c r="AD170"/>
  <c r="AD186" s="1"/>
  <c r="AD93" i="37"/>
  <c r="Q138" i="25"/>
  <c r="Q136"/>
  <c r="Q137"/>
  <c r="Q130"/>
  <c r="Q126"/>
  <c r="Q135"/>
  <c r="Q127"/>
  <c r="Q129"/>
  <c r="Q131"/>
  <c r="Q117"/>
  <c r="Q216" i="40" s="1"/>
  <c r="Q55" i="38" s="1"/>
  <c r="Q115" i="25"/>
  <c r="Q214" i="40" s="1"/>
  <c r="Q116" i="25"/>
  <c r="Q215" i="40" s="1"/>
  <c r="Q54" i="38" s="1"/>
  <c r="Q119" i="25"/>
  <c r="Q218" i="40" s="1"/>
  <c r="Q120" i="25"/>
  <c r="Q219" i="40" s="1"/>
  <c r="Q58" i="38" s="1"/>
  <c r="Q118" i="25"/>
  <c r="Q217" i="40" s="1"/>
  <c r="Q28" i="25"/>
  <c r="Q21"/>
  <c r="Q35"/>
  <c r="Q39"/>
  <c r="Q20"/>
  <c r="Q30"/>
  <c r="Q33"/>
  <c r="Q24"/>
  <c r="Q22"/>
  <c r="Q19"/>
  <c r="Q32"/>
  <c r="Q34"/>
  <c r="Q40"/>
  <c r="Q23"/>
  <c r="Q76"/>
  <c r="Q63"/>
  <c r="Q51"/>
  <c r="Q73"/>
  <c r="Q64"/>
  <c r="Q59"/>
  <c r="Q70"/>
  <c r="Q52"/>
  <c r="Q58"/>
  <c r="Q54"/>
  <c r="Q53"/>
  <c r="AC118"/>
  <c r="AC217" i="40" s="1"/>
  <c r="AC119" i="25"/>
  <c r="AC218" i="40" s="1"/>
  <c r="AC117" i="25"/>
  <c r="AC216" i="40" s="1"/>
  <c r="AC55" i="38" s="1"/>
  <c r="AC115" i="25"/>
  <c r="AC214" i="40" s="1"/>
  <c r="AC116" i="25"/>
  <c r="AC215" i="40" s="1"/>
  <c r="AC54" i="38" s="1"/>
  <c r="AC120" i="25"/>
  <c r="AC219" i="40" s="1"/>
  <c r="AC58" i="38" s="1"/>
  <c r="AC73" i="25"/>
  <c r="AC54"/>
  <c r="AC76"/>
  <c r="AC51"/>
  <c r="AC70"/>
  <c r="AC53"/>
  <c r="AC59"/>
  <c r="AC52"/>
  <c r="AC58"/>
  <c r="AC33" i="38"/>
  <c r="AC42"/>
  <c r="AC52"/>
  <c r="AC20"/>
  <c r="AC231" i="40"/>
  <c r="AC139"/>
  <c r="AC166"/>
  <c r="AC196"/>
  <c r="AC90"/>
  <c r="AC222"/>
  <c r="AC182"/>
  <c r="AC105"/>
  <c r="AC42"/>
  <c r="AC152"/>
  <c r="AC76"/>
  <c r="AC213"/>
  <c r="AD35"/>
  <c r="AD41" i="25"/>
  <c r="AD35" i="37"/>
  <c r="AD17" i="40"/>
  <c r="AD17" i="37"/>
  <c r="AD36" i="40"/>
  <c r="AD36" i="37"/>
  <c r="AD24"/>
  <c r="AD112" s="1"/>
  <c r="AD24" i="40"/>
  <c r="AD31" i="37"/>
  <c r="AD31" i="40"/>
  <c r="AD29" i="37"/>
  <c r="AD29" i="40"/>
  <c r="AD28" i="37"/>
  <c r="AD28" i="40"/>
  <c r="AD225"/>
  <c r="AD57" i="38"/>
  <c r="AD223" i="40"/>
  <c r="AD156"/>
  <c r="AD53" i="38"/>
  <c r="AD160" i="40"/>
  <c r="AD80" s="1"/>
  <c r="E89" i="37"/>
  <c r="E106"/>
  <c r="E42"/>
  <c r="AD63" i="40"/>
  <c r="AD64" s="1"/>
  <c r="AD100" s="1"/>
  <c r="AD27" i="38" s="1"/>
  <c r="AD63" i="37"/>
  <c r="AD64" s="1"/>
  <c r="AD110" s="1"/>
  <c r="AD51" i="40"/>
  <c r="AD51" i="37"/>
  <c r="AD45" i="40"/>
  <c r="AD45" i="37"/>
  <c r="AD47" i="40"/>
  <c r="AD47" i="37"/>
  <c r="AD125" i="25"/>
  <c r="E99" i="37"/>
  <c r="E117" s="1"/>
  <c r="E176" i="40"/>
  <c r="E97" i="37"/>
  <c r="E174" i="40"/>
  <c r="E171"/>
  <c r="E94" i="37"/>
  <c r="E95"/>
  <c r="E172" i="40"/>
  <c r="E173"/>
  <c r="E96" i="37"/>
  <c r="E28"/>
  <c r="E28" i="40"/>
  <c r="E11"/>
  <c r="E20"/>
  <c r="E12" i="38" s="1"/>
  <c r="E31" i="40"/>
  <c r="E56" i="37"/>
  <c r="E52" i="40"/>
  <c r="E57"/>
  <c r="E51"/>
  <c r="D66" i="17"/>
  <c r="D89" i="37"/>
  <c r="D33" i="25"/>
  <c r="D92"/>
  <c r="D88"/>
  <c r="D93"/>
  <c r="D89"/>
  <c r="D85"/>
  <c r="D94"/>
  <c r="D90"/>
  <c r="D86"/>
  <c r="D91"/>
  <c r="D87"/>
  <c r="E91" i="37"/>
  <c r="E168" i="40"/>
  <c r="E167"/>
  <c r="E96" i="25"/>
  <c r="E90" i="37"/>
  <c r="E93"/>
  <c r="E170" i="40"/>
  <c r="E169"/>
  <c r="E92" i="37"/>
  <c r="E175" i="40"/>
  <c r="E98" i="37"/>
  <c r="E95" i="25"/>
  <c r="F47"/>
  <c r="E36" i="40"/>
  <c r="E45"/>
  <c r="E71" i="37"/>
  <c r="E68" i="40"/>
  <c r="E28" i="38" s="1"/>
  <c r="E47" i="40"/>
  <c r="D135" i="25"/>
  <c r="D126"/>
  <c r="D137"/>
  <c r="D70"/>
  <c r="D54"/>
  <c r="D58"/>
  <c r="D52"/>
  <c r="D53"/>
  <c r="D120"/>
  <c r="D219" i="40" s="1"/>
  <c r="D58" i="38" s="1"/>
  <c r="AD185" i="40" l="1"/>
  <c r="AD200" s="1"/>
  <c r="AD81" s="1"/>
  <c r="AC65" i="25"/>
  <c r="AB63"/>
  <c r="AB56" i="40" s="1"/>
  <c r="AB64" i="25"/>
  <c r="AC57" i="37"/>
  <c r="AC58" s="1"/>
  <c r="AC57" i="40"/>
  <c r="AC58" s="1"/>
  <c r="AC26" i="38" s="1"/>
  <c r="D116" i="25"/>
  <c r="D215" i="40" s="1"/>
  <c r="D54" i="38" s="1"/>
  <c r="D129" i="25"/>
  <c r="D136"/>
  <c r="E46" i="37"/>
  <c r="D63" i="25"/>
  <c r="D56" i="37" s="1"/>
  <c r="D73" i="25"/>
  <c r="D64"/>
  <c r="D57" i="37" s="1"/>
  <c r="D59" i="25"/>
  <c r="D52" i="40" s="1"/>
  <c r="D51" i="25"/>
  <c r="D44" i="40" s="1"/>
  <c r="D76" i="25"/>
  <c r="D71" i="37" s="1"/>
  <c r="E30"/>
  <c r="D106"/>
  <c r="D20" i="38"/>
  <c r="E65" i="25"/>
  <c r="E35" i="40"/>
  <c r="D117" i="25"/>
  <c r="D216" i="40" s="1"/>
  <c r="D55" i="38" s="1"/>
  <c r="D127" i="25"/>
  <c r="D125" s="1"/>
  <c r="D131"/>
  <c r="D130"/>
  <c r="E56" i="38"/>
  <c r="E24" i="37"/>
  <c r="E112" s="1"/>
  <c r="E13" i="40"/>
  <c r="C48" i="25"/>
  <c r="C63" s="1"/>
  <c r="D76" i="40"/>
  <c r="E55" i="25"/>
  <c r="E56" s="1"/>
  <c r="E26" i="37"/>
  <c r="E12"/>
  <c r="E10" s="1"/>
  <c r="D40" i="25"/>
  <c r="D31"/>
  <c r="D118"/>
  <c r="D217" i="40" s="1"/>
  <c r="D56" i="38" s="1"/>
  <c r="D119" i="25"/>
  <c r="D218" i="40" s="1"/>
  <c r="D225" s="1"/>
  <c r="B41" i="29"/>
  <c r="D22" i="25"/>
  <c r="D15" i="37" s="1"/>
  <c r="E121" s="1"/>
  <c r="D23" i="25"/>
  <c r="D17" i="40" s="1"/>
  <c r="D98" i="17"/>
  <c r="D196" i="40"/>
  <c r="D32" i="25"/>
  <c r="D28" i="37" s="1"/>
  <c r="D24" i="25"/>
  <c r="D34"/>
  <c r="D30" i="40" s="1"/>
  <c r="D15" i="38" s="1"/>
  <c r="B7" i="25"/>
  <c r="B83" s="1"/>
  <c r="C124"/>
  <c r="C137" s="1"/>
  <c r="D8" i="17"/>
  <c r="D231" i="40"/>
  <c r="D128" i="17"/>
  <c r="D90" i="40"/>
  <c r="E63"/>
  <c r="E64" s="1"/>
  <c r="E100" s="1"/>
  <c r="E27" i="38" s="1"/>
  <c r="E44" i="40"/>
  <c r="E48" s="1"/>
  <c r="E49" s="1"/>
  <c r="D30" i="25"/>
  <c r="D26" i="40" s="1"/>
  <c r="B164" i="29"/>
  <c r="C114" i="25"/>
  <c r="C120" s="1"/>
  <c r="C219" i="40" s="1"/>
  <c r="C7" i="37"/>
  <c r="C42" s="1"/>
  <c r="E160" i="40"/>
  <c r="E80" s="1"/>
  <c r="E37" i="25"/>
  <c r="E18"/>
  <c r="E25" s="1"/>
  <c r="E15" i="40"/>
  <c r="E183" s="1"/>
  <c r="E29" i="25"/>
  <c r="E25" i="37" s="1"/>
  <c r="D52" i="38"/>
  <c r="C41" i="29"/>
  <c r="E29" i="37"/>
  <c r="D39" i="25"/>
  <c r="D35" i="37" s="1"/>
  <c r="D28" i="25"/>
  <c r="D24" i="40" s="1"/>
  <c r="D35" i="25"/>
  <c r="D31" i="40" s="1"/>
  <c r="D20" i="25"/>
  <c r="D12" i="37" s="1"/>
  <c r="D19" i="25"/>
  <c r="D11" i="37" s="1"/>
  <c r="D21" i="25"/>
  <c r="D13" i="40" s="1"/>
  <c r="A100" i="27"/>
  <c r="E230" i="17" s="1"/>
  <c r="C134" i="25"/>
  <c r="C14"/>
  <c r="C83"/>
  <c r="C94" s="1"/>
  <c r="C7" i="40"/>
  <c r="C76" s="1"/>
  <c r="D139"/>
  <c r="D42"/>
  <c r="D182"/>
  <c r="D213"/>
  <c r="D37" i="17"/>
  <c r="D152" i="40"/>
  <c r="D222"/>
  <c r="E41" i="25"/>
  <c r="E37" i="40" s="1"/>
  <c r="AN72" i="37"/>
  <c r="AN73" s="1"/>
  <c r="AN111"/>
  <c r="AT29" i="38" s="1"/>
  <c r="AN30" i="37"/>
  <c r="AL31" i="25"/>
  <c r="AN27" i="37" s="1"/>
  <c r="AP27" s="1"/>
  <c r="AN26"/>
  <c r="AP26" s="1"/>
  <c r="I202" i="17"/>
  <c r="H215"/>
  <c r="AK29" i="25"/>
  <c r="AJ39" i="37"/>
  <c r="AL32"/>
  <c r="AL39" s="1"/>
  <c r="AP66"/>
  <c r="AJ69"/>
  <c r="AM66"/>
  <c r="AM69" s="1"/>
  <c r="AM61"/>
  <c r="AP61" s="1"/>
  <c r="AD60" i="25"/>
  <c r="AD61" s="1"/>
  <c r="AD101" i="37"/>
  <c r="AD102" s="1"/>
  <c r="E125" i="25"/>
  <c r="E17" i="40"/>
  <c r="E207" s="1"/>
  <c r="E97" i="25"/>
  <c r="E26"/>
  <c r="D165" i="29"/>
  <c r="D169" s="1"/>
  <c r="E162" i="40" s="1"/>
  <c r="E36" i="25"/>
  <c r="AD114" i="37"/>
  <c r="AD122"/>
  <c r="AD27"/>
  <c r="AD27" i="40"/>
  <c r="AD14" i="38"/>
  <c r="AD16"/>
  <c r="AD148" i="40"/>
  <c r="AD13" i="38" s="1"/>
  <c r="AD207" i="40"/>
  <c r="AD18"/>
  <c r="AD206"/>
  <c r="AD37" i="37"/>
  <c r="AD147" i="40"/>
  <c r="AD37"/>
  <c r="AC51" i="37"/>
  <c r="AC51" i="40"/>
  <c r="AC52" i="37"/>
  <c r="AC52" i="40"/>
  <c r="AC63" i="37"/>
  <c r="AC64" s="1"/>
  <c r="AC110" s="1"/>
  <c r="AC63" i="40"/>
  <c r="AC64" s="1"/>
  <c r="AC100" s="1"/>
  <c r="AC27" i="38" s="1"/>
  <c r="AC71" i="40"/>
  <c r="AC71" i="37"/>
  <c r="AC68" i="40"/>
  <c r="AC28" i="38" s="1"/>
  <c r="AC68" i="37"/>
  <c r="AC159" i="40"/>
  <c r="AC56" i="38"/>
  <c r="Q47" i="37"/>
  <c r="Q47" i="40"/>
  <c r="Q45" i="37"/>
  <c r="Q45" i="40"/>
  <c r="Q52" i="37"/>
  <c r="Q52" i="40"/>
  <c r="Q68"/>
  <c r="Q28" i="38" s="1"/>
  <c r="Q68" i="37"/>
  <c r="Q56" i="40"/>
  <c r="Q56" i="37"/>
  <c r="Q65" i="25"/>
  <c r="Q17" i="37"/>
  <c r="Q17" i="40"/>
  <c r="Q30"/>
  <c r="Q15" i="38" s="1"/>
  <c r="Q30" i="37"/>
  <c r="Q18" i="25"/>
  <c r="Q25" s="1"/>
  <c r="Q11" i="37"/>
  <c r="Q11" i="40"/>
  <c r="Q20"/>
  <c r="Q12" i="38" s="1"/>
  <c r="Q20" i="37"/>
  <c r="Q26"/>
  <c r="Q26" i="40"/>
  <c r="Q35"/>
  <c r="Q41" i="25"/>
  <c r="Q35" i="37"/>
  <c r="Q13"/>
  <c r="Q13" i="40"/>
  <c r="Q159"/>
  <c r="Q56" i="38"/>
  <c r="Q225" i="40"/>
  <c r="Q57" i="38"/>
  <c r="Q156" i="40"/>
  <c r="Q79" s="1"/>
  <c r="Q223"/>
  <c r="Q160"/>
  <c r="Q80" s="1"/>
  <c r="Q53" i="38"/>
  <c r="AD48" i="40"/>
  <c r="AD49" s="1"/>
  <c r="AD93"/>
  <c r="AD84" s="1"/>
  <c r="AD48" i="37"/>
  <c r="AD49" s="1"/>
  <c r="AD6"/>
  <c r="AC6" i="25"/>
  <c r="AD6" i="40"/>
  <c r="Q6" i="25"/>
  <c r="AC12" i="37"/>
  <c r="AC12" i="40"/>
  <c r="AC29" i="37"/>
  <c r="AC29" i="40"/>
  <c r="AC26"/>
  <c r="AC26" i="37"/>
  <c r="AC13"/>
  <c r="AC13" i="40"/>
  <c r="AC36" i="37"/>
  <c r="AC36" i="40"/>
  <c r="AC30" i="37"/>
  <c r="AC30" i="40"/>
  <c r="AC15" i="38" s="1"/>
  <c r="AC18" i="25"/>
  <c r="AC25" s="1"/>
  <c r="AC11" i="37"/>
  <c r="AC11" i="40"/>
  <c r="AB213"/>
  <c r="AB90"/>
  <c r="AB76"/>
  <c r="AB42"/>
  <c r="AB182"/>
  <c r="AB231"/>
  <c r="AB166"/>
  <c r="AB196"/>
  <c r="AB105"/>
  <c r="AB152"/>
  <c r="AB222"/>
  <c r="AB139"/>
  <c r="AB70" i="25"/>
  <c r="AB59"/>
  <c r="AB58"/>
  <c r="AB76"/>
  <c r="AB52"/>
  <c r="AB73"/>
  <c r="AB51"/>
  <c r="AB54"/>
  <c r="AB53"/>
  <c r="AB106" i="37"/>
  <c r="AB89"/>
  <c r="AB78"/>
  <c r="AB42"/>
  <c r="AB93" i="25"/>
  <c r="AB91"/>
  <c r="AB94"/>
  <c r="AB89"/>
  <c r="AB90"/>
  <c r="AB88"/>
  <c r="AB85"/>
  <c r="AB87"/>
  <c r="AB92"/>
  <c r="AB86"/>
  <c r="AA83"/>
  <c r="AA48"/>
  <c r="AA114"/>
  <c r="AA102"/>
  <c r="AA134"/>
  <c r="AA7" i="37"/>
  <c r="AA7" i="40"/>
  <c r="Z7" i="25"/>
  <c r="AA124"/>
  <c r="AA9" i="38"/>
  <c r="AA14" i="25"/>
  <c r="AA31" s="1"/>
  <c r="AB131"/>
  <c r="AB138"/>
  <c r="AB130"/>
  <c r="AB129"/>
  <c r="AB126"/>
  <c r="AB136"/>
  <c r="AB127"/>
  <c r="AB137"/>
  <c r="AB135"/>
  <c r="AC91" i="37"/>
  <c r="AC168" i="40"/>
  <c r="AC95" i="37"/>
  <c r="AC172" i="40"/>
  <c r="AC174"/>
  <c r="AC97" i="37"/>
  <c r="AC170" i="40"/>
  <c r="AC93" i="37"/>
  <c r="AC92"/>
  <c r="AC169" i="40"/>
  <c r="P76" i="25"/>
  <c r="P64"/>
  <c r="P73"/>
  <c r="P58"/>
  <c r="P54"/>
  <c r="P70"/>
  <c r="P52"/>
  <c r="P59"/>
  <c r="P63"/>
  <c r="P51"/>
  <c r="P53"/>
  <c r="P89"/>
  <c r="P85"/>
  <c r="P88"/>
  <c r="P90"/>
  <c r="P94"/>
  <c r="P87"/>
  <c r="P86"/>
  <c r="P93"/>
  <c r="P92"/>
  <c r="P91"/>
  <c r="O7" i="37"/>
  <c r="O14" i="25"/>
  <c r="O31" s="1"/>
  <c r="O83"/>
  <c r="O9" i="38"/>
  <c r="O7" i="40"/>
  <c r="O124" i="25"/>
  <c r="O48"/>
  <c r="N7"/>
  <c r="O134"/>
  <c r="O114"/>
  <c r="P118"/>
  <c r="P217" i="40" s="1"/>
  <c r="P115" i="25"/>
  <c r="P214" i="40" s="1"/>
  <c r="P120" i="25"/>
  <c r="P219" i="40" s="1"/>
  <c r="P58" i="38" s="1"/>
  <c r="P119" i="25"/>
  <c r="P218" i="40" s="1"/>
  <c r="P116" i="25"/>
  <c r="P215" i="40" s="1"/>
  <c r="P54" i="38" s="1"/>
  <c r="P117" i="25"/>
  <c r="P216" i="40" s="1"/>
  <c r="P55" i="38" s="1"/>
  <c r="Q170" i="40"/>
  <c r="Q93" i="37"/>
  <c r="Q98"/>
  <c r="Q175" i="40"/>
  <c r="Q95" i="25"/>
  <c r="Q171" i="40"/>
  <c r="Q94" i="37"/>
  <c r="Q169" i="40"/>
  <c r="Q92" i="37"/>
  <c r="Q91"/>
  <c r="Q168" i="40"/>
  <c r="R35" i="25"/>
  <c r="R23"/>
  <c r="R34"/>
  <c r="R32"/>
  <c r="R20"/>
  <c r="R33"/>
  <c r="R24"/>
  <c r="R28"/>
  <c r="R39"/>
  <c r="R19"/>
  <c r="R30"/>
  <c r="R40"/>
  <c r="R21"/>
  <c r="R22"/>
  <c r="R94"/>
  <c r="R92"/>
  <c r="R87"/>
  <c r="R91"/>
  <c r="R88"/>
  <c r="R93"/>
  <c r="R89"/>
  <c r="R90"/>
  <c r="R86"/>
  <c r="R85"/>
  <c r="R120"/>
  <c r="R219" i="40" s="1"/>
  <c r="R58" i="38" s="1"/>
  <c r="R118" i="25"/>
  <c r="R217" i="40" s="1"/>
  <c r="R116" i="25"/>
  <c r="R215" i="40" s="1"/>
  <c r="R54" i="38" s="1"/>
  <c r="R119" i="25"/>
  <c r="R117"/>
  <c r="R216" i="40" s="1"/>
  <c r="R55" i="38" s="1"/>
  <c r="R115" i="25"/>
  <c r="R214" i="40" s="1"/>
  <c r="R106" i="37"/>
  <c r="R89"/>
  <c r="R42"/>
  <c r="AH82" i="25"/>
  <c r="AH101"/>
  <c r="AH47"/>
  <c r="AJ7" i="37"/>
  <c r="AJ9" i="38"/>
  <c r="AH113" i="25"/>
  <c r="AI7"/>
  <c r="AH13"/>
  <c r="AJ7" i="40"/>
  <c r="AD100" i="37"/>
  <c r="AD116"/>
  <c r="Q125" i="25"/>
  <c r="AD29"/>
  <c r="AD10" i="37"/>
  <c r="AC125" i="25"/>
  <c r="AD115" i="37"/>
  <c r="AD67" i="25"/>
  <c r="AD235" i="40"/>
  <c r="AD24" i="38" s="1"/>
  <c r="AD79" i="40"/>
  <c r="AD18" i="37"/>
  <c r="AD119"/>
  <c r="AC45" i="40"/>
  <c r="AC45" i="37"/>
  <c r="AC46" i="40"/>
  <c r="AC46" i="37"/>
  <c r="AC44" i="40"/>
  <c r="AC55" i="25"/>
  <c r="AC56" s="1"/>
  <c r="AC44" i="37"/>
  <c r="AC47" i="40"/>
  <c r="AC47" i="37"/>
  <c r="AC160" i="40"/>
  <c r="AC80" s="1"/>
  <c r="AC53" i="38"/>
  <c r="AC57"/>
  <c r="AC156" i="40"/>
  <c r="AC223"/>
  <c r="AC225"/>
  <c r="Q46" i="37"/>
  <c r="Q46" i="40"/>
  <c r="Q51" i="37"/>
  <c r="Q51" i="40"/>
  <c r="Q63"/>
  <c r="Q64" s="1"/>
  <c r="Q100" s="1"/>
  <c r="Q27" i="38" s="1"/>
  <c r="Q63" i="37"/>
  <c r="Q64" s="1"/>
  <c r="Q110" s="1"/>
  <c r="Q57"/>
  <c r="Q57" i="40"/>
  <c r="Q55" i="25"/>
  <c r="Q56" s="1"/>
  <c r="Q44" i="40"/>
  <c r="Q44" i="37"/>
  <c r="Q71" i="40"/>
  <c r="Q71" i="37"/>
  <c r="Q36" i="40"/>
  <c r="Q36" i="37"/>
  <c r="Q28"/>
  <c r="Q28" i="40"/>
  <c r="Q15" i="37"/>
  <c r="AD113" s="1"/>
  <c r="AD16" s="1"/>
  <c r="Q15" i="40"/>
  <c r="AD154" s="1"/>
  <c r="Q29"/>
  <c r="Q29" i="37"/>
  <c r="Q12" i="40"/>
  <c r="Q12" i="37"/>
  <c r="Q31" i="40"/>
  <c r="Q31" i="37"/>
  <c r="Q24" i="40"/>
  <c r="Q24" i="37"/>
  <c r="AD178" i="40"/>
  <c r="AD179" s="1"/>
  <c r="AD183"/>
  <c r="AD192"/>
  <c r="AD205"/>
  <c r="AD37" i="38" s="1"/>
  <c r="AD153" i="40"/>
  <c r="AD161"/>
  <c r="AD226"/>
  <c r="AD224"/>
  <c r="AC24"/>
  <c r="AC24" i="37"/>
  <c r="AC31" i="40"/>
  <c r="AC31" i="37"/>
  <c r="AC17"/>
  <c r="AC17" i="40"/>
  <c r="AC35"/>
  <c r="AC35" i="37"/>
  <c r="AC41" i="25"/>
  <c r="AC28" i="37"/>
  <c r="AC28" i="40"/>
  <c r="AC15" i="37"/>
  <c r="AC15" i="40"/>
  <c r="AC20" i="37"/>
  <c r="AC20" i="40"/>
  <c r="AC12" i="38" s="1"/>
  <c r="AB116" i="25"/>
  <c r="AB215" i="40" s="1"/>
  <c r="AB54" i="38" s="1"/>
  <c r="AB117" i="25"/>
  <c r="AB216" i="40" s="1"/>
  <c r="AB55" i="38" s="1"/>
  <c r="AB115" i="25"/>
  <c r="AB214" i="40" s="1"/>
  <c r="AB118" i="25"/>
  <c r="AB217" i="40" s="1"/>
  <c r="AB119" i="25"/>
  <c r="AB218" i="40" s="1"/>
  <c r="AB120" i="25"/>
  <c r="AB219" i="40" s="1"/>
  <c r="AB58" i="38" s="1"/>
  <c r="AB52"/>
  <c r="AB33"/>
  <c r="AB20"/>
  <c r="AB42"/>
  <c r="AB34" i="25"/>
  <c r="AB21"/>
  <c r="AB24"/>
  <c r="AB23"/>
  <c r="AB39"/>
  <c r="AB33"/>
  <c r="AB22"/>
  <c r="AB28"/>
  <c r="AB30"/>
  <c r="AB35"/>
  <c r="AB19"/>
  <c r="AB32"/>
  <c r="AB40"/>
  <c r="AB20"/>
  <c r="AC176" i="40"/>
  <c r="AC99" i="37"/>
  <c r="AC117" s="1"/>
  <c r="AC171" i="40"/>
  <c r="AC94" i="37"/>
  <c r="AC96" i="25"/>
  <c r="AC97" s="1"/>
  <c r="AC90" i="37"/>
  <c r="AC167" i="40"/>
  <c r="AC96" i="37"/>
  <c r="AC173" i="40"/>
  <c r="AC95" i="25"/>
  <c r="AC175" i="40"/>
  <c r="AC98" i="37"/>
  <c r="P34" i="25"/>
  <c r="P32"/>
  <c r="P40"/>
  <c r="P21"/>
  <c r="P23"/>
  <c r="P28"/>
  <c r="P39"/>
  <c r="P22"/>
  <c r="P30"/>
  <c r="P20"/>
  <c r="P24"/>
  <c r="P35"/>
  <c r="P19"/>
  <c r="P33"/>
  <c r="P152" i="40"/>
  <c r="P166"/>
  <c r="P231"/>
  <c r="P222"/>
  <c r="P196"/>
  <c r="P213"/>
  <c r="P42"/>
  <c r="P90"/>
  <c r="P76"/>
  <c r="P182"/>
  <c r="P139"/>
  <c r="P106" i="37"/>
  <c r="P89"/>
  <c r="P42"/>
  <c r="P129" i="25"/>
  <c r="P131"/>
  <c r="P135"/>
  <c r="P137"/>
  <c r="P126"/>
  <c r="P138"/>
  <c r="P136"/>
  <c r="P127"/>
  <c r="P130"/>
  <c r="P33" i="38"/>
  <c r="P52"/>
  <c r="P20"/>
  <c r="Q97" i="37"/>
  <c r="Q174" i="40"/>
  <c r="Q96" i="25"/>
  <c r="Q97" s="1"/>
  <c r="Q167" i="40"/>
  <c r="Q90" i="37"/>
  <c r="Q176" i="40"/>
  <c r="Q99" i="37"/>
  <c r="Q95"/>
  <c r="Q172" i="40"/>
  <c r="Q173"/>
  <c r="Q96" i="37"/>
  <c r="R42" i="40"/>
  <c r="R90"/>
  <c r="F8" i="17"/>
  <c r="R152" i="40"/>
  <c r="R231"/>
  <c r="F128" i="17"/>
  <c r="R166" i="40"/>
  <c r="R76"/>
  <c r="R213"/>
  <c r="F66" i="17"/>
  <c r="R196" i="40"/>
  <c r="F37" i="17"/>
  <c r="R139" i="40"/>
  <c r="F98" i="17"/>
  <c r="R182" i="40"/>
  <c r="R222"/>
  <c r="R70" i="25"/>
  <c r="R53"/>
  <c r="R54"/>
  <c r="R51"/>
  <c r="R58"/>
  <c r="R59"/>
  <c r="R64"/>
  <c r="R63"/>
  <c r="R52"/>
  <c r="R73"/>
  <c r="R76"/>
  <c r="R138"/>
  <c r="R136"/>
  <c r="R129"/>
  <c r="R130"/>
  <c r="R137"/>
  <c r="R127"/>
  <c r="R131"/>
  <c r="R135"/>
  <c r="R126"/>
  <c r="R20" i="38"/>
  <c r="R33"/>
  <c r="R52"/>
  <c r="AD177" i="40"/>
  <c r="AD204"/>
  <c r="AD36" i="38" s="1"/>
  <c r="AD203" i="40"/>
  <c r="AD35" i="38" s="1"/>
  <c r="AD190" i="40"/>
  <c r="AD201" s="1"/>
  <c r="Q128" i="25"/>
  <c r="E128"/>
  <c r="AD10" i="40"/>
  <c r="AC128" i="25"/>
  <c r="AD187" i="40"/>
  <c r="AD189"/>
  <c r="AD188"/>
  <c r="D159"/>
  <c r="D156"/>
  <c r="D160"/>
  <c r="D80" s="1"/>
  <c r="D53" i="38"/>
  <c r="D57" i="40"/>
  <c r="D52" i="37"/>
  <c r="D55" i="25"/>
  <c r="D56" s="1"/>
  <c r="D71" i="40"/>
  <c r="D56"/>
  <c r="E148"/>
  <c r="E13" i="38" s="1"/>
  <c r="E99" i="17"/>
  <c r="E116" i="37"/>
  <c r="E100"/>
  <c r="E114"/>
  <c r="E130" i="17"/>
  <c r="E186" i="40"/>
  <c r="E178"/>
  <c r="D173"/>
  <c r="D96" i="37"/>
  <c r="D172" i="40"/>
  <c r="D95" i="37"/>
  <c r="D96" i="25"/>
  <c r="D167" i="40"/>
  <c r="D90" i="37"/>
  <c r="D98"/>
  <c r="D95" i="25"/>
  <c r="D175" i="40"/>
  <c r="D97" i="37"/>
  <c r="D174" i="40"/>
  <c r="D28"/>
  <c r="D29"/>
  <c r="D29" i="37"/>
  <c r="D30"/>
  <c r="D17"/>
  <c r="B114" i="25"/>
  <c r="C70"/>
  <c r="C59"/>
  <c r="C119"/>
  <c r="C218" i="40" s="1"/>
  <c r="C136" i="25"/>
  <c r="C129"/>
  <c r="C106" i="37"/>
  <c r="E122"/>
  <c r="E14" i="38"/>
  <c r="E16"/>
  <c r="E226" i="40"/>
  <c r="E133" i="17"/>
  <c r="E189" i="40"/>
  <c r="E131" i="17"/>
  <c r="E187" i="40"/>
  <c r="E101" i="37"/>
  <c r="E102" s="1"/>
  <c r="E58"/>
  <c r="E115"/>
  <c r="D46"/>
  <c r="D46" i="40"/>
  <c r="D45" i="37"/>
  <c r="D45" i="40"/>
  <c r="D68" i="37"/>
  <c r="D68" i="40"/>
  <c r="D28" i="38" s="1"/>
  <c r="D51" i="40"/>
  <c r="D51" i="37"/>
  <c r="D47"/>
  <c r="D47" i="40"/>
  <c r="D63"/>
  <c r="D64" s="1"/>
  <c r="D100" s="1"/>
  <c r="D27" i="38" s="1"/>
  <c r="D63" i="37"/>
  <c r="D64" s="1"/>
  <c r="D110" s="1"/>
  <c r="E156" i="40"/>
  <c r="E225"/>
  <c r="E57" i="38"/>
  <c r="E223" i="40"/>
  <c r="E18" i="37"/>
  <c r="E119"/>
  <c r="F82" i="25"/>
  <c r="S47"/>
  <c r="E204" i="40"/>
  <c r="E177"/>
  <c r="E129" i="17"/>
  <c r="D169" i="40"/>
  <c r="D92" i="37"/>
  <c r="D91"/>
  <c r="D168" i="40"/>
  <c r="D99" i="37"/>
  <c r="D117" s="1"/>
  <c r="D176" i="40"/>
  <c r="D171"/>
  <c r="D94" i="37"/>
  <c r="D93"/>
  <c r="D170" i="40"/>
  <c r="D35"/>
  <c r="D12"/>
  <c r="D36" i="37"/>
  <c r="D36" i="40"/>
  <c r="C24" i="25"/>
  <c r="C89"/>
  <c r="C166" i="40"/>
  <c r="C20" i="38"/>
  <c r="C33"/>
  <c r="C52"/>
  <c r="E48" i="37"/>
  <c r="E49" s="1"/>
  <c r="E27"/>
  <c r="E27" i="40"/>
  <c r="E132" i="17"/>
  <c r="E188" i="40"/>
  <c r="E203"/>
  <c r="E35" i="38" s="1"/>
  <c r="E190" i="40"/>
  <c r="E201" s="1"/>
  <c r="E205"/>
  <c r="E37" i="38" s="1"/>
  <c r="E192" i="40"/>
  <c r="E58"/>
  <c r="E10"/>
  <c r="AB56" i="37" l="1"/>
  <c r="Q155" i="40"/>
  <c r="AD34" i="38"/>
  <c r="Q94" i="40"/>
  <c r="Q199" s="1"/>
  <c r="Q97"/>
  <c r="Q25" i="38" s="1"/>
  <c r="Q95" i="40"/>
  <c r="Q96"/>
  <c r="AB65" i="25"/>
  <c r="AA63"/>
  <c r="AA64"/>
  <c r="AB57" i="37"/>
  <c r="AB57" i="40"/>
  <c r="AB58" s="1"/>
  <c r="AB26" i="38" s="1"/>
  <c r="C90" i="25"/>
  <c r="C93"/>
  <c r="D13" i="37"/>
  <c r="D24"/>
  <c r="E38" i="17"/>
  <c r="E93" i="40"/>
  <c r="E84" s="1"/>
  <c r="C89" i="37"/>
  <c r="C135" i="25"/>
  <c r="C131"/>
  <c r="C58"/>
  <c r="D15" i="40"/>
  <c r="E155" s="1"/>
  <c r="E206"/>
  <c r="D44" i="37"/>
  <c r="D223" i="40"/>
  <c r="C76" i="25"/>
  <c r="C71" i="40" s="1"/>
  <c r="C73" i="25"/>
  <c r="C68" i="37" s="1"/>
  <c r="E25" i="40"/>
  <c r="E100" i="17" s="1"/>
  <c r="B9" i="38"/>
  <c r="B33" s="1"/>
  <c r="D26" i="37"/>
  <c r="D128" i="25"/>
  <c r="E60"/>
  <c r="E61" s="1"/>
  <c r="E235" i="40"/>
  <c r="E24" i="38" s="1"/>
  <c r="C91" i="25"/>
  <c r="C96" i="37" s="1"/>
  <c r="C85" i="25"/>
  <c r="C167" i="40" s="1"/>
  <c r="E184"/>
  <c r="E185"/>
  <c r="E39" i="17" s="1"/>
  <c r="E224" i="40"/>
  <c r="E153"/>
  <c r="E78" s="1"/>
  <c r="E161"/>
  <c r="C130" i="25"/>
  <c r="C126"/>
  <c r="C127"/>
  <c r="C138"/>
  <c r="C52"/>
  <c r="C45" i="37" s="1"/>
  <c r="C51" i="25"/>
  <c r="C44" i="40" s="1"/>
  <c r="C64" i="25"/>
  <c r="C57" i="37" s="1"/>
  <c r="C54" i="25"/>
  <c r="C47" i="37" s="1"/>
  <c r="C53" i="25"/>
  <c r="C46" i="40" s="1"/>
  <c r="D97" i="25"/>
  <c r="D65"/>
  <c r="D58" i="37"/>
  <c r="D57" i="38"/>
  <c r="E53" i="40"/>
  <c r="E54" s="1"/>
  <c r="E99" s="1"/>
  <c r="C30" i="25"/>
  <c r="C26" i="37" s="1"/>
  <c r="C31" i="25"/>
  <c r="D26"/>
  <c r="C196" i="40"/>
  <c r="D37" i="25"/>
  <c r="E21" i="38"/>
  <c r="C115" i="25"/>
  <c r="C214" i="40" s="1"/>
  <c r="AH214" s="1"/>
  <c r="C118" i="25"/>
  <c r="C217" i="40" s="1"/>
  <c r="C56" i="38" s="1"/>
  <c r="B7" i="40"/>
  <c r="B182" s="1"/>
  <c r="B48" i="25"/>
  <c r="B73" s="1"/>
  <c r="D29"/>
  <c r="D36" s="1"/>
  <c r="D20" i="40"/>
  <c r="D12" i="38" s="1"/>
  <c r="C165" i="29"/>
  <c r="C169" s="1"/>
  <c r="D162" i="40" s="1"/>
  <c r="E37" i="37"/>
  <c r="C98" i="17"/>
  <c r="C37"/>
  <c r="C19" i="25"/>
  <c r="C11" i="37" s="1"/>
  <c r="C35" i="25"/>
  <c r="C31" i="37" s="1"/>
  <c r="D31"/>
  <c r="C117" i="25"/>
  <c r="C216" i="40" s="1"/>
  <c r="C55" i="38" s="1"/>
  <c r="AH55" s="1"/>
  <c r="C116" i="25"/>
  <c r="C215" i="40" s="1"/>
  <c r="C225" s="1"/>
  <c r="AH225" s="1"/>
  <c r="B124" i="25"/>
  <c r="B130" s="1"/>
  <c r="B134"/>
  <c r="B7" i="37"/>
  <c r="B106" s="1"/>
  <c r="B14" i="25"/>
  <c r="B31" s="1"/>
  <c r="D20" i="37"/>
  <c r="AM8" i="38"/>
  <c r="AK54" s="1"/>
  <c r="AK215" i="40" s="1"/>
  <c r="E147"/>
  <c r="C90"/>
  <c r="C152"/>
  <c r="C222"/>
  <c r="C139"/>
  <c r="C34" i="25"/>
  <c r="C30" i="37" s="1"/>
  <c r="C21" i="25"/>
  <c r="C13" i="37" s="1"/>
  <c r="C33" i="25"/>
  <c r="C29" i="37" s="1"/>
  <c r="C28" i="25"/>
  <c r="C24" i="37" s="1"/>
  <c r="AH7" i="40"/>
  <c r="AH152" s="1"/>
  <c r="AL29" i="25"/>
  <c r="D18"/>
  <c r="D25" s="1"/>
  <c r="C86"/>
  <c r="C92"/>
  <c r="C97" i="37" s="1"/>
  <c r="C88" i="25"/>
  <c r="C93" i="37" s="1"/>
  <c r="C87" i="25"/>
  <c r="C92" i="37" s="1"/>
  <c r="C42" i="40"/>
  <c r="C66" i="17"/>
  <c r="C213" i="40"/>
  <c r="C128" i="17"/>
  <c r="C8"/>
  <c r="C231" i="40"/>
  <c r="C182"/>
  <c r="C20" i="25"/>
  <c r="C12" i="40" s="1"/>
  <c r="C40" i="25"/>
  <c r="C36" i="37" s="1"/>
  <c r="C22" i="25"/>
  <c r="C15" i="40" s="1"/>
  <c r="D68" i="17" s="1"/>
  <c r="C32" i="25"/>
  <c r="C28" i="40" s="1"/>
  <c r="C39" i="25"/>
  <c r="C35" i="37" s="1"/>
  <c r="C23" i="25"/>
  <c r="C17" i="40" s="1"/>
  <c r="AH7" i="37"/>
  <c r="AH42" s="1"/>
  <c r="D11" i="40"/>
  <c r="D10" s="1"/>
  <c r="D41" i="25"/>
  <c r="D37" i="40" s="1"/>
  <c r="E43" i="25"/>
  <c r="E44" s="1"/>
  <c r="D58" i="40"/>
  <c r="Q208"/>
  <c r="Q48" i="37"/>
  <c r="Q49" s="1"/>
  <c r="AJ111"/>
  <c r="AJ72"/>
  <c r="AP69"/>
  <c r="AK36" i="25"/>
  <c r="AK43" s="1"/>
  <c r="AK44" s="1"/>
  <c r="AM25" i="37"/>
  <c r="I215" i="17"/>
  <c r="J202"/>
  <c r="J215" s="1"/>
  <c r="AN25" i="37"/>
  <c r="AL36" i="25"/>
  <c r="AL43" s="1"/>
  <c r="AL44" s="1"/>
  <c r="AT15" i="38"/>
  <c r="AZ15" s="1"/>
  <c r="BH15" s="1"/>
  <c r="AP30" i="37"/>
  <c r="AM72"/>
  <c r="AM73" s="1"/>
  <c r="AM111"/>
  <c r="AS29" i="38" s="1"/>
  <c r="AD118" i="37"/>
  <c r="Q188" i="40"/>
  <c r="Q117" i="37"/>
  <c r="Q115"/>
  <c r="D60" i="25"/>
  <c r="D61" s="1"/>
  <c r="E113" i="37"/>
  <c r="E16" s="1"/>
  <c r="E107"/>
  <c r="E227" i="40"/>
  <c r="Q189"/>
  <c r="AC101" i="37"/>
  <c r="AC102" s="1"/>
  <c r="AD157" i="40"/>
  <c r="AD53"/>
  <c r="AD54" s="1"/>
  <c r="AD99" s="1"/>
  <c r="AC10"/>
  <c r="AC232" s="1"/>
  <c r="AC10" i="38" s="1"/>
  <c r="E18" i="40"/>
  <c r="E21" s="1"/>
  <c r="Q185"/>
  <c r="Q34" i="38" s="1"/>
  <c r="Q187" i="40"/>
  <c r="AB128" i="25"/>
  <c r="AD53" i="37"/>
  <c r="AD60" s="1"/>
  <c r="E234" i="40"/>
  <c r="E23" i="38" s="1"/>
  <c r="E70" i="17"/>
  <c r="D185" i="40"/>
  <c r="D34" i="38" s="1"/>
  <c r="E193" i="40"/>
  <c r="E208"/>
  <c r="Q101" i="37"/>
  <c r="Q102" s="1"/>
  <c r="R71"/>
  <c r="R71" i="40"/>
  <c r="R45" i="37"/>
  <c r="R45" i="40"/>
  <c r="R57"/>
  <c r="R57" i="37"/>
  <c r="R51"/>
  <c r="R51" i="40"/>
  <c r="R47" i="37"/>
  <c r="R47" i="40"/>
  <c r="R63"/>
  <c r="R64" s="1"/>
  <c r="R100" s="1"/>
  <c r="R27" i="38" s="1"/>
  <c r="R63" i="37"/>
  <c r="R64" s="1"/>
  <c r="R110" s="1"/>
  <c r="Q177" i="40"/>
  <c r="Q205"/>
  <c r="Q37" i="38" s="1"/>
  <c r="Q192" i="40"/>
  <c r="Q183"/>
  <c r="Q178"/>
  <c r="Q179" s="1"/>
  <c r="Q203"/>
  <c r="Q35" i="38" s="1"/>
  <c r="Q190" i="40"/>
  <c r="Q201" s="1"/>
  <c r="P29" i="37"/>
  <c r="P29" i="40"/>
  <c r="P31" i="37"/>
  <c r="P31" i="40"/>
  <c r="P12" i="37"/>
  <c r="P12" i="40"/>
  <c r="P15" i="37"/>
  <c r="AC113" s="1"/>
  <c r="AC16" s="1"/>
  <c r="P15" i="40"/>
  <c r="AC154" s="1"/>
  <c r="P24"/>
  <c r="P24" i="37"/>
  <c r="P13"/>
  <c r="P13" i="40"/>
  <c r="P28"/>
  <c r="P29" i="25"/>
  <c r="P28" i="37"/>
  <c r="AC100"/>
  <c r="AC116"/>
  <c r="AB12" i="40"/>
  <c r="AB12" i="37"/>
  <c r="AB28" i="40"/>
  <c r="AB28" i="37"/>
  <c r="AB31"/>
  <c r="AB31" i="40"/>
  <c r="AB24"/>
  <c r="AB24" i="37"/>
  <c r="AB29"/>
  <c r="AB29" i="40"/>
  <c r="AB17"/>
  <c r="AB17" i="37"/>
  <c r="AB13"/>
  <c r="AB13" i="40"/>
  <c r="AB56" i="38"/>
  <c r="AB159" i="40"/>
  <c r="AC153"/>
  <c r="AC226"/>
  <c r="AC224"/>
  <c r="AC207"/>
  <c r="AC206"/>
  <c r="AC18"/>
  <c r="AC148"/>
  <c r="AC13" i="38" s="1"/>
  <c r="AD11"/>
  <c r="AD16" i="40"/>
  <c r="AD198"/>
  <c r="Q148"/>
  <c r="Q13" i="38" s="1"/>
  <c r="Q14"/>
  <c r="Q16"/>
  <c r="Q27" i="37"/>
  <c r="Q27" i="40"/>
  <c r="Q235"/>
  <c r="Q24" i="38" s="1"/>
  <c r="AC79" i="40"/>
  <c r="AC48" i="37"/>
  <c r="AC49" s="1"/>
  <c r="AC93" i="40"/>
  <c r="AC84" s="1"/>
  <c r="AC48"/>
  <c r="AC49" s="1"/>
  <c r="AD21" i="37"/>
  <c r="AD120"/>
  <c r="AJ106"/>
  <c r="AJ42"/>
  <c r="AJ89"/>
  <c r="AJ78"/>
  <c r="R168" i="40"/>
  <c r="R91" i="37"/>
  <c r="R171" i="40"/>
  <c r="R94" i="37"/>
  <c r="R93"/>
  <c r="R170" i="40"/>
  <c r="R92" i="37"/>
  <c r="R169" i="40"/>
  <c r="R99" i="37"/>
  <c r="R176" i="40"/>
  <c r="R13" i="37"/>
  <c r="R13" i="40"/>
  <c r="R26" i="37"/>
  <c r="R26" i="40"/>
  <c r="R41" i="25"/>
  <c r="R35" i="40"/>
  <c r="R35" i="37"/>
  <c r="AP16" i="38" s="1"/>
  <c r="R20" i="37"/>
  <c r="R26" i="25"/>
  <c r="R20" i="40"/>
  <c r="R12" i="38" s="1"/>
  <c r="R12" i="40"/>
  <c r="R12" i="37"/>
  <c r="R30"/>
  <c r="R30" i="40"/>
  <c r="R15" i="38" s="1"/>
  <c r="R37" i="25"/>
  <c r="R31" i="40"/>
  <c r="R14" i="38" s="1"/>
  <c r="R31" i="37"/>
  <c r="P156" i="40"/>
  <c r="P79" s="1"/>
  <c r="P223"/>
  <c r="P225"/>
  <c r="P57" i="38"/>
  <c r="P160" i="40"/>
  <c r="P80" s="1"/>
  <c r="P53" i="38"/>
  <c r="O119" i="25"/>
  <c r="O218" i="40" s="1"/>
  <c r="O115" i="25"/>
  <c r="O214" i="40" s="1"/>
  <c r="O120" i="25"/>
  <c r="O219" i="40" s="1"/>
  <c r="O58" i="38" s="1"/>
  <c r="O116" i="25"/>
  <c r="O215" i="40" s="1"/>
  <c r="O54" i="38" s="1"/>
  <c r="O118" i="25"/>
  <c r="O217" i="40" s="1"/>
  <c r="O117" i="25"/>
  <c r="O216" i="40" s="1"/>
  <c r="O55" i="38" s="1"/>
  <c r="N124" i="25"/>
  <c r="N134"/>
  <c r="N7" i="40"/>
  <c r="N7" i="37"/>
  <c r="N114" i="25"/>
  <c r="M7"/>
  <c r="N83"/>
  <c r="N14"/>
  <c r="N31" s="1"/>
  <c r="N9" i="38"/>
  <c r="N48" i="25"/>
  <c r="O130"/>
  <c r="O135"/>
  <c r="O127"/>
  <c r="O126"/>
  <c r="O129"/>
  <c r="O137"/>
  <c r="O138"/>
  <c r="O131"/>
  <c r="O136"/>
  <c r="O20" i="38"/>
  <c r="O33"/>
  <c r="O52"/>
  <c r="O23" i="25"/>
  <c r="O21"/>
  <c r="O24"/>
  <c r="O22"/>
  <c r="O34"/>
  <c r="O40"/>
  <c r="O30"/>
  <c r="O32"/>
  <c r="O28"/>
  <c r="O19"/>
  <c r="O20"/>
  <c r="O33"/>
  <c r="O35"/>
  <c r="O39"/>
  <c r="P173" i="40"/>
  <c r="P96" i="37"/>
  <c r="P175" i="40"/>
  <c r="P98" i="37"/>
  <c r="P95" i="25"/>
  <c r="P92" i="37"/>
  <c r="P169" i="40"/>
  <c r="P172"/>
  <c r="P95" i="37"/>
  <c r="P167" i="40"/>
  <c r="P90" i="37"/>
  <c r="P96" i="25"/>
  <c r="P97" s="1"/>
  <c r="P46" i="40"/>
  <c r="P46" i="37"/>
  <c r="P56"/>
  <c r="P56" i="40"/>
  <c r="P65" i="25"/>
  <c r="P45" i="37"/>
  <c r="P45" i="40"/>
  <c r="P47"/>
  <c r="P47" i="37"/>
  <c r="P68"/>
  <c r="P68" i="40"/>
  <c r="P28" i="38" s="1"/>
  <c r="P71" i="40"/>
  <c r="P71" i="37"/>
  <c r="AC190" i="40"/>
  <c r="AC201" s="1"/>
  <c r="AC203"/>
  <c r="AC35" i="38" s="1"/>
  <c r="AA24" i="25"/>
  <c r="AA22"/>
  <c r="AA20"/>
  <c r="AA19"/>
  <c r="AA39"/>
  <c r="AA34"/>
  <c r="AA35"/>
  <c r="AA32"/>
  <c r="AA23"/>
  <c r="AA33"/>
  <c r="AA21"/>
  <c r="AA30"/>
  <c r="AA40"/>
  <c r="AA28"/>
  <c r="AA130"/>
  <c r="AA127"/>
  <c r="AA137"/>
  <c r="AA129"/>
  <c r="AA131"/>
  <c r="AA126"/>
  <c r="AA125" s="1"/>
  <c r="AA135"/>
  <c r="AA136"/>
  <c r="AA138"/>
  <c r="AA105" i="40"/>
  <c r="AA76"/>
  <c r="AA139"/>
  <c r="AA213"/>
  <c r="AA231"/>
  <c r="AA152"/>
  <c r="AA182"/>
  <c r="AA42"/>
  <c r="AA90"/>
  <c r="AA196"/>
  <c r="AA166"/>
  <c r="AA222"/>
  <c r="AA115" i="25"/>
  <c r="AA214" i="40" s="1"/>
  <c r="AA120" i="25"/>
  <c r="AA219" i="40" s="1"/>
  <c r="AA58" i="38" s="1"/>
  <c r="AA118" i="25"/>
  <c r="AA217" i="40" s="1"/>
  <c r="AA117" i="25"/>
  <c r="AA216" i="40" s="1"/>
  <c r="AA55" i="38" s="1"/>
  <c r="AA116" i="25"/>
  <c r="AA215" i="40" s="1"/>
  <c r="AA54" i="38" s="1"/>
  <c r="AA119" i="25"/>
  <c r="AA218" i="40" s="1"/>
  <c r="AA85" i="25"/>
  <c r="AA94"/>
  <c r="AA88"/>
  <c r="AA86"/>
  <c r="AA92"/>
  <c r="AA90"/>
  <c r="AA93"/>
  <c r="AA89"/>
  <c r="AA91"/>
  <c r="AA87"/>
  <c r="AB97" i="37"/>
  <c r="AB174" i="40"/>
  <c r="AB96" i="25"/>
  <c r="AB97" s="1"/>
  <c r="AB90" i="37"/>
  <c r="AB167" i="40"/>
  <c r="AB172"/>
  <c r="AB95" i="37"/>
  <c r="AB99"/>
  <c r="AB117" s="1"/>
  <c r="AB176" i="40"/>
  <c r="AB98" i="37"/>
  <c r="AB175" i="40"/>
  <c r="AB95" i="25"/>
  <c r="AB47" i="37"/>
  <c r="AB47" i="40"/>
  <c r="AB68" i="37"/>
  <c r="AB68" i="40"/>
  <c r="AB28" i="38" s="1"/>
  <c r="AB71" i="37"/>
  <c r="AB71" i="40"/>
  <c r="AB52"/>
  <c r="AB52" i="37"/>
  <c r="Q6"/>
  <c r="Q6" i="40"/>
  <c r="AB6" i="25"/>
  <c r="P6"/>
  <c r="AC6" i="37"/>
  <c r="AC6" i="40"/>
  <c r="Q147"/>
  <c r="Q37"/>
  <c r="Q37" i="37"/>
  <c r="Q207" i="40"/>
  <c r="Q18"/>
  <c r="Q206"/>
  <c r="Q204"/>
  <c r="Q36" i="38" s="1"/>
  <c r="AC114" i="37"/>
  <c r="AC186" i="40"/>
  <c r="Q29" i="25"/>
  <c r="Q10" i="37"/>
  <c r="Q58" i="40"/>
  <c r="AC161"/>
  <c r="AC60" i="25"/>
  <c r="AD232" i="40"/>
  <c r="AD10" i="38" s="1"/>
  <c r="AD21" i="40"/>
  <c r="AD140" s="1"/>
  <c r="AD82" s="1"/>
  <c r="R68"/>
  <c r="R28" i="38" s="1"/>
  <c r="R68" i="37"/>
  <c r="R56" i="40"/>
  <c r="R56" i="37"/>
  <c r="R65" i="25"/>
  <c r="R52" i="40"/>
  <c r="R52" i="37"/>
  <c r="R55" i="25"/>
  <c r="R56" s="1"/>
  <c r="R44" i="37"/>
  <c r="R44" i="40"/>
  <c r="R94" s="1"/>
  <c r="F19" i="14"/>
  <c r="E19" s="1"/>
  <c r="R46" i="37"/>
  <c r="R46" i="40"/>
  <c r="P18" i="25"/>
  <c r="P25" s="1"/>
  <c r="P11" i="37"/>
  <c r="P11" i="40"/>
  <c r="P20"/>
  <c r="P12" i="38" s="1"/>
  <c r="P20" i="37"/>
  <c r="P26" i="40"/>
  <c r="P26" i="37"/>
  <c r="P41" i="25"/>
  <c r="P35" i="40"/>
  <c r="P35" i="37"/>
  <c r="P17"/>
  <c r="P17" i="40"/>
  <c r="P36"/>
  <c r="P36" i="37"/>
  <c r="P30"/>
  <c r="P30" i="40"/>
  <c r="P15" i="38" s="1"/>
  <c r="AC177" i="40"/>
  <c r="AC204"/>
  <c r="AC36" i="38" s="1"/>
  <c r="AC178" i="40"/>
  <c r="AC179" s="1"/>
  <c r="AC183"/>
  <c r="AC192"/>
  <c r="AC205"/>
  <c r="AC37" i="38" s="1"/>
  <c r="AB36" i="37"/>
  <c r="AB36" i="40"/>
  <c r="AB11"/>
  <c r="AB18" i="25"/>
  <c r="AB25" s="1"/>
  <c r="AB11" i="37"/>
  <c r="AB26"/>
  <c r="AB26" i="40"/>
  <c r="AB15"/>
  <c r="AB15" i="37"/>
  <c r="AB35"/>
  <c r="AB35" i="40"/>
  <c r="AB41" i="25"/>
  <c r="AB20" i="37"/>
  <c r="AB20" i="40"/>
  <c r="AB12" i="38" s="1"/>
  <c r="AB30" i="40"/>
  <c r="AB15" i="38" s="1"/>
  <c r="AB30" i="37"/>
  <c r="AB57" i="38"/>
  <c r="AB156" i="40"/>
  <c r="AB225"/>
  <c r="AB223"/>
  <c r="AB53" i="38"/>
  <c r="AB160" i="40"/>
  <c r="AB80" s="1"/>
  <c r="AC27" i="37"/>
  <c r="AC27" i="40"/>
  <c r="AC147"/>
  <c r="AC37"/>
  <c r="AC37" i="37"/>
  <c r="AC119"/>
  <c r="AC18"/>
  <c r="AC14" i="38"/>
  <c r="AC16"/>
  <c r="AC112" i="37"/>
  <c r="AD197" i="40"/>
  <c r="AD78"/>
  <c r="Q153"/>
  <c r="Q161"/>
  <c r="Q226"/>
  <c r="Q224"/>
  <c r="Q48"/>
  <c r="Q49" s="1"/>
  <c r="Q93"/>
  <c r="Q84" s="1"/>
  <c r="Q122" i="37"/>
  <c r="AD68" i="25"/>
  <c r="AD71"/>
  <c r="AD74" s="1"/>
  <c r="AD77" s="1"/>
  <c r="AD78" s="1"/>
  <c r="AD25" i="37"/>
  <c r="AD32" s="1"/>
  <c r="AD39" s="1"/>
  <c r="AD25" i="40"/>
  <c r="AD36" i="25"/>
  <c r="AD43" s="1"/>
  <c r="AD44" s="1"/>
  <c r="AJ76" i="40"/>
  <c r="I231" i="17"/>
  <c r="G231"/>
  <c r="H8"/>
  <c r="AJ166" i="40"/>
  <c r="AJ115"/>
  <c r="C231" i="17"/>
  <c r="A218"/>
  <c r="AJ123" i="40"/>
  <c r="AJ182"/>
  <c r="AJ231"/>
  <c r="AJ139"/>
  <c r="AJ222"/>
  <c r="I66" i="17"/>
  <c r="AJ131" i="40"/>
  <c r="AJ105"/>
  <c r="AJ42"/>
  <c r="AJ152"/>
  <c r="AJ90"/>
  <c r="E231" i="17"/>
  <c r="K231"/>
  <c r="AJ213" i="40"/>
  <c r="A221" i="17"/>
  <c r="H98"/>
  <c r="H128"/>
  <c r="H37"/>
  <c r="AJ196" i="40"/>
  <c r="AK7"/>
  <c r="AI13" i="25"/>
  <c r="AK9" i="38"/>
  <c r="AK7" i="37"/>
  <c r="AI47" i="25"/>
  <c r="AI101"/>
  <c r="AJ7"/>
  <c r="AI82"/>
  <c r="AI113"/>
  <c r="AJ42" i="38"/>
  <c r="AJ33"/>
  <c r="AJ52"/>
  <c r="AJ20"/>
  <c r="AP9"/>
  <c r="R53"/>
  <c r="R160" i="40"/>
  <c r="R80" s="1"/>
  <c r="F25" i="14"/>
  <c r="E25" s="1"/>
  <c r="D41" i="29"/>
  <c r="F24" i="14"/>
  <c r="E24" s="1"/>
  <c r="R218" i="40"/>
  <c r="AH218" s="1"/>
  <c r="F36" i="14"/>
  <c r="E36" s="1"/>
  <c r="R159" i="40"/>
  <c r="R56" i="38"/>
  <c r="R90" i="37"/>
  <c r="R96" i="25"/>
  <c r="R97" s="1"/>
  <c r="R167" i="40"/>
  <c r="R172"/>
  <c r="R95" i="37"/>
  <c r="R98"/>
  <c r="R175" i="40"/>
  <c r="R95" i="25"/>
  <c r="R173" i="40"/>
  <c r="R96" i="37"/>
  <c r="R97"/>
  <c r="R174" i="40"/>
  <c r="R15"/>
  <c r="E41" i="29"/>
  <c r="E165"/>
  <c r="E169" s="1"/>
  <c r="R15" i="37"/>
  <c r="AC108" s="1"/>
  <c r="F21" i="14"/>
  <c r="E21" s="1"/>
  <c r="E28" s="1"/>
  <c r="R36" i="37"/>
  <c r="R36" i="40"/>
  <c r="R18" i="25"/>
  <c r="R11" i="37"/>
  <c r="R11" i="40"/>
  <c r="R24" i="37"/>
  <c r="R24" i="40"/>
  <c r="R29"/>
  <c r="R29" i="37"/>
  <c r="R28" i="40"/>
  <c r="R28" i="37"/>
  <c r="R17" i="40"/>
  <c r="R17" i="37"/>
  <c r="Q100"/>
  <c r="Q116"/>
  <c r="P56" i="38"/>
  <c r="P159" i="40"/>
  <c r="O76" i="25"/>
  <c r="O73"/>
  <c r="O63"/>
  <c r="O53"/>
  <c r="O64"/>
  <c r="O54"/>
  <c r="O58"/>
  <c r="O59"/>
  <c r="O70"/>
  <c r="O52"/>
  <c r="O51"/>
  <c r="O222" i="40"/>
  <c r="O139"/>
  <c r="O42"/>
  <c r="O182"/>
  <c r="O152"/>
  <c r="O76"/>
  <c r="O196"/>
  <c r="O213"/>
  <c r="O231"/>
  <c r="O166"/>
  <c r="O90"/>
  <c r="O93" i="25"/>
  <c r="O92"/>
  <c r="O91"/>
  <c r="O90"/>
  <c r="O89"/>
  <c r="O86"/>
  <c r="O87"/>
  <c r="O88"/>
  <c r="O85"/>
  <c r="O94"/>
  <c r="O42" i="37"/>
  <c r="O106"/>
  <c r="O89"/>
  <c r="P174" i="40"/>
  <c r="P97" i="37"/>
  <c r="P168" i="40"/>
  <c r="P91" i="37"/>
  <c r="P99"/>
  <c r="P176" i="40"/>
  <c r="P170"/>
  <c r="P93" i="37"/>
  <c r="P171" i="40"/>
  <c r="P94" i="37"/>
  <c r="P55" i="25"/>
  <c r="P56" s="1"/>
  <c r="P44" i="40"/>
  <c r="P44" i="37"/>
  <c r="P52" i="40"/>
  <c r="P52" i="37"/>
  <c r="P63"/>
  <c r="P64" s="1"/>
  <c r="P110" s="1"/>
  <c r="P63" i="40"/>
  <c r="P64" s="1"/>
  <c r="P100" s="1"/>
  <c r="P27" i="38" s="1"/>
  <c r="P51" i="37"/>
  <c r="P51" i="40"/>
  <c r="P57" i="37"/>
  <c r="P57" i="40"/>
  <c r="AA52" i="38"/>
  <c r="AA33"/>
  <c r="AA20"/>
  <c r="AA42"/>
  <c r="Z48" i="25"/>
  <c r="Z124"/>
  <c r="Z134"/>
  <c r="Z102"/>
  <c r="Y7"/>
  <c r="Z7" i="40"/>
  <c r="Z83" i="25"/>
  <c r="Z114"/>
  <c r="Z7" i="37"/>
  <c r="Z14" i="25"/>
  <c r="Z31" s="1"/>
  <c r="Z9" i="38"/>
  <c r="AA106" i="37"/>
  <c r="AA42"/>
  <c r="AA78"/>
  <c r="AA89"/>
  <c r="AA73" i="25"/>
  <c r="AA51"/>
  <c r="AA58"/>
  <c r="AA54"/>
  <c r="AA76"/>
  <c r="AA52"/>
  <c r="AA53"/>
  <c r="AA70"/>
  <c r="AA59"/>
  <c r="AB91" i="37"/>
  <c r="AB168" i="40"/>
  <c r="AB92" i="37"/>
  <c r="AB169" i="40"/>
  <c r="AB170"/>
  <c r="AB93" i="37"/>
  <c r="AB94"/>
  <c r="AB171" i="40"/>
  <c r="AB173"/>
  <c r="AB96" i="37"/>
  <c r="AB46" i="40"/>
  <c r="AB46" i="37"/>
  <c r="AB55" i="25"/>
  <c r="AB56" s="1"/>
  <c r="AB44" i="37"/>
  <c r="AB44" i="40"/>
  <c r="AB45"/>
  <c r="AB45" i="37"/>
  <c r="AB51"/>
  <c r="AB51" i="40"/>
  <c r="AB63" i="37"/>
  <c r="AB64" s="1"/>
  <c r="AB110" s="1"/>
  <c r="AB63" i="40"/>
  <c r="AB64" s="1"/>
  <c r="AB100" s="1"/>
  <c r="AB27" i="38" s="1"/>
  <c r="Q18" i="37"/>
  <c r="Q119"/>
  <c r="AC235" i="40"/>
  <c r="AC24" i="38" s="1"/>
  <c r="AC122" i="37"/>
  <c r="D114"/>
  <c r="E191" i="40"/>
  <c r="E202" s="1"/>
  <c r="E36" i="38" s="1"/>
  <c r="E69" i="17"/>
  <c r="E108" i="37"/>
  <c r="E154" i="40"/>
  <c r="E11" i="38" s="1"/>
  <c r="R125" i="25"/>
  <c r="R128"/>
  <c r="P125"/>
  <c r="P128"/>
  <c r="AC189" i="40"/>
  <c r="AC187"/>
  <c r="Q112" i="37"/>
  <c r="Q60" i="25"/>
  <c r="Q61" s="1"/>
  <c r="Q184" i="40"/>
  <c r="Q114" i="37"/>
  <c r="Q186" i="40"/>
  <c r="AC185"/>
  <c r="AC115" i="37"/>
  <c r="AC188" i="40"/>
  <c r="AC184"/>
  <c r="AB125" i="25"/>
  <c r="AC10" i="37"/>
  <c r="AC29" i="25"/>
  <c r="Q10" i="40"/>
  <c r="Q58" i="37"/>
  <c r="AD209" i="40"/>
  <c r="AD38" i="38" s="1"/>
  <c r="E232" i="40"/>
  <c r="E10" i="38" s="1"/>
  <c r="E26"/>
  <c r="E60" i="40"/>
  <c r="C95" i="37"/>
  <c r="C172" i="40"/>
  <c r="C94" i="37"/>
  <c r="C171" i="40"/>
  <c r="C90" i="37"/>
  <c r="C95" i="25"/>
  <c r="C175" i="40"/>
  <c r="C98" i="37"/>
  <c r="C12"/>
  <c r="C35" i="40"/>
  <c r="D16" i="38"/>
  <c r="D14"/>
  <c r="D99" i="17"/>
  <c r="D148" i="40"/>
  <c r="D13" i="38" s="1"/>
  <c r="D130" i="17"/>
  <c r="D186" i="40"/>
  <c r="D205"/>
  <c r="D37" i="38" s="1"/>
  <c r="D192" i="40"/>
  <c r="D129" i="17"/>
  <c r="D184" i="40"/>
  <c r="E200"/>
  <c r="E81" s="1"/>
  <c r="E157"/>
  <c r="E10" i="17" s="1"/>
  <c r="E158" i="40"/>
  <c r="E79"/>
  <c r="Q158"/>
  <c r="D122" i="37"/>
  <c r="E197" i="40"/>
  <c r="C160"/>
  <c r="C57" i="38"/>
  <c r="C156" i="40"/>
  <c r="D157" s="1"/>
  <c r="D10" i="17" s="1"/>
  <c r="C45" i="40"/>
  <c r="C44" i="37"/>
  <c r="C57" i="40"/>
  <c r="C46" i="37"/>
  <c r="C71"/>
  <c r="B222" i="40"/>
  <c r="B196"/>
  <c r="B20" i="38"/>
  <c r="B52"/>
  <c r="B54" i="25"/>
  <c r="B119"/>
  <c r="B218" i="40" s="1"/>
  <c r="B117" i="25"/>
  <c r="B216" i="40" s="1"/>
  <c r="B55" i="38" s="1"/>
  <c r="B118" i="25"/>
  <c r="B217" i="40" s="1"/>
  <c r="B116" i="25"/>
  <c r="B215" i="40" s="1"/>
  <c r="B54" i="38" s="1"/>
  <c r="B115" i="25"/>
  <c r="B214" i="40" s="1"/>
  <c r="B120" i="25"/>
  <c r="B219" i="40" s="1"/>
  <c r="B58" i="38" s="1"/>
  <c r="D18" i="37"/>
  <c r="D119"/>
  <c r="D224" i="40"/>
  <c r="D38" i="17"/>
  <c r="D161" i="40"/>
  <c r="D153"/>
  <c r="D226"/>
  <c r="D27" i="37"/>
  <c r="D27" i="40"/>
  <c r="D203"/>
  <c r="D35" i="38" s="1"/>
  <c r="D190" i="40"/>
  <c r="D201" s="1"/>
  <c r="D177"/>
  <c r="D204"/>
  <c r="D100" i="37"/>
  <c r="D116"/>
  <c r="D183" i="40"/>
  <c r="D178"/>
  <c r="D179" s="1"/>
  <c r="E179"/>
  <c r="E134" i="17"/>
  <c r="E38" i="38"/>
  <c r="D26"/>
  <c r="D48" i="37"/>
  <c r="D49" s="1"/>
  <c r="D79" i="40"/>
  <c r="D10" i="37"/>
  <c r="E209" i="40"/>
  <c r="E118" i="37"/>
  <c r="C128" i="25"/>
  <c r="E68" i="17"/>
  <c r="E101"/>
  <c r="C91" i="37"/>
  <c r="C174" i="40"/>
  <c r="C170"/>
  <c r="C169"/>
  <c r="C99" i="37"/>
  <c r="C176" i="40"/>
  <c r="C11"/>
  <c r="C20" i="37"/>
  <c r="C20" i="40"/>
  <c r="C29"/>
  <c r="D112" i="37"/>
  <c r="D147" i="40"/>
  <c r="D131" i="17"/>
  <c r="D187" i="40"/>
  <c r="F113" i="25"/>
  <c r="S113" s="1"/>
  <c r="S82"/>
  <c r="S101" s="1"/>
  <c r="D235" i="40"/>
  <c r="D24" i="38" s="1"/>
  <c r="E21" i="37"/>
  <c r="E120"/>
  <c r="E146" i="40"/>
  <c r="E163"/>
  <c r="AH215"/>
  <c r="C58" i="38"/>
  <c r="AH58" s="1"/>
  <c r="AH219" i="40"/>
  <c r="C52"/>
  <c r="C52" i="37"/>
  <c r="C51" i="40"/>
  <c r="C51" i="37"/>
  <c r="C63"/>
  <c r="C63" i="40"/>
  <c r="C68"/>
  <c r="C56" i="37"/>
  <c r="C56" i="40"/>
  <c r="B137" i="25"/>
  <c r="B32"/>
  <c r="B40"/>
  <c r="B21"/>
  <c r="B91"/>
  <c r="B87"/>
  <c r="B92"/>
  <c r="B88"/>
  <c r="B94"/>
  <c r="B93"/>
  <c r="B89"/>
  <c r="B85"/>
  <c r="B90"/>
  <c r="B86"/>
  <c r="D207" i="40"/>
  <c r="D206"/>
  <c r="D18"/>
  <c r="D188"/>
  <c r="D132" i="17"/>
  <c r="D133"/>
  <c r="D189" i="40"/>
  <c r="D48"/>
  <c r="D49" s="1"/>
  <c r="D93"/>
  <c r="D84" s="1"/>
  <c r="E53" i="37"/>
  <c r="E54" s="1"/>
  <c r="D115"/>
  <c r="D101"/>
  <c r="D102" s="1"/>
  <c r="E32"/>
  <c r="AB58" l="1"/>
  <c r="AB94" i="40"/>
  <c r="AB95"/>
  <c r="AD96"/>
  <c r="AD97"/>
  <c r="AD94"/>
  <c r="AD95"/>
  <c r="AB96"/>
  <c r="AC94"/>
  <c r="AC96"/>
  <c r="AB97"/>
  <c r="AC95"/>
  <c r="AC97"/>
  <c r="AC25" i="38" s="1"/>
  <c r="AK49"/>
  <c r="AK112" i="40" s="1"/>
  <c r="AJ58" i="38"/>
  <c r="AJ219" i="40" s="1"/>
  <c r="AK173"/>
  <c r="I133" i="17" s="1"/>
  <c r="P97" i="40"/>
  <c r="P94"/>
  <c r="P96"/>
  <c r="AH222"/>
  <c r="AL167"/>
  <c r="AL29" i="38"/>
  <c r="AH106" i="37"/>
  <c r="AM49" i="38"/>
  <c r="AM112" i="40" s="1"/>
  <c r="AM27" i="38"/>
  <c r="AJ53"/>
  <c r="AJ214" i="40" s="1"/>
  <c r="AJ160" s="1"/>
  <c r="AK26" i="38"/>
  <c r="AK58" i="40" s="1"/>
  <c r="AN56" i="38"/>
  <c r="AN217" i="40" s="1"/>
  <c r="AN159" s="1"/>
  <c r="AK43" i="38"/>
  <c r="AK106" i="40" s="1"/>
  <c r="P95"/>
  <c r="AH213"/>
  <c r="AM58" i="38"/>
  <c r="AM219" i="40" s="1"/>
  <c r="AM10" i="38"/>
  <c r="AN49"/>
  <c r="AN112" i="40" s="1"/>
  <c r="AN48" i="38"/>
  <c r="AN111" i="40" s="1"/>
  <c r="AN117" s="1"/>
  <c r="AL13" i="38"/>
  <c r="AM48"/>
  <c r="AM111" i="40" s="1"/>
  <c r="AM117" s="1"/>
  <c r="AK15" i="38"/>
  <c r="AK29"/>
  <c r="AN28"/>
  <c r="AN68" i="40" s="1"/>
  <c r="AK57" i="38"/>
  <c r="AK218" i="40" s="1"/>
  <c r="AK156" s="1"/>
  <c r="AK13" i="38"/>
  <c r="AC155" i="40"/>
  <c r="AH196"/>
  <c r="AK24" i="38"/>
  <c r="AK28"/>
  <c r="AK68" i="40" s="1"/>
  <c r="AL10" i="38"/>
  <c r="AJ28"/>
  <c r="AJ68" i="40" s="1"/>
  <c r="AL43" i="38"/>
  <c r="AL106" i="40" s="1"/>
  <c r="AK23" i="38"/>
  <c r="AK27"/>
  <c r="AL47"/>
  <c r="AL110" i="40" s="1"/>
  <c r="AM57" i="38"/>
  <c r="AM218" i="40" s="1"/>
  <c r="AM156" s="1"/>
  <c r="AJ14" i="38"/>
  <c r="AJ31" i="40" s="1"/>
  <c r="AJ49" i="38"/>
  <c r="AJ112" i="40" s="1"/>
  <c r="AN55" i="38"/>
  <c r="AN216" i="40" s="1"/>
  <c r="AN24" i="38"/>
  <c r="AN37"/>
  <c r="AN47"/>
  <c r="AN110" i="40" s="1"/>
  <c r="AK46" i="38"/>
  <c r="AK109" i="40" s="1"/>
  <c r="AM44" i="38"/>
  <c r="AM107" i="40" s="1"/>
  <c r="AM133" s="1"/>
  <c r="AL16" i="38"/>
  <c r="AM25"/>
  <c r="AL46"/>
  <c r="AL109" i="40" s="1"/>
  <c r="AJ173"/>
  <c r="H133" i="17" s="1"/>
  <c r="AN173" i="40"/>
  <c r="L133" i="17" s="1"/>
  <c r="AK12" i="38"/>
  <c r="AK20" i="40" s="1"/>
  <c r="AA65" i="25"/>
  <c r="AA56" i="40"/>
  <c r="Z63" i="25"/>
  <c r="Z56" i="40" s="1"/>
  <c r="Z64" i="25"/>
  <c r="AA57" i="40"/>
  <c r="AA57" i="37"/>
  <c r="AA56"/>
  <c r="E32" i="40"/>
  <c r="E39" s="1"/>
  <c r="B89" i="37"/>
  <c r="B129" i="25"/>
  <c r="C31" i="40"/>
  <c r="B64" i="25"/>
  <c r="C47" i="40"/>
  <c r="C173"/>
  <c r="AH68" i="37"/>
  <c r="B33" i="25"/>
  <c r="B24"/>
  <c r="B28"/>
  <c r="B34"/>
  <c r="C65"/>
  <c r="D37" i="37"/>
  <c r="AH166" i="40"/>
  <c r="AH76"/>
  <c r="AH182"/>
  <c r="AL57" i="38"/>
  <c r="AL218" i="40" s="1"/>
  <c r="AL156" s="1"/>
  <c r="AL55" i="38"/>
  <c r="AL216" i="40" s="1"/>
  <c r="AK172"/>
  <c r="I132" i="17" s="1"/>
  <c r="AM23" i="38"/>
  <c r="AN16"/>
  <c r="AM46"/>
  <c r="AM109" i="40" s="1"/>
  <c r="AN167"/>
  <c r="AJ46" i="38"/>
  <c r="AJ109" i="40" s="1"/>
  <c r="AL37" i="38"/>
  <c r="AJ37"/>
  <c r="AJ167" i="40"/>
  <c r="AP167" s="1"/>
  <c r="AL170"/>
  <c r="J130" i="17" s="1"/>
  <c r="AJ57" i="38"/>
  <c r="AJ218" i="40" s="1"/>
  <c r="AL15" i="38"/>
  <c r="AK44"/>
  <c r="AK107" i="40" s="1"/>
  <c r="AK133" s="1"/>
  <c r="AL25" i="38"/>
  <c r="AL48"/>
  <c r="AL111" i="40" s="1"/>
  <c r="AL117" s="1"/>
  <c r="AJ15" i="38"/>
  <c r="AN53"/>
  <c r="AN214" i="40" s="1"/>
  <c r="AN160" s="1"/>
  <c r="AN80" s="1"/>
  <c r="AM22" i="38"/>
  <c r="AM29"/>
  <c r="AM43"/>
  <c r="AM106" i="40" s="1"/>
  <c r="AK55" i="38"/>
  <c r="AK216" i="40" s="1"/>
  <c r="AN36" i="38"/>
  <c r="AL26"/>
  <c r="AL58" i="40" s="1"/>
  <c r="AJ16" i="38"/>
  <c r="AL28"/>
  <c r="AL68" i="40" s="1"/>
  <c r="AN168"/>
  <c r="L129" i="17" s="1"/>
  <c r="AK168" i="40"/>
  <c r="I129" i="17" s="1"/>
  <c r="AM26" i="38"/>
  <c r="AM58" i="40" s="1"/>
  <c r="AM54" i="38"/>
  <c r="AM215" i="40" s="1"/>
  <c r="AJ26" i="38"/>
  <c r="AJ58" i="40" s="1"/>
  <c r="AM55" i="38"/>
  <c r="AM216" i="40" s="1"/>
  <c r="AM171"/>
  <c r="K131" i="17" s="1"/>
  <c r="AM13" i="38"/>
  <c r="AM167" i="40"/>
  <c r="AN26" i="38"/>
  <c r="AN58" i="40" s="1"/>
  <c r="AM172"/>
  <c r="K132" i="17" s="1"/>
  <c r="AL173" i="40"/>
  <c r="J133" i="17" s="1"/>
  <c r="AN54" i="38"/>
  <c r="AN215" i="40" s="1"/>
  <c r="AJ56" i="38"/>
  <c r="AJ217" i="40" s="1"/>
  <c r="AJ159" s="1"/>
  <c r="AM28" i="38"/>
  <c r="AM68" i="40" s="1"/>
  <c r="AL34" i="38"/>
  <c r="AJ48"/>
  <c r="AJ111" i="40" s="1"/>
  <c r="AJ117" s="1"/>
  <c r="C30"/>
  <c r="D25" i="37"/>
  <c r="E109" s="1"/>
  <c r="B76" i="40"/>
  <c r="B42"/>
  <c r="B152"/>
  <c r="C223"/>
  <c r="AH223" s="1"/>
  <c r="C53" i="38"/>
  <c r="AH53" s="1"/>
  <c r="E34"/>
  <c r="C26" i="40"/>
  <c r="AH26" s="1"/>
  <c r="C15" i="37"/>
  <c r="D107" s="1"/>
  <c r="C125" i="25"/>
  <c r="C55"/>
  <c r="C56" s="1"/>
  <c r="D67"/>
  <c r="D71" s="1"/>
  <c r="D74" s="1"/>
  <c r="D77" s="1"/>
  <c r="D78" s="1"/>
  <c r="D121" i="37"/>
  <c r="B42"/>
  <c r="B126" i="25"/>
  <c r="B136"/>
  <c r="AH216" i="40"/>
  <c r="E199"/>
  <c r="C24"/>
  <c r="B58" i="25"/>
  <c r="B51" i="40" s="1"/>
  <c r="B70" i="25"/>
  <c r="B59"/>
  <c r="B52" i="37" s="1"/>
  <c r="C159" i="40"/>
  <c r="C17" i="37"/>
  <c r="C18" s="1"/>
  <c r="C28"/>
  <c r="AH28" s="1"/>
  <c r="C36" i="40"/>
  <c r="AH95" i="37"/>
  <c r="E67" i="25"/>
  <c r="D43"/>
  <c r="D44" s="1"/>
  <c r="B23"/>
  <c r="B17" i="40" s="1"/>
  <c r="B39" i="25"/>
  <c r="B20"/>
  <c r="B12" i="37" s="1"/>
  <c r="B35" i="25"/>
  <c r="B22"/>
  <c r="B15" i="37" s="1"/>
  <c r="C108" s="1"/>
  <c r="AH108" s="1"/>
  <c r="B19" i="25"/>
  <c r="B30"/>
  <c r="B29" s="1"/>
  <c r="C54" i="38"/>
  <c r="AH54" s="1"/>
  <c r="Q21"/>
  <c r="D200" i="40"/>
  <c r="D81" s="1"/>
  <c r="AH139"/>
  <c r="AH42"/>
  <c r="AH9" i="38" s="1"/>
  <c r="AH33" s="1"/>
  <c r="AH90" i="40"/>
  <c r="AH231"/>
  <c r="AM16" i="38"/>
  <c r="AJ13"/>
  <c r="AK25"/>
  <c r="AM24"/>
  <c r="AN170" i="40"/>
  <c r="L130" i="17" s="1"/>
  <c r="AN22" i="38"/>
  <c r="AL56"/>
  <c r="AL217" i="40" s="1"/>
  <c r="AL159" s="1"/>
  <c r="AL24" i="38"/>
  <c r="AN172" i="40"/>
  <c r="L132" i="17" s="1"/>
  <c r="AJ172" i="40"/>
  <c r="H132" i="17" s="1"/>
  <c r="AJ27" i="38"/>
  <c r="AN171" i="40"/>
  <c r="L131" i="17" s="1"/>
  <c r="AK48" i="38"/>
  <c r="AK111" i="40" s="1"/>
  <c r="AK117" s="1"/>
  <c r="AJ12" i="38"/>
  <c r="AJ20" i="40" s="1"/>
  <c r="AM168"/>
  <c r="K129" i="17" s="1"/>
  <c r="AK22" i="38"/>
  <c r="AL44"/>
  <c r="AL107" i="40" s="1"/>
  <c r="AL133" s="1"/>
  <c r="AM53" i="38"/>
  <c r="AM214" i="40" s="1"/>
  <c r="AM160" s="1"/>
  <c r="AM80" s="1"/>
  <c r="AN27" i="38"/>
  <c r="AJ10"/>
  <c r="AL22"/>
  <c r="AN34"/>
  <c r="AL11"/>
  <c r="AL35"/>
  <c r="AN45"/>
  <c r="AN108" i="40" s="1"/>
  <c r="AJ43" i="38"/>
  <c r="AJ106" i="40" s="1"/>
  <c r="AK170"/>
  <c r="I130" i="17" s="1"/>
  <c r="AL27" i="38"/>
  <c r="AJ45"/>
  <c r="AJ108" i="40" s="1"/>
  <c r="AL168"/>
  <c r="J129" i="17" s="1"/>
  <c r="AL172" i="40"/>
  <c r="J132" i="17" s="1"/>
  <c r="AK167" i="40"/>
  <c r="AJ36" i="38"/>
  <c r="AN43"/>
  <c r="AN106" i="40" s="1"/>
  <c r="AK47" i="38"/>
  <c r="AK110" i="40" s="1"/>
  <c r="AM170"/>
  <c r="K130" i="17" s="1"/>
  <c r="AK16" i="38"/>
  <c r="AM36"/>
  <c r="AM47"/>
  <c r="AM110" i="40" s="1"/>
  <c r="AM11" i="38"/>
  <c r="AK36"/>
  <c r="AK58"/>
  <c r="AK219" i="40" s="1"/>
  <c r="AM15" i="38"/>
  <c r="AJ24"/>
  <c r="AM173" i="40"/>
  <c r="K133" i="17" s="1"/>
  <c r="AL49" i="38"/>
  <c r="AL112" i="40" s="1"/>
  <c r="AJ34" i="38"/>
  <c r="AL53"/>
  <c r="AL214" i="40" s="1"/>
  <c r="AL160" s="1"/>
  <c r="AL80" s="1"/>
  <c r="AN57" i="38"/>
  <c r="AN218" i="40" s="1"/>
  <c r="AN156" s="1"/>
  <c r="AJ47" i="38"/>
  <c r="AJ110" i="40" s="1"/>
  <c r="AM37" i="38"/>
  <c r="AN23"/>
  <c r="AL54"/>
  <c r="AL215" i="40" s="1"/>
  <c r="AK171"/>
  <c r="I131" i="17" s="1"/>
  <c r="AM45" i="38"/>
  <c r="AM108" i="40" s="1"/>
  <c r="AN35" i="38"/>
  <c r="AN15"/>
  <c r="AM21"/>
  <c r="AL36"/>
  <c r="AM35"/>
  <c r="AL58"/>
  <c r="AL219" i="40" s="1"/>
  <c r="AN25" i="38"/>
  <c r="AK21"/>
  <c r="AK56"/>
  <c r="AK217" i="40" s="1"/>
  <c r="AK159" s="1"/>
  <c r="AL45" i="38"/>
  <c r="AL108" i="40" s="1"/>
  <c r="AJ170"/>
  <c r="H130" i="17" s="1"/>
  <c r="AL21" i="38"/>
  <c r="AN11"/>
  <c r="AK10"/>
  <c r="AM34"/>
  <c r="AJ44"/>
  <c r="AJ107" i="40" s="1"/>
  <c r="AJ133" s="1"/>
  <c r="AK14" i="38"/>
  <c r="AK31" i="40" s="1"/>
  <c r="AK34" i="38"/>
  <c r="AK37"/>
  <c r="AJ55"/>
  <c r="AJ216" i="40" s="1"/>
  <c r="AN44" i="38"/>
  <c r="AN107" i="40" s="1"/>
  <c r="AN133" s="1"/>
  <c r="AM56" i="38"/>
  <c r="AM217" i="40" s="1"/>
  <c r="AM159" s="1"/>
  <c r="AK45" i="38"/>
  <c r="AK108" i="40" s="1"/>
  <c r="AN58" i="38"/>
  <c r="AN219" i="40" s="1"/>
  <c r="AJ54" i="38"/>
  <c r="AJ215" i="40" s="1"/>
  <c r="AP215" s="1"/>
  <c r="AJ171"/>
  <c r="H131" i="17" s="1"/>
  <c r="AN10" i="38"/>
  <c r="AN29"/>
  <c r="AK11"/>
  <c r="AN13"/>
  <c r="AN21"/>
  <c r="AN46"/>
  <c r="AN109" i="40" s="1"/>
  <c r="AK53" i="38"/>
  <c r="AK214" i="40" s="1"/>
  <c r="AK160" s="1"/>
  <c r="AK80" s="1"/>
  <c r="AL23" i="38"/>
  <c r="AL171" i="40"/>
  <c r="J131" i="17" s="1"/>
  <c r="AJ168" i="40"/>
  <c r="H129" i="17" s="1"/>
  <c r="C26" i="25"/>
  <c r="D25" i="40"/>
  <c r="D100" i="17" s="1"/>
  <c r="B213" i="40"/>
  <c r="B166"/>
  <c r="B139"/>
  <c r="B90"/>
  <c r="B231"/>
  <c r="AH89" i="37"/>
  <c r="C41" i="25"/>
  <c r="AH36" i="40"/>
  <c r="AJ35"/>
  <c r="AK35" s="1"/>
  <c r="AL35" s="1"/>
  <c r="AM35" s="1"/>
  <c r="AN35" s="1"/>
  <c r="C96" i="25"/>
  <c r="C97" s="1"/>
  <c r="C18"/>
  <c r="AH36" i="37"/>
  <c r="C25" i="25"/>
  <c r="E39" i="37"/>
  <c r="B127" i="25"/>
  <c r="B125" s="1"/>
  <c r="B135"/>
  <c r="B131"/>
  <c r="B128" s="1"/>
  <c r="B138"/>
  <c r="E67" i="17"/>
  <c r="E71" s="1"/>
  <c r="C37" i="25"/>
  <c r="C13" i="40"/>
  <c r="AH13" s="1"/>
  <c r="C168"/>
  <c r="AH168" s="1"/>
  <c r="B51" i="25"/>
  <c r="B44" i="40" s="1"/>
  <c r="B76" i="25"/>
  <c r="B71" i="40" s="1"/>
  <c r="B63" i="25"/>
  <c r="B65" s="1"/>
  <c r="B53"/>
  <c r="B52"/>
  <c r="B45" i="40" s="1"/>
  <c r="AH217"/>
  <c r="Q83"/>
  <c r="C29" i="25"/>
  <c r="C36" s="1"/>
  <c r="B165" i="29"/>
  <c r="B169" s="1"/>
  <c r="C162" i="40" s="1"/>
  <c r="AH162" s="1"/>
  <c r="E83"/>
  <c r="AB114" i="37"/>
  <c r="P188" i="40"/>
  <c r="D227"/>
  <c r="AH31" i="37"/>
  <c r="AH29"/>
  <c r="AH30"/>
  <c r="AH93"/>
  <c r="E25" i="38"/>
  <c r="AB187" i="40"/>
  <c r="AB185"/>
  <c r="AB34" i="38" s="1"/>
  <c r="AB184" i="40"/>
  <c r="AB10" i="37"/>
  <c r="AB120" s="1"/>
  <c r="Q200" i="40"/>
  <c r="Q81" s="1"/>
  <c r="Q163"/>
  <c r="D208"/>
  <c r="AH29"/>
  <c r="AH159"/>
  <c r="AH35"/>
  <c r="AH12" i="37"/>
  <c r="P115"/>
  <c r="R10" i="40"/>
  <c r="R232" s="1"/>
  <c r="R10" i="38" s="1"/>
  <c r="Q53" i="37"/>
  <c r="Q54" s="1"/>
  <c r="AD54"/>
  <c r="E198" i="40"/>
  <c r="P10" i="37"/>
  <c r="P120" s="1"/>
  <c r="AC21" i="40"/>
  <c r="AC77" s="1"/>
  <c r="D158"/>
  <c r="AM32" i="37"/>
  <c r="AM39" s="1"/>
  <c r="AN109"/>
  <c r="AT22" i="38" s="1"/>
  <c r="AM109" i="37"/>
  <c r="AS22" i="38" s="1"/>
  <c r="AP29"/>
  <c r="AV29" s="1"/>
  <c r="AP111" i="37"/>
  <c r="D209" i="40"/>
  <c r="AN32" i="37"/>
  <c r="AP25"/>
  <c r="AJ73"/>
  <c r="AP73" s="1"/>
  <c r="AP72"/>
  <c r="D108"/>
  <c r="D113"/>
  <c r="D16" s="1"/>
  <c r="D154" i="40"/>
  <c r="D9" i="17" s="1"/>
  <c r="AB189" i="40"/>
  <c r="AB186"/>
  <c r="AB10"/>
  <c r="AB232" s="1"/>
  <c r="AB10" i="38" s="1"/>
  <c r="R58" i="40"/>
  <c r="R26" i="38" s="1"/>
  <c r="AD60" i="40"/>
  <c r="AD66" s="1"/>
  <c r="E144"/>
  <c r="E233"/>
  <c r="E140"/>
  <c r="E82" s="1"/>
  <c r="E142"/>
  <c r="D39" i="17"/>
  <c r="AH13" i="37"/>
  <c r="AH57" i="40"/>
  <c r="AH56" i="38"/>
  <c r="E9" i="17"/>
  <c r="AH26" i="37"/>
  <c r="AH35"/>
  <c r="AH12" i="40"/>
  <c r="P187"/>
  <c r="P186"/>
  <c r="P117" i="37"/>
  <c r="P184" i="40"/>
  <c r="R115" i="37"/>
  <c r="P10" i="40"/>
  <c r="P232" s="1"/>
  <c r="P10" i="38" s="1"/>
  <c r="P185" i="40"/>
  <c r="P34" i="38" s="1"/>
  <c r="P189" i="40"/>
  <c r="D25" i="38"/>
  <c r="D21"/>
  <c r="D69" i="17"/>
  <c r="D32" i="37"/>
  <c r="D39" s="1"/>
  <c r="AP68" i="40"/>
  <c r="C43" i="25"/>
  <c r="D234" i="40"/>
  <c r="D23" i="38" s="1"/>
  <c r="D191" i="40"/>
  <c r="D202" s="1"/>
  <c r="D36" i="38" s="1"/>
  <c r="D193" i="40"/>
  <c r="D155"/>
  <c r="AH28"/>
  <c r="AB234"/>
  <c r="AB23" i="38" s="1"/>
  <c r="AH20" i="37"/>
  <c r="AH91"/>
  <c r="AH57"/>
  <c r="E16" i="40"/>
  <c r="P158"/>
  <c r="AH94" i="37"/>
  <c r="AH96"/>
  <c r="AC121"/>
  <c r="AC53"/>
  <c r="AC60" s="1"/>
  <c r="AC53" i="40"/>
  <c r="AC54" s="1"/>
  <c r="AC99" s="1"/>
  <c r="AB121" i="37"/>
  <c r="P48"/>
  <c r="P49" s="1"/>
  <c r="AC209" i="40"/>
  <c r="AC38" i="38" s="1"/>
  <c r="R10" i="37"/>
  <c r="R120" s="1"/>
  <c r="R58"/>
  <c r="P114"/>
  <c r="O125" i="25"/>
  <c r="P112" i="37"/>
  <c r="AC25"/>
  <c r="AC32" s="1"/>
  <c r="AC39" s="1"/>
  <c r="AC25" i="40"/>
  <c r="AD98" s="1"/>
  <c r="AC36" i="25"/>
  <c r="AC43" s="1"/>
  <c r="AC44" s="1"/>
  <c r="AC200" i="40"/>
  <c r="AC81" s="1"/>
  <c r="AC34" i="38"/>
  <c r="AB122" i="37"/>
  <c r="AB107"/>
  <c r="AB48"/>
  <c r="AB49" s="1"/>
  <c r="AA52"/>
  <c r="AA52" i="40"/>
  <c r="AA46"/>
  <c r="AA46" i="37"/>
  <c r="AA71"/>
  <c r="AA71" i="40"/>
  <c r="AA51"/>
  <c r="AA51" i="37"/>
  <c r="AA68" i="40"/>
  <c r="AA28" i="38" s="1"/>
  <c r="AA68" i="37"/>
  <c r="Z39" i="25"/>
  <c r="Z21"/>
  <c r="Z22"/>
  <c r="Z23"/>
  <c r="Z33"/>
  <c r="Z34"/>
  <c r="Z20"/>
  <c r="Z32"/>
  <c r="Z40"/>
  <c r="Z28"/>
  <c r="Z24"/>
  <c r="Z35"/>
  <c r="Z30"/>
  <c r="Z19"/>
  <c r="Z115"/>
  <c r="Z214" i="40" s="1"/>
  <c r="Z116" i="25"/>
  <c r="Z215" i="40" s="1"/>
  <c r="Z54" i="38" s="1"/>
  <c r="Z118" i="25"/>
  <c r="Z217" i="40" s="1"/>
  <c r="Z120" i="25"/>
  <c r="Z219" i="40" s="1"/>
  <c r="Z58" i="38" s="1"/>
  <c r="Z119" i="25"/>
  <c r="Z218" i="40" s="1"/>
  <c r="Z117" i="25"/>
  <c r="Z216" i="40" s="1"/>
  <c r="Z55" i="38" s="1"/>
  <c r="Z166" i="40"/>
  <c r="Z90"/>
  <c r="Z196"/>
  <c r="Z231"/>
  <c r="Z182"/>
  <c r="Z105"/>
  <c r="Z222"/>
  <c r="Z139"/>
  <c r="Z213"/>
  <c r="Z76"/>
  <c r="Z152"/>
  <c r="Z42"/>
  <c r="Z138" i="25"/>
  <c r="Z137"/>
  <c r="Z131"/>
  <c r="Z129"/>
  <c r="Z126"/>
  <c r="Z130"/>
  <c r="Z136"/>
  <c r="Z135"/>
  <c r="Z127"/>
  <c r="P122" i="37"/>
  <c r="P93" i="40"/>
  <c r="P84" s="1"/>
  <c r="P48"/>
  <c r="P49" s="1"/>
  <c r="P192"/>
  <c r="P205"/>
  <c r="P37" i="38" s="1"/>
  <c r="O96" i="25"/>
  <c r="O97" s="1"/>
  <c r="O167" i="40"/>
  <c r="O90" i="37"/>
  <c r="O92"/>
  <c r="O169" i="40"/>
  <c r="O171"/>
  <c r="O94" i="37"/>
  <c r="O173" i="40"/>
  <c r="O96" i="37"/>
  <c r="O98"/>
  <c r="O95" i="25"/>
  <c r="O175" i="40"/>
  <c r="O44"/>
  <c r="O44" i="37"/>
  <c r="O55" i="25"/>
  <c r="O56" s="1"/>
  <c r="O63" i="40"/>
  <c r="O64" s="1"/>
  <c r="O100" s="1"/>
  <c r="O27" i="38" s="1"/>
  <c r="O63" i="37"/>
  <c r="O64" s="1"/>
  <c r="O110" s="1"/>
  <c r="O51"/>
  <c r="O51" i="40"/>
  <c r="O57" i="37"/>
  <c r="O57" i="40"/>
  <c r="O65" i="25"/>
  <c r="O56" i="37"/>
  <c r="O56" i="40"/>
  <c r="O71" i="37"/>
  <c r="O71" i="40"/>
  <c r="R18"/>
  <c r="R206"/>
  <c r="R207"/>
  <c r="R27"/>
  <c r="R27" i="37"/>
  <c r="R112"/>
  <c r="R190" i="40"/>
  <c r="R201" s="1"/>
  <c r="R203"/>
  <c r="R35" i="38" s="1"/>
  <c r="F132" i="17"/>
  <c r="R188" i="40"/>
  <c r="AL9" i="38"/>
  <c r="AJ101" i="25"/>
  <c r="AK7"/>
  <c r="AJ82"/>
  <c r="AL7" i="40"/>
  <c r="AJ13" i="25"/>
  <c r="AL7" i="37"/>
  <c r="AJ113" i="25"/>
  <c r="AJ47"/>
  <c r="AK42" i="38"/>
  <c r="AK52"/>
  <c r="AQ9"/>
  <c r="AK33"/>
  <c r="AK20"/>
  <c r="F231" i="17"/>
  <c r="AK182" i="40"/>
  <c r="I37" i="17"/>
  <c r="AK196" i="40"/>
  <c r="AK42"/>
  <c r="AK76"/>
  <c r="AK105"/>
  <c r="AK152"/>
  <c r="AK166"/>
  <c r="AK115"/>
  <c r="D231" i="17"/>
  <c r="I8"/>
  <c r="I98"/>
  <c r="AK222" i="40"/>
  <c r="L231" i="17"/>
  <c r="J231"/>
  <c r="AK139" i="40"/>
  <c r="J66" i="17"/>
  <c r="AK123" i="40"/>
  <c r="I128" i="17"/>
  <c r="AK213" i="40"/>
  <c r="AK231"/>
  <c r="AK90"/>
  <c r="H231" i="17"/>
  <c r="AK131" i="40"/>
  <c r="AD32"/>
  <c r="AD39" s="1"/>
  <c r="AD146"/>
  <c r="AD142"/>
  <c r="P18" i="37"/>
  <c r="P119"/>
  <c r="P25"/>
  <c r="P32" s="1"/>
  <c r="P25" i="40"/>
  <c r="R48" i="37"/>
  <c r="R49" s="1"/>
  <c r="R107"/>
  <c r="Q36" i="25"/>
  <c r="Q43" s="1"/>
  <c r="Q44" s="1"/>
  <c r="Q25" i="40"/>
  <c r="Q25" i="37"/>
  <c r="Q32" s="1"/>
  <c r="Q39" s="1"/>
  <c r="AB6" i="40"/>
  <c r="O6" i="25"/>
  <c r="AA6"/>
  <c r="AB6" i="37"/>
  <c r="AB177" i="40"/>
  <c r="AB204"/>
  <c r="AB36" i="38" s="1"/>
  <c r="AB192" i="40"/>
  <c r="AB205"/>
  <c r="AB37" i="38" s="1"/>
  <c r="AB183" i="40"/>
  <c r="AB178"/>
  <c r="AB179" s="1"/>
  <c r="AA96" i="37"/>
  <c r="AA173" i="40"/>
  <c r="AA175"/>
  <c r="AA95" i="25"/>
  <c r="AA98" i="37"/>
  <c r="AA97"/>
  <c r="AA174" i="40"/>
  <c r="AA170"/>
  <c r="AA93" i="37"/>
  <c r="AA96" i="25"/>
  <c r="AA97" s="1"/>
  <c r="AA90" i="37"/>
  <c r="AA167" i="40"/>
  <c r="AA56" i="38"/>
  <c r="AA159" i="40"/>
  <c r="AA160"/>
  <c r="AA80" s="1"/>
  <c r="AA53" i="38"/>
  <c r="AA24" i="37"/>
  <c r="AA24" i="40"/>
  <c r="AA26"/>
  <c r="AA26" i="37"/>
  <c r="AA29" i="40"/>
  <c r="AA29" i="37"/>
  <c r="AA29" i="25"/>
  <c r="AA28" i="40"/>
  <c r="AA28" i="37"/>
  <c r="AA30"/>
  <c r="AA30" i="40"/>
  <c r="AA15" i="38" s="1"/>
  <c r="AA11" i="37"/>
  <c r="AA11" i="40"/>
  <c r="AA18" i="25"/>
  <c r="AA25" s="1"/>
  <c r="AA15" i="37"/>
  <c r="AA15" i="40"/>
  <c r="P177"/>
  <c r="P204"/>
  <c r="P36" i="38" s="1"/>
  <c r="O31" i="37"/>
  <c r="O31" i="40"/>
  <c r="O12"/>
  <c r="O12" i="37"/>
  <c r="O24" i="40"/>
  <c r="O24" i="37"/>
  <c r="O26" i="40"/>
  <c r="O26" i="37"/>
  <c r="O30" i="40"/>
  <c r="O15" i="38" s="1"/>
  <c r="O30" i="37"/>
  <c r="O20"/>
  <c r="O20" i="40"/>
  <c r="O12" i="38" s="1"/>
  <c r="O17" i="40"/>
  <c r="O17" i="37"/>
  <c r="N52" i="38"/>
  <c r="N20"/>
  <c r="N33"/>
  <c r="N93" i="25"/>
  <c r="N85"/>
  <c r="N92"/>
  <c r="N91"/>
  <c r="N90"/>
  <c r="N94"/>
  <c r="N87"/>
  <c r="N88"/>
  <c r="N86"/>
  <c r="N89"/>
  <c r="N115"/>
  <c r="N214" i="40" s="1"/>
  <c r="N117" i="25"/>
  <c r="N216" i="40" s="1"/>
  <c r="N55" i="38" s="1"/>
  <c r="N119" i="25"/>
  <c r="N218" i="40" s="1"/>
  <c r="N116" i="25"/>
  <c r="N215" i="40" s="1"/>
  <c r="N54" i="38" s="1"/>
  <c r="N118" i="25"/>
  <c r="N217" i="40" s="1"/>
  <c r="N120" i="25"/>
  <c r="N219" i="40" s="1"/>
  <c r="N58" i="38" s="1"/>
  <c r="N222" i="40"/>
  <c r="N76"/>
  <c r="N166"/>
  <c r="N182"/>
  <c r="N231"/>
  <c r="N196"/>
  <c r="N139"/>
  <c r="N42"/>
  <c r="N213"/>
  <c r="N152"/>
  <c r="N90"/>
  <c r="N138" i="25"/>
  <c r="N126"/>
  <c r="N135"/>
  <c r="N130"/>
  <c r="N129"/>
  <c r="N136"/>
  <c r="N127"/>
  <c r="N131"/>
  <c r="N137"/>
  <c r="O56" i="38"/>
  <c r="O159" i="40"/>
  <c r="O225"/>
  <c r="O223"/>
  <c r="O156"/>
  <c r="AB157" s="1"/>
  <c r="O57" i="38"/>
  <c r="R100" i="37"/>
  <c r="R117"/>
  <c r="AJ118"/>
  <c r="AP118" s="1"/>
  <c r="R114"/>
  <c r="F131" i="17"/>
  <c r="R187" i="40"/>
  <c r="R184"/>
  <c r="F129" i="17"/>
  <c r="AB207" i="40"/>
  <c r="AB18"/>
  <c r="AB206"/>
  <c r="AB112" i="37"/>
  <c r="AB16" i="38"/>
  <c r="AB14"/>
  <c r="AB29" i="25"/>
  <c r="AB27" i="40"/>
  <c r="AB27" i="37"/>
  <c r="P27"/>
  <c r="P27" i="40"/>
  <c r="P148"/>
  <c r="P13" i="38" s="1"/>
  <c r="R209" i="40"/>
  <c r="R208"/>
  <c r="R122" i="37"/>
  <c r="AB60" i="25"/>
  <c r="P60"/>
  <c r="P61" s="1"/>
  <c r="R116" i="37"/>
  <c r="R234" i="40"/>
  <c r="R23" i="38" s="1"/>
  <c r="R108" i="37"/>
  <c r="AD144" i="40"/>
  <c r="Q67" i="25"/>
  <c r="AC234" i="40"/>
  <c r="AC23" i="38" s="1"/>
  <c r="AB115" i="37"/>
  <c r="AA128" i="25"/>
  <c r="P58" i="37"/>
  <c r="P101"/>
  <c r="P102" s="1"/>
  <c r="O128" i="25"/>
  <c r="R29"/>
  <c r="AC157" i="40"/>
  <c r="Q53"/>
  <c r="Q54" s="1"/>
  <c r="Q99" s="1"/>
  <c r="R60" i="25"/>
  <c r="R61" s="1"/>
  <c r="Q232" i="40"/>
  <c r="Q10" i="38" s="1"/>
  <c r="Q21" i="40"/>
  <c r="Q144" s="1"/>
  <c r="AC120" i="37"/>
  <c r="AC21"/>
  <c r="AB235" i="40"/>
  <c r="AB24" i="38" s="1"/>
  <c r="AB93" i="40"/>
  <c r="AB84" s="1"/>
  <c r="AB48"/>
  <c r="AB49" s="1"/>
  <c r="AA63"/>
  <c r="AA64" s="1"/>
  <c r="AA100" s="1"/>
  <c r="AA27" i="38" s="1"/>
  <c r="AA63" i="37"/>
  <c r="AA64" s="1"/>
  <c r="AA110" s="1"/>
  <c r="AA45"/>
  <c r="AA45" i="40"/>
  <c r="AA95" s="1"/>
  <c r="AA47"/>
  <c r="AA47" i="37"/>
  <c r="AA55" i="25"/>
  <c r="AA56" s="1"/>
  <c r="AA44" i="37"/>
  <c r="AA44" i="40"/>
  <c r="Z42" i="38"/>
  <c r="Z52"/>
  <c r="Z33"/>
  <c r="Z20"/>
  <c r="Z78" i="37"/>
  <c r="Z42"/>
  <c r="Z89"/>
  <c r="Z106"/>
  <c r="Z93" i="25"/>
  <c r="Z89"/>
  <c r="Z88"/>
  <c r="Z90"/>
  <c r="Z87"/>
  <c r="Z85"/>
  <c r="Z86"/>
  <c r="Z91"/>
  <c r="Z92"/>
  <c r="Z94"/>
  <c r="Y83"/>
  <c r="Y9" i="38"/>
  <c r="Y134" i="25"/>
  <c r="Y114"/>
  <c r="Y124"/>
  <c r="Y102"/>
  <c r="Y48"/>
  <c r="Y14"/>
  <c r="Y31" s="1"/>
  <c r="X7"/>
  <c r="Y7" i="37"/>
  <c r="Y7" i="40"/>
  <c r="Z70" i="25"/>
  <c r="Z51"/>
  <c r="Z76"/>
  <c r="Z53"/>
  <c r="Z52"/>
  <c r="Z59"/>
  <c r="Z54"/>
  <c r="Z73"/>
  <c r="Z58"/>
  <c r="P235" i="40"/>
  <c r="P24" i="38" s="1"/>
  <c r="P190" i="40"/>
  <c r="P201" s="1"/>
  <c r="P203"/>
  <c r="P35" i="38" s="1"/>
  <c r="O176" i="40"/>
  <c r="O99" i="37"/>
  <c r="O117" s="1"/>
  <c r="O93"/>
  <c r="O170" i="40"/>
  <c r="O91" i="37"/>
  <c r="O168" i="40"/>
  <c r="O95" i="37"/>
  <c r="O172" i="40"/>
  <c r="O174"/>
  <c r="O97" i="37"/>
  <c r="O45"/>
  <c r="O45" i="40"/>
  <c r="O52" i="37"/>
  <c r="O52" i="40"/>
  <c r="O47"/>
  <c r="O47" i="37"/>
  <c r="O46" i="40"/>
  <c r="O46" i="37"/>
  <c r="O68"/>
  <c r="O68" i="40"/>
  <c r="O28" i="38" s="1"/>
  <c r="R119" i="37"/>
  <c r="R18"/>
  <c r="R148" i="40"/>
  <c r="R13" i="38" s="1"/>
  <c r="F99" i="17"/>
  <c r="AJ124" i="40"/>
  <c r="AJ126" s="1"/>
  <c r="R25" i="25"/>
  <c r="F10" i="14" s="1"/>
  <c r="E10" s="1"/>
  <c r="AD108" i="37"/>
  <c r="AJ108"/>
  <c r="AJ107"/>
  <c r="AJ113"/>
  <c r="AJ121"/>
  <c r="AD121"/>
  <c r="R113"/>
  <c r="R16" s="1"/>
  <c r="AD107"/>
  <c r="F35" i="14"/>
  <c r="E35" s="1"/>
  <c r="E40" s="1"/>
  <c r="R162" i="40"/>
  <c r="AD155"/>
  <c r="F38" i="17"/>
  <c r="AJ132" i="40"/>
  <c r="R153"/>
  <c r="R224"/>
  <c r="R226"/>
  <c r="R155"/>
  <c r="R154"/>
  <c r="AD208"/>
  <c r="AD234"/>
  <c r="AD23" i="38" s="1"/>
  <c r="F133" i="17"/>
  <c r="R189" i="40"/>
  <c r="R177"/>
  <c r="R193" s="1"/>
  <c r="R204"/>
  <c r="R191"/>
  <c r="R178"/>
  <c r="R183"/>
  <c r="R57" i="38"/>
  <c r="AH57" s="1"/>
  <c r="R156" i="40"/>
  <c r="AH156" s="1"/>
  <c r="AH79" s="1"/>
  <c r="R223"/>
  <c r="R225"/>
  <c r="AP52" i="38"/>
  <c r="AP42"/>
  <c r="AV9"/>
  <c r="AP20"/>
  <c r="AP33"/>
  <c r="AK42" i="37"/>
  <c r="AK78"/>
  <c r="AK89"/>
  <c r="AK106"/>
  <c r="Q78" i="40"/>
  <c r="Q197"/>
  <c r="AB79"/>
  <c r="AB37" i="37"/>
  <c r="AB37" i="40"/>
  <c r="AB147"/>
  <c r="AB224"/>
  <c r="AB155"/>
  <c r="AB153"/>
  <c r="AB226"/>
  <c r="P18"/>
  <c r="P206"/>
  <c r="P207"/>
  <c r="P37" i="37"/>
  <c r="P147" i="40"/>
  <c r="P37"/>
  <c r="R48"/>
  <c r="R49" s="1"/>
  <c r="R93"/>
  <c r="AD233"/>
  <c r="AD77"/>
  <c r="AD141"/>
  <c r="AD145"/>
  <c r="AC61" i="25"/>
  <c r="AC67"/>
  <c r="Q26" i="38"/>
  <c r="Q21" i="37"/>
  <c r="Q120"/>
  <c r="AD66"/>
  <c r="AD69" s="1"/>
  <c r="AD61"/>
  <c r="P6"/>
  <c r="P6" i="40"/>
  <c r="AB208"/>
  <c r="AB100" i="37"/>
  <c r="AB116"/>
  <c r="AB203" i="40"/>
  <c r="AB35" i="38" s="1"/>
  <c r="AB190" i="40"/>
  <c r="AB201" s="1"/>
  <c r="AA92" i="37"/>
  <c r="AA169" i="40"/>
  <c r="AA171"/>
  <c r="AA94" i="37"/>
  <c r="AA172" i="40"/>
  <c r="AA95" i="37"/>
  <c r="AA168" i="40"/>
  <c r="AA91" i="37"/>
  <c r="AA176" i="40"/>
  <c r="AA99" i="37"/>
  <c r="AA117" s="1"/>
  <c r="AA156" i="40"/>
  <c r="AA225"/>
  <c r="AA57" i="38"/>
  <c r="AA223" i="40"/>
  <c r="AA36"/>
  <c r="AA36" i="37"/>
  <c r="AA13" i="40"/>
  <c r="AA13" i="37"/>
  <c r="AA17"/>
  <c r="AA17" i="40"/>
  <c r="AA31" i="37"/>
  <c r="AA31" i="40"/>
  <c r="AA35"/>
  <c r="AA35" i="37"/>
  <c r="AA41" i="25"/>
  <c r="AA12" i="37"/>
  <c r="AA12" i="40"/>
  <c r="AA20"/>
  <c r="AA12" i="38" s="1"/>
  <c r="AA20" i="37"/>
  <c r="P208" i="40"/>
  <c r="P178"/>
  <c r="P179" s="1"/>
  <c r="P183"/>
  <c r="P100" i="37"/>
  <c r="P116"/>
  <c r="O35"/>
  <c r="O35" i="40"/>
  <c r="O41" i="25"/>
  <c r="O29" i="40"/>
  <c r="O29" i="37"/>
  <c r="O11"/>
  <c r="O11" i="40"/>
  <c r="O18" i="25"/>
  <c r="O25" s="1"/>
  <c r="O28" i="40"/>
  <c r="O28" i="37"/>
  <c r="O36" i="40"/>
  <c r="O36" i="37"/>
  <c r="O15" i="40"/>
  <c r="O15" i="37"/>
  <c r="AB113" s="1"/>
  <c r="AB16" s="1"/>
  <c r="O13" i="40"/>
  <c r="O13" i="37"/>
  <c r="N76" i="25"/>
  <c r="N70"/>
  <c r="N63"/>
  <c r="N54"/>
  <c r="N59"/>
  <c r="N51"/>
  <c r="N73"/>
  <c r="N64"/>
  <c r="N58"/>
  <c r="N52"/>
  <c r="N53"/>
  <c r="N33"/>
  <c r="N35"/>
  <c r="N22"/>
  <c r="N30"/>
  <c r="N32"/>
  <c r="N28"/>
  <c r="N19"/>
  <c r="N20"/>
  <c r="N24"/>
  <c r="N34"/>
  <c r="N23"/>
  <c r="N21"/>
  <c r="N40"/>
  <c r="N39"/>
  <c r="L7"/>
  <c r="M124"/>
  <c r="M134"/>
  <c r="M83"/>
  <c r="M7" i="37"/>
  <c r="M114" i="25"/>
  <c r="M7" i="40"/>
  <c r="M14" i="25"/>
  <c r="M31" s="1"/>
  <c r="M48"/>
  <c r="M9" i="38"/>
  <c r="N42" i="37"/>
  <c r="N89"/>
  <c r="N106"/>
  <c r="O160" i="40"/>
  <c r="O80" s="1"/>
  <c r="O53" i="38"/>
  <c r="R147" i="40"/>
  <c r="R37"/>
  <c r="R37" i="37"/>
  <c r="R192" i="40"/>
  <c r="R205"/>
  <c r="R37" i="38" s="1"/>
  <c r="R185" i="40"/>
  <c r="R165"/>
  <c r="F130" i="17"/>
  <c r="R186" i="40"/>
  <c r="AC78"/>
  <c r="AC197"/>
  <c r="AC11" i="38"/>
  <c r="AC198" i="40"/>
  <c r="AC16"/>
  <c r="AB18" i="37"/>
  <c r="AB119"/>
  <c r="AB148" i="40"/>
  <c r="AB13" i="38" s="1"/>
  <c r="P161" i="40"/>
  <c r="P226"/>
  <c r="P153"/>
  <c r="P224"/>
  <c r="P155"/>
  <c r="P14" i="38"/>
  <c r="P16"/>
  <c r="R235" i="40"/>
  <c r="R24" i="38" s="1"/>
  <c r="R101" i="37"/>
  <c r="R102" s="1"/>
  <c r="R161" i="40"/>
  <c r="AC208"/>
  <c r="R121" i="37"/>
  <c r="AC118"/>
  <c r="AB108"/>
  <c r="AB188" i="40"/>
  <c r="AB101" i="37"/>
  <c r="AB102" s="1"/>
  <c r="P58" i="40"/>
  <c r="AC107" i="37"/>
  <c r="AB161" i="40"/>
  <c r="P36" i="25"/>
  <c r="P43" s="1"/>
  <c r="P44" s="1"/>
  <c r="R118" i="37"/>
  <c r="B96" i="25"/>
  <c r="B97" s="1"/>
  <c r="B167" i="40"/>
  <c r="B90" i="37"/>
  <c r="B93"/>
  <c r="B170" i="40"/>
  <c r="B29"/>
  <c r="B29" i="37"/>
  <c r="B20" i="40"/>
  <c r="B12" i="38" s="1"/>
  <c r="B20" i="37"/>
  <c r="B24"/>
  <c r="B24" i="40"/>
  <c r="B28"/>
  <c r="B28" i="37"/>
  <c r="C58"/>
  <c r="AH56"/>
  <c r="C64"/>
  <c r="AH63"/>
  <c r="AH52"/>
  <c r="D68" i="25"/>
  <c r="D38" i="38"/>
  <c r="D134" i="17"/>
  <c r="B172" i="40"/>
  <c r="B95" i="37"/>
  <c r="B171" i="40"/>
  <c r="B94" i="37"/>
  <c r="B99"/>
  <c r="B117" s="1"/>
  <c r="B176" i="40"/>
  <c r="B97" i="37"/>
  <c r="B174" i="40"/>
  <c r="B96" i="37"/>
  <c r="B173" i="40"/>
  <c r="B17" i="37"/>
  <c r="B35" i="40"/>
  <c r="B35" i="37"/>
  <c r="B41" i="25"/>
  <c r="B12" i="40"/>
  <c r="B31" i="37"/>
  <c r="B31" i="40"/>
  <c r="B15"/>
  <c r="C234" s="1"/>
  <c r="B11" i="37"/>
  <c r="B11" i="40"/>
  <c r="B18" i="25"/>
  <c r="B25" s="1"/>
  <c r="B26" i="40"/>
  <c r="C58"/>
  <c r="AH56"/>
  <c r="C28" i="38"/>
  <c r="AH28" s="1"/>
  <c r="AH68" i="40"/>
  <c r="C64"/>
  <c r="AH63"/>
  <c r="C235"/>
  <c r="AH51"/>
  <c r="AH52"/>
  <c r="D101" i="17"/>
  <c r="AH11" i="37"/>
  <c r="C10"/>
  <c r="C117"/>
  <c r="AH99"/>
  <c r="AH92"/>
  <c r="C114"/>
  <c r="AH114" s="1"/>
  <c r="C203" i="40"/>
  <c r="C190"/>
  <c r="AH174"/>
  <c r="C129" i="17"/>
  <c r="C184" i="40"/>
  <c r="AH184" s="1"/>
  <c r="D21" i="37"/>
  <c r="D120"/>
  <c r="D197" i="40"/>
  <c r="D78"/>
  <c r="D146"/>
  <c r="B44" i="37"/>
  <c r="B71"/>
  <c r="B56" i="40"/>
  <c r="B46" i="37"/>
  <c r="B45"/>
  <c r="B68"/>
  <c r="B68" i="40"/>
  <c r="B28" i="38" s="1"/>
  <c r="AH71" i="40"/>
  <c r="AH46"/>
  <c r="AH47" i="37"/>
  <c r="AH45"/>
  <c r="AH160" i="40"/>
  <c r="AH80" s="1"/>
  <c r="C80"/>
  <c r="C25" i="37"/>
  <c r="C32" s="1"/>
  <c r="C206" i="40"/>
  <c r="AH206" s="1"/>
  <c r="AH17"/>
  <c r="C18"/>
  <c r="C207"/>
  <c r="C27"/>
  <c r="C100" i="37"/>
  <c r="C116"/>
  <c r="AH116" s="1"/>
  <c r="AH98"/>
  <c r="AH171" i="40"/>
  <c r="C131" i="17"/>
  <c r="C187" i="40"/>
  <c r="AH173"/>
  <c r="C133" i="17"/>
  <c r="C189" i="40"/>
  <c r="AH172"/>
  <c r="C132" i="17"/>
  <c r="C188" i="40"/>
  <c r="E77"/>
  <c r="E145"/>
  <c r="E141"/>
  <c r="D53" i="37"/>
  <c r="D83" i="40"/>
  <c r="B168"/>
  <c r="B91" i="37"/>
  <c r="B98"/>
  <c r="B95" i="25"/>
  <c r="B175" i="40"/>
  <c r="B92" i="37"/>
  <c r="B169" i="40"/>
  <c r="B13"/>
  <c r="B13" i="37"/>
  <c r="B36" i="40"/>
  <c r="B36" i="37"/>
  <c r="B30" i="40"/>
  <c r="B15" i="38" s="1"/>
  <c r="B30" i="37"/>
  <c r="C122"/>
  <c r="AH122" s="1"/>
  <c r="AH51"/>
  <c r="C112"/>
  <c r="AH112" s="1"/>
  <c r="AH24"/>
  <c r="C148" i="40"/>
  <c r="AH24"/>
  <c r="C99" i="17"/>
  <c r="AH31" i="40"/>
  <c r="C14" i="38"/>
  <c r="AH14" s="1"/>
  <c r="C16"/>
  <c r="C12"/>
  <c r="AH12" s="1"/>
  <c r="AH20" i="40"/>
  <c r="AH11"/>
  <c r="C15" i="38"/>
  <c r="AH15" s="1"/>
  <c r="AH30" i="40"/>
  <c r="AH176"/>
  <c r="C205"/>
  <c r="C192"/>
  <c r="AH192" s="1"/>
  <c r="AH169"/>
  <c r="C185"/>
  <c r="C130" i="17"/>
  <c r="AH170" i="40"/>
  <c r="C186"/>
  <c r="C115" i="37"/>
  <c r="AH115" s="1"/>
  <c r="AH97"/>
  <c r="D232" i="40"/>
  <c r="D10" i="38" s="1"/>
  <c r="D21" i="40"/>
  <c r="D140" s="1"/>
  <c r="D82" s="1"/>
  <c r="B160"/>
  <c r="B80" s="1"/>
  <c r="B53" i="38"/>
  <c r="B56"/>
  <c r="B159" i="40"/>
  <c r="B225"/>
  <c r="B223"/>
  <c r="B156"/>
  <c r="B79" s="1"/>
  <c r="B57" i="38"/>
  <c r="B51" i="37"/>
  <c r="B47"/>
  <c r="B47" i="40"/>
  <c r="B63" i="37"/>
  <c r="B64" s="1"/>
  <c r="B110" s="1"/>
  <c r="B63" i="40"/>
  <c r="B64" s="1"/>
  <c r="B100" s="1"/>
  <c r="B27" i="38" s="1"/>
  <c r="B57" i="37"/>
  <c r="B57" i="40"/>
  <c r="B52"/>
  <c r="AH71" i="37"/>
  <c r="AH46"/>
  <c r="AH47" i="40"/>
  <c r="C93"/>
  <c r="C48"/>
  <c r="AH44"/>
  <c r="C48" i="37"/>
  <c r="AH44"/>
  <c r="AH45" i="40"/>
  <c r="C79"/>
  <c r="AH17" i="37"/>
  <c r="C37" i="40"/>
  <c r="C37" i="37"/>
  <c r="C147" i="40"/>
  <c r="C153"/>
  <c r="C38" i="17"/>
  <c r="C224" i="40"/>
  <c r="AH224" s="1"/>
  <c r="AH15"/>
  <c r="C161"/>
  <c r="C226"/>
  <c r="AH226" s="1"/>
  <c r="AH15" i="37"/>
  <c r="C177" i="40"/>
  <c r="C204"/>
  <c r="AH204" s="1"/>
  <c r="AH175"/>
  <c r="C101" i="37"/>
  <c r="AH90"/>
  <c r="AH167" i="40"/>
  <c r="C183"/>
  <c r="AH183" s="1"/>
  <c r="E61"/>
  <c r="E66"/>
  <c r="D53"/>
  <c r="E60" i="37"/>
  <c r="D118"/>
  <c r="AD92" i="40" l="1"/>
  <c r="AJ223"/>
  <c r="AP223" s="1"/>
  <c r="AP168"/>
  <c r="AB158"/>
  <c r="AA94"/>
  <c r="AA96"/>
  <c r="AA97"/>
  <c r="AJ225"/>
  <c r="AP225" s="1"/>
  <c r="Q98"/>
  <c r="AP219"/>
  <c r="AP159"/>
  <c r="P32"/>
  <c r="P39" s="1"/>
  <c r="AB83"/>
  <c r="AB199"/>
  <c r="AK225"/>
  <c r="AC140"/>
  <c r="AC82" s="1"/>
  <c r="Q60" i="37"/>
  <c r="Q66" s="1"/>
  <c r="Q69" s="1"/>
  <c r="Q72" s="1"/>
  <c r="Q73" s="1"/>
  <c r="AP217" i="40"/>
  <c r="O97"/>
  <c r="O95"/>
  <c r="O96"/>
  <c r="O94"/>
  <c r="AP58"/>
  <c r="AP173"/>
  <c r="AP170"/>
  <c r="AC83"/>
  <c r="AP216"/>
  <c r="AL225"/>
  <c r="AP35"/>
  <c r="AJ134"/>
  <c r="AM225"/>
  <c r="AH147"/>
  <c r="AC145"/>
  <c r="AP214"/>
  <c r="AJ156"/>
  <c r="AJ79" s="1"/>
  <c r="AL223"/>
  <c r="AH52" i="38"/>
  <c r="AP171" i="40"/>
  <c r="AK223"/>
  <c r="AM223"/>
  <c r="AH20" i="38"/>
  <c r="AN223" i="40"/>
  <c r="R21" i="37"/>
  <c r="O115"/>
  <c r="P200" i="40"/>
  <c r="P81" s="1"/>
  <c r="AB200"/>
  <c r="AB81" s="1"/>
  <c r="AN225"/>
  <c r="AA58"/>
  <c r="AA26" i="38" s="1"/>
  <c r="Z65" i="25"/>
  <c r="Z56" i="37"/>
  <c r="AA58"/>
  <c r="Y63" i="25"/>
  <c r="Y56" i="37" s="1"/>
  <c r="Y64" i="25"/>
  <c r="Z57" i="37"/>
  <c r="Z58" s="1"/>
  <c r="Z57" i="40"/>
  <c r="Z58" s="1"/>
  <c r="Z26" i="38" s="1"/>
  <c r="C60" i="25"/>
  <c r="E68"/>
  <c r="E71"/>
  <c r="E74" s="1"/>
  <c r="E77" s="1"/>
  <c r="E78" s="1"/>
  <c r="D32" i="40"/>
  <c r="D39" s="1"/>
  <c r="C119" i="37"/>
  <c r="C10" i="40"/>
  <c r="C232" s="1"/>
  <c r="AP218"/>
  <c r="E22" i="38"/>
  <c r="AP172" i="40"/>
  <c r="B26" i="37"/>
  <c r="D163" i="40"/>
  <c r="AB21"/>
  <c r="AB77" s="1"/>
  <c r="AD61"/>
  <c r="D70" i="17"/>
  <c r="B56" i="37"/>
  <c r="R53"/>
  <c r="R54" s="1"/>
  <c r="P21"/>
  <c r="R21" i="40"/>
  <c r="R77" s="1"/>
  <c r="C44" i="25"/>
  <c r="B55"/>
  <c r="B56" s="1"/>
  <c r="C178" i="40"/>
  <c r="AH178" s="1"/>
  <c r="C27" i="37"/>
  <c r="AH27" s="1"/>
  <c r="C25" i="40"/>
  <c r="C32" s="1"/>
  <c r="C39" s="1"/>
  <c r="B46"/>
  <c r="B48" s="1"/>
  <c r="B49" s="1"/>
  <c r="D11" i="38"/>
  <c r="D16" i="40"/>
  <c r="AC141"/>
  <c r="AC144"/>
  <c r="AH117" i="37"/>
  <c r="C154" i="40"/>
  <c r="C9" i="17" s="1"/>
  <c r="AH18" i="40"/>
  <c r="AA185"/>
  <c r="AA34" i="38" s="1"/>
  <c r="AB209" i="40"/>
  <c r="AB38" i="38" s="1"/>
  <c r="P53" i="40"/>
  <c r="P54" s="1"/>
  <c r="P99" s="1"/>
  <c r="C113" i="37"/>
  <c r="C16" s="1"/>
  <c r="AH16" s="1"/>
  <c r="AH27" i="40"/>
  <c r="D198"/>
  <c r="D67" i="17"/>
  <c r="D71" s="1"/>
  <c r="AB21" i="37"/>
  <c r="AC233" i="40"/>
  <c r="P83"/>
  <c r="P25" i="38"/>
  <c r="AN39" i="37"/>
  <c r="AP39" s="1"/>
  <c r="AP32"/>
  <c r="BD29" i="38"/>
  <c r="AJ29"/>
  <c r="P21" i="40"/>
  <c r="P144" s="1"/>
  <c r="C191"/>
  <c r="AH191" s="1"/>
  <c r="C155"/>
  <c r="AH155" s="1"/>
  <c r="AH37" i="37"/>
  <c r="C69" i="17"/>
  <c r="O147" i="40"/>
  <c r="AC60"/>
  <c r="AC61" s="1"/>
  <c r="C208"/>
  <c r="AH208" s="1"/>
  <c r="B185"/>
  <c r="B200" s="1"/>
  <c r="B81" s="1"/>
  <c r="B184"/>
  <c r="R53"/>
  <c r="R54" s="1"/>
  <c r="R99" s="1"/>
  <c r="AC54" i="37"/>
  <c r="C209" i="40"/>
  <c r="AH209" s="1"/>
  <c r="C158"/>
  <c r="AH158" s="1"/>
  <c r="AH189"/>
  <c r="AH100" i="37"/>
  <c r="D199" i="40"/>
  <c r="Q140"/>
  <c r="Q82" s="1"/>
  <c r="AA184"/>
  <c r="AA188"/>
  <c r="AA187"/>
  <c r="Q60"/>
  <c r="Q61" s="1"/>
  <c r="N128" i="25"/>
  <c r="O58" i="37"/>
  <c r="O60" i="25"/>
  <c r="O61" s="1"/>
  <c r="O10" i="40"/>
  <c r="O232" s="1"/>
  <c r="O10" i="38" s="1"/>
  <c r="AH161" i="40"/>
  <c r="AH18" i="37"/>
  <c r="C157" i="40"/>
  <c r="C10" i="17" s="1"/>
  <c r="C107" i="37"/>
  <c r="AH107" s="1"/>
  <c r="C121"/>
  <c r="AH121" s="1"/>
  <c r="B227" i="40"/>
  <c r="D144"/>
  <c r="D233"/>
  <c r="AH186"/>
  <c r="B114" i="37"/>
  <c r="AH188" i="40"/>
  <c r="AH187"/>
  <c r="AA114" i="37"/>
  <c r="P67" i="25"/>
  <c r="P71" s="1"/>
  <c r="P74" s="1"/>
  <c r="P77" s="1"/>
  <c r="P78" s="1"/>
  <c r="P53" i="37"/>
  <c r="P54" s="1"/>
  <c r="AA25" i="40"/>
  <c r="AA25" i="37"/>
  <c r="AA32" s="1"/>
  <c r="AA36" i="25"/>
  <c r="AA43" s="1"/>
  <c r="AA44" s="1"/>
  <c r="AC199" i="40"/>
  <c r="AC163"/>
  <c r="AC21" i="38"/>
  <c r="R200" i="40"/>
  <c r="R81" s="1"/>
  <c r="F22" i="14"/>
  <c r="E22" s="1"/>
  <c r="F39" i="17"/>
  <c r="R34" i="38"/>
  <c r="M33"/>
  <c r="M52"/>
  <c r="M20"/>
  <c r="M39" i="25"/>
  <c r="M28"/>
  <c r="M40"/>
  <c r="M24"/>
  <c r="M35"/>
  <c r="M34"/>
  <c r="M32"/>
  <c r="M22"/>
  <c r="M20"/>
  <c r="M19"/>
  <c r="M23"/>
  <c r="M33"/>
  <c r="M21"/>
  <c r="M30"/>
  <c r="M118"/>
  <c r="M217" i="40" s="1"/>
  <c r="M115" i="25"/>
  <c r="M214" i="40" s="1"/>
  <c r="M117" i="25"/>
  <c r="M216" i="40" s="1"/>
  <c r="M55" i="38" s="1"/>
  <c r="M116" i="25"/>
  <c r="M215" i="40" s="1"/>
  <c r="M54" i="38" s="1"/>
  <c r="M119" i="25"/>
  <c r="M218" i="40" s="1"/>
  <c r="M120" i="25"/>
  <c r="M219" i="40" s="1"/>
  <c r="M58" i="38" s="1"/>
  <c r="M94" i="25"/>
  <c r="M86"/>
  <c r="M85"/>
  <c r="M92"/>
  <c r="M91"/>
  <c r="M90"/>
  <c r="M88"/>
  <c r="M89"/>
  <c r="M93"/>
  <c r="M87"/>
  <c r="M126"/>
  <c r="M136"/>
  <c r="M131"/>
  <c r="M135"/>
  <c r="M129"/>
  <c r="M137"/>
  <c r="M127"/>
  <c r="M130"/>
  <c r="M138"/>
  <c r="N35" i="37"/>
  <c r="N41" i="25"/>
  <c r="N35" i="40"/>
  <c r="N13"/>
  <c r="N13" i="37"/>
  <c r="N30"/>
  <c r="N30" i="40"/>
  <c r="N15" i="38" s="1"/>
  <c r="N12" i="40"/>
  <c r="N12" i="37"/>
  <c r="N24" i="40"/>
  <c r="N24" i="37"/>
  <c r="N26" i="40"/>
  <c r="N26" i="37"/>
  <c r="N31"/>
  <c r="N31" i="40"/>
  <c r="N46"/>
  <c r="N46" i="37"/>
  <c r="N51" i="40"/>
  <c r="N51" i="37"/>
  <c r="N68" i="40"/>
  <c r="N28" i="38" s="1"/>
  <c r="N68" i="37"/>
  <c r="N52" i="40"/>
  <c r="N52" i="37"/>
  <c r="N56" i="40"/>
  <c r="N56" i="37"/>
  <c r="N65" i="25"/>
  <c r="N71" i="37"/>
  <c r="N71" i="40"/>
  <c r="O153"/>
  <c r="O224"/>
  <c r="O226"/>
  <c r="O155"/>
  <c r="AA37"/>
  <c r="AA37" i="37"/>
  <c r="AA147" i="40"/>
  <c r="AA119" i="37"/>
  <c r="AA18"/>
  <c r="AA79" i="40"/>
  <c r="AA158"/>
  <c r="AA205"/>
  <c r="AA37" i="38" s="1"/>
  <c r="AA192" i="40"/>
  <c r="AC71" i="25"/>
  <c r="AC74" s="1"/>
  <c r="AC77" s="1"/>
  <c r="AC78" s="1"/>
  <c r="AC68"/>
  <c r="AC158" i="40"/>
  <c r="R79"/>
  <c r="AD158"/>
  <c r="AD227"/>
  <c r="R227"/>
  <c r="AC227"/>
  <c r="R157"/>
  <c r="F10" i="17" s="1"/>
  <c r="R158" i="40"/>
  <c r="F23" i="14"/>
  <c r="E23" s="1"/>
  <c r="R202" i="40"/>
  <c r="R36" i="38" s="1"/>
  <c r="AD163" i="40"/>
  <c r="AD199"/>
  <c r="AD21" i="38"/>
  <c r="R78" i="40"/>
  <c r="R197"/>
  <c r="AP11" i="38"/>
  <c r="AV11" s="1"/>
  <c r="AJ16" i="37"/>
  <c r="AP16" s="1"/>
  <c r="AP113"/>
  <c r="AP108"/>
  <c r="AP25" i="38"/>
  <c r="AJ25" s="1"/>
  <c r="F12" i="14"/>
  <c r="E12" s="1"/>
  <c r="F13"/>
  <c r="E13" s="1"/>
  <c r="O208" i="40"/>
  <c r="O203"/>
  <c r="O35" i="38" s="1"/>
  <c r="O190" i="40"/>
  <c r="O201" s="1"/>
  <c r="O177"/>
  <c r="O192"/>
  <c r="O205"/>
  <c r="O37" i="38" s="1"/>
  <c r="Z68" i="37"/>
  <c r="Z68" i="40"/>
  <c r="Z28" i="38" s="1"/>
  <c r="Z52" i="40"/>
  <c r="Z52" i="37"/>
  <c r="Z46"/>
  <c r="Z46" i="40"/>
  <c r="Z44" i="37"/>
  <c r="Z55" i="25"/>
  <c r="Z56" s="1"/>
  <c r="Z44" i="40"/>
  <c r="Y105"/>
  <c r="Y166"/>
  <c r="Y213"/>
  <c r="Y76"/>
  <c r="Y231"/>
  <c r="Y42"/>
  <c r="Y196"/>
  <c r="Y222"/>
  <c r="Y182"/>
  <c r="Y152"/>
  <c r="Y90"/>
  <c r="Y139"/>
  <c r="X102" i="25"/>
  <c r="X114"/>
  <c r="X124"/>
  <c r="X7" i="40"/>
  <c r="X134" i="25"/>
  <c r="X83"/>
  <c r="W7"/>
  <c r="X14"/>
  <c r="X31" s="1"/>
  <c r="X48"/>
  <c r="X7" i="37"/>
  <c r="X9" i="38"/>
  <c r="Y73" i="25"/>
  <c r="Y54"/>
  <c r="Y59"/>
  <c r="Y51"/>
  <c r="Y70"/>
  <c r="Y76"/>
  <c r="Y52"/>
  <c r="Y58"/>
  <c r="Y53"/>
  <c r="Y135"/>
  <c r="Y126"/>
  <c r="Y129"/>
  <c r="Y138"/>
  <c r="Y137"/>
  <c r="Y136"/>
  <c r="Y127"/>
  <c r="Y131"/>
  <c r="Y130"/>
  <c r="Y91"/>
  <c r="Y92"/>
  <c r="Y89"/>
  <c r="Y90"/>
  <c r="Y87"/>
  <c r="Y93"/>
  <c r="Y88"/>
  <c r="Y86"/>
  <c r="Y85"/>
  <c r="Y94"/>
  <c r="Z97" i="37"/>
  <c r="Z174" i="40"/>
  <c r="Z91" i="37"/>
  <c r="Z168" i="40"/>
  <c r="Z169"/>
  <c r="Z92" i="37"/>
  <c r="Z170" i="40"/>
  <c r="Z93" i="37"/>
  <c r="Z175" i="40"/>
  <c r="Z95" i="25"/>
  <c r="Z98" i="37"/>
  <c r="AA48"/>
  <c r="AA49" s="1"/>
  <c r="AA107"/>
  <c r="F11" i="14"/>
  <c r="E11" s="1"/>
  <c r="R25" i="40"/>
  <c r="R98" s="1"/>
  <c r="R25" i="37"/>
  <c r="R36" i="25"/>
  <c r="R43" s="1"/>
  <c r="R44" s="1"/>
  <c r="Q68"/>
  <c r="Q71"/>
  <c r="Q74" s="1"/>
  <c r="Q77" s="1"/>
  <c r="Q78" s="1"/>
  <c r="AD69" i="40"/>
  <c r="O79"/>
  <c r="O158"/>
  <c r="N56" i="38"/>
  <c r="N159" i="40"/>
  <c r="N57" i="38"/>
  <c r="N156" i="40"/>
  <c r="N223"/>
  <c r="N225"/>
  <c r="N53" i="38"/>
  <c r="N160" i="40"/>
  <c r="N80" s="1"/>
  <c r="N168"/>
  <c r="N91" i="37"/>
  <c r="N92"/>
  <c r="N169" i="40"/>
  <c r="N95" i="37"/>
  <c r="N172" i="40"/>
  <c r="N97" i="37"/>
  <c r="N174" i="40"/>
  <c r="N95" i="25"/>
  <c r="N98" i="37"/>
  <c r="N175" i="40"/>
  <c r="O18" i="37"/>
  <c r="O119"/>
  <c r="O148" i="40"/>
  <c r="O13" i="38" s="1"/>
  <c r="AA161" i="40"/>
  <c r="AA226"/>
  <c r="AA155"/>
  <c r="AA153"/>
  <c r="AA224"/>
  <c r="AA148"/>
  <c r="AA13" i="38" s="1"/>
  <c r="AA178" i="40"/>
  <c r="AA179" s="1"/>
  <c r="AA183"/>
  <c r="O6"/>
  <c r="O6" i="37"/>
  <c r="AL78"/>
  <c r="AL42"/>
  <c r="AL89"/>
  <c r="AL106"/>
  <c r="AL222" i="40"/>
  <c r="AL42"/>
  <c r="AL131"/>
  <c r="J8" i="17"/>
  <c r="AL196" i="40"/>
  <c r="AL182"/>
  <c r="AL115"/>
  <c r="AL166"/>
  <c r="J128" i="17"/>
  <c r="AL105" i="40"/>
  <c r="J98" i="17"/>
  <c r="AL90" i="40"/>
  <c r="AL139"/>
  <c r="AL213"/>
  <c r="AL152"/>
  <c r="AL231"/>
  <c r="K66" i="17"/>
  <c r="AL76" i="40"/>
  <c r="AL123"/>
  <c r="J37" i="17"/>
  <c r="AK82" i="25"/>
  <c r="AL7"/>
  <c r="AK13"/>
  <c r="AM7" i="40"/>
  <c r="AM7" i="37"/>
  <c r="AM9" i="38"/>
  <c r="AK113" i="25"/>
  <c r="AK47"/>
  <c r="AK101"/>
  <c r="AL42" i="38"/>
  <c r="AL20"/>
  <c r="AL52"/>
  <c r="AR9"/>
  <c r="AL33"/>
  <c r="O235" i="40"/>
  <c r="O24" i="38" s="1"/>
  <c r="O93" i="40"/>
  <c r="O84" s="1"/>
  <c r="O48"/>
  <c r="O49" s="1"/>
  <c r="Z223"/>
  <c r="Z156"/>
  <c r="Z225"/>
  <c r="Z57" i="38"/>
  <c r="Z159" i="40"/>
  <c r="Z56" i="38"/>
  <c r="Z160" i="40"/>
  <c r="Z80" s="1"/>
  <c r="Z53" i="38"/>
  <c r="Z26" i="40"/>
  <c r="Z26" i="37"/>
  <c r="Z20"/>
  <c r="Z20" i="40"/>
  <c r="Z12" i="38" s="1"/>
  <c r="Z36" i="37"/>
  <c r="Z36" i="40"/>
  <c r="Z12" i="37"/>
  <c r="Z12" i="40"/>
  <c r="Z29" i="37"/>
  <c r="Z29" i="40"/>
  <c r="Z15" i="37"/>
  <c r="Z15" i="40"/>
  <c r="Z35"/>
  <c r="Z41" i="25"/>
  <c r="Z35" i="37"/>
  <c r="AA227" i="40"/>
  <c r="AC66" i="37"/>
  <c r="AC69" s="1"/>
  <c r="AC61"/>
  <c r="O10"/>
  <c r="AB53" i="40"/>
  <c r="Q233"/>
  <c r="AB118" i="37"/>
  <c r="R67" i="25"/>
  <c r="N125"/>
  <c r="AA10" i="37"/>
  <c r="AA186" i="40"/>
  <c r="AA115" i="37"/>
  <c r="AA189" i="40"/>
  <c r="AB227"/>
  <c r="P39" i="37"/>
  <c r="O58" i="40"/>
  <c r="O185"/>
  <c r="O101" i="37"/>
  <c r="O102" s="1"/>
  <c r="Z125" i="25"/>
  <c r="AA60"/>
  <c r="AA121" i="37"/>
  <c r="AB53"/>
  <c r="P26" i="38"/>
  <c r="P197" i="40"/>
  <c r="P78"/>
  <c r="F101" i="17"/>
  <c r="M70" i="25"/>
  <c r="M73"/>
  <c r="M64"/>
  <c r="M52"/>
  <c r="M59"/>
  <c r="M63"/>
  <c r="M76"/>
  <c r="M54"/>
  <c r="M51"/>
  <c r="M53"/>
  <c r="M58"/>
  <c r="M166" i="40"/>
  <c r="M196"/>
  <c r="M139"/>
  <c r="M182"/>
  <c r="M231"/>
  <c r="M213"/>
  <c r="M222"/>
  <c r="M42"/>
  <c r="M90"/>
  <c r="M76"/>
  <c r="M152"/>
  <c r="M89" i="37"/>
  <c r="M42"/>
  <c r="M106"/>
  <c r="L124" i="25"/>
  <c r="L9" i="38"/>
  <c r="L7" i="37"/>
  <c r="L83" i="25"/>
  <c r="L134"/>
  <c r="L48"/>
  <c r="L7" i="40"/>
  <c r="L114" i="25"/>
  <c r="L14"/>
  <c r="L31" s="1"/>
  <c r="K7"/>
  <c r="N36" i="40"/>
  <c r="N36" i="37"/>
  <c r="N17" i="40"/>
  <c r="N17" i="37"/>
  <c r="N20" i="40"/>
  <c r="N12" i="38" s="1"/>
  <c r="N20" i="37"/>
  <c r="N11"/>
  <c r="N11" i="40"/>
  <c r="N18" i="25"/>
  <c r="N25" s="1"/>
  <c r="N28" i="37"/>
  <c r="N28" i="40"/>
  <c r="N15"/>
  <c r="N15" i="37"/>
  <c r="AA113" s="1"/>
  <c r="AA16" s="1"/>
  <c r="N29" i="40"/>
  <c r="N29" i="37"/>
  <c r="N45"/>
  <c r="N45" i="40"/>
  <c r="N57"/>
  <c r="N57" i="37"/>
  <c r="N44" i="40"/>
  <c r="N55" i="25"/>
  <c r="N56" s="1"/>
  <c r="N44" i="37"/>
  <c r="N47"/>
  <c r="N47" i="40"/>
  <c r="N63"/>
  <c r="N64" s="1"/>
  <c r="N100" s="1"/>
  <c r="N27" i="38" s="1"/>
  <c r="N63" i="37"/>
  <c r="N64" s="1"/>
  <c r="N110" s="1"/>
  <c r="O29" i="25"/>
  <c r="O27" i="37"/>
  <c r="O27" i="40"/>
  <c r="O37"/>
  <c r="O37" i="37"/>
  <c r="AA14" i="38"/>
  <c r="AA16"/>
  <c r="AA18" i="40"/>
  <c r="AA206"/>
  <c r="AA207"/>
  <c r="AD72" i="37"/>
  <c r="AD73" s="1"/>
  <c r="AD111"/>
  <c r="F18" i="14"/>
  <c r="E18" s="1"/>
  <c r="R84" i="40"/>
  <c r="F27" i="14"/>
  <c r="E27" s="1"/>
  <c r="AB197" i="40"/>
  <c r="AB78"/>
  <c r="AV33" i="38"/>
  <c r="AV42"/>
  <c r="AV20"/>
  <c r="BD9"/>
  <c r="AV52"/>
  <c r="R179" i="40"/>
  <c r="R164"/>
  <c r="R16"/>
  <c r="R198"/>
  <c r="F9" i="17"/>
  <c r="R11" i="38"/>
  <c r="AD83" i="40"/>
  <c r="AD25" i="38"/>
  <c r="AP121" i="37"/>
  <c r="AP23" i="38"/>
  <c r="AV23" s="1"/>
  <c r="AP107" i="37"/>
  <c r="AP21" i="38"/>
  <c r="AJ21" s="1"/>
  <c r="Z51" i="37"/>
  <c r="Z51" i="40"/>
  <c r="Z47" i="37"/>
  <c r="Z47" i="40"/>
  <c r="Z96" s="1"/>
  <c r="Z45" i="37"/>
  <c r="Z45" i="40"/>
  <c r="Z71"/>
  <c r="Z71" i="37"/>
  <c r="Z63" i="40"/>
  <c r="Z64" s="1"/>
  <c r="Z100" s="1"/>
  <c r="Z27" i="38" s="1"/>
  <c r="Z63" i="37"/>
  <c r="Z64" s="1"/>
  <c r="Z110" s="1"/>
  <c r="Y42"/>
  <c r="Y106"/>
  <c r="Y78"/>
  <c r="Y89"/>
  <c r="Y30" i="25"/>
  <c r="Y28"/>
  <c r="Y33"/>
  <c r="Y32"/>
  <c r="Y39"/>
  <c r="Y24"/>
  <c r="Y22"/>
  <c r="Y35"/>
  <c r="Y40"/>
  <c r="Y21"/>
  <c r="Y20"/>
  <c r="Y23"/>
  <c r="Y34"/>
  <c r="Y19"/>
  <c r="Y119"/>
  <c r="Y218" i="40" s="1"/>
  <c r="Y116" i="25"/>
  <c r="Y215" i="40" s="1"/>
  <c r="Y54" i="38" s="1"/>
  <c r="Y115" i="25"/>
  <c r="Y214" i="40" s="1"/>
  <c r="Y118" i="25"/>
  <c r="Y217" i="40" s="1"/>
  <c r="Y117" i="25"/>
  <c r="Y216" i="40" s="1"/>
  <c r="Y55" i="38" s="1"/>
  <c r="Y120" i="25"/>
  <c r="Y219" i="40" s="1"/>
  <c r="Y58" i="38" s="1"/>
  <c r="Y33"/>
  <c r="Y42"/>
  <c r="Y20"/>
  <c r="Y52"/>
  <c r="Z176" i="40"/>
  <c r="Z99" i="37"/>
  <c r="Z117" s="1"/>
  <c r="Z96"/>
  <c r="Z173" i="40"/>
  <c r="Z96" i="25"/>
  <c r="Z97" s="1"/>
  <c r="Z90" i="37"/>
  <c r="Z167" i="40"/>
  <c r="Z172"/>
  <c r="Z95" i="37"/>
  <c r="Z171" i="40"/>
  <c r="Z94" i="37"/>
  <c r="AA93" i="40"/>
  <c r="AA84" s="1"/>
  <c r="AA48"/>
  <c r="AA49" s="1"/>
  <c r="AA208"/>
  <c r="Q77"/>
  <c r="Q141"/>
  <c r="Q145"/>
  <c r="AB67" i="25"/>
  <c r="AB61"/>
  <c r="AB25" i="37"/>
  <c r="AB32" s="1"/>
  <c r="AB39" s="1"/>
  <c r="AB25" i="40"/>
  <c r="AC98" s="1"/>
  <c r="AB36" i="25"/>
  <c r="AB43" s="1"/>
  <c r="AB44" s="1"/>
  <c r="N171" i="40"/>
  <c r="N94" i="37"/>
  <c r="N93"/>
  <c r="N170" i="40"/>
  <c r="N176"/>
  <c r="N99" i="37"/>
  <c r="N173" i="40"/>
  <c r="N96" i="37"/>
  <c r="N96" i="25"/>
  <c r="N97" s="1"/>
  <c r="N167" i="40"/>
  <c r="N90" i="37"/>
  <c r="O206" i="40"/>
  <c r="O18"/>
  <c r="O207"/>
  <c r="O14" i="38"/>
  <c r="O16"/>
  <c r="AA27" i="40"/>
  <c r="AA27" i="37"/>
  <c r="AA112"/>
  <c r="AA190" i="40"/>
  <c r="AA201" s="1"/>
  <c r="AA203"/>
  <c r="AA35" i="38" s="1"/>
  <c r="AA100" i="37"/>
  <c r="AA116"/>
  <c r="AA177" i="40"/>
  <c r="AA204"/>
  <c r="AA36" i="38" s="1"/>
  <c r="AA6" i="37"/>
  <c r="AA6" i="40"/>
  <c r="Z6" i="25"/>
  <c r="N6"/>
  <c r="Q146" i="40"/>
  <c r="Q142"/>
  <c r="Q32"/>
  <c r="Q39" s="1"/>
  <c r="Q22" i="38"/>
  <c r="P146" i="40"/>
  <c r="AQ20" i="38"/>
  <c r="AQ52"/>
  <c r="AQ33"/>
  <c r="AW9"/>
  <c r="AQ42"/>
  <c r="F134" i="17"/>
  <c r="F29" i="14"/>
  <c r="E29" s="1"/>
  <c r="R38" i="38"/>
  <c r="O122" i="37"/>
  <c r="O204" i="40"/>
  <c r="O36" i="38" s="1"/>
  <c r="O100" i="37"/>
  <c r="O116"/>
  <c r="O178" i="40"/>
  <c r="O179" s="1"/>
  <c r="O183"/>
  <c r="P21" i="38"/>
  <c r="P199" i="40"/>
  <c r="P163"/>
  <c r="Z11"/>
  <c r="Z18" i="25"/>
  <c r="Z25" s="1"/>
  <c r="Z11" i="37"/>
  <c r="Z31" i="40"/>
  <c r="Z31" i="37"/>
  <c r="Z24"/>
  <c r="Z24" i="40"/>
  <c r="Z28"/>
  <c r="Z28" i="37"/>
  <c r="Z30"/>
  <c r="Z30" i="40"/>
  <c r="Z15" i="38" s="1"/>
  <c r="Z17" i="40"/>
  <c r="Z17" i="37"/>
  <c r="Z13" i="40"/>
  <c r="Z13" i="37"/>
  <c r="AA122"/>
  <c r="AA235" i="40"/>
  <c r="AA24" i="38" s="1"/>
  <c r="AC146" i="40"/>
  <c r="AC142"/>
  <c r="AC32"/>
  <c r="AC39" s="1"/>
  <c r="AB154"/>
  <c r="F30" i="14"/>
  <c r="E30" s="1"/>
  <c r="O188" i="40"/>
  <c r="O184"/>
  <c r="O186"/>
  <c r="O161"/>
  <c r="O112" i="37"/>
  <c r="AA10" i="40"/>
  <c r="AA101" i="37"/>
  <c r="AA102" s="1"/>
  <c r="O48"/>
  <c r="O49" s="1"/>
  <c r="O189" i="40"/>
  <c r="O187"/>
  <c r="O114" i="37"/>
  <c r="Z128" i="25"/>
  <c r="AA234" i="40"/>
  <c r="AA23" i="38" s="1"/>
  <c r="AA108" i="37"/>
  <c r="D54" i="40"/>
  <c r="D99" s="1"/>
  <c r="D60"/>
  <c r="C49" i="37"/>
  <c r="AH49" s="1"/>
  <c r="AH48"/>
  <c r="C49" i="40"/>
  <c r="AH49" s="1"/>
  <c r="AH48"/>
  <c r="AH93"/>
  <c r="AH84" s="1"/>
  <c r="C84"/>
  <c r="B235"/>
  <c r="B24" i="38" s="1"/>
  <c r="C37"/>
  <c r="AH37" s="1"/>
  <c r="AH205" i="40"/>
  <c r="C21"/>
  <c r="C144" s="1"/>
  <c r="AH144" s="1"/>
  <c r="C39" i="37"/>
  <c r="AP160" i="40"/>
  <c r="AP80" s="1"/>
  <c r="AJ80"/>
  <c r="B93"/>
  <c r="B84" s="1"/>
  <c r="C35" i="38"/>
  <c r="AH35" s="1"/>
  <c r="AH203" i="40"/>
  <c r="C24" i="38"/>
  <c r="AH24" s="1"/>
  <c r="AH235" i="40"/>
  <c r="C100"/>
  <c r="AH64"/>
  <c r="AH58"/>
  <c r="C26" i="38"/>
  <c r="AH26" s="1"/>
  <c r="B25" i="37"/>
  <c r="C109" s="1"/>
  <c r="AH109" s="1"/>
  <c r="B25" i="40"/>
  <c r="B32" s="1"/>
  <c r="B161"/>
  <c r="B224"/>
  <c r="B153"/>
  <c r="B226"/>
  <c r="B18" i="37"/>
  <c r="B119"/>
  <c r="B205" i="40"/>
  <c r="B37" i="38" s="1"/>
  <c r="B192" i="40"/>
  <c r="B203" s="1"/>
  <c r="B35" i="38" s="1"/>
  <c r="B27" i="40"/>
  <c r="B27" i="37"/>
  <c r="C53"/>
  <c r="C60" s="1"/>
  <c r="C118"/>
  <c r="AH118" s="1"/>
  <c r="B58" i="40"/>
  <c r="D142"/>
  <c r="B10" i="37"/>
  <c r="B21" s="1"/>
  <c r="B189" i="40"/>
  <c r="B190"/>
  <c r="B201" s="1"/>
  <c r="B36" i="25"/>
  <c r="B43" s="1"/>
  <c r="B44" s="1"/>
  <c r="B186" i="40"/>
  <c r="B101" i="37"/>
  <c r="B102" s="1"/>
  <c r="E66"/>
  <c r="E69" s="1"/>
  <c r="E61"/>
  <c r="E69" i="40"/>
  <c r="E86"/>
  <c r="E85"/>
  <c r="C179"/>
  <c r="AH101" i="37"/>
  <c r="C102"/>
  <c r="C193" i="40"/>
  <c r="AH193" s="1"/>
  <c r="AH177"/>
  <c r="C198"/>
  <c r="AH198" s="1"/>
  <c r="C11" i="38"/>
  <c r="AH11" s="1"/>
  <c r="C16" i="40"/>
  <c r="AH16" s="1"/>
  <c r="C78"/>
  <c r="C197"/>
  <c r="AH153"/>
  <c r="AH78" s="1"/>
  <c r="AH37"/>
  <c r="C101" i="17"/>
  <c r="AH95" i="40"/>
  <c r="C68" i="17"/>
  <c r="C67"/>
  <c r="C163" i="40"/>
  <c r="AH163" s="1"/>
  <c r="C199"/>
  <c r="AH199" s="1"/>
  <c r="C21" i="38"/>
  <c r="AH21" s="1"/>
  <c r="AH94" i="40"/>
  <c r="B122" i="37"/>
  <c r="D77" i="40"/>
  <c r="D141"/>
  <c r="D145"/>
  <c r="C200"/>
  <c r="C39" i="17"/>
  <c r="C34" i="38"/>
  <c r="AH34" s="1"/>
  <c r="AH185" i="40"/>
  <c r="C13" i="38"/>
  <c r="AH13" s="1"/>
  <c r="AH148" i="40"/>
  <c r="AK79"/>
  <c r="AM157"/>
  <c r="K10" i="17" s="1"/>
  <c r="AM158" i="40"/>
  <c r="AM79"/>
  <c r="AL157"/>
  <c r="J10" i="17" s="1"/>
  <c r="AL79" i="40"/>
  <c r="AL158"/>
  <c r="B204"/>
  <c r="B36" i="38" s="1"/>
  <c r="B177" i="40"/>
  <c r="B193" s="1"/>
  <c r="B191"/>
  <c r="B202" s="1"/>
  <c r="B116" i="37"/>
  <c r="B100"/>
  <c r="D54"/>
  <c r="D60"/>
  <c r="C38" i="38"/>
  <c r="AH38" s="1"/>
  <c r="AH207" i="40"/>
  <c r="C134" i="17"/>
  <c r="D109" i="37"/>
  <c r="C23" i="38"/>
  <c r="AH23" s="1"/>
  <c r="AH234" i="40"/>
  <c r="C201"/>
  <c r="AH201" s="1"/>
  <c r="AH190"/>
  <c r="C120" i="37"/>
  <c r="AH120" s="1"/>
  <c r="C21"/>
  <c r="AH10"/>
  <c r="AN79" i="40"/>
  <c r="AN157"/>
  <c r="L10" i="17" s="1"/>
  <c r="AN158" i="40"/>
  <c r="C83"/>
  <c r="C25" i="38"/>
  <c r="AH25" s="1"/>
  <c r="AH97" i="40"/>
  <c r="AH83" s="1"/>
  <c r="C70" i="17"/>
  <c r="B14" i="38"/>
  <c r="B16"/>
  <c r="B37" i="40"/>
  <c r="B147"/>
  <c r="B37" i="37"/>
  <c r="B206" i="40"/>
  <c r="B18"/>
  <c r="B207"/>
  <c r="C110" i="37"/>
  <c r="AH110" s="1"/>
  <c r="AH64"/>
  <c r="AH58"/>
  <c r="B148" i="40"/>
  <c r="B13" i="38" s="1"/>
  <c r="B112" i="37"/>
  <c r="B178" i="40"/>
  <c r="B179" s="1"/>
  <c r="B183"/>
  <c r="B58" i="37"/>
  <c r="B48"/>
  <c r="B49" s="1"/>
  <c r="C227" i="40"/>
  <c r="AH227" s="1"/>
  <c r="C53"/>
  <c r="B10"/>
  <c r="B187"/>
  <c r="B188"/>
  <c r="P141" l="1"/>
  <c r="Y56"/>
  <c r="Q61" i="37"/>
  <c r="Z95" i="40"/>
  <c r="AB144"/>
  <c r="R60" i="37"/>
  <c r="R66" s="1"/>
  <c r="R69" s="1"/>
  <c r="R111" s="1"/>
  <c r="Z94" i="40"/>
  <c r="Z97"/>
  <c r="AB25" i="38"/>
  <c r="AB21"/>
  <c r="AB163" i="40"/>
  <c r="AB98"/>
  <c r="AA32"/>
  <c r="AA39" s="1"/>
  <c r="Q111" i="37"/>
  <c r="N96" i="40"/>
  <c r="N94"/>
  <c r="AA21" i="38"/>
  <c r="N95" i="40"/>
  <c r="AA25" i="38"/>
  <c r="AP156" i="40"/>
  <c r="AP79" s="1"/>
  <c r="P142"/>
  <c r="N97"/>
  <c r="AA200"/>
  <c r="AA81" s="1"/>
  <c r="AD86"/>
  <c r="AD91"/>
  <c r="AD85" s="1"/>
  <c r="N115" i="37"/>
  <c r="AH21"/>
  <c r="AK158" i="40"/>
  <c r="AJ157"/>
  <c r="H10" i="17" s="1"/>
  <c r="AK157" i="40"/>
  <c r="I10" i="17" s="1"/>
  <c r="AJ158" i="40"/>
  <c r="R141"/>
  <c r="Y65" i="25"/>
  <c r="Y57" i="40"/>
  <c r="Y57" i="37"/>
  <c r="Y58" s="1"/>
  <c r="AB145" i="40"/>
  <c r="B34" i="38"/>
  <c r="C100" i="17"/>
  <c r="O21" i="40"/>
  <c r="O140" s="1"/>
  <c r="O82" s="1"/>
  <c r="P145"/>
  <c r="C61" i="25"/>
  <c r="C67"/>
  <c r="AH154" i="40"/>
  <c r="AH10"/>
  <c r="R144"/>
  <c r="P60"/>
  <c r="P61" s="1"/>
  <c r="AB140"/>
  <c r="AB82" s="1"/>
  <c r="AC66"/>
  <c r="AC92" s="1"/>
  <c r="AB141"/>
  <c r="AB233"/>
  <c r="R233"/>
  <c r="R140"/>
  <c r="R82" s="1"/>
  <c r="R145"/>
  <c r="B60" i="25"/>
  <c r="B61" s="1"/>
  <c r="AA39" i="37"/>
  <c r="C202" i="40"/>
  <c r="C36" i="38" s="1"/>
  <c r="AH36" s="1"/>
  <c r="D22"/>
  <c r="C146" i="40"/>
  <c r="AH146" s="1"/>
  <c r="R60"/>
  <c r="R66" s="1"/>
  <c r="N10"/>
  <c r="N232" s="1"/>
  <c r="N10" i="38" s="1"/>
  <c r="O67" i="25"/>
  <c r="O71" s="1"/>
  <c r="O74" s="1"/>
  <c r="O77" s="1"/>
  <c r="O78" s="1"/>
  <c r="AH96" i="40"/>
  <c r="AH113" i="37"/>
  <c r="N186" i="40"/>
  <c r="P77"/>
  <c r="AH157"/>
  <c r="Q66"/>
  <c r="Q92" s="1"/>
  <c r="P68" i="25"/>
  <c r="P140" i="40"/>
  <c r="P82" s="1"/>
  <c r="P233"/>
  <c r="AH197"/>
  <c r="AA109" i="37"/>
  <c r="AA209" i="40"/>
  <c r="AA38" i="38" s="1"/>
  <c r="AH25" i="37"/>
  <c r="C140" i="40"/>
  <c r="C82" s="1"/>
  <c r="AA53" i="37"/>
  <c r="AA60" s="1"/>
  <c r="N117"/>
  <c r="Z60" i="25"/>
  <c r="Z67" s="1"/>
  <c r="B67"/>
  <c r="B71" s="1"/>
  <c r="B74" s="1"/>
  <c r="B77" s="1"/>
  <c r="B78" s="1"/>
  <c r="N101" i="37"/>
  <c r="N102" s="1"/>
  <c r="N189" i="40"/>
  <c r="N187"/>
  <c r="Z187"/>
  <c r="Z188"/>
  <c r="Z101" i="37"/>
  <c r="Z102" s="1"/>
  <c r="Z189" i="40"/>
  <c r="AA118" i="37"/>
  <c r="E14" i="14"/>
  <c r="Z10" i="40"/>
  <c r="Z232" s="1"/>
  <c r="Z10" i="38" s="1"/>
  <c r="B32" i="37"/>
  <c r="B39" s="1"/>
  <c r="AH25" i="40"/>
  <c r="AA53"/>
  <c r="AA60" s="1"/>
  <c r="N10" i="37"/>
  <c r="N120" s="1"/>
  <c r="P60"/>
  <c r="AB11" i="38"/>
  <c r="AB198" i="40"/>
  <c r="AB16"/>
  <c r="Z207"/>
  <c r="Z206"/>
  <c r="Z18"/>
  <c r="Z112" i="37"/>
  <c r="Z16" i="38"/>
  <c r="Z14"/>
  <c r="N6" i="40"/>
  <c r="N6" i="37"/>
  <c r="N183" i="40"/>
  <c r="N178"/>
  <c r="N179" s="1"/>
  <c r="AB71" i="25"/>
  <c r="AB74" s="1"/>
  <c r="AB77" s="1"/>
  <c r="AB78" s="1"/>
  <c r="AB68"/>
  <c r="Z183" i="40"/>
  <c r="Z178"/>
  <c r="Z179" s="1"/>
  <c r="Z205"/>
  <c r="Z37" i="38" s="1"/>
  <c r="Z192" i="40"/>
  <c r="Y160"/>
  <c r="Y80" s="1"/>
  <c r="Y53" i="38"/>
  <c r="Y225" i="40"/>
  <c r="Y156"/>
  <c r="Y57" i="38"/>
  <c r="Y223" i="40"/>
  <c r="Y30"/>
  <c r="Y15" i="38" s="1"/>
  <c r="Y30" i="37"/>
  <c r="Y12" i="40"/>
  <c r="Y12" i="37"/>
  <c r="Y36"/>
  <c r="Y36" i="40"/>
  <c r="Y15"/>
  <c r="Y15" i="37"/>
  <c r="Y35"/>
  <c r="Y41" i="25"/>
  <c r="Y35" i="40"/>
  <c r="Y29"/>
  <c r="Y29" i="37"/>
  <c r="Y26"/>
  <c r="Y26" i="40"/>
  <c r="BD23" i="38"/>
  <c r="AJ23"/>
  <c r="N208" i="40"/>
  <c r="N48"/>
  <c r="N49" s="1"/>
  <c r="N93"/>
  <c r="N84" s="1"/>
  <c r="N226"/>
  <c r="N153"/>
  <c r="N161"/>
  <c r="N224"/>
  <c r="N155"/>
  <c r="N18"/>
  <c r="N206"/>
  <c r="N207"/>
  <c r="L39" i="25"/>
  <c r="L24"/>
  <c r="L40"/>
  <c r="L21"/>
  <c r="L34"/>
  <c r="L22"/>
  <c r="L28"/>
  <c r="L32"/>
  <c r="L30"/>
  <c r="L20"/>
  <c r="L19"/>
  <c r="L33"/>
  <c r="L23"/>
  <c r="L35"/>
  <c r="L213" i="40"/>
  <c r="L196"/>
  <c r="L182"/>
  <c r="L42"/>
  <c r="L90"/>
  <c r="L139"/>
  <c r="L166"/>
  <c r="L76"/>
  <c r="L152"/>
  <c r="L231"/>
  <c r="L222"/>
  <c r="L89" i="37"/>
  <c r="L42"/>
  <c r="L106"/>
  <c r="L138" i="25"/>
  <c r="L135"/>
  <c r="L129"/>
  <c r="L131"/>
  <c r="L136"/>
  <c r="L137"/>
  <c r="L127"/>
  <c r="L130"/>
  <c r="L126"/>
  <c r="M46" i="37"/>
  <c r="M46" i="40"/>
  <c r="M47"/>
  <c r="M47" i="37"/>
  <c r="M65" i="25"/>
  <c r="M56" i="40"/>
  <c r="M56" i="37"/>
  <c r="M45"/>
  <c r="M45" i="40"/>
  <c r="M68" i="37"/>
  <c r="M68" i="40"/>
  <c r="M28" i="38" s="1"/>
  <c r="AB60" i="37"/>
  <c r="AB54"/>
  <c r="O200" i="40"/>
  <c r="O81" s="1"/>
  <c r="O34" i="38"/>
  <c r="O26"/>
  <c r="R71" i="25"/>
  <c r="R74" s="1"/>
  <c r="R77" s="1"/>
  <c r="R78" s="1"/>
  <c r="F17" i="14" s="1"/>
  <c r="E17" s="1"/>
  <c r="R68" i="25"/>
  <c r="AM20" i="38"/>
  <c r="AM52"/>
  <c r="AS9"/>
  <c r="AM42"/>
  <c r="AM33"/>
  <c r="AM105" i="40"/>
  <c r="AM152"/>
  <c r="AM42"/>
  <c r="K8" i="17"/>
  <c r="AM196" i="40"/>
  <c r="AM76"/>
  <c r="AM166"/>
  <c r="K37" i="17"/>
  <c r="AM139" i="40"/>
  <c r="AM115"/>
  <c r="AM222"/>
  <c r="AM231"/>
  <c r="L66" i="17"/>
  <c r="AM182" i="40"/>
  <c r="AM131"/>
  <c r="K128" i="17"/>
  <c r="K98"/>
  <c r="AM90" i="40"/>
  <c r="AM213"/>
  <c r="AM123"/>
  <c r="AL113" i="25"/>
  <c r="AN7" i="37"/>
  <c r="AL47" i="25"/>
  <c r="AL13"/>
  <c r="AL82"/>
  <c r="AN7" i="40"/>
  <c r="AL101" i="25"/>
  <c r="AN9" i="38"/>
  <c r="AA197" i="40"/>
  <c r="AA78"/>
  <c r="N116" i="37"/>
  <c r="N100"/>
  <c r="N203" i="40"/>
  <c r="N35" i="38" s="1"/>
  <c r="N190" i="40"/>
  <c r="N201" s="1"/>
  <c r="N79"/>
  <c r="N158"/>
  <c r="AD143"/>
  <c r="AD29" i="38" s="1"/>
  <c r="AD72" i="40"/>
  <c r="AD73" s="1"/>
  <c r="AD101" s="1"/>
  <c r="AJ109" i="37"/>
  <c r="AD109"/>
  <c r="R109"/>
  <c r="AC109"/>
  <c r="R32"/>
  <c r="AB109"/>
  <c r="Z100"/>
  <c r="Z116"/>
  <c r="Z177" i="40"/>
  <c r="Z204"/>
  <c r="Z36" i="38" s="1"/>
  <c r="Y96" i="25"/>
  <c r="Y97" s="1"/>
  <c r="Y90" i="37"/>
  <c r="Y167" i="40"/>
  <c r="Y93" i="37"/>
  <c r="Y170" i="40"/>
  <c r="Y92" i="37"/>
  <c r="Y169" i="40"/>
  <c r="Y171"/>
  <c r="Y94" i="37"/>
  <c r="Y173" i="40"/>
  <c r="Y96" i="37"/>
  <c r="Y46"/>
  <c r="Y46" i="40"/>
  <c r="Y45" i="37"/>
  <c r="Y45" i="40"/>
  <c r="Y95" s="1"/>
  <c r="Y63" i="37"/>
  <c r="Y64" s="1"/>
  <c r="Y110" s="1"/>
  <c r="Y63" i="40"/>
  <c r="Y64" s="1"/>
  <c r="Y100" s="1"/>
  <c r="Y27" i="38" s="1"/>
  <c r="Y52" i="40"/>
  <c r="Y52" i="37"/>
  <c r="Y68"/>
  <c r="Y68" i="40"/>
  <c r="Y28" i="38" s="1"/>
  <c r="X89" i="37"/>
  <c r="X42"/>
  <c r="X78"/>
  <c r="X106"/>
  <c r="X19" i="25"/>
  <c r="X32"/>
  <c r="X22"/>
  <c r="X30"/>
  <c r="X33"/>
  <c r="X23"/>
  <c r="X35"/>
  <c r="X20"/>
  <c r="X21"/>
  <c r="X24"/>
  <c r="X40"/>
  <c r="X39"/>
  <c r="X34"/>
  <c r="X28"/>
  <c r="X93"/>
  <c r="X87"/>
  <c r="X86"/>
  <c r="X94"/>
  <c r="X85"/>
  <c r="X92"/>
  <c r="X90"/>
  <c r="X88"/>
  <c r="X91"/>
  <c r="X89"/>
  <c r="X166" i="40"/>
  <c r="X139"/>
  <c r="X213"/>
  <c r="X222"/>
  <c r="X196"/>
  <c r="X105"/>
  <c r="X90"/>
  <c r="X76"/>
  <c r="X152"/>
  <c r="X231"/>
  <c r="X42"/>
  <c r="X182"/>
  <c r="X119" i="25"/>
  <c r="X218" i="40" s="1"/>
  <c r="X116" i="25"/>
  <c r="X215" i="40" s="1"/>
  <c r="X54" i="38" s="1"/>
  <c r="X118" i="25"/>
  <c r="X217" i="40" s="1"/>
  <c r="X117" i="25"/>
  <c r="X216" i="40" s="1"/>
  <c r="X55" i="38" s="1"/>
  <c r="X115" i="25"/>
  <c r="X214" i="40" s="1"/>
  <c r="X120" i="25"/>
  <c r="X219" i="40" s="1"/>
  <c r="X58" i="38" s="1"/>
  <c r="Z48" i="40"/>
  <c r="Z49" s="1"/>
  <c r="Z93"/>
  <c r="Z84" s="1"/>
  <c r="Z107" i="37"/>
  <c r="Z48"/>
  <c r="Z49" s="1"/>
  <c r="Z227" i="40"/>
  <c r="BD11" i="38"/>
  <c r="AJ11"/>
  <c r="AJ15" i="40" s="1"/>
  <c r="O197"/>
  <c r="O78"/>
  <c r="N122" i="37"/>
  <c r="N235" i="40"/>
  <c r="N24" i="38" s="1"/>
  <c r="N112" i="37"/>
  <c r="N148" i="40"/>
  <c r="N13" i="38" s="1"/>
  <c r="N37" i="37"/>
  <c r="N37" i="40"/>
  <c r="N147"/>
  <c r="M98" i="37"/>
  <c r="M175" i="40"/>
  <c r="M95" i="25"/>
  <c r="M93" i="37"/>
  <c r="M170" i="40"/>
  <c r="M173"/>
  <c r="M96" i="37"/>
  <c r="M167" i="40"/>
  <c r="M96" i="25"/>
  <c r="M97" s="1"/>
  <c r="M90" i="37"/>
  <c r="M99"/>
  <c r="M117" s="1"/>
  <c r="M176" i="40"/>
  <c r="M223"/>
  <c r="M57" i="38"/>
  <c r="M156" i="40"/>
  <c r="Z157" s="1"/>
  <c r="M225"/>
  <c r="M56" i="38"/>
  <c r="M159" i="40"/>
  <c r="M13"/>
  <c r="M13" i="37"/>
  <c r="M17" i="40"/>
  <c r="M17" i="37"/>
  <c r="M12" i="40"/>
  <c r="M12" i="37"/>
  <c r="M29" i="25"/>
  <c r="M36" s="1"/>
  <c r="M28" i="40"/>
  <c r="M28" i="37"/>
  <c r="M31" i="40"/>
  <c r="M31" i="37"/>
  <c r="M36"/>
  <c r="M36" i="40"/>
  <c r="M41" i="25"/>
  <c r="M35" i="40"/>
  <c r="M35" i="37"/>
  <c r="C142" i="40"/>
  <c r="AH142" s="1"/>
  <c r="C233"/>
  <c r="AH233" s="1"/>
  <c r="O53" i="37"/>
  <c r="E34" i="14"/>
  <c r="N48" i="37"/>
  <c r="N49" s="1"/>
  <c r="Z161" i="40"/>
  <c r="O53"/>
  <c r="O54" s="1"/>
  <c r="O99" s="1"/>
  <c r="N188"/>
  <c r="N185"/>
  <c r="Z186"/>
  <c r="Z185"/>
  <c r="Z115" i="37"/>
  <c r="Y125" i="25"/>
  <c r="Z121" i="37"/>
  <c r="AA157" i="40"/>
  <c r="N58" i="37"/>
  <c r="M128" i="25"/>
  <c r="M125"/>
  <c r="AA21" i="40"/>
  <c r="AA233" s="1"/>
  <c r="AA232"/>
  <c r="AA10" i="38" s="1"/>
  <c r="O83" i="40"/>
  <c r="O25" i="38"/>
  <c r="Z18" i="37"/>
  <c r="Z119"/>
  <c r="Z29" i="25"/>
  <c r="Z27" i="37"/>
  <c r="Z27" i="40"/>
  <c r="Z148"/>
  <c r="Z13" i="38" s="1"/>
  <c r="AW52"/>
  <c r="BE9"/>
  <c r="AW33"/>
  <c r="AW42"/>
  <c r="AW20"/>
  <c r="Z6" i="40"/>
  <c r="Z6" i="37"/>
  <c r="Y6" i="25"/>
  <c r="M6"/>
  <c r="N192" i="40"/>
  <c r="N205"/>
  <c r="N37" i="38" s="1"/>
  <c r="AB146" i="40"/>
  <c r="AB142"/>
  <c r="AB32"/>
  <c r="AB39" s="1"/>
  <c r="Y56" i="38"/>
  <c r="Y159" i="40"/>
  <c r="Y11" i="37"/>
  <c r="Y18" i="25"/>
  <c r="Y25" s="1"/>
  <c r="Y11" i="40"/>
  <c r="Y17" i="37"/>
  <c r="Y17" i="40"/>
  <c r="Y13"/>
  <c r="Y13" i="37"/>
  <c r="Y31"/>
  <c r="Y31" i="40"/>
  <c r="Y20" i="37"/>
  <c r="Y20" i="40"/>
  <c r="Y12" i="38" s="1"/>
  <c r="Y28" i="40"/>
  <c r="Y28" i="37"/>
  <c r="Y24"/>
  <c r="Y24" i="40"/>
  <c r="Z208"/>
  <c r="Z235"/>
  <c r="Z24" i="38" s="1"/>
  <c r="Z122" i="37"/>
  <c r="BD42" i="38"/>
  <c r="BD20"/>
  <c r="BD52"/>
  <c r="BD33"/>
  <c r="O25" i="40"/>
  <c r="O25" i="37"/>
  <c r="O32" s="1"/>
  <c r="O39" s="1"/>
  <c r="O36" i="25"/>
  <c r="O43" s="1"/>
  <c r="O44" s="1"/>
  <c r="N27" i="37"/>
  <c r="N27" i="40"/>
  <c r="N18" i="37"/>
  <c r="N119"/>
  <c r="K7"/>
  <c r="K48" i="25"/>
  <c r="K7" i="40"/>
  <c r="K14" i="25"/>
  <c r="K31" s="1"/>
  <c r="K134"/>
  <c r="K83"/>
  <c r="J7"/>
  <c r="K9" i="38"/>
  <c r="K124" i="25"/>
  <c r="K114"/>
  <c r="L117"/>
  <c r="L216" i="40" s="1"/>
  <c r="L55" i="38" s="1"/>
  <c r="L118" i="25"/>
  <c r="L217" i="40" s="1"/>
  <c r="L115" i="25"/>
  <c r="L214" i="40" s="1"/>
  <c r="L119" i="25"/>
  <c r="L218" i="40" s="1"/>
  <c r="L120" i="25"/>
  <c r="L219" i="40" s="1"/>
  <c r="L58" i="38" s="1"/>
  <c r="L116" i="25"/>
  <c r="L215" i="40" s="1"/>
  <c r="L54" i="38" s="1"/>
  <c r="L70" i="25"/>
  <c r="L64"/>
  <c r="L54"/>
  <c r="L51"/>
  <c r="L58"/>
  <c r="L76"/>
  <c r="L52"/>
  <c r="L73"/>
  <c r="L53"/>
  <c r="L63"/>
  <c r="L59"/>
  <c r="L93"/>
  <c r="L87"/>
  <c r="L86"/>
  <c r="L91"/>
  <c r="L89"/>
  <c r="L88"/>
  <c r="L85"/>
  <c r="L94"/>
  <c r="L90"/>
  <c r="L92"/>
  <c r="L33" i="38"/>
  <c r="L20"/>
  <c r="L52"/>
  <c r="M51" i="37"/>
  <c r="M51" i="40"/>
  <c r="M44"/>
  <c r="M44" i="37"/>
  <c r="M55" i="25"/>
  <c r="M56" s="1"/>
  <c r="M71" i="37"/>
  <c r="M71" i="40"/>
  <c r="M52"/>
  <c r="M52" i="37"/>
  <c r="M57"/>
  <c r="M57" i="40"/>
  <c r="M63"/>
  <c r="M64" s="1"/>
  <c r="M100" s="1"/>
  <c r="M27" i="38" s="1"/>
  <c r="M63" i="37"/>
  <c r="M64" s="1"/>
  <c r="M110" s="1"/>
  <c r="AA61" i="25"/>
  <c r="AA67"/>
  <c r="AA21" i="37"/>
  <c r="AA120"/>
  <c r="AB60" i="40"/>
  <c r="AB54"/>
  <c r="AB99" s="1"/>
  <c r="O120" i="37"/>
  <c r="O21"/>
  <c r="AC72"/>
  <c r="AC73" s="1"/>
  <c r="AC111"/>
  <c r="AA83" i="40"/>
  <c r="Z147"/>
  <c r="Z37" i="37"/>
  <c r="Z37" i="40"/>
  <c r="Z226"/>
  <c r="Z155"/>
  <c r="Z153"/>
  <c r="Z224"/>
  <c r="Z79"/>
  <c r="Z158"/>
  <c r="O199"/>
  <c r="O163"/>
  <c r="O21" i="38"/>
  <c r="AR42"/>
  <c r="AR52"/>
  <c r="AR33"/>
  <c r="AR20"/>
  <c r="AX9"/>
  <c r="AM42" i="37"/>
  <c r="AM78"/>
  <c r="AM89"/>
  <c r="AM106"/>
  <c r="N177" i="40"/>
  <c r="N204"/>
  <c r="N36" i="38" s="1"/>
  <c r="R146" i="40"/>
  <c r="AJ116"/>
  <c r="AJ118" s="1"/>
  <c r="R142"/>
  <c r="F100" i="17"/>
  <c r="AD22" i="38"/>
  <c r="AC22"/>
  <c r="R22"/>
  <c r="R32" i="40"/>
  <c r="AB22" i="38"/>
  <c r="Z190" i="40"/>
  <c r="Z201" s="1"/>
  <c r="Z203"/>
  <c r="Z35" i="38" s="1"/>
  <c r="Y99" i="37"/>
  <c r="Y117" s="1"/>
  <c r="Y176" i="40"/>
  <c r="Y168"/>
  <c r="Y91" i="37"/>
  <c r="Y175" i="40"/>
  <c r="Y95" i="25"/>
  <c r="Y98" i="37"/>
  <c r="Y172" i="40"/>
  <c r="Y95" i="37"/>
  <c r="Y174" i="40"/>
  <c r="Y97" i="37"/>
  <c r="Y51"/>
  <c r="Y51" i="40"/>
  <c r="Y71"/>
  <c r="Y71" i="37"/>
  <c r="Y44"/>
  <c r="Y55" i="25"/>
  <c r="Y56" s="1"/>
  <c r="Y44" i="40"/>
  <c r="Y47"/>
  <c r="Y96" s="1"/>
  <c r="Y47" i="37"/>
  <c r="X20" i="38"/>
  <c r="X33"/>
  <c r="X52"/>
  <c r="X42"/>
  <c r="X73" i="25"/>
  <c r="X63"/>
  <c r="X64"/>
  <c r="X76"/>
  <c r="X59"/>
  <c r="X58"/>
  <c r="X52"/>
  <c r="X53"/>
  <c r="X70"/>
  <c r="X54"/>
  <c r="X51"/>
  <c r="W9" i="38"/>
  <c r="V7" i="25"/>
  <c r="W7" i="40"/>
  <c r="W14" i="25"/>
  <c r="W31" s="1"/>
  <c r="W83"/>
  <c r="W124"/>
  <c r="W114"/>
  <c r="W134"/>
  <c r="W48"/>
  <c r="W7" i="37"/>
  <c r="W102" i="25"/>
  <c r="X129"/>
  <c r="X138"/>
  <c r="X130"/>
  <c r="X137"/>
  <c r="X126"/>
  <c r="X136"/>
  <c r="X135"/>
  <c r="X127"/>
  <c r="X131"/>
  <c r="N14" i="38"/>
  <c r="N16"/>
  <c r="M92" i="37"/>
  <c r="M169" i="40"/>
  <c r="M94" i="37"/>
  <c r="M171" i="40"/>
  <c r="M172"/>
  <c r="M95" i="37"/>
  <c r="M97"/>
  <c r="M174" i="40"/>
  <c r="M91" i="37"/>
  <c r="M168" i="40"/>
  <c r="M160"/>
  <c r="M80" s="1"/>
  <c r="M53" i="38"/>
  <c r="M26" i="37"/>
  <c r="M26" i="40"/>
  <c r="M29"/>
  <c r="M29" i="37"/>
  <c r="M11"/>
  <c r="M11" i="40"/>
  <c r="M18" i="25"/>
  <c r="M25" s="1"/>
  <c r="M15" i="37"/>
  <c r="Z113" s="1"/>
  <c r="Z16" s="1"/>
  <c r="M15" i="40"/>
  <c r="M30"/>
  <c r="M15" i="38" s="1"/>
  <c r="M30" i="37"/>
  <c r="M20" i="40"/>
  <c r="M12" i="38" s="1"/>
  <c r="M20" i="37"/>
  <c r="M24"/>
  <c r="M24" i="40"/>
  <c r="AA146"/>
  <c r="Z10" i="37"/>
  <c r="AA154" i="40"/>
  <c r="N114" i="37"/>
  <c r="N184" i="40"/>
  <c r="Z114" i="37"/>
  <c r="Z184" i="40"/>
  <c r="Y128" i="25"/>
  <c r="Z234" i="40"/>
  <c r="Z23" i="38" s="1"/>
  <c r="Z108" i="37"/>
  <c r="N58" i="40"/>
  <c r="N60" i="25"/>
  <c r="N61" s="1"/>
  <c r="N29"/>
  <c r="C54" i="40"/>
  <c r="AH53"/>
  <c r="C61" i="37"/>
  <c r="C66"/>
  <c r="C81" i="40"/>
  <c r="AH200"/>
  <c r="AH81" s="1"/>
  <c r="AH140"/>
  <c r="AH82" s="1"/>
  <c r="E72"/>
  <c r="E73" s="1"/>
  <c r="E101" s="1"/>
  <c r="E143"/>
  <c r="E29" i="38" s="1"/>
  <c r="B146" i="40"/>
  <c r="C27" i="38"/>
  <c r="AH27" s="1"/>
  <c r="AH100" i="40"/>
  <c r="C77"/>
  <c r="AH21"/>
  <c r="AH77" s="1"/>
  <c r="C141"/>
  <c r="AH141" s="1"/>
  <c r="C145"/>
  <c r="AH145" s="1"/>
  <c r="C10" i="38"/>
  <c r="AH10" s="1"/>
  <c r="AH232" i="40"/>
  <c r="B39"/>
  <c r="B53" i="37"/>
  <c r="B54" s="1"/>
  <c r="C71" i="17"/>
  <c r="C60" i="40"/>
  <c r="B53"/>
  <c r="B54" s="1"/>
  <c r="B99" s="1"/>
  <c r="B21"/>
  <c r="B144" s="1"/>
  <c r="D66" i="37"/>
  <c r="D69" s="1"/>
  <c r="D61"/>
  <c r="E72"/>
  <c r="E73" s="1"/>
  <c r="E111"/>
  <c r="B26" i="38"/>
  <c r="C54" i="37"/>
  <c r="AH54" s="1"/>
  <c r="AH53"/>
  <c r="B197" i="40"/>
  <c r="B78"/>
  <c r="D66"/>
  <c r="D61"/>
  <c r="Y58" l="1"/>
  <c r="Y26" i="38" s="1"/>
  <c r="L125" i="25"/>
  <c r="M115" i="37"/>
  <c r="R72"/>
  <c r="R73" s="1"/>
  <c r="R61"/>
  <c r="AH61" s="1"/>
  <c r="AH60"/>
  <c r="Y94" i="40"/>
  <c r="Y97"/>
  <c r="P98"/>
  <c r="P22" i="38" s="1"/>
  <c r="N21" i="40"/>
  <c r="N77" s="1"/>
  <c r="AA144"/>
  <c r="AA199"/>
  <c r="AA163"/>
  <c r="Z163"/>
  <c r="Z25" i="38"/>
  <c r="M94" i="40"/>
  <c r="M95"/>
  <c r="M96"/>
  <c r="M97"/>
  <c r="AP157"/>
  <c r="AC91"/>
  <c r="AC85" s="1"/>
  <c r="AC86"/>
  <c r="Q91"/>
  <c r="Q85" s="1"/>
  <c r="Q86"/>
  <c r="R91"/>
  <c r="R85" s="1"/>
  <c r="F15" i="14" s="1"/>
  <c r="E15" s="1"/>
  <c r="R92" i="40"/>
  <c r="R86" s="1"/>
  <c r="F16" i="14" s="1"/>
  <c r="E16" s="1"/>
  <c r="Y108" i="37"/>
  <c r="AC69" i="40"/>
  <c r="AC143" s="1"/>
  <c r="AC29" i="38" s="1"/>
  <c r="P66" i="40"/>
  <c r="O141"/>
  <c r="Q69"/>
  <c r="Q72" s="1"/>
  <c r="Q73" s="1"/>
  <c r="Q101" s="1"/>
  <c r="O144"/>
  <c r="O77"/>
  <c r="O233"/>
  <c r="O145"/>
  <c r="C68" i="25"/>
  <c r="C71"/>
  <c r="C74" s="1"/>
  <c r="C77" s="1"/>
  <c r="C78" s="1"/>
  <c r="O68"/>
  <c r="R61" i="40"/>
  <c r="AH202"/>
  <c r="Y188"/>
  <c r="B68" i="25"/>
  <c r="M10" i="37"/>
  <c r="M120" s="1"/>
  <c r="Z53"/>
  <c r="Z60" s="1"/>
  <c r="Z53" i="40"/>
  <c r="Z60" s="1"/>
  <c r="AA54"/>
  <c r="AA99" s="1"/>
  <c r="Y115" i="37"/>
  <c r="AA54"/>
  <c r="Y234" i="40"/>
  <c r="Y23" i="38" s="1"/>
  <c r="Y185" i="40"/>
  <c r="Y34" i="38" s="1"/>
  <c r="Y186" i="40"/>
  <c r="M43" i="25"/>
  <c r="M44" s="1"/>
  <c r="AA140" i="40"/>
  <c r="AA82" s="1"/>
  <c r="AA142"/>
  <c r="Y184"/>
  <c r="Y189"/>
  <c r="Y187"/>
  <c r="Z61" i="25"/>
  <c r="X125"/>
  <c r="M10" i="40"/>
  <c r="M232" s="1"/>
  <c r="M10" i="38" s="1"/>
  <c r="Z21" i="40"/>
  <c r="Z145" s="1"/>
  <c r="B60"/>
  <c r="B66" s="1"/>
  <c r="B69" s="1"/>
  <c r="B72" s="1"/>
  <c r="B73" s="1"/>
  <c r="B101" s="1"/>
  <c r="P61" i="37"/>
  <c r="P66"/>
  <c r="P69" s="1"/>
  <c r="B140" i="40"/>
  <c r="B82" s="1"/>
  <c r="Z118" i="37"/>
  <c r="M48"/>
  <c r="M49" s="1"/>
  <c r="M60" i="25"/>
  <c r="M61" s="1"/>
  <c r="N21" i="37"/>
  <c r="Y10" i="40"/>
  <c r="Y232" s="1"/>
  <c r="Y10" i="38" s="1"/>
  <c r="N53" i="40"/>
  <c r="N54" s="1"/>
  <c r="N99" s="1"/>
  <c r="Y121" i="37"/>
  <c r="Y114"/>
  <c r="N26" i="38"/>
  <c r="Z120" i="37"/>
  <c r="Z21"/>
  <c r="M161" i="40"/>
  <c r="M153"/>
  <c r="M224"/>
  <c r="M226"/>
  <c r="M155"/>
  <c r="M25"/>
  <c r="M25" i="37"/>
  <c r="M32" s="1"/>
  <c r="M190" i="40"/>
  <c r="M201" s="1"/>
  <c r="M203"/>
  <c r="M35" i="38" s="1"/>
  <c r="W78" i="37"/>
  <c r="W106"/>
  <c r="W42"/>
  <c r="W89"/>
  <c r="W129" i="25"/>
  <c r="W138"/>
  <c r="W130"/>
  <c r="W136"/>
  <c r="W126"/>
  <c r="W137"/>
  <c r="W135"/>
  <c r="W127"/>
  <c r="W131"/>
  <c r="W32"/>
  <c r="W39"/>
  <c r="W24"/>
  <c r="W22"/>
  <c r="W30"/>
  <c r="W28"/>
  <c r="W33"/>
  <c r="W21"/>
  <c r="W20"/>
  <c r="W34"/>
  <c r="W23"/>
  <c r="W19"/>
  <c r="W35"/>
  <c r="W40"/>
  <c r="V14"/>
  <c r="V31" s="1"/>
  <c r="V83"/>
  <c r="V124"/>
  <c r="V48"/>
  <c r="V102"/>
  <c r="V114"/>
  <c r="U7"/>
  <c r="V134"/>
  <c r="V7" i="40"/>
  <c r="V7" i="37"/>
  <c r="V9" i="38"/>
  <c r="X55" i="25"/>
  <c r="X56" s="1"/>
  <c r="X44" i="37"/>
  <c r="X44" i="40"/>
  <c r="X63" i="37"/>
  <c r="X64" s="1"/>
  <c r="X110" s="1"/>
  <c r="X63" i="40"/>
  <c r="X64" s="1"/>
  <c r="X100" s="1"/>
  <c r="X27" i="38" s="1"/>
  <c r="X45" i="40"/>
  <c r="X45" i="37"/>
  <c r="X52"/>
  <c r="X52" i="40"/>
  <c r="X57" i="37"/>
  <c r="X57" i="40"/>
  <c r="X68"/>
  <c r="X28" i="38" s="1"/>
  <c r="X68" i="37"/>
  <c r="Y208" i="40"/>
  <c r="Y235"/>
  <c r="Y24" i="38" s="1"/>
  <c r="Y122" i="37"/>
  <c r="Y203" i="40"/>
  <c r="Y35" i="38" s="1"/>
  <c r="Y190" i="40"/>
  <c r="Y201" s="1"/>
  <c r="Y205"/>
  <c r="Y37" i="38" s="1"/>
  <c r="Y192" i="40"/>
  <c r="BF9" i="38"/>
  <c r="AX33"/>
  <c r="AX52"/>
  <c r="AX42"/>
  <c r="AX20"/>
  <c r="AB66" i="40"/>
  <c r="AB92" s="1"/>
  <c r="AB61"/>
  <c r="M122" i="37"/>
  <c r="L174" i="40"/>
  <c r="L97" i="37"/>
  <c r="L99"/>
  <c r="L176" i="40"/>
  <c r="L170"/>
  <c r="L93" i="37"/>
  <c r="L96"/>
  <c r="L173" i="40"/>
  <c r="L169"/>
  <c r="L92" i="37"/>
  <c r="Y118" s="1"/>
  <c r="L52"/>
  <c r="L52" i="40"/>
  <c r="L46" i="37"/>
  <c r="L46" i="40"/>
  <c r="L45"/>
  <c r="L45" i="37"/>
  <c r="L51" i="40"/>
  <c r="L51" i="37"/>
  <c r="L47" i="40"/>
  <c r="L47" i="37"/>
  <c r="L63"/>
  <c r="L64" s="1"/>
  <c r="L110" s="1"/>
  <c r="L63" i="40"/>
  <c r="L64" s="1"/>
  <c r="L100" s="1"/>
  <c r="L27" i="38" s="1"/>
  <c r="L53"/>
  <c r="L160" i="40"/>
  <c r="L80" s="1"/>
  <c r="K137" i="25"/>
  <c r="K131"/>
  <c r="K138"/>
  <c r="K130"/>
  <c r="K135"/>
  <c r="K136"/>
  <c r="K127"/>
  <c r="K126"/>
  <c r="K129"/>
  <c r="J48"/>
  <c r="I7"/>
  <c r="J7" i="40"/>
  <c r="J124" i="25"/>
  <c r="J7" i="37"/>
  <c r="J83" i="25"/>
  <c r="J9" i="38"/>
  <c r="J134" i="25"/>
  <c r="J114"/>
  <c r="J14"/>
  <c r="J31" s="1"/>
  <c r="K152" i="40"/>
  <c r="K42"/>
  <c r="K90"/>
  <c r="K166"/>
  <c r="K213"/>
  <c r="K139"/>
  <c r="K196"/>
  <c r="K222"/>
  <c r="K231"/>
  <c r="K182"/>
  <c r="K76"/>
  <c r="K89" i="37"/>
  <c r="K42"/>
  <c r="K106"/>
  <c r="Y112"/>
  <c r="Y27"/>
  <c r="Y27" i="40"/>
  <c r="Y16" i="38"/>
  <c r="Y14"/>
  <c r="Y18" i="40"/>
  <c r="Y207"/>
  <c r="Y206"/>
  <c r="L6" i="25"/>
  <c r="X6"/>
  <c r="Y6" i="40"/>
  <c r="Y6" i="37"/>
  <c r="BE33" i="38"/>
  <c r="BE42"/>
  <c r="BE52"/>
  <c r="BE20"/>
  <c r="Z200" i="40"/>
  <c r="Z81" s="1"/>
  <c r="Z34" i="38"/>
  <c r="N200" i="40"/>
  <c r="N81" s="1"/>
  <c r="N34" i="38"/>
  <c r="O54" i="37"/>
  <c r="O60"/>
  <c r="M27"/>
  <c r="M27" i="40"/>
  <c r="M207"/>
  <c r="M206"/>
  <c r="M18"/>
  <c r="M79"/>
  <c r="M158"/>
  <c r="M100" i="37"/>
  <c r="M116"/>
  <c r="X171" i="40"/>
  <c r="X94" i="37"/>
  <c r="X93"/>
  <c r="X170" i="40"/>
  <c r="X97" i="37"/>
  <c r="X174" i="40"/>
  <c r="X95" i="25"/>
  <c r="X99" i="37"/>
  <c r="X176" i="40"/>
  <c r="X169"/>
  <c r="X92" i="37"/>
  <c r="X24"/>
  <c r="X24" i="40"/>
  <c r="X35"/>
  <c r="X35" i="37"/>
  <c r="X41" i="25"/>
  <c r="X20" i="40"/>
  <c r="X12" i="38" s="1"/>
  <c r="X20" i="37"/>
  <c r="X12"/>
  <c r="X12" i="40"/>
  <c r="X17" i="37"/>
  <c r="X17" i="40"/>
  <c r="X26"/>
  <c r="X26" i="37"/>
  <c r="X28" i="40"/>
  <c r="X28" i="37"/>
  <c r="Y183" i="40"/>
  <c r="Y178"/>
  <c r="Y179" s="1"/>
  <c r="AN33" i="38"/>
  <c r="AT9"/>
  <c r="AN42"/>
  <c r="AN20"/>
  <c r="AN52"/>
  <c r="AN139" i="40"/>
  <c r="L8" i="17"/>
  <c r="AN105" i="40"/>
  <c r="AN182"/>
  <c r="L37" i="17"/>
  <c r="AN231" i="40"/>
  <c r="AN90"/>
  <c r="AN76"/>
  <c r="AN196"/>
  <c r="L128" i="17"/>
  <c r="M66"/>
  <c r="AN42" i="40"/>
  <c r="AN166"/>
  <c r="AN213"/>
  <c r="AN123"/>
  <c r="AN222"/>
  <c r="L98" i="17"/>
  <c r="AN115" i="40"/>
  <c r="AN152"/>
  <c r="AN131"/>
  <c r="AP7"/>
  <c r="AN78" i="37"/>
  <c r="AN42"/>
  <c r="AN89"/>
  <c r="AN106"/>
  <c r="AP7"/>
  <c r="AS20" i="38"/>
  <c r="AS33"/>
  <c r="AS42"/>
  <c r="AS52"/>
  <c r="AY9"/>
  <c r="AB66" i="37"/>
  <c r="AB69" s="1"/>
  <c r="AB61"/>
  <c r="L17"/>
  <c r="L17" i="40"/>
  <c r="L18" i="25"/>
  <c r="L25" s="1"/>
  <c r="L11" i="40"/>
  <c r="L11" i="37"/>
  <c r="L26"/>
  <c r="L26" i="40"/>
  <c r="L24" i="37"/>
  <c r="L24" i="40"/>
  <c r="L30"/>
  <c r="L15" i="38" s="1"/>
  <c r="L30" i="37"/>
  <c r="L36" i="40"/>
  <c r="L36" i="37"/>
  <c r="L35" i="40"/>
  <c r="L41" i="25"/>
  <c r="L35" i="37"/>
  <c r="N78" i="40"/>
  <c r="N197"/>
  <c r="N21" i="38"/>
  <c r="N199" i="40"/>
  <c r="N163"/>
  <c r="Z68" i="25"/>
  <c r="Z71"/>
  <c r="Z74" s="1"/>
  <c r="Z77" s="1"/>
  <c r="Z78" s="1"/>
  <c r="Y161" i="40"/>
  <c r="Y155"/>
  <c r="Y153"/>
  <c r="Y226"/>
  <c r="Y224"/>
  <c r="M184"/>
  <c r="M187"/>
  <c r="M185"/>
  <c r="X128" i="25"/>
  <c r="Z154" i="40"/>
  <c r="Z209"/>
  <c r="Z38" i="38" s="1"/>
  <c r="Y10" i="37"/>
  <c r="M186" i="40"/>
  <c r="N53" i="37"/>
  <c r="N54" s="1"/>
  <c r="M58" i="40"/>
  <c r="L128" i="25"/>
  <c r="N25" i="40"/>
  <c r="N25" i="37"/>
  <c r="N32" s="1"/>
  <c r="N39" s="1"/>
  <c r="N36" i="25"/>
  <c r="N43" s="1"/>
  <c r="N44" s="1"/>
  <c r="N83" i="40"/>
  <c r="N25" i="38"/>
  <c r="AA198" i="40"/>
  <c r="AA11" i="38"/>
  <c r="AA16" i="40"/>
  <c r="M148"/>
  <c r="M13" i="38" s="1"/>
  <c r="M112" i="37"/>
  <c r="W73" i="25"/>
  <c r="W54"/>
  <c r="W59"/>
  <c r="W51"/>
  <c r="W53"/>
  <c r="W52"/>
  <c r="W70"/>
  <c r="W76"/>
  <c r="W63"/>
  <c r="W58"/>
  <c r="W64"/>
  <c r="W120"/>
  <c r="W219" i="40" s="1"/>
  <c r="W58" i="38" s="1"/>
  <c r="W119" i="25"/>
  <c r="W218" i="40" s="1"/>
  <c r="W118" i="25"/>
  <c r="W217" i="40" s="1"/>
  <c r="W115" i="25"/>
  <c r="W214" i="40" s="1"/>
  <c r="W116" i="25"/>
  <c r="W215" i="40" s="1"/>
  <c r="W54" i="38" s="1"/>
  <c r="W117" i="25"/>
  <c r="W216" i="40" s="1"/>
  <c r="W55" i="38" s="1"/>
  <c r="W86" i="25"/>
  <c r="W90"/>
  <c r="W94"/>
  <c r="W91"/>
  <c r="W89"/>
  <c r="W92"/>
  <c r="W85"/>
  <c r="W93"/>
  <c r="W88"/>
  <c r="W87"/>
  <c r="W213" i="40"/>
  <c r="W139"/>
  <c r="W231"/>
  <c r="W182"/>
  <c r="W105"/>
  <c r="W196"/>
  <c r="W76"/>
  <c r="W222"/>
  <c r="W166"/>
  <c r="W90"/>
  <c r="W152"/>
  <c r="W42"/>
  <c r="W20" i="38"/>
  <c r="W52"/>
  <c r="W33"/>
  <c r="W42"/>
  <c r="X47" i="37"/>
  <c r="X47" i="40"/>
  <c r="X46"/>
  <c r="X46" i="37"/>
  <c r="X51"/>
  <c r="X51" i="40"/>
  <c r="X71"/>
  <c r="X71" i="37"/>
  <c r="X56"/>
  <c r="X56" i="40"/>
  <c r="X65" i="25"/>
  <c r="Y48" i="40"/>
  <c r="Y49" s="1"/>
  <c r="Y93"/>
  <c r="Y84" s="1"/>
  <c r="Y48" i="37"/>
  <c r="Y49" s="1"/>
  <c r="Y107"/>
  <c r="Y100"/>
  <c r="Y116"/>
  <c r="Y177" i="40"/>
  <c r="Y204"/>
  <c r="Y36" i="38" s="1"/>
  <c r="R39" i="40"/>
  <c r="AH39" s="1"/>
  <c r="AH32"/>
  <c r="Z78"/>
  <c r="Z197"/>
  <c r="AA68" i="25"/>
  <c r="AA71"/>
  <c r="AA74" s="1"/>
  <c r="AA77" s="1"/>
  <c r="AA78" s="1"/>
  <c r="M48" i="40"/>
  <c r="M49" s="1"/>
  <c r="M93"/>
  <c r="M84" s="1"/>
  <c r="M235"/>
  <c r="M24" i="38" s="1"/>
  <c r="L95" i="37"/>
  <c r="L172" i="40"/>
  <c r="L96" i="25"/>
  <c r="L97" s="1"/>
  <c r="L167" i="40"/>
  <c r="L90" i="37"/>
  <c r="L94"/>
  <c r="L171" i="40"/>
  <c r="L91" i="37"/>
  <c r="L168" i="40"/>
  <c r="L175"/>
  <c r="L98" i="37"/>
  <c r="L95" i="25"/>
  <c r="L65"/>
  <c r="L56" i="40"/>
  <c r="L56" i="37"/>
  <c r="L68" i="40"/>
  <c r="L28" i="38" s="1"/>
  <c r="L68" i="37"/>
  <c r="L71"/>
  <c r="L71" i="40"/>
  <c r="L44"/>
  <c r="L44" i="37"/>
  <c r="L55" i="25"/>
  <c r="L56" s="1"/>
  <c r="L57" i="37"/>
  <c r="L57" i="40"/>
  <c r="L57" i="38"/>
  <c r="L223" i="40"/>
  <c r="L156"/>
  <c r="Y157" s="1"/>
  <c r="L225"/>
  <c r="L159"/>
  <c r="L56" i="38"/>
  <c r="K116" i="25"/>
  <c r="K215" i="40" s="1"/>
  <c r="K54" i="38" s="1"/>
  <c r="K118" i="25"/>
  <c r="K217" i="40" s="1"/>
  <c r="K119" i="25"/>
  <c r="K218" i="40" s="1"/>
  <c r="K120" i="25"/>
  <c r="K219" i="40" s="1"/>
  <c r="K58" i="38" s="1"/>
  <c r="K117" i="25"/>
  <c r="K216" i="40" s="1"/>
  <c r="K55" i="38" s="1"/>
  <c r="K115" i="25"/>
  <c r="K214" i="40" s="1"/>
  <c r="K33" i="38"/>
  <c r="K20"/>
  <c r="K52"/>
  <c r="K93" i="25"/>
  <c r="K94"/>
  <c r="K91"/>
  <c r="K90"/>
  <c r="K85"/>
  <c r="K92"/>
  <c r="K86"/>
  <c r="K88"/>
  <c r="K89"/>
  <c r="K87"/>
  <c r="K39"/>
  <c r="K20"/>
  <c r="K40"/>
  <c r="K19"/>
  <c r="K35"/>
  <c r="K23"/>
  <c r="K28"/>
  <c r="K21"/>
  <c r="K24"/>
  <c r="K32"/>
  <c r="K34"/>
  <c r="K33"/>
  <c r="K30"/>
  <c r="K22"/>
  <c r="K76"/>
  <c r="K52"/>
  <c r="K51"/>
  <c r="K54"/>
  <c r="K53"/>
  <c r="K70"/>
  <c r="K73"/>
  <c r="K64"/>
  <c r="K59"/>
  <c r="K63"/>
  <c r="K58"/>
  <c r="O142" i="40"/>
  <c r="O146"/>
  <c r="O32"/>
  <c r="O39" s="1"/>
  <c r="Y148"/>
  <c r="Y13" i="38" s="1"/>
  <c r="Y18" i="37"/>
  <c r="Y119"/>
  <c r="M6"/>
  <c r="M6" i="40"/>
  <c r="Z25"/>
  <c r="Z25" i="37"/>
  <c r="Z36" i="25"/>
  <c r="Z43" s="1"/>
  <c r="Z44" s="1"/>
  <c r="AA66" i="37"/>
  <c r="AA69" s="1"/>
  <c r="AA61"/>
  <c r="AA61" i="40"/>
  <c r="AA66"/>
  <c r="AA92" s="1"/>
  <c r="AA77"/>
  <c r="AA145"/>
  <c r="AA141"/>
  <c r="R69"/>
  <c r="M37" i="37"/>
  <c r="M147" i="40"/>
  <c r="M37"/>
  <c r="M14" i="38"/>
  <c r="M16"/>
  <c r="M119" i="37"/>
  <c r="M18"/>
  <c r="M205" i="40"/>
  <c r="M37" i="38" s="1"/>
  <c r="M192" i="40"/>
  <c r="M178"/>
  <c r="M179" s="1"/>
  <c r="M183"/>
  <c r="M177"/>
  <c r="M204"/>
  <c r="M36" i="38" s="1"/>
  <c r="AJ169" i="40"/>
  <c r="H38" i="17"/>
  <c r="AJ154" i="40"/>
  <c r="AJ226"/>
  <c r="AP226" s="1"/>
  <c r="AK15"/>
  <c r="AJ24"/>
  <c r="AJ188"/>
  <c r="AJ184"/>
  <c r="AJ175"/>
  <c r="AJ191" s="1"/>
  <c r="AJ44"/>
  <c r="AJ183"/>
  <c r="AJ52"/>
  <c r="AK46"/>
  <c r="AK234" s="1"/>
  <c r="AK52"/>
  <c r="AJ155"/>
  <c r="AJ153"/>
  <c r="AJ224"/>
  <c r="AP224" s="1"/>
  <c r="AJ135"/>
  <c r="AJ10"/>
  <c r="AJ187"/>
  <c r="AJ186"/>
  <c r="AJ189"/>
  <c r="AK44"/>
  <c r="AJ161"/>
  <c r="X160"/>
  <c r="X80" s="1"/>
  <c r="X53" i="38"/>
  <c r="X56"/>
  <c r="X159" i="40"/>
  <c r="X225"/>
  <c r="X223"/>
  <c r="X156"/>
  <c r="X57" i="38"/>
  <c r="X96" i="37"/>
  <c r="X173" i="40"/>
  <c r="X172"/>
  <c r="X95" i="37"/>
  <c r="X96" i="25"/>
  <c r="X97" s="1"/>
  <c r="X167" i="40"/>
  <c r="X90" i="37"/>
  <c r="X168" i="40"/>
  <c r="X91" i="37"/>
  <c r="X98"/>
  <c r="X175" i="40"/>
  <c r="X30" i="37"/>
  <c r="X30" i="40"/>
  <c r="X15" i="38" s="1"/>
  <c r="X36" i="40"/>
  <c r="X36" i="37"/>
  <c r="X13"/>
  <c r="X13" i="40"/>
  <c r="X31"/>
  <c r="X31" i="37"/>
  <c r="X29" i="40"/>
  <c r="X29" i="37"/>
  <c r="X15"/>
  <c r="X15" i="40"/>
  <c r="X18" i="25"/>
  <c r="X25" s="1"/>
  <c r="X11" i="40"/>
  <c r="X11" i="37"/>
  <c r="Y227" i="40"/>
  <c r="R39" i="37"/>
  <c r="AH39" s="1"/>
  <c r="AH32"/>
  <c r="AP22" i="38"/>
  <c r="AV22" s="1"/>
  <c r="AP109" i="37"/>
  <c r="M208" i="40"/>
  <c r="L31"/>
  <c r="L31" i="37"/>
  <c r="L29" i="40"/>
  <c r="L29" i="37"/>
  <c r="L12" i="40"/>
  <c r="L12" i="37"/>
  <c r="L28" i="40"/>
  <c r="L28" i="37"/>
  <c r="L15"/>
  <c r="Y113" s="1"/>
  <c r="Y16" s="1"/>
  <c r="L15" i="40"/>
  <c r="L13"/>
  <c r="L13" i="37"/>
  <c r="L20" i="40"/>
  <c r="L12" i="38" s="1"/>
  <c r="L20" i="37"/>
  <c r="Y37" i="40"/>
  <c r="Y147"/>
  <c r="Y37" i="37"/>
  <c r="Y158" i="40"/>
  <c r="Y79"/>
  <c r="N67" i="25"/>
  <c r="M188" i="40"/>
  <c r="M114" i="37"/>
  <c r="Y60" i="25"/>
  <c r="M101" i="37"/>
  <c r="M102" s="1"/>
  <c r="M189" i="40"/>
  <c r="Y101" i="37"/>
  <c r="Y102" s="1"/>
  <c r="O60" i="40"/>
  <c r="M58" i="37"/>
  <c r="AJ46" i="40"/>
  <c r="AJ234" s="1"/>
  <c r="AP234" s="1"/>
  <c r="Y29" i="25"/>
  <c r="D69" i="40"/>
  <c r="D86"/>
  <c r="D85"/>
  <c r="C66"/>
  <c r="C61"/>
  <c r="AH60"/>
  <c r="C22" i="38"/>
  <c r="AH22" s="1"/>
  <c r="AH98" i="40"/>
  <c r="D72" i="37"/>
  <c r="D73" s="1"/>
  <c r="D111"/>
  <c r="B77" i="40"/>
  <c r="B145"/>
  <c r="B141"/>
  <c r="C69" i="37"/>
  <c r="AH66"/>
  <c r="C99" i="40"/>
  <c r="AH99" s="1"/>
  <c r="AH54"/>
  <c r="B60" i="37"/>
  <c r="B142" i="40"/>
  <c r="P69" l="1"/>
  <c r="P143" s="1"/>
  <c r="P29" i="38" s="1"/>
  <c r="P92" i="40"/>
  <c r="P86" s="1"/>
  <c r="AC72"/>
  <c r="AC73" s="1"/>
  <c r="AC101" s="1"/>
  <c r="N140"/>
  <c r="N82" s="1"/>
  <c r="Z77"/>
  <c r="X96"/>
  <c r="X97"/>
  <c r="X94"/>
  <c r="X95"/>
  <c r="Z83"/>
  <c r="AA98"/>
  <c r="AA22" i="38" s="1"/>
  <c r="O98" i="40"/>
  <c r="O22" i="38" s="1"/>
  <c r="N98" i="40"/>
  <c r="N22" i="38" s="1"/>
  <c r="N233" i="40"/>
  <c r="Z21" i="38"/>
  <c r="N145" i="40"/>
  <c r="N141"/>
  <c r="N144"/>
  <c r="M32"/>
  <c r="M39" s="1"/>
  <c r="Z54"/>
  <c r="Z99" s="1"/>
  <c r="Z199"/>
  <c r="Y83"/>
  <c r="Y199"/>
  <c r="L94"/>
  <c r="L96"/>
  <c r="L95"/>
  <c r="L97"/>
  <c r="AA91"/>
  <c r="AA85" s="1"/>
  <c r="AA86"/>
  <c r="AB86"/>
  <c r="AB91"/>
  <c r="AB85" s="1"/>
  <c r="P91"/>
  <c r="P85" s="1"/>
  <c r="M21" i="37"/>
  <c r="Q143" i="40"/>
  <c r="Q29" i="38" s="1"/>
  <c r="AH61" i="40"/>
  <c r="Y200"/>
  <c r="Y81" s="1"/>
  <c r="Z54" i="37"/>
  <c r="M67" i="25"/>
  <c r="M71" s="1"/>
  <c r="M74" s="1"/>
  <c r="M77" s="1"/>
  <c r="M78" s="1"/>
  <c r="Z141" i="40"/>
  <c r="B61"/>
  <c r="Z233"/>
  <c r="X10"/>
  <c r="X232" s="1"/>
  <c r="X10" i="38" s="1"/>
  <c r="X58" i="40"/>
  <c r="X26" i="38" s="1"/>
  <c r="Z144" i="40"/>
  <c r="Z140"/>
  <c r="Z82" s="1"/>
  <c r="X60" i="25"/>
  <c r="X61" s="1"/>
  <c r="M53" i="37"/>
  <c r="M54" s="1"/>
  <c r="M21" i="40"/>
  <c r="M77" s="1"/>
  <c r="X10" i="37"/>
  <c r="X120" s="1"/>
  <c r="L48"/>
  <c r="L49" s="1"/>
  <c r="X58"/>
  <c r="Y21" i="40"/>
  <c r="Y77" s="1"/>
  <c r="K128" i="25"/>
  <c r="N60" i="40"/>
  <c r="N66" s="1"/>
  <c r="N92" s="1"/>
  <c r="X184"/>
  <c r="X189"/>
  <c r="E20" i="14"/>
  <c r="A7" s="1"/>
  <c r="B8" i="32" s="1"/>
  <c r="C8" i="42" s="1"/>
  <c r="P111" i="37"/>
  <c r="P72"/>
  <c r="P73" s="1"/>
  <c r="N71" i="25"/>
  <c r="N74" s="1"/>
  <c r="N77" s="1"/>
  <c r="N78" s="1"/>
  <c r="N68"/>
  <c r="BD22" i="38"/>
  <c r="AJ22"/>
  <c r="X155" i="40"/>
  <c r="X224"/>
  <c r="X226"/>
  <c r="X153"/>
  <c r="X204"/>
  <c r="X36" i="38" s="1"/>
  <c r="X177" i="40"/>
  <c r="X79"/>
  <c r="X158"/>
  <c r="AJ21"/>
  <c r="AJ144" s="1"/>
  <c r="AP144" s="1"/>
  <c r="AJ232"/>
  <c r="AP232" s="1"/>
  <c r="AJ204"/>
  <c r="AP204" s="1"/>
  <c r="AJ177"/>
  <c r="AJ193" s="1"/>
  <c r="AP193" s="1"/>
  <c r="AJ176"/>
  <c r="AK183"/>
  <c r="AK188"/>
  <c r="AK187"/>
  <c r="AK184"/>
  <c r="AK189"/>
  <c r="AL52"/>
  <c r="AL44"/>
  <c r="AK186"/>
  <c r="AL46"/>
  <c r="AL234" s="1"/>
  <c r="AK175"/>
  <c r="AK191" s="1"/>
  <c r="AK10"/>
  <c r="AK226"/>
  <c r="AK224"/>
  <c r="AL15"/>
  <c r="AK169"/>
  <c r="AK153"/>
  <c r="I38" i="17"/>
  <c r="AK24" i="40"/>
  <c r="AK154"/>
  <c r="AK161"/>
  <c r="AK135"/>
  <c r="AP154"/>
  <c r="H9" i="17"/>
  <c r="AJ198" i="40"/>
  <c r="AP198" s="1"/>
  <c r="AJ16"/>
  <c r="AP16" s="1"/>
  <c r="AJ178"/>
  <c r="AJ185"/>
  <c r="AA72" i="37"/>
  <c r="AA73" s="1"/>
  <c r="AA111"/>
  <c r="Z32"/>
  <c r="Z39" s="1"/>
  <c r="Z109"/>
  <c r="K56"/>
  <c r="K56" i="40"/>
  <c r="K65" i="25"/>
  <c r="K57" i="40"/>
  <c r="K57" i="37"/>
  <c r="K63" i="40"/>
  <c r="K64" s="1"/>
  <c r="K100" s="1"/>
  <c r="K27" i="38" s="1"/>
  <c r="K63" i="37"/>
  <c r="K64" s="1"/>
  <c r="K110" s="1"/>
  <c r="K47"/>
  <c r="K47" i="40"/>
  <c r="K45"/>
  <c r="K45" i="37"/>
  <c r="K15"/>
  <c r="X113" s="1"/>
  <c r="X16" s="1"/>
  <c r="K15" i="40"/>
  <c r="K29" i="37"/>
  <c r="K29" i="40"/>
  <c r="K28" i="37"/>
  <c r="K29" i="25"/>
  <c r="K36" s="1"/>
  <c r="K28" i="40"/>
  <c r="K13" i="37"/>
  <c r="K13" i="40"/>
  <c r="K17"/>
  <c r="K17" i="37"/>
  <c r="K11" i="40"/>
  <c r="K11" i="37"/>
  <c r="K18" i="25"/>
  <c r="K25" s="1"/>
  <c r="K12" i="40"/>
  <c r="K12" i="37"/>
  <c r="K169" i="40"/>
  <c r="K92" i="37"/>
  <c r="K93"/>
  <c r="K170" i="40"/>
  <c r="K174"/>
  <c r="K97" i="37"/>
  <c r="K115" s="1"/>
  <c r="K95"/>
  <c r="K172" i="40"/>
  <c r="K99" i="37"/>
  <c r="K176" i="40"/>
  <c r="K57" i="38"/>
  <c r="K156" i="40"/>
  <c r="K223"/>
  <c r="K225"/>
  <c r="L79"/>
  <c r="L158"/>
  <c r="L100" i="37"/>
  <c r="L116"/>
  <c r="Y21" i="38"/>
  <c r="X208" i="40"/>
  <c r="X209"/>
  <c r="X38" i="38" s="1"/>
  <c r="W92" i="37"/>
  <c r="W169" i="40"/>
  <c r="W175"/>
  <c r="W98" i="37"/>
  <c r="W97"/>
  <c r="W115" s="1"/>
  <c r="W174" i="40"/>
  <c r="W173"/>
  <c r="W96" i="37"/>
  <c r="W95"/>
  <c r="W172" i="40"/>
  <c r="W160"/>
  <c r="W80" s="1"/>
  <c r="W53" i="38"/>
  <c r="W156" i="40"/>
  <c r="W57" i="38"/>
  <c r="W223" i="40"/>
  <c r="W225"/>
  <c r="W57" i="37"/>
  <c r="W57" i="40"/>
  <c r="W65" i="25"/>
  <c r="W56" i="37"/>
  <c r="W56" i="40"/>
  <c r="W63"/>
  <c r="W64" s="1"/>
  <c r="W100" s="1"/>
  <c r="W27" i="38" s="1"/>
  <c r="W63" i="37"/>
  <c r="W64" s="1"/>
  <c r="W110" s="1"/>
  <c r="W46"/>
  <c r="W46" i="40"/>
  <c r="W52" i="37"/>
  <c r="W52" i="40"/>
  <c r="W68" i="37"/>
  <c r="W68" i="40"/>
  <c r="W28" i="38" s="1"/>
  <c r="M26"/>
  <c r="Y120" i="37"/>
  <c r="Y21"/>
  <c r="Z198" i="40"/>
  <c r="Z16"/>
  <c r="Z11" i="38"/>
  <c r="Y197" i="40"/>
  <c r="Y78"/>
  <c r="L148"/>
  <c r="L13" i="38" s="1"/>
  <c r="L18" i="37"/>
  <c r="L119"/>
  <c r="AB72"/>
  <c r="AB73" s="1"/>
  <c r="AB111"/>
  <c r="AP106"/>
  <c r="AP42"/>
  <c r="AP89"/>
  <c r="X27" i="40"/>
  <c r="X27" i="37"/>
  <c r="X18"/>
  <c r="X119"/>
  <c r="X148" i="40"/>
  <c r="X13" i="38" s="1"/>
  <c r="X112" i="37"/>
  <c r="X190" i="40"/>
  <c r="X201" s="1"/>
  <c r="X203"/>
  <c r="X35" i="38" s="1"/>
  <c r="L6" i="40"/>
  <c r="L6" i="37"/>
  <c r="J34" i="25"/>
  <c r="J24"/>
  <c r="J35"/>
  <c r="J21"/>
  <c r="J33"/>
  <c r="J23"/>
  <c r="J32"/>
  <c r="J20"/>
  <c r="J40"/>
  <c r="J39"/>
  <c r="J22"/>
  <c r="J19"/>
  <c r="J30"/>
  <c r="J28"/>
  <c r="J86"/>
  <c r="J92"/>
  <c r="J89"/>
  <c r="J88"/>
  <c r="J94"/>
  <c r="J87"/>
  <c r="J91"/>
  <c r="J93"/>
  <c r="J85"/>
  <c r="J90"/>
  <c r="J138"/>
  <c r="J135"/>
  <c r="J129"/>
  <c r="J131"/>
  <c r="J136"/>
  <c r="J137"/>
  <c r="J127"/>
  <c r="J130"/>
  <c r="J126"/>
  <c r="I14"/>
  <c r="I31" s="1"/>
  <c r="I114"/>
  <c r="I124"/>
  <c r="I7" i="40"/>
  <c r="I83" i="25"/>
  <c r="I134"/>
  <c r="H7"/>
  <c r="I48"/>
  <c r="I7" i="37"/>
  <c r="I9" i="38"/>
  <c r="L192" i="40"/>
  <c r="L205"/>
  <c r="L37" i="38" s="1"/>
  <c r="BF42"/>
  <c r="BF20"/>
  <c r="BF33"/>
  <c r="BF52"/>
  <c r="X227" i="40"/>
  <c r="X48"/>
  <c r="X49" s="1"/>
  <c r="X93"/>
  <c r="X84" s="1"/>
  <c r="V42" i="37"/>
  <c r="V89"/>
  <c r="V78"/>
  <c r="V106"/>
  <c r="V116" i="25"/>
  <c r="V215" i="40" s="1"/>
  <c r="V54" i="38" s="1"/>
  <c r="V117" i="25"/>
  <c r="V216" i="40" s="1"/>
  <c r="V55" i="38" s="1"/>
  <c r="V115" i="25"/>
  <c r="V214" i="40" s="1"/>
  <c r="V119" i="25"/>
  <c r="V218" i="40" s="1"/>
  <c r="V118" i="25"/>
  <c r="V217" i="40" s="1"/>
  <c r="V120" i="25"/>
  <c r="V219" i="40" s="1"/>
  <c r="V58" i="38" s="1"/>
  <c r="V73" i="25"/>
  <c r="V54"/>
  <c r="V51"/>
  <c r="V53"/>
  <c r="V76"/>
  <c r="V70"/>
  <c r="V59"/>
  <c r="V63"/>
  <c r="V58"/>
  <c r="V64"/>
  <c r="V52"/>
  <c r="V93"/>
  <c r="V86"/>
  <c r="V87"/>
  <c r="V90"/>
  <c r="V85"/>
  <c r="V92"/>
  <c r="V94"/>
  <c r="V91"/>
  <c r="V88"/>
  <c r="V89"/>
  <c r="W36" i="37"/>
  <c r="W36" i="40"/>
  <c r="W11"/>
  <c r="W18" i="25"/>
  <c r="W25" s="1"/>
  <c r="W11" i="37"/>
  <c r="W30"/>
  <c r="W30" i="40"/>
  <c r="W15" i="38" s="1"/>
  <c r="W13" i="37"/>
  <c r="W13" i="40"/>
  <c r="W24"/>
  <c r="W24" i="37"/>
  <c r="W15" i="40"/>
  <c r="W15" i="37"/>
  <c r="W41" i="25"/>
  <c r="W35" i="40"/>
  <c r="W35" i="37"/>
  <c r="M146" i="40"/>
  <c r="X101" i="37"/>
  <c r="X102" s="1"/>
  <c r="X188" i="40"/>
  <c r="L161"/>
  <c r="L58" i="37"/>
  <c r="L184" i="40"/>
  <c r="L187"/>
  <c r="L101" i="37"/>
  <c r="L102" s="1"/>
  <c r="M53" i="40"/>
  <c r="M54" s="1"/>
  <c r="M99" s="1"/>
  <c r="X121" i="37"/>
  <c r="L10"/>
  <c r="X185" i="40"/>
  <c r="X117" i="37"/>
  <c r="X186" i="40"/>
  <c r="L208"/>
  <c r="L60" i="25"/>
  <c r="L61" s="1"/>
  <c r="L114" i="37"/>
  <c r="L189" i="40"/>
  <c r="L115" i="37"/>
  <c r="Y53" i="40"/>
  <c r="W125" i="25"/>
  <c r="W128"/>
  <c r="Y36"/>
  <c r="Y43" s="1"/>
  <c r="Y44" s="1"/>
  <c r="Y25" i="40"/>
  <c r="Z98" s="1"/>
  <c r="Z22" i="38" s="1"/>
  <c r="Y25" i="37"/>
  <c r="O66" i="40"/>
  <c r="O92" s="1"/>
  <c r="O61"/>
  <c r="Y61" i="25"/>
  <c r="Y67"/>
  <c r="L224" i="40"/>
  <c r="L153"/>
  <c r="L226"/>
  <c r="L155"/>
  <c r="L29" i="25"/>
  <c r="L27" i="37"/>
  <c r="L27" i="40"/>
  <c r="L14" i="38"/>
  <c r="L16"/>
  <c r="Y25"/>
  <c r="X16"/>
  <c r="X14"/>
  <c r="X100" i="37"/>
  <c r="X116"/>
  <c r="X183" i="40"/>
  <c r="X178"/>
  <c r="X179" s="1"/>
  <c r="AK94"/>
  <c r="AK48"/>
  <c r="AK49" s="1"/>
  <c r="AK51"/>
  <c r="AJ136"/>
  <c r="AK132"/>
  <c r="AK134" s="1"/>
  <c r="AJ197"/>
  <c r="AJ78"/>
  <c r="AK97"/>
  <c r="AK227"/>
  <c r="AJ227"/>
  <c r="AP227" s="1"/>
  <c r="AJ97"/>
  <c r="AJ48"/>
  <c r="AJ49" s="1"/>
  <c r="AP49" s="1"/>
  <c r="AJ94"/>
  <c r="AJ51"/>
  <c r="AJ127"/>
  <c r="AJ148"/>
  <c r="AP148" s="1"/>
  <c r="H99" i="17"/>
  <c r="AJ32" i="40"/>
  <c r="R72"/>
  <c r="R73" s="1"/>
  <c r="R101" s="1"/>
  <c r="R143"/>
  <c r="R29" i="38" s="1"/>
  <c r="AA69" i="40"/>
  <c r="Z146"/>
  <c r="Z142"/>
  <c r="Z32"/>
  <c r="Z39" s="1"/>
  <c r="K51" i="37"/>
  <c r="K51" i="40"/>
  <c r="K52" i="37"/>
  <c r="K52" i="40"/>
  <c r="K68"/>
  <c r="K28" i="38" s="1"/>
  <c r="K68" i="37"/>
  <c r="K46"/>
  <c r="K46" i="40"/>
  <c r="K44" i="37"/>
  <c r="K44" i="40"/>
  <c r="K55" i="25"/>
  <c r="K56" s="1"/>
  <c r="K71" i="37"/>
  <c r="K71" i="40"/>
  <c r="K26"/>
  <c r="K26" i="37"/>
  <c r="K30"/>
  <c r="K30" i="40"/>
  <c r="K15" i="38" s="1"/>
  <c r="K20" i="37"/>
  <c r="K20" i="40"/>
  <c r="K12" i="38" s="1"/>
  <c r="K24" i="40"/>
  <c r="K24" i="37"/>
  <c r="K31" i="40"/>
  <c r="K31" i="37"/>
  <c r="K36" i="40"/>
  <c r="K36" i="37"/>
  <c r="K35"/>
  <c r="K41" i="25"/>
  <c r="K35" i="40"/>
  <c r="K94" i="37"/>
  <c r="K171" i="40"/>
  <c r="K168"/>
  <c r="K91" i="37"/>
  <c r="K167" i="40"/>
  <c r="K90" i="37"/>
  <c r="K96" i="25"/>
  <c r="K97" s="1"/>
  <c r="K173" i="40"/>
  <c r="K96" i="37"/>
  <c r="K98"/>
  <c r="K95" i="25"/>
  <c r="K175" i="40"/>
  <c r="K160"/>
  <c r="K80" s="1"/>
  <c r="K53" i="38"/>
  <c r="K159" i="40"/>
  <c r="K56" i="38"/>
  <c r="L93" i="40"/>
  <c r="L84" s="1"/>
  <c r="L48"/>
  <c r="L49" s="1"/>
  <c r="L177"/>
  <c r="L204"/>
  <c r="L36" i="38" s="1"/>
  <c r="L183" i="40"/>
  <c r="L178"/>
  <c r="L179" s="1"/>
  <c r="M21" i="38"/>
  <c r="M163" i="40"/>
  <c r="M199"/>
  <c r="X235"/>
  <c r="X24" i="38" s="1"/>
  <c r="X122" i="37"/>
  <c r="W93"/>
  <c r="W170" i="40"/>
  <c r="W96" i="25"/>
  <c r="W97" s="1"/>
  <c r="W167" i="40"/>
  <c r="W90" i="37"/>
  <c r="W94"/>
  <c r="W171" i="40"/>
  <c r="W95" i="25"/>
  <c r="W99" i="37"/>
  <c r="W176" i="40"/>
  <c r="W168"/>
  <c r="W91" i="37"/>
  <c r="W159" i="40"/>
  <c r="W56" i="38"/>
  <c r="W51" i="37"/>
  <c r="W51" i="40"/>
  <c r="W71" i="37"/>
  <c r="W71" i="40"/>
  <c r="W45" i="37"/>
  <c r="W45" i="40"/>
  <c r="W95" s="1"/>
  <c r="W44"/>
  <c r="W55" i="25"/>
  <c r="W56" s="1"/>
  <c r="W44" i="37"/>
  <c r="W47" i="40"/>
  <c r="W96" s="1"/>
  <c r="W47" i="37"/>
  <c r="N32" i="40"/>
  <c r="N39" s="1"/>
  <c r="N142"/>
  <c r="N146"/>
  <c r="M25" i="38"/>
  <c r="M83" i="40"/>
  <c r="M200"/>
  <c r="M81" s="1"/>
  <c r="M34" i="38"/>
  <c r="L37" i="40"/>
  <c r="L147"/>
  <c r="L37" i="37"/>
  <c r="L18" i="40"/>
  <c r="L206"/>
  <c r="L207"/>
  <c r="AY33" i="38"/>
  <c r="AY52"/>
  <c r="AY42"/>
  <c r="BG9"/>
  <c r="AY20"/>
  <c r="AP42" i="40"/>
  <c r="AP213"/>
  <c r="AP90"/>
  <c r="AP76"/>
  <c r="AP139"/>
  <c r="AP182"/>
  <c r="AP166"/>
  <c r="AP152"/>
  <c r="AP196"/>
  <c r="AP222"/>
  <c r="AP231"/>
  <c r="AZ9" i="38"/>
  <c r="AT33"/>
  <c r="AT20"/>
  <c r="AT42"/>
  <c r="AT52"/>
  <c r="X206" i="40"/>
  <c r="X18"/>
  <c r="X207"/>
  <c r="X37"/>
  <c r="X37" i="37"/>
  <c r="X147" i="40"/>
  <c r="X205"/>
  <c r="X37" i="38" s="1"/>
  <c r="X192" i="40"/>
  <c r="O61" i="37"/>
  <c r="O66"/>
  <c r="O69" s="1"/>
  <c r="K6" i="25"/>
  <c r="W6"/>
  <c r="X6" i="37"/>
  <c r="X6" i="40"/>
  <c r="Z66"/>
  <c r="Z92" s="1"/>
  <c r="Z61"/>
  <c r="Z61" i="37"/>
  <c r="Z66"/>
  <c r="Z69" s="1"/>
  <c r="J120" i="25"/>
  <c r="J219" i="40" s="1"/>
  <c r="J58" i="38" s="1"/>
  <c r="J115" i="25"/>
  <c r="J214" i="40" s="1"/>
  <c r="J117" i="25"/>
  <c r="J216" i="40" s="1"/>
  <c r="J55" i="38" s="1"/>
  <c r="J116" i="25"/>
  <c r="J215" i="40" s="1"/>
  <c r="J54" i="38" s="1"/>
  <c r="J118" i="25"/>
  <c r="J217" i="40" s="1"/>
  <c r="J119" i="25"/>
  <c r="J218" i="40" s="1"/>
  <c r="J20" i="38"/>
  <c r="J33"/>
  <c r="J52"/>
  <c r="J106" i="37"/>
  <c r="J42"/>
  <c r="J89"/>
  <c r="J42" i="40"/>
  <c r="J76"/>
  <c r="J222"/>
  <c r="J139"/>
  <c r="J90"/>
  <c r="J213"/>
  <c r="J196"/>
  <c r="J182"/>
  <c r="J231"/>
  <c r="J166"/>
  <c r="J152"/>
  <c r="J76" i="25"/>
  <c r="J59"/>
  <c r="J51"/>
  <c r="J58"/>
  <c r="J52"/>
  <c r="J53"/>
  <c r="J54"/>
  <c r="J70"/>
  <c r="J73"/>
  <c r="J63"/>
  <c r="J64"/>
  <c r="L122" i="37"/>
  <c r="L235" i="40"/>
  <c r="L24" i="38" s="1"/>
  <c r="L190" i="40"/>
  <c r="L201" s="1"/>
  <c r="L203"/>
  <c r="L35" i="38" s="1"/>
  <c r="AB69" i="40"/>
  <c r="X48" i="37"/>
  <c r="X49" s="1"/>
  <c r="X107"/>
  <c r="V20" i="38"/>
  <c r="V42"/>
  <c r="V52"/>
  <c r="V33"/>
  <c r="V105" i="40"/>
  <c r="V42"/>
  <c r="V213"/>
  <c r="V152"/>
  <c r="V76"/>
  <c r="V231"/>
  <c r="V222"/>
  <c r="V90"/>
  <c r="V139"/>
  <c r="V166"/>
  <c r="V182"/>
  <c r="V196"/>
  <c r="T7" i="25"/>
  <c r="U102"/>
  <c r="U7" i="40"/>
  <c r="U9" i="38"/>
  <c r="U14" i="25"/>
  <c r="U31" s="1"/>
  <c r="U83"/>
  <c r="U124"/>
  <c r="U48"/>
  <c r="U114"/>
  <c r="U134"/>
  <c r="U7" i="37"/>
  <c r="V126" i="25"/>
  <c r="V131"/>
  <c r="V136"/>
  <c r="V138"/>
  <c r="V130"/>
  <c r="V135"/>
  <c r="V127"/>
  <c r="V137"/>
  <c r="V129"/>
  <c r="V40"/>
  <c r="V39"/>
  <c r="V35"/>
  <c r="V20"/>
  <c r="V19"/>
  <c r="V22"/>
  <c r="V28"/>
  <c r="V24"/>
  <c r="V34"/>
  <c r="V21"/>
  <c r="V33"/>
  <c r="V32"/>
  <c r="V30"/>
  <c r="V23"/>
  <c r="W31" i="40"/>
  <c r="W37" i="25"/>
  <c r="W31" i="37"/>
  <c r="W17"/>
  <c r="W17" i="40"/>
  <c r="W12"/>
  <c r="W12" i="37"/>
  <c r="W29"/>
  <c r="W29" i="40"/>
  <c r="W26"/>
  <c r="W26" i="37"/>
  <c r="W26" i="25"/>
  <c r="W20" i="37"/>
  <c r="W20" i="40"/>
  <c r="W12" i="38" s="1"/>
  <c r="W28" i="40"/>
  <c r="W28" i="37"/>
  <c r="M78" i="40"/>
  <c r="M197"/>
  <c r="X161"/>
  <c r="L58"/>
  <c r="L188"/>
  <c r="X234"/>
  <c r="X23" i="38" s="1"/>
  <c r="M39" i="37"/>
  <c r="N60"/>
  <c r="Y154" i="40"/>
  <c r="L112" i="37"/>
  <c r="L10" i="40"/>
  <c r="X29" i="25"/>
  <c r="X114" i="37"/>
  <c r="X115"/>
  <c r="X187" i="40"/>
  <c r="K125" i="25"/>
  <c r="L185" i="40"/>
  <c r="L186"/>
  <c r="L117" i="37"/>
  <c r="Y53"/>
  <c r="Y209" i="40"/>
  <c r="Y38" i="38" s="1"/>
  <c r="X108" i="37"/>
  <c r="D72" i="40"/>
  <c r="D73" s="1"/>
  <c r="D101" s="1"/>
  <c r="D143"/>
  <c r="D29" i="38" s="1"/>
  <c r="B66" i="37"/>
  <c r="B69" s="1"/>
  <c r="B72" s="1"/>
  <c r="B73" s="1"/>
  <c r="B61"/>
  <c r="AH69"/>
  <c r="C72"/>
  <c r="C111"/>
  <c r="AH111" s="1"/>
  <c r="AH66" i="40"/>
  <c r="C69"/>
  <c r="P72" l="1"/>
  <c r="P73" s="1"/>
  <c r="P101" s="1"/>
  <c r="M140"/>
  <c r="M82" s="1"/>
  <c r="K188"/>
  <c r="K186"/>
  <c r="W94"/>
  <c r="J125" i="25"/>
  <c r="W97" i="40"/>
  <c r="Y163"/>
  <c r="K94"/>
  <c r="K199" s="1"/>
  <c r="X163"/>
  <c r="K97"/>
  <c r="K83" s="1"/>
  <c r="X25" i="38"/>
  <c r="K95" i="40"/>
  <c r="L163"/>
  <c r="L199"/>
  <c r="L21" i="38"/>
  <c r="K163" i="40"/>
  <c r="L83"/>
  <c r="L25" i="38"/>
  <c r="K96" i="40"/>
  <c r="Z91"/>
  <c r="Z85" s="1"/>
  <c r="N86"/>
  <c r="N91"/>
  <c r="N85" s="1"/>
  <c r="O91"/>
  <c r="O85" s="1"/>
  <c r="O86"/>
  <c r="K161"/>
  <c r="K184"/>
  <c r="M68" i="25"/>
  <c r="M145" i="40"/>
  <c r="M144"/>
  <c r="M142"/>
  <c r="M141"/>
  <c r="X21"/>
  <c r="X77" s="1"/>
  <c r="K112" i="37"/>
  <c r="K48"/>
  <c r="K49" s="1"/>
  <c r="AJ141" i="40"/>
  <c r="AP141" s="1"/>
  <c r="M233"/>
  <c r="Y233"/>
  <c r="L53" i="37"/>
  <c r="L54" s="1"/>
  <c r="W186" i="40"/>
  <c r="N61"/>
  <c r="Y140"/>
  <c r="Y82" s="1"/>
  <c r="M60" i="37"/>
  <c r="Y145" i="40"/>
  <c r="V128" i="25"/>
  <c r="L53" i="40"/>
  <c r="L54" s="1"/>
  <c r="L99" s="1"/>
  <c r="X53"/>
  <c r="X54" s="1"/>
  <c r="X99" s="1"/>
  <c r="X67" i="25"/>
  <c r="X118" i="37"/>
  <c r="X21"/>
  <c r="Y144" i="40"/>
  <c r="W184"/>
  <c r="W117" i="37"/>
  <c r="W187" i="40"/>
  <c r="K189"/>
  <c r="K101" i="37"/>
  <c r="K102" s="1"/>
  <c r="K187" i="40"/>
  <c r="W58"/>
  <c r="W26" i="38" s="1"/>
  <c r="K185" i="40"/>
  <c r="K200" s="1"/>
  <c r="K81" s="1"/>
  <c r="K10" i="37"/>
  <c r="K120" s="1"/>
  <c r="Y141" i="40"/>
  <c r="K114" i="37"/>
  <c r="Y54"/>
  <c r="Y60"/>
  <c r="X25"/>
  <c r="X25" i="40"/>
  <c r="Y98" s="1"/>
  <c r="Y22" i="38" s="1"/>
  <c r="X36" i="25"/>
  <c r="X43" s="1"/>
  <c r="X44" s="1"/>
  <c r="N66" i="37"/>
  <c r="N69" s="1"/>
  <c r="N61"/>
  <c r="W27" i="40"/>
  <c r="W27" i="37"/>
  <c r="W18"/>
  <c r="W119"/>
  <c r="V17"/>
  <c r="V17" i="40"/>
  <c r="V28" i="37"/>
  <c r="V28" i="40"/>
  <c r="V29" i="25"/>
  <c r="V36" s="1"/>
  <c r="V13" i="40"/>
  <c r="V13" i="37"/>
  <c r="V20" i="40"/>
  <c r="V12" i="38" s="1"/>
  <c r="V20" i="37"/>
  <c r="V26" i="25"/>
  <c r="V15" i="37"/>
  <c r="V15" i="40"/>
  <c r="V12"/>
  <c r="V12" i="37"/>
  <c r="V35" i="40"/>
  <c r="V41" i="25"/>
  <c r="V35" i="37"/>
  <c r="U70" i="25"/>
  <c r="U52"/>
  <c r="U63"/>
  <c r="U64"/>
  <c r="U76"/>
  <c r="U58"/>
  <c r="U73"/>
  <c r="U59"/>
  <c r="U54"/>
  <c r="U51"/>
  <c r="U53"/>
  <c r="U94"/>
  <c r="U93"/>
  <c r="U92"/>
  <c r="U91"/>
  <c r="U89"/>
  <c r="U85"/>
  <c r="U86"/>
  <c r="U87"/>
  <c r="U88"/>
  <c r="U90"/>
  <c r="U20" i="38"/>
  <c r="U52"/>
  <c r="U42"/>
  <c r="U33"/>
  <c r="J56" i="40"/>
  <c r="J65" i="25"/>
  <c r="J56" i="37"/>
  <c r="J63" i="40"/>
  <c r="J64" s="1"/>
  <c r="J100" s="1"/>
  <c r="J27" i="38" s="1"/>
  <c r="J63" i="37"/>
  <c r="J64" s="1"/>
  <c r="J110" s="1"/>
  <c r="J46" i="40"/>
  <c r="J46" i="37"/>
  <c r="J51" i="40"/>
  <c r="J51" i="37"/>
  <c r="J52" i="40"/>
  <c r="J52" i="37"/>
  <c r="J159" i="40"/>
  <c r="J56" i="38"/>
  <c r="Z86" i="40"/>
  <c r="Z69"/>
  <c r="K6" i="37"/>
  <c r="K6" i="40"/>
  <c r="BG20" i="38"/>
  <c r="BG42"/>
  <c r="BG33"/>
  <c r="BG52"/>
  <c r="W107" i="37"/>
  <c r="W48"/>
  <c r="W49" s="1"/>
  <c r="W48" i="40"/>
  <c r="W49" s="1"/>
  <c r="W93"/>
  <c r="W84" s="1"/>
  <c r="W177"/>
  <c r="W205"/>
  <c r="W37" i="38" s="1"/>
  <c r="W192" i="40"/>
  <c r="W178"/>
  <c r="W179" s="1"/>
  <c r="W183"/>
  <c r="K177"/>
  <c r="K204"/>
  <c r="K36" i="38" s="1"/>
  <c r="K116" i="37"/>
  <c r="K100"/>
  <c r="K16" i="38"/>
  <c r="K14"/>
  <c r="K25" i="40"/>
  <c r="K25" i="37"/>
  <c r="K32" s="1"/>
  <c r="K93" i="40"/>
  <c r="K84" s="1"/>
  <c r="K48"/>
  <c r="K49" s="1"/>
  <c r="K235"/>
  <c r="K24" i="38" s="1"/>
  <c r="K122" i="37"/>
  <c r="AA72" i="40"/>
  <c r="AA73" s="1"/>
  <c r="AA101" s="1"/>
  <c r="AA143"/>
  <c r="AA29" i="38" s="1"/>
  <c r="AJ128" i="40"/>
  <c r="D221" i="17" s="1"/>
  <c r="D224" s="1"/>
  <c r="AK124" i="40"/>
  <c r="AK126" s="1"/>
  <c r="AP94"/>
  <c r="AJ199"/>
  <c r="AP199" s="1"/>
  <c r="AJ163"/>
  <c r="AP163" s="1"/>
  <c r="I67" i="17"/>
  <c r="I70"/>
  <c r="AP97" i="40"/>
  <c r="AP83" s="1"/>
  <c r="AJ83"/>
  <c r="AK235"/>
  <c r="AK53"/>
  <c r="J67" i="17"/>
  <c r="AK199" i="40"/>
  <c r="AK163"/>
  <c r="L197"/>
  <c r="L78"/>
  <c r="O69"/>
  <c r="Y142"/>
  <c r="Y146"/>
  <c r="Y32"/>
  <c r="Y39" s="1"/>
  <c r="Y60"/>
  <c r="Y54"/>
  <c r="Y99" s="1"/>
  <c r="X200"/>
  <c r="X81" s="1"/>
  <c r="X34" i="38"/>
  <c r="N69" i="40"/>
  <c r="W148"/>
  <c r="W13" i="38" s="1"/>
  <c r="V94" i="37"/>
  <c r="V171" i="40"/>
  <c r="V96" i="37"/>
  <c r="V173" i="40"/>
  <c r="V174"/>
  <c r="V97" i="37"/>
  <c r="V172" i="40"/>
  <c r="V95" i="37"/>
  <c r="V91"/>
  <c r="V168" i="40"/>
  <c r="V45"/>
  <c r="V45" i="37"/>
  <c r="V51" i="40"/>
  <c r="V51" i="37"/>
  <c r="V52" i="40"/>
  <c r="V52" i="37"/>
  <c r="V71"/>
  <c r="V71" i="40"/>
  <c r="V44" i="37"/>
  <c r="V55" i="25"/>
  <c r="V56" s="1"/>
  <c r="V44" i="40"/>
  <c r="V68" i="37"/>
  <c r="V68" i="40"/>
  <c r="V28" i="38" s="1"/>
  <c r="V159" i="40"/>
  <c r="V56" i="38"/>
  <c r="V160" i="40"/>
  <c r="V80" s="1"/>
  <c r="V53" i="38"/>
  <c r="I33"/>
  <c r="I52"/>
  <c r="I20"/>
  <c r="I76" i="25"/>
  <c r="I70"/>
  <c r="I59"/>
  <c r="I53"/>
  <c r="I64"/>
  <c r="I52"/>
  <c r="I73"/>
  <c r="I58"/>
  <c r="I54"/>
  <c r="I51"/>
  <c r="I63"/>
  <c r="I196" i="40"/>
  <c r="I90"/>
  <c r="I182"/>
  <c r="I166"/>
  <c r="I76"/>
  <c r="I139"/>
  <c r="I231"/>
  <c r="I152"/>
  <c r="I42"/>
  <c r="I222"/>
  <c r="I213"/>
  <c r="I115" i="25"/>
  <c r="I214" i="40" s="1"/>
  <c r="I116" i="25"/>
  <c r="I215" i="40" s="1"/>
  <c r="I54" i="38" s="1"/>
  <c r="I117" i="25"/>
  <c r="I216" i="40" s="1"/>
  <c r="I55" i="38" s="1"/>
  <c r="I119" i="25"/>
  <c r="I218" i="40" s="1"/>
  <c r="I120" i="25"/>
  <c r="I219" i="40" s="1"/>
  <c r="I58" i="38" s="1"/>
  <c r="I118" i="25"/>
  <c r="I217" i="40" s="1"/>
  <c r="J167"/>
  <c r="J96" i="25"/>
  <c r="J97" s="1"/>
  <c r="J90" i="37"/>
  <c r="J173" i="40"/>
  <c r="J96" i="37"/>
  <c r="J176" i="40"/>
  <c r="J99" i="37"/>
  <c r="J94"/>
  <c r="J171" i="40"/>
  <c r="J168"/>
  <c r="J91" i="37"/>
  <c r="J26" i="40"/>
  <c r="J26" i="37"/>
  <c r="J15" i="40"/>
  <c r="W154" s="1"/>
  <c r="J15" i="37"/>
  <c r="W113" s="1"/>
  <c r="W16" s="1"/>
  <c r="J36"/>
  <c r="J36" i="40"/>
  <c r="J28" i="37"/>
  <c r="J28" i="40"/>
  <c r="J29"/>
  <c r="J29" i="37"/>
  <c r="J31" i="40"/>
  <c r="J31" i="37"/>
  <c r="J30" i="40"/>
  <c r="J15" i="38" s="1"/>
  <c r="J30" i="37"/>
  <c r="W190" i="40"/>
  <c r="W201" s="1"/>
  <c r="W203"/>
  <c r="W35" i="38" s="1"/>
  <c r="W116" i="37"/>
  <c r="W100"/>
  <c r="K79" i="40"/>
  <c r="K158"/>
  <c r="K205"/>
  <c r="K37" i="38" s="1"/>
  <c r="K192" i="40"/>
  <c r="K18"/>
  <c r="K206"/>
  <c r="K207"/>
  <c r="K27"/>
  <c r="K27" i="37"/>
  <c r="K153" i="40"/>
  <c r="K226"/>
  <c r="K224"/>
  <c r="K155"/>
  <c r="AK136"/>
  <c r="AL132"/>
  <c r="AL134" s="1"/>
  <c r="AK16"/>
  <c r="AK198"/>
  <c r="I9" i="17"/>
  <c r="AK197" i="40"/>
  <c r="AK78"/>
  <c r="AL169"/>
  <c r="AM15"/>
  <c r="AL153"/>
  <c r="AX12" i="38"/>
  <c r="AL226" i="40"/>
  <c r="AL161"/>
  <c r="AL188"/>
  <c r="AL186"/>
  <c r="AL184"/>
  <c r="AM44"/>
  <c r="AL183"/>
  <c r="AL10"/>
  <c r="AL24"/>
  <c r="AL224"/>
  <c r="AX14" i="38"/>
  <c r="AL154" i="40"/>
  <c r="J38" i="17"/>
  <c r="AL135" i="40"/>
  <c r="AL175"/>
  <c r="AL191" s="1"/>
  <c r="AM46"/>
  <c r="AM234" s="1"/>
  <c r="AL187"/>
  <c r="AM52"/>
  <c r="AL189"/>
  <c r="AK177"/>
  <c r="AK193" s="1"/>
  <c r="AK176"/>
  <c r="AK202"/>
  <c r="AK204"/>
  <c r="AL227"/>
  <c r="AL97"/>
  <c r="AJ205"/>
  <c r="AJ192"/>
  <c r="AP192" s="1"/>
  <c r="X197"/>
  <c r="X78"/>
  <c r="W29" i="25"/>
  <c r="V125"/>
  <c r="W60"/>
  <c r="W61" s="1"/>
  <c r="X53" i="37"/>
  <c r="K43" i="25"/>
  <c r="K44" s="1"/>
  <c r="J128"/>
  <c r="W108" i="37"/>
  <c r="W121"/>
  <c r="W58"/>
  <c r="W188" i="40"/>
  <c r="W185"/>
  <c r="K10"/>
  <c r="K208"/>
  <c r="K58" i="37"/>
  <c r="AJ233" i="40"/>
  <c r="X157"/>
  <c r="L34" i="38"/>
  <c r="L200" i="40"/>
  <c r="L81" s="1"/>
  <c r="L232"/>
  <c r="L10" i="38" s="1"/>
  <c r="L21" i="40"/>
  <c r="L140" s="1"/>
  <c r="L82" s="1"/>
  <c r="Y198"/>
  <c r="Y11" i="38"/>
  <c r="Y16" i="40"/>
  <c r="L26" i="38"/>
  <c r="W18" i="40"/>
  <c r="W206"/>
  <c r="W207"/>
  <c r="W16" i="38"/>
  <c r="W14"/>
  <c r="V26" i="37"/>
  <c r="V26" i="40"/>
  <c r="V29"/>
  <c r="V29" i="37"/>
  <c r="V30" i="40"/>
  <c r="V15" i="38" s="1"/>
  <c r="V30" i="37"/>
  <c r="V24" i="40"/>
  <c r="V24" i="37"/>
  <c r="V11" i="40"/>
  <c r="V11" i="37"/>
  <c r="V18" i="25"/>
  <c r="V25" s="1"/>
  <c r="V31" i="37"/>
  <c r="V37" i="25"/>
  <c r="V31" i="40"/>
  <c r="V36" i="37"/>
  <c r="V36" i="40"/>
  <c r="U78" i="37"/>
  <c r="U89"/>
  <c r="U42"/>
  <c r="U106"/>
  <c r="U117" i="25"/>
  <c r="U216" i="40" s="1"/>
  <c r="U55" i="38" s="1"/>
  <c r="U116" i="25"/>
  <c r="U215" i="40" s="1"/>
  <c r="U54" i="38" s="1"/>
  <c r="U120" i="25"/>
  <c r="U219" i="40" s="1"/>
  <c r="U58" i="38" s="1"/>
  <c r="U119" i="25"/>
  <c r="U218" i="40" s="1"/>
  <c r="U115" i="25"/>
  <c r="U214" i="40" s="1"/>
  <c r="U118" i="25"/>
  <c r="U217" i="40" s="1"/>
  <c r="U126" i="25"/>
  <c r="U138"/>
  <c r="U127"/>
  <c r="U135"/>
  <c r="U137"/>
  <c r="U136"/>
  <c r="U129"/>
  <c r="U130"/>
  <c r="U131"/>
  <c r="U39"/>
  <c r="U24"/>
  <c r="U40"/>
  <c r="U28"/>
  <c r="U35"/>
  <c r="U19"/>
  <c r="U32"/>
  <c r="U21"/>
  <c r="U23"/>
  <c r="U20"/>
  <c r="U34"/>
  <c r="U33"/>
  <c r="U30"/>
  <c r="U22"/>
  <c r="U222" i="40"/>
  <c r="U213"/>
  <c r="U182"/>
  <c r="U196"/>
  <c r="U139"/>
  <c r="U152"/>
  <c r="U90"/>
  <c r="U231"/>
  <c r="U76"/>
  <c r="U105"/>
  <c r="U166"/>
  <c r="U42"/>
  <c r="T134" i="25"/>
  <c r="T7" i="40"/>
  <c r="T9" i="38"/>
  <c r="T7" i="37"/>
  <c r="T124" i="25"/>
  <c r="S7"/>
  <c r="T48"/>
  <c r="T83"/>
  <c r="T114"/>
  <c r="T102"/>
  <c r="T14"/>
  <c r="T31" s="1"/>
  <c r="AB72" i="40"/>
  <c r="AB73" s="1"/>
  <c r="AB101" s="1"/>
  <c r="AB143"/>
  <c r="AB29" i="38" s="1"/>
  <c r="J57" i="40"/>
  <c r="J57" i="37"/>
  <c r="J68" i="40"/>
  <c r="J28" i="38" s="1"/>
  <c r="J68" i="37"/>
  <c r="J47"/>
  <c r="J47" i="40"/>
  <c r="J45"/>
  <c r="J45" i="37"/>
  <c r="J44" i="40"/>
  <c r="J44" i="37"/>
  <c r="J55" i="25"/>
  <c r="J56" s="1"/>
  <c r="J71" i="37"/>
  <c r="J71" i="40"/>
  <c r="J57" i="38"/>
  <c r="J156" i="40"/>
  <c r="W157" s="1"/>
  <c r="J223"/>
  <c r="J225"/>
  <c r="J160"/>
  <c r="J80" s="1"/>
  <c r="J53" i="38"/>
  <c r="Z72" i="37"/>
  <c r="Z73" s="1"/>
  <c r="Z111"/>
  <c r="V6" i="25"/>
  <c r="J6"/>
  <c r="W6" i="37"/>
  <c r="W6" i="40"/>
  <c r="O72" i="37"/>
  <c r="O73" s="1"/>
  <c r="O111"/>
  <c r="BH9" i="38"/>
  <c r="AZ42"/>
  <c r="AZ33"/>
  <c r="AZ20"/>
  <c r="AZ52"/>
  <c r="W208" i="40"/>
  <c r="W235"/>
  <c r="W24" i="38" s="1"/>
  <c r="W122" i="37"/>
  <c r="K178" i="40"/>
  <c r="K179" s="1"/>
  <c r="K183"/>
  <c r="K37"/>
  <c r="K147"/>
  <c r="K37" i="37"/>
  <c r="K148" i="40"/>
  <c r="K13" i="38" s="1"/>
  <c r="AJ53" i="40"/>
  <c r="AJ235"/>
  <c r="AP235" s="1"/>
  <c r="J70" i="17"/>
  <c r="AK83" i="40"/>
  <c r="L25" i="37"/>
  <c r="L32" s="1"/>
  <c r="L39" s="1"/>
  <c r="L25" i="40"/>
  <c r="L36" i="25"/>
  <c r="L43" s="1"/>
  <c r="L44" s="1"/>
  <c r="Y68"/>
  <c r="Y71"/>
  <c r="Y74" s="1"/>
  <c r="Y77" s="1"/>
  <c r="Y78" s="1"/>
  <c r="Y109" i="37"/>
  <c r="Y32"/>
  <c r="Y39" s="1"/>
  <c r="L120"/>
  <c r="L21"/>
  <c r="W147" i="40"/>
  <c r="W37"/>
  <c r="W37" i="37"/>
  <c r="W224" i="40"/>
  <c r="W226"/>
  <c r="W161"/>
  <c r="W155"/>
  <c r="W153"/>
  <c r="W112" i="37"/>
  <c r="V93"/>
  <c r="V170" i="40"/>
  <c r="V99" i="37"/>
  <c r="V176" i="40"/>
  <c r="V96" i="25"/>
  <c r="V97" s="1"/>
  <c r="V167" i="40"/>
  <c r="V90" i="37"/>
  <c r="V169" i="40"/>
  <c r="V92" i="37"/>
  <c r="V175" i="40"/>
  <c r="V98" i="37"/>
  <c r="V95" i="25"/>
  <c r="V57" i="40"/>
  <c r="V57" i="37"/>
  <c r="V56"/>
  <c r="V56" i="40"/>
  <c r="V65" i="25"/>
  <c r="V63" i="40"/>
  <c r="V64" s="1"/>
  <c r="V100" s="1"/>
  <c r="V27" i="38" s="1"/>
  <c r="V63" i="37"/>
  <c r="V64" s="1"/>
  <c r="V110" s="1"/>
  <c r="V46" i="40"/>
  <c r="V46" i="37"/>
  <c r="V47"/>
  <c r="V47" i="40"/>
  <c r="V223"/>
  <c r="V225"/>
  <c r="V57" i="38"/>
  <c r="V156" i="40"/>
  <c r="I42" i="37"/>
  <c r="I106"/>
  <c r="I89"/>
  <c r="H7"/>
  <c r="H83" i="25"/>
  <c r="H14"/>
  <c r="H31" s="1"/>
  <c r="H134"/>
  <c r="G7"/>
  <c r="H9" i="38"/>
  <c r="H48" i="25"/>
  <c r="H7" i="40"/>
  <c r="H114" i="25"/>
  <c r="H124"/>
  <c r="I94"/>
  <c r="I88"/>
  <c r="I87"/>
  <c r="I86"/>
  <c r="I89"/>
  <c r="I91"/>
  <c r="I85"/>
  <c r="I93"/>
  <c r="I92"/>
  <c r="I90"/>
  <c r="I130"/>
  <c r="I129"/>
  <c r="I138"/>
  <c r="I127"/>
  <c r="I137"/>
  <c r="I135"/>
  <c r="I136"/>
  <c r="I126"/>
  <c r="I125" s="1"/>
  <c r="I131"/>
  <c r="I32"/>
  <c r="I39"/>
  <c r="I24"/>
  <c r="I22"/>
  <c r="I30"/>
  <c r="I28"/>
  <c r="I33"/>
  <c r="I21"/>
  <c r="I20"/>
  <c r="I34"/>
  <c r="I23"/>
  <c r="I19"/>
  <c r="I35"/>
  <c r="I40"/>
  <c r="J95" i="37"/>
  <c r="J172" i="40"/>
  <c r="J98" i="37"/>
  <c r="J175" i="40"/>
  <c r="J95" i="25"/>
  <c r="J169" i="40"/>
  <c r="J92" i="37"/>
  <c r="J170" i="40"/>
  <c r="J93" i="37"/>
  <c r="J97"/>
  <c r="J174" i="40"/>
  <c r="J24"/>
  <c r="J24" i="37"/>
  <c r="J11" i="40"/>
  <c r="J11" i="37"/>
  <c r="J18" i="25"/>
  <c r="J25" s="1"/>
  <c r="J41"/>
  <c r="J35" i="37"/>
  <c r="J35" i="40"/>
  <c r="J12"/>
  <c r="J12" i="37"/>
  <c r="J17" i="40"/>
  <c r="J17" i="37"/>
  <c r="J13" i="40"/>
  <c r="J13" i="37"/>
  <c r="J20" i="40"/>
  <c r="J12" i="38" s="1"/>
  <c r="J20" i="37"/>
  <c r="W227" i="40"/>
  <c r="W79"/>
  <c r="W158"/>
  <c r="W204"/>
  <c r="W36" i="38" s="1"/>
  <c r="K190" i="40"/>
  <c r="K201" s="1"/>
  <c r="K203"/>
  <c r="K35" i="38" s="1"/>
  <c r="K18" i="37"/>
  <c r="K119"/>
  <c r="H39" i="17"/>
  <c r="AJ200" i="40"/>
  <c r="AP185"/>
  <c r="AK148"/>
  <c r="I99" i="17"/>
  <c r="AK32" i="40"/>
  <c r="AK127"/>
  <c r="AK185"/>
  <c r="AK178"/>
  <c r="AK232"/>
  <c r="AK21"/>
  <c r="AK144" s="1"/>
  <c r="AL48"/>
  <c r="AL49" s="1"/>
  <c r="AL94"/>
  <c r="AL51"/>
  <c r="AP191"/>
  <c r="AJ202"/>
  <c r="AP202" s="1"/>
  <c r="AJ77"/>
  <c r="AJ145"/>
  <c r="AP145" s="1"/>
  <c r="AJ25"/>
  <c r="W101" i="37"/>
  <c r="W102" s="1"/>
  <c r="K60" i="25"/>
  <c r="K61" s="1"/>
  <c r="L67"/>
  <c r="W10" i="37"/>
  <c r="W10" i="40"/>
  <c r="M60"/>
  <c r="W234"/>
  <c r="W23" i="38" s="1"/>
  <c r="W189" i="40"/>
  <c r="W114" i="37"/>
  <c r="K117"/>
  <c r="K58" i="40"/>
  <c r="X154"/>
  <c r="AH92"/>
  <c r="AH86" s="1"/>
  <c r="C86"/>
  <c r="C72"/>
  <c r="AH69"/>
  <c r="C143"/>
  <c r="AH91"/>
  <c r="AH85" s="1"/>
  <c r="C85"/>
  <c r="C73" i="37"/>
  <c r="AH73" s="1"/>
  <c r="AH72"/>
  <c r="X144" i="40" l="1"/>
  <c r="V96"/>
  <c r="V94"/>
  <c r="V97"/>
  <c r="V95"/>
  <c r="X83"/>
  <c r="M98"/>
  <c r="M22" i="38" s="1"/>
  <c r="L98" i="40"/>
  <c r="L22" i="38" s="1"/>
  <c r="X21"/>
  <c r="W163" i="40"/>
  <c r="K25" i="38"/>
  <c r="K21"/>
  <c r="X199" i="40"/>
  <c r="J96"/>
  <c r="W83"/>
  <c r="J94"/>
  <c r="J199" s="1"/>
  <c r="J95"/>
  <c r="J163"/>
  <c r="J97"/>
  <c r="K53"/>
  <c r="K54" s="1"/>
  <c r="K99" s="1"/>
  <c r="L60" i="37"/>
  <c r="L66" s="1"/>
  <c r="L69" s="1"/>
  <c r="X60" i="40"/>
  <c r="X61" s="1"/>
  <c r="K21" i="37"/>
  <c r="W53"/>
  <c r="W54" s="1"/>
  <c r="L60" i="40"/>
  <c r="L66" s="1"/>
  <c r="L92" s="1"/>
  <c r="V184"/>
  <c r="V189"/>
  <c r="V187"/>
  <c r="X141"/>
  <c r="X233"/>
  <c r="X140"/>
  <c r="X82" s="1"/>
  <c r="K53" i="37"/>
  <c r="K54" s="1"/>
  <c r="X145" i="40"/>
  <c r="W53"/>
  <c r="V43" i="25"/>
  <c r="V44" s="1"/>
  <c r="K34" i="38"/>
  <c r="M66" i="37"/>
  <c r="M69" s="1"/>
  <c r="M61"/>
  <c r="X68" i="25"/>
  <c r="X71"/>
  <c r="X74" s="1"/>
  <c r="X77" s="1"/>
  <c r="X78" s="1"/>
  <c r="W67"/>
  <c r="W71" s="1"/>
  <c r="W74" s="1"/>
  <c r="W77" s="1"/>
  <c r="W78" s="1"/>
  <c r="J112" i="37"/>
  <c r="J114"/>
  <c r="V121"/>
  <c r="V114"/>
  <c r="V10" i="40"/>
  <c r="V232" s="1"/>
  <c r="V10" i="38" s="1"/>
  <c r="V108" i="37"/>
  <c r="J115"/>
  <c r="J186" i="40"/>
  <c r="J185"/>
  <c r="J34" i="38" s="1"/>
  <c r="J188" i="40"/>
  <c r="V234"/>
  <c r="V23" i="38" s="1"/>
  <c r="V185" i="40"/>
  <c r="V34" i="38" s="1"/>
  <c r="V186" i="40"/>
  <c r="V58" i="37"/>
  <c r="J208" i="40"/>
  <c r="V10" i="37"/>
  <c r="V120" s="1"/>
  <c r="K60"/>
  <c r="K66" s="1"/>
  <c r="K69" s="1"/>
  <c r="V188" i="40"/>
  <c r="W21"/>
  <c r="W140" s="1"/>
  <c r="W82" s="1"/>
  <c r="W232"/>
  <c r="W10" i="38" s="1"/>
  <c r="L71" i="25"/>
  <c r="L74" s="1"/>
  <c r="L77" s="1"/>
  <c r="L78" s="1"/>
  <c r="L68"/>
  <c r="AJ45" i="40"/>
  <c r="H100" i="17"/>
  <c r="AJ142" i="40"/>
  <c r="AP142" s="1"/>
  <c r="AJ119"/>
  <c r="AL163"/>
  <c r="AL199"/>
  <c r="K67" i="17"/>
  <c r="AK77" i="40"/>
  <c r="AK145"/>
  <c r="AK25"/>
  <c r="AK128"/>
  <c r="AL124"/>
  <c r="AL126" s="1"/>
  <c r="AJ81"/>
  <c r="AP200"/>
  <c r="AP81" s="1"/>
  <c r="J119" i="37"/>
  <c r="J18"/>
  <c r="J37"/>
  <c r="J37" i="40"/>
  <c r="J147"/>
  <c r="J190"/>
  <c r="J201" s="1"/>
  <c r="J203"/>
  <c r="J35" i="38" s="1"/>
  <c r="J116" i="37"/>
  <c r="J100"/>
  <c r="I31" i="40"/>
  <c r="I31" i="37"/>
  <c r="I17" i="40"/>
  <c r="I17" i="37"/>
  <c r="I12"/>
  <c r="I12" i="40"/>
  <c r="I29"/>
  <c r="I29" i="37"/>
  <c r="I26" i="40"/>
  <c r="I26" i="37"/>
  <c r="I20"/>
  <c r="I20" i="40"/>
  <c r="I12" i="38" s="1"/>
  <c r="I28" i="37"/>
  <c r="I28" i="40"/>
  <c r="I172"/>
  <c r="I95" i="37"/>
  <c r="I95" i="25"/>
  <c r="I175" i="40"/>
  <c r="I98" i="37"/>
  <c r="I173" i="40"/>
  <c r="I96" i="37"/>
  <c r="I91"/>
  <c r="I168" i="40"/>
  <c r="I170"/>
  <c r="I93" i="37"/>
  <c r="H131" i="25"/>
  <c r="H129"/>
  <c r="H126"/>
  <c r="H130"/>
  <c r="H137"/>
  <c r="H136"/>
  <c r="H127"/>
  <c r="H135"/>
  <c r="H138"/>
  <c r="H166" i="40"/>
  <c r="H182"/>
  <c r="H231"/>
  <c r="H139"/>
  <c r="H152"/>
  <c r="H42"/>
  <c r="H76"/>
  <c r="H222"/>
  <c r="H196"/>
  <c r="H90"/>
  <c r="H213"/>
  <c r="H33" i="38"/>
  <c r="H52"/>
  <c r="H20"/>
  <c r="H93" i="25"/>
  <c r="H92"/>
  <c r="H88"/>
  <c r="H91"/>
  <c r="H89"/>
  <c r="H86"/>
  <c r="H87"/>
  <c r="H94"/>
  <c r="H85"/>
  <c r="H90"/>
  <c r="V158" i="40"/>
  <c r="V79"/>
  <c r="V208"/>
  <c r="V116" i="37"/>
  <c r="V100"/>
  <c r="W78" i="40"/>
  <c r="W197"/>
  <c r="L142"/>
  <c r="L146"/>
  <c r="L32"/>
  <c r="L39" s="1"/>
  <c r="AJ60"/>
  <c r="AJ54"/>
  <c r="J6" i="37"/>
  <c r="J6" i="40"/>
  <c r="J79"/>
  <c r="J158"/>
  <c r="J48"/>
  <c r="J49" s="1"/>
  <c r="J93"/>
  <c r="J84" s="1"/>
  <c r="T94" i="25"/>
  <c r="T90"/>
  <c r="T86"/>
  <c r="T88"/>
  <c r="T85"/>
  <c r="T92"/>
  <c r="T93"/>
  <c r="T89"/>
  <c r="T91"/>
  <c r="T87"/>
  <c r="S14"/>
  <c r="S31" s="1"/>
  <c r="S48"/>
  <c r="S7" i="37"/>
  <c r="S134" i="25"/>
  <c r="S124"/>
  <c r="S114"/>
  <c r="S83"/>
  <c r="S102"/>
  <c r="S7" i="40"/>
  <c r="S9" i="38"/>
  <c r="T106" i="37"/>
  <c r="T42"/>
  <c r="T89"/>
  <c r="T78"/>
  <c r="T166" i="40"/>
  <c r="T222"/>
  <c r="T139"/>
  <c r="T231"/>
  <c r="T76"/>
  <c r="T213"/>
  <c r="T196"/>
  <c r="T182"/>
  <c r="T105"/>
  <c r="T90"/>
  <c r="T42"/>
  <c r="T152"/>
  <c r="U15" i="37"/>
  <c r="U15" i="40"/>
  <c r="AM155" s="1"/>
  <c r="U29" i="37"/>
  <c r="U29" i="40"/>
  <c r="U12"/>
  <c r="U12" i="37"/>
  <c r="U13" i="40"/>
  <c r="U13" i="37"/>
  <c r="U11" i="40"/>
  <c r="U18" i="25"/>
  <c r="U25" s="1"/>
  <c r="U11" i="37"/>
  <c r="U24" i="40"/>
  <c r="U24" i="37"/>
  <c r="U20" i="40"/>
  <c r="U12" i="38" s="1"/>
  <c r="U26" i="25"/>
  <c r="U20" i="37"/>
  <c r="U160" i="40"/>
  <c r="U80" s="1"/>
  <c r="U53" i="38"/>
  <c r="L233" i="40"/>
  <c r="L77"/>
  <c r="L145"/>
  <c r="L141"/>
  <c r="K232"/>
  <c r="K10" i="38" s="1"/>
  <c r="K21" i="40"/>
  <c r="K144" s="1"/>
  <c r="X54" i="37"/>
  <c r="X60"/>
  <c r="AL83" i="40"/>
  <c r="K70" i="17"/>
  <c r="AK192" i="40"/>
  <c r="AK205"/>
  <c r="AL204"/>
  <c r="AL176"/>
  <c r="AL202"/>
  <c r="AL177"/>
  <c r="AL193" s="1"/>
  <c r="BF14" i="38"/>
  <c r="AL14"/>
  <c r="AL31" i="40" s="1"/>
  <c r="AL32"/>
  <c r="J99" i="17"/>
  <c r="AL148" i="40"/>
  <c r="AL127"/>
  <c r="AM135"/>
  <c r="AM154"/>
  <c r="AM161"/>
  <c r="K38" i="17"/>
  <c r="AM224" i="40"/>
  <c r="AM153"/>
  <c r="AM183"/>
  <c r="AM189"/>
  <c r="AM186"/>
  <c r="AM175"/>
  <c r="AM191" s="1"/>
  <c r="AN52"/>
  <c r="AM226"/>
  <c r="AY14" i="38"/>
  <c r="AY12"/>
  <c r="AN15" i="40"/>
  <c r="AM169"/>
  <c r="AM10"/>
  <c r="AM24"/>
  <c r="AM184"/>
  <c r="AN44"/>
  <c r="AM188"/>
  <c r="AM187"/>
  <c r="AN46"/>
  <c r="K197"/>
  <c r="K78"/>
  <c r="J27" i="37"/>
  <c r="J27" i="40"/>
  <c r="J153"/>
  <c r="J226"/>
  <c r="J224"/>
  <c r="J155"/>
  <c r="J178"/>
  <c r="J179" s="1"/>
  <c r="J183"/>
  <c r="I160"/>
  <c r="I80" s="1"/>
  <c r="I53" i="38"/>
  <c r="I56" i="40"/>
  <c r="I56" i="37"/>
  <c r="I65" i="25"/>
  <c r="I47" i="40"/>
  <c r="I47" i="37"/>
  <c r="I68" i="40"/>
  <c r="I28" i="38" s="1"/>
  <c r="I68" i="37"/>
  <c r="I57"/>
  <c r="I57" i="40"/>
  <c r="I52" i="37"/>
  <c r="I52" i="40"/>
  <c r="I71"/>
  <c r="I71" i="37"/>
  <c r="V48" i="40"/>
  <c r="V49" s="1"/>
  <c r="V93"/>
  <c r="V84" s="1"/>
  <c r="V48" i="37"/>
  <c r="V49" s="1"/>
  <c r="V107"/>
  <c r="V227" i="40"/>
  <c r="N72"/>
  <c r="N73" s="1"/>
  <c r="N101" s="1"/>
  <c r="N143"/>
  <c r="N29" i="38" s="1"/>
  <c r="Y66" i="40"/>
  <c r="Y92" s="1"/>
  <c r="Y61"/>
  <c r="AK54"/>
  <c r="AK99" s="1"/>
  <c r="AK60"/>
  <c r="K32"/>
  <c r="K39" s="1"/>
  <c r="K146"/>
  <c r="J122" i="37"/>
  <c r="U93"/>
  <c r="U170" i="40"/>
  <c r="U91" i="37"/>
  <c r="U168" i="40"/>
  <c r="U94" i="37"/>
  <c r="U171" i="40"/>
  <c r="U97" i="37"/>
  <c r="U174" i="40"/>
  <c r="U99" i="37"/>
  <c r="U176" i="40"/>
  <c r="U44"/>
  <c r="U44" i="37"/>
  <c r="U55" i="25"/>
  <c r="U56" s="1"/>
  <c r="U52" i="37"/>
  <c r="U52" i="40"/>
  <c r="U51"/>
  <c r="U60" i="25"/>
  <c r="U61" s="1"/>
  <c r="U51" i="37"/>
  <c r="U57" i="40"/>
  <c r="U57" i="37"/>
  <c r="U45" i="40"/>
  <c r="U45" i="37"/>
  <c r="V27"/>
  <c r="V27" i="40"/>
  <c r="V119" i="37"/>
  <c r="V18"/>
  <c r="N72"/>
  <c r="N73" s="1"/>
  <c r="N111"/>
  <c r="X146" i="40"/>
  <c r="X142"/>
  <c r="X32"/>
  <c r="X39" s="1"/>
  <c r="Y61" i="37"/>
  <c r="Y66"/>
  <c r="Y69" s="1"/>
  <c r="AK233" i="40"/>
  <c r="J10" i="37"/>
  <c r="I128" i="25"/>
  <c r="V101" i="37"/>
  <c r="V102" s="1"/>
  <c r="V117"/>
  <c r="U128" i="25"/>
  <c r="U125"/>
  <c r="K67"/>
  <c r="J187" i="40"/>
  <c r="J117" i="37"/>
  <c r="J101"/>
  <c r="J102" s="1"/>
  <c r="V60" i="25"/>
  <c r="V61" s="1"/>
  <c r="V115" i="37"/>
  <c r="J161" i="40"/>
  <c r="J58" i="37"/>
  <c r="J58" i="40"/>
  <c r="X198"/>
  <c r="X16"/>
  <c r="X11" i="38"/>
  <c r="K26"/>
  <c r="M66" i="40"/>
  <c r="M92" s="1"/>
  <c r="M61"/>
  <c r="W120" i="37"/>
  <c r="W21"/>
  <c r="AL235" i="40"/>
  <c r="AL53"/>
  <c r="AK200"/>
  <c r="AK81" s="1"/>
  <c r="I39" i="17"/>
  <c r="W25" i="38"/>
  <c r="J18" i="40"/>
  <c r="J206"/>
  <c r="J207"/>
  <c r="J148"/>
  <c r="J13" i="38" s="1"/>
  <c r="J177" i="40"/>
  <c r="J204"/>
  <c r="J36" i="38" s="1"/>
  <c r="I36" i="40"/>
  <c r="I36" i="37"/>
  <c r="I11"/>
  <c r="I18" i="25"/>
  <c r="I25" s="1"/>
  <c r="I11" i="40"/>
  <c r="I30" i="37"/>
  <c r="I30" i="40"/>
  <c r="I15" i="38" s="1"/>
  <c r="I13" i="37"/>
  <c r="I13" i="40"/>
  <c r="I24"/>
  <c r="I24" i="37"/>
  <c r="I15"/>
  <c r="V113" s="1"/>
  <c r="V16" s="1"/>
  <c r="I15" i="40"/>
  <c r="V154" s="1"/>
  <c r="I35" i="37"/>
  <c r="I35" i="40"/>
  <c r="I41" i="25"/>
  <c r="I174" i="40"/>
  <c r="I97" i="37"/>
  <c r="I96" i="25"/>
  <c r="I97" s="1"/>
  <c r="I167" i="40"/>
  <c r="I90" i="37"/>
  <c r="I171" i="40"/>
  <c r="I94" i="37"/>
  <c r="I92"/>
  <c r="I114" s="1"/>
  <c r="I169" i="40"/>
  <c r="I185" s="1"/>
  <c r="I99" i="37"/>
  <c r="I117" s="1"/>
  <c r="I176" i="40"/>
  <c r="H116" i="25"/>
  <c r="H215" i="40" s="1"/>
  <c r="H54" i="38" s="1"/>
  <c r="H119" i="25"/>
  <c r="H218" i="40" s="1"/>
  <c r="H118" i="25"/>
  <c r="H217" i="40" s="1"/>
  <c r="H115" i="25"/>
  <c r="H214" i="40" s="1"/>
  <c r="H117" i="25"/>
  <c r="H216" i="40" s="1"/>
  <c r="H55" i="38" s="1"/>
  <c r="H120" i="25"/>
  <c r="H219" i="40" s="1"/>
  <c r="H58" i="38" s="1"/>
  <c r="H70" i="25"/>
  <c r="H73"/>
  <c r="H64"/>
  <c r="H51"/>
  <c r="H59"/>
  <c r="H54"/>
  <c r="H76"/>
  <c r="H53"/>
  <c r="H58"/>
  <c r="H52"/>
  <c r="H63"/>
  <c r="G7" i="40"/>
  <c r="G124" i="25"/>
  <c r="G134"/>
  <c r="G114"/>
  <c r="G48"/>
  <c r="F7"/>
  <c r="G7" i="37"/>
  <c r="G9" i="38"/>
  <c r="G83" i="25"/>
  <c r="G14"/>
  <c r="G31" s="1"/>
  <c r="H23"/>
  <c r="H30"/>
  <c r="H35"/>
  <c r="H40"/>
  <c r="H20"/>
  <c r="H34"/>
  <c r="H21"/>
  <c r="H32"/>
  <c r="H19"/>
  <c r="H39"/>
  <c r="H24"/>
  <c r="H28"/>
  <c r="H33"/>
  <c r="H22"/>
  <c r="H106" i="37"/>
  <c r="H89"/>
  <c r="H42"/>
  <c r="V204" i="40"/>
  <c r="V36" i="38" s="1"/>
  <c r="V177" i="40"/>
  <c r="V178"/>
  <c r="V179" s="1"/>
  <c r="V183"/>
  <c r="V192"/>
  <c r="V205"/>
  <c r="V37" i="38" s="1"/>
  <c r="W198" i="40"/>
  <c r="W11" i="38"/>
  <c r="W16" i="40"/>
  <c r="BH42" i="38"/>
  <c r="BH20"/>
  <c r="BH33"/>
  <c r="BH52"/>
  <c r="U6" i="25"/>
  <c r="I6"/>
  <c r="V6" i="37"/>
  <c r="V6" i="40"/>
  <c r="T22" i="25"/>
  <c r="T32"/>
  <c r="T33"/>
  <c r="T35"/>
  <c r="T21"/>
  <c r="T40"/>
  <c r="T28"/>
  <c r="T20"/>
  <c r="T34"/>
  <c r="T30"/>
  <c r="T24"/>
  <c r="T23"/>
  <c r="T39"/>
  <c r="T19"/>
  <c r="T119"/>
  <c r="T218" i="40" s="1"/>
  <c r="T118" i="25"/>
  <c r="T217" i="40" s="1"/>
  <c r="T115" i="25"/>
  <c r="T214" i="40" s="1"/>
  <c r="T116" i="25"/>
  <c r="T215" i="40" s="1"/>
  <c r="T54" i="38" s="1"/>
  <c r="T120" i="25"/>
  <c r="T219" i="40" s="1"/>
  <c r="T58" i="38" s="1"/>
  <c r="T117" i="25"/>
  <c r="T216" i="40" s="1"/>
  <c r="T55" i="38" s="1"/>
  <c r="T58" i="25"/>
  <c r="T59"/>
  <c r="T51"/>
  <c r="T52"/>
  <c r="T70"/>
  <c r="T54"/>
  <c r="T53"/>
  <c r="T76"/>
  <c r="T63"/>
  <c r="T73"/>
  <c r="T64"/>
  <c r="T136"/>
  <c r="T130"/>
  <c r="T138"/>
  <c r="T131"/>
  <c r="T129"/>
  <c r="T135"/>
  <c r="T137"/>
  <c r="T127"/>
  <c r="T126"/>
  <c r="T33" i="38"/>
  <c r="T42"/>
  <c r="T52"/>
  <c r="T20"/>
  <c r="U26" i="37"/>
  <c r="U26" i="40"/>
  <c r="U30"/>
  <c r="U15" i="38" s="1"/>
  <c r="U30" i="37"/>
  <c r="U17" i="40"/>
  <c r="U17" i="37"/>
  <c r="U28" i="40"/>
  <c r="U29" i="25"/>
  <c r="U28" i="37"/>
  <c r="U37" i="25"/>
  <c r="U31" i="37"/>
  <c r="U31" i="40"/>
  <c r="U36"/>
  <c r="U36" i="37"/>
  <c r="U35" i="40"/>
  <c r="U35" i="37"/>
  <c r="U41" i="25"/>
  <c r="U56" i="38"/>
  <c r="U159" i="40"/>
  <c r="U156"/>
  <c r="U57" i="38"/>
  <c r="U223" i="40"/>
  <c r="U225"/>
  <c r="V14" i="38"/>
  <c r="V16"/>
  <c r="V112" i="37"/>
  <c r="V148" i="40"/>
  <c r="V13" i="38" s="1"/>
  <c r="V25" i="37"/>
  <c r="V109" s="1"/>
  <c r="V25" i="40"/>
  <c r="W34" i="38"/>
  <c r="W200" i="40"/>
  <c r="W81" s="1"/>
  <c r="W25" i="37"/>
  <c r="W25" i="40"/>
  <c r="W36" i="25"/>
  <c r="W43" s="1"/>
  <c r="W44" s="1"/>
  <c r="AM227" i="40"/>
  <c r="AM97"/>
  <c r="AL136"/>
  <c r="AM132"/>
  <c r="AM134" s="1"/>
  <c r="AL16"/>
  <c r="J9" i="17"/>
  <c r="AL198" i="40"/>
  <c r="AL21"/>
  <c r="AL144" s="1"/>
  <c r="AL232"/>
  <c r="AM48"/>
  <c r="AM49" s="1"/>
  <c r="AM94"/>
  <c r="AM51"/>
  <c r="AL12" i="38"/>
  <c r="AL20" i="40" s="1"/>
  <c r="BF12" i="38"/>
  <c r="AL197" i="40"/>
  <c r="AL78"/>
  <c r="AL185"/>
  <c r="AL174"/>
  <c r="AL178"/>
  <c r="J16" i="38"/>
  <c r="J14"/>
  <c r="J192" i="40"/>
  <c r="J205"/>
  <c r="J37" i="38" s="1"/>
  <c r="I56"/>
  <c r="I159" i="40"/>
  <c r="I225"/>
  <c r="I223"/>
  <c r="I57" i="38"/>
  <c r="I156" i="40"/>
  <c r="I44"/>
  <c r="I44" i="37"/>
  <c r="I55" i="25"/>
  <c r="I56" s="1"/>
  <c r="I51" i="37"/>
  <c r="I51" i="40"/>
  <c r="I45"/>
  <c r="I45" i="37"/>
  <c r="I46"/>
  <c r="I46" i="40"/>
  <c r="I63" i="37"/>
  <c r="I64" s="1"/>
  <c r="I110" s="1"/>
  <c r="I63" i="40"/>
  <c r="I64" s="1"/>
  <c r="I100" s="1"/>
  <c r="I27" i="38" s="1"/>
  <c r="V122" i="37"/>
  <c r="V235" i="40"/>
  <c r="V24" i="38" s="1"/>
  <c r="V190" i="40"/>
  <c r="V201" s="1"/>
  <c r="V203"/>
  <c r="V35" i="38" s="1"/>
  <c r="O72" i="40"/>
  <c r="O73" s="1"/>
  <c r="O101" s="1"/>
  <c r="O143"/>
  <c r="O29" i="38" s="1"/>
  <c r="W21"/>
  <c r="Z72" i="40"/>
  <c r="Z73" s="1"/>
  <c r="Z101" s="1"/>
  <c r="Z143"/>
  <c r="Z29" i="38" s="1"/>
  <c r="J235" i="40"/>
  <c r="J24" i="38" s="1"/>
  <c r="U172" i="40"/>
  <c r="U95" i="37"/>
  <c r="U92"/>
  <c r="U169" i="40"/>
  <c r="U167"/>
  <c r="U96" i="25"/>
  <c r="U97" s="1"/>
  <c r="U90" i="37"/>
  <c r="U173" i="40"/>
  <c r="U96" i="37"/>
  <c r="U175" i="40"/>
  <c r="U95" i="25"/>
  <c r="U98" i="37"/>
  <c r="U46"/>
  <c r="U46" i="40"/>
  <c r="U47"/>
  <c r="U96" s="1"/>
  <c r="U47" i="37"/>
  <c r="U68"/>
  <c r="U68" i="40"/>
  <c r="U28" i="38" s="1"/>
  <c r="U71" i="37"/>
  <c r="U71" i="40"/>
  <c r="U56" i="37"/>
  <c r="U65" i="25"/>
  <c r="U56" i="40"/>
  <c r="U63" i="37"/>
  <c r="U64" s="1"/>
  <c r="U110" s="1"/>
  <c r="U63" i="40"/>
  <c r="U64" s="1"/>
  <c r="U100" s="1"/>
  <c r="U27" i="38" s="1"/>
  <c r="V37" i="40"/>
  <c r="V37" i="37"/>
  <c r="V147" i="40"/>
  <c r="V224"/>
  <c r="V155"/>
  <c r="V226"/>
  <c r="V161"/>
  <c r="V153"/>
  <c r="V207"/>
  <c r="V18"/>
  <c r="V206"/>
  <c r="X109" i="37"/>
  <c r="X32"/>
  <c r="X39" s="1"/>
  <c r="AK141" i="40"/>
  <c r="J10"/>
  <c r="V58"/>
  <c r="W209"/>
  <c r="W38" i="38" s="1"/>
  <c r="J48" i="37"/>
  <c r="J49" s="1"/>
  <c r="L144" i="40"/>
  <c r="W118" i="37"/>
  <c r="J29" i="25"/>
  <c r="J184" i="40"/>
  <c r="J189"/>
  <c r="K39" i="37"/>
  <c r="J60" i="25"/>
  <c r="J61" s="1"/>
  <c r="C29" i="38"/>
  <c r="AH29" s="1"/>
  <c r="AH143" i="40"/>
  <c r="C73"/>
  <c r="AH72"/>
  <c r="U10" l="1"/>
  <c r="U232" s="1"/>
  <c r="U10" i="38" s="1"/>
  <c r="U95" i="40"/>
  <c r="U97"/>
  <c r="U94"/>
  <c r="W199"/>
  <c r="X98"/>
  <c r="X22" i="38" s="1"/>
  <c r="W98" i="40"/>
  <c r="W22" i="38" s="1"/>
  <c r="V32" i="40"/>
  <c r="V39" s="1"/>
  <c r="J200"/>
  <c r="J81" s="1"/>
  <c r="K60"/>
  <c r="K61" s="1"/>
  <c r="I95"/>
  <c r="V25" i="38"/>
  <c r="J21"/>
  <c r="I94" i="40"/>
  <c r="I163" s="1"/>
  <c r="V163"/>
  <c r="I96"/>
  <c r="J83"/>
  <c r="J25" i="38"/>
  <c r="I97" i="40"/>
  <c r="Y91"/>
  <c r="Y85" s="1"/>
  <c r="Y86"/>
  <c r="M91"/>
  <c r="M85" s="1"/>
  <c r="M86"/>
  <c r="L69"/>
  <c r="L143" s="1"/>
  <c r="L29" i="38" s="1"/>
  <c r="L86" i="40"/>
  <c r="L91"/>
  <c r="L85" s="1"/>
  <c r="L61"/>
  <c r="X66"/>
  <c r="X92" s="1"/>
  <c r="W60" i="37"/>
  <c r="W66" s="1"/>
  <c r="W69" s="1"/>
  <c r="L61"/>
  <c r="V200" i="40"/>
  <c r="V81" s="1"/>
  <c r="W68" i="25"/>
  <c r="U188" i="40"/>
  <c r="V21"/>
  <c r="V77" s="1"/>
  <c r="K61" i="37"/>
  <c r="W54" i="40"/>
  <c r="W99" s="1"/>
  <c r="W60"/>
  <c r="M111" i="37"/>
  <c r="M72"/>
  <c r="M73" s="1"/>
  <c r="J53" i="40"/>
  <c r="J54" s="1"/>
  <c r="J99" s="1"/>
  <c r="V53"/>
  <c r="V54" s="1"/>
  <c r="V99" s="1"/>
  <c r="V21" i="37"/>
  <c r="J67" i="25"/>
  <c r="J68" s="1"/>
  <c r="U58" i="37"/>
  <c r="K142" i="40"/>
  <c r="V118" i="37"/>
  <c r="U67" i="25"/>
  <c r="U71" s="1"/>
  <c r="U74" s="1"/>
  <c r="U77" s="1"/>
  <c r="U78" s="1"/>
  <c r="U234" i="40"/>
  <c r="U23" i="38" s="1"/>
  <c r="U189" i="40"/>
  <c r="U185"/>
  <c r="U200" s="1"/>
  <c r="U81" s="1"/>
  <c r="U161"/>
  <c r="I101" i="37"/>
  <c r="I102" s="1"/>
  <c r="U187" i="40"/>
  <c r="U184"/>
  <c r="U186"/>
  <c r="K140"/>
  <c r="K82" s="1"/>
  <c r="U58"/>
  <c r="U26" i="38" s="1"/>
  <c r="U121" i="37"/>
  <c r="U101"/>
  <c r="U102" s="1"/>
  <c r="U114"/>
  <c r="V53"/>
  <c r="V54" s="1"/>
  <c r="I60" i="25"/>
  <c r="I61" s="1"/>
  <c r="T125"/>
  <c r="T128"/>
  <c r="V67"/>
  <c r="V71" s="1"/>
  <c r="V74" s="1"/>
  <c r="V77" s="1"/>
  <c r="V78" s="1"/>
  <c r="U108" i="37"/>
  <c r="J71" i="25"/>
  <c r="J74" s="1"/>
  <c r="J77" s="1"/>
  <c r="J78" s="1"/>
  <c r="V78" i="40"/>
  <c r="V197"/>
  <c r="U208"/>
  <c r="U178"/>
  <c r="U179" s="1"/>
  <c r="U183"/>
  <c r="I122" i="37"/>
  <c r="I79" i="40"/>
  <c r="I158"/>
  <c r="AL190"/>
  <c r="AL201" s="1"/>
  <c r="AL203"/>
  <c r="AM53"/>
  <c r="AM235"/>
  <c r="AL141"/>
  <c r="AL77"/>
  <c r="AL145"/>
  <c r="AL25"/>
  <c r="AM83"/>
  <c r="L70" i="17"/>
  <c r="W109" i="37"/>
  <c r="W32"/>
  <c r="W39" s="1"/>
  <c r="K72"/>
  <c r="K73" s="1"/>
  <c r="K111"/>
  <c r="U147" i="40"/>
  <c r="U37" i="37"/>
  <c r="U37" i="40"/>
  <c r="U206"/>
  <c r="U207"/>
  <c r="U18"/>
  <c r="U25" i="37"/>
  <c r="U109" s="1"/>
  <c r="U25" i="40"/>
  <c r="V98" s="1"/>
  <c r="T68" i="37"/>
  <c r="T68" i="40"/>
  <c r="T28" i="38" s="1"/>
  <c r="T71" i="40"/>
  <c r="T71" i="37"/>
  <c r="T47"/>
  <c r="T47" i="40"/>
  <c r="T45"/>
  <c r="T45" i="37"/>
  <c r="T52" i="40"/>
  <c r="T52" i="37"/>
  <c r="T159" i="40"/>
  <c r="T56" i="38"/>
  <c r="T11" i="37"/>
  <c r="T11" i="40"/>
  <c r="T18" i="25"/>
  <c r="T25" s="1"/>
  <c r="T17" i="40"/>
  <c r="T17" i="37"/>
  <c r="T26" i="40"/>
  <c r="T26" i="37"/>
  <c r="T12"/>
  <c r="T12" i="40"/>
  <c r="T36" i="37"/>
  <c r="T36" i="40"/>
  <c r="T31"/>
  <c r="T31" i="37"/>
  <c r="T37" i="25"/>
  <c r="T28" i="37"/>
  <c r="T28" i="40"/>
  <c r="I6" i="37"/>
  <c r="I6" i="40"/>
  <c r="H29"/>
  <c r="H29" i="37"/>
  <c r="H20"/>
  <c r="H20" i="40"/>
  <c r="H12" i="38" s="1"/>
  <c r="H11" i="37"/>
  <c r="H11" i="40"/>
  <c r="H18" i="25"/>
  <c r="H25" s="1"/>
  <c r="H13" i="37"/>
  <c r="H13" i="40"/>
  <c r="H12" i="37"/>
  <c r="H12" i="40"/>
  <c r="H31"/>
  <c r="H31" i="37"/>
  <c r="H17" i="40"/>
  <c r="H17" i="37"/>
  <c r="G93" i="25"/>
  <c r="G91"/>
  <c r="G88"/>
  <c r="G87"/>
  <c r="G92"/>
  <c r="G94"/>
  <c r="G85"/>
  <c r="G89"/>
  <c r="G90"/>
  <c r="G86"/>
  <c r="G106" i="37"/>
  <c r="G89"/>
  <c r="G42"/>
  <c r="G70" i="25"/>
  <c r="G53"/>
  <c r="G64"/>
  <c r="G59"/>
  <c r="G52"/>
  <c r="G58"/>
  <c r="G51"/>
  <c r="G54"/>
  <c r="G73"/>
  <c r="G76"/>
  <c r="G63"/>
  <c r="G213" i="40"/>
  <c r="G196"/>
  <c r="G152"/>
  <c r="G182"/>
  <c r="G231"/>
  <c r="G222"/>
  <c r="G166"/>
  <c r="G42"/>
  <c r="G90"/>
  <c r="G139"/>
  <c r="G76"/>
  <c r="H45" i="37"/>
  <c r="H45" i="40"/>
  <c r="H46" i="37"/>
  <c r="H46" i="40"/>
  <c r="H47"/>
  <c r="H47" i="37"/>
  <c r="H44"/>
  <c r="H44" i="40"/>
  <c r="H55" i="25"/>
  <c r="H56" s="1"/>
  <c r="H68" i="40"/>
  <c r="H28" i="38" s="1"/>
  <c r="H68" i="37"/>
  <c r="H160" i="40"/>
  <c r="H80" s="1"/>
  <c r="H53" i="38"/>
  <c r="H223" i="40"/>
  <c r="H156"/>
  <c r="U157" s="1"/>
  <c r="H225"/>
  <c r="H57" i="38"/>
  <c r="I205" i="40"/>
  <c r="I37" i="38" s="1"/>
  <c r="I192" i="40"/>
  <c r="I34" i="38"/>
  <c r="I200" i="40"/>
  <c r="I81" s="1"/>
  <c r="I203"/>
  <c r="I35" i="38" s="1"/>
  <c r="I190" i="40"/>
  <c r="I201" s="1"/>
  <c r="I224"/>
  <c r="I226"/>
  <c r="I153"/>
  <c r="I161"/>
  <c r="I155"/>
  <c r="I148"/>
  <c r="I13" i="38" s="1"/>
  <c r="M69" i="40"/>
  <c r="K68" i="25"/>
  <c r="K71"/>
  <c r="K74" s="1"/>
  <c r="K77" s="1"/>
  <c r="K78" s="1"/>
  <c r="J120" i="37"/>
  <c r="J21"/>
  <c r="Y72"/>
  <c r="Y73" s="1"/>
  <c r="Y111"/>
  <c r="U122"/>
  <c r="U235" i="40"/>
  <c r="U24" i="38" s="1"/>
  <c r="U107" i="37"/>
  <c r="U48"/>
  <c r="U49" s="1"/>
  <c r="U192" i="40"/>
  <c r="U205"/>
  <c r="U37" i="38" s="1"/>
  <c r="U203" i="40"/>
  <c r="U35" i="38" s="1"/>
  <c r="U190" i="40"/>
  <c r="U201" s="1"/>
  <c r="Y69"/>
  <c r="V83"/>
  <c r="AN234"/>
  <c r="AP46"/>
  <c r="AM21"/>
  <c r="AM233" s="1"/>
  <c r="AM232"/>
  <c r="AN224"/>
  <c r="AN226"/>
  <c r="AN24"/>
  <c r="L38" i="17"/>
  <c r="AZ12" i="38"/>
  <c r="AN155" i="40"/>
  <c r="AP15"/>
  <c r="AN183"/>
  <c r="AP183" s="1"/>
  <c r="AN189"/>
  <c r="AP189" s="1"/>
  <c r="AN186"/>
  <c r="AP186" s="1"/>
  <c r="AN154"/>
  <c r="AN161"/>
  <c r="AP161" s="1"/>
  <c r="AZ14" i="38"/>
  <c r="AN153" i="40"/>
  <c r="AN169"/>
  <c r="AN135"/>
  <c r="AN10"/>
  <c r="AN187"/>
  <c r="AP187" s="1"/>
  <c r="AN184"/>
  <c r="AP184" s="1"/>
  <c r="AN175"/>
  <c r="AN188"/>
  <c r="AP188" s="1"/>
  <c r="BG14" i="38"/>
  <c r="AM14"/>
  <c r="AM31" i="40" s="1"/>
  <c r="AN227"/>
  <c r="AP52"/>
  <c r="AN97"/>
  <c r="AM78"/>
  <c r="AM197"/>
  <c r="K9" i="17"/>
  <c r="AM198" i="40"/>
  <c r="AM16"/>
  <c r="AM124"/>
  <c r="AM126" s="1"/>
  <c r="AL128"/>
  <c r="AL205"/>
  <c r="AL192"/>
  <c r="X66" i="37"/>
  <c r="X69" s="1"/>
  <c r="X61"/>
  <c r="L72"/>
  <c r="L73" s="1"/>
  <c r="L111"/>
  <c r="K77" i="40"/>
  <c r="K141"/>
  <c r="K145"/>
  <c r="U148"/>
  <c r="U13" i="38" s="1"/>
  <c r="U155" i="40"/>
  <c r="U153"/>
  <c r="U224"/>
  <c r="U226"/>
  <c r="S42" i="38"/>
  <c r="S52"/>
  <c r="S20"/>
  <c r="S33"/>
  <c r="S118" i="25"/>
  <c r="S217" i="40" s="1"/>
  <c r="S119" i="25"/>
  <c r="S218" i="40" s="1"/>
  <c r="S117" i="25"/>
  <c r="S216" i="40" s="1"/>
  <c r="S55" i="38" s="1"/>
  <c r="S115" i="25"/>
  <c r="S214" i="40" s="1"/>
  <c r="S116" i="25"/>
  <c r="S215" i="40" s="1"/>
  <c r="S54" i="38" s="1"/>
  <c r="S120" i="25"/>
  <c r="S219" i="40" s="1"/>
  <c r="S58" i="38" s="1"/>
  <c r="S70" i="25"/>
  <c r="S52"/>
  <c r="S53"/>
  <c r="S63"/>
  <c r="S54"/>
  <c r="S76"/>
  <c r="S64"/>
  <c r="S73"/>
  <c r="S51"/>
  <c r="S58"/>
  <c r="S59"/>
  <c r="T169" i="40"/>
  <c r="T92" i="37"/>
  <c r="T171" i="40"/>
  <c r="T94" i="37"/>
  <c r="T97"/>
  <c r="T174" i="40"/>
  <c r="T93" i="37"/>
  <c r="T170" i="40"/>
  <c r="T95" i="37"/>
  <c r="T172" i="40"/>
  <c r="AP54"/>
  <c r="AJ99"/>
  <c r="AP99" s="1"/>
  <c r="H96" i="25"/>
  <c r="H97" s="1"/>
  <c r="H90" i="37"/>
  <c r="H167" i="40"/>
  <c r="H92" i="37"/>
  <c r="H169" i="40"/>
  <c r="H171"/>
  <c r="H94" i="37"/>
  <c r="H93"/>
  <c r="H170" i="40"/>
  <c r="H95" i="25"/>
  <c r="H98" i="37"/>
  <c r="H175" i="40"/>
  <c r="I116" i="37"/>
  <c r="I100"/>
  <c r="I206" i="40"/>
  <c r="I18"/>
  <c r="I207"/>
  <c r="I14" i="38"/>
  <c r="I16"/>
  <c r="AK142" i="40"/>
  <c r="I100" i="17"/>
  <c r="AK119" i="40"/>
  <c r="AK45"/>
  <c r="AJ120"/>
  <c r="C221" i="17" s="1"/>
  <c r="AK116" i="40"/>
  <c r="AK118" s="1"/>
  <c r="W233"/>
  <c r="W77"/>
  <c r="W145"/>
  <c r="W141"/>
  <c r="I48" i="37"/>
  <c r="I49" s="1"/>
  <c r="V32"/>
  <c r="V39" s="1"/>
  <c r="J53"/>
  <c r="J54" s="1"/>
  <c r="I58" i="40"/>
  <c r="U36" i="25"/>
  <c r="U43" s="1"/>
  <c r="U44" s="1"/>
  <c r="V157" i="40"/>
  <c r="H128" i="25"/>
  <c r="I184" i="40"/>
  <c r="I188"/>
  <c r="J36" i="25"/>
  <c r="J43" s="1"/>
  <c r="J44" s="1"/>
  <c r="J25" i="37"/>
  <c r="J32" s="1"/>
  <c r="J39" s="1"/>
  <c r="J25" i="40"/>
  <c r="V26" i="38"/>
  <c r="J21" i="40"/>
  <c r="J233" s="1"/>
  <c r="J232"/>
  <c r="J10" i="38" s="1"/>
  <c r="V11"/>
  <c r="V198" i="40"/>
  <c r="V16"/>
  <c r="U116" i="37"/>
  <c r="U100"/>
  <c r="U204" i="40"/>
  <c r="U36" i="38" s="1"/>
  <c r="U177" i="40"/>
  <c r="I235"/>
  <c r="I24" i="38" s="1"/>
  <c r="I48" i="40"/>
  <c r="I49" s="1"/>
  <c r="I93"/>
  <c r="I84" s="1"/>
  <c r="AL200"/>
  <c r="AL81" s="1"/>
  <c r="J39" i="17"/>
  <c r="AM199" i="40"/>
  <c r="AM163"/>
  <c r="L67" i="17"/>
  <c r="W32" i="40"/>
  <c r="W39" s="1"/>
  <c r="W142"/>
  <c r="W146"/>
  <c r="V146"/>
  <c r="U79"/>
  <c r="U158"/>
  <c r="U16" i="38"/>
  <c r="U14"/>
  <c r="U27" i="37"/>
  <c r="U27" i="40"/>
  <c r="U119" i="37"/>
  <c r="U18"/>
  <c r="T57" i="40"/>
  <c r="T57" i="37"/>
  <c r="T56" i="40"/>
  <c r="T56" i="37"/>
  <c r="T65" i="25"/>
  <c r="T46" i="37"/>
  <c r="T46" i="40"/>
  <c r="T63" i="37"/>
  <c r="T64" s="1"/>
  <c r="T110" s="1"/>
  <c r="T63" i="40"/>
  <c r="T64" s="1"/>
  <c r="T100" s="1"/>
  <c r="T27" i="38" s="1"/>
  <c r="T55" i="25"/>
  <c r="T56" s="1"/>
  <c r="T44" i="40"/>
  <c r="T44" i="37"/>
  <c r="T51"/>
  <c r="T51" i="40"/>
  <c r="T53" i="38"/>
  <c r="T160" i="40"/>
  <c r="T80" s="1"/>
  <c r="T223"/>
  <c r="T225"/>
  <c r="T57" i="38"/>
  <c r="T156" i="40"/>
  <c r="T35"/>
  <c r="T35" i="37"/>
  <c r="T41" i="25"/>
  <c r="T26"/>
  <c r="T20" i="40"/>
  <c r="T12" i="38" s="1"/>
  <c r="T20" i="37"/>
  <c r="T30"/>
  <c r="T30" i="40"/>
  <c r="T15" i="38" s="1"/>
  <c r="T24" i="40"/>
  <c r="T24" i="37"/>
  <c r="T13" i="40"/>
  <c r="T13" i="37"/>
  <c r="T29"/>
  <c r="T29" i="40"/>
  <c r="T15"/>
  <c r="T15" i="37"/>
  <c r="U6"/>
  <c r="T6" i="25"/>
  <c r="H6"/>
  <c r="U6" i="40"/>
  <c r="H15"/>
  <c r="U154" s="1"/>
  <c r="H15" i="37"/>
  <c r="U113" s="1"/>
  <c r="U16" s="1"/>
  <c r="H24"/>
  <c r="H24" i="40"/>
  <c r="H35"/>
  <c r="H41" i="25"/>
  <c r="H35" i="37"/>
  <c r="H28" i="40"/>
  <c r="H28" i="37"/>
  <c r="H30" i="40"/>
  <c r="H15" i="38" s="1"/>
  <c r="H30" i="37"/>
  <c r="H36"/>
  <c r="H36" i="40"/>
  <c r="H29" i="25"/>
  <c r="H26" i="40"/>
  <c r="H26" i="37"/>
  <c r="G19" i="25"/>
  <c r="G40"/>
  <c r="G39"/>
  <c r="G35"/>
  <c r="G33"/>
  <c r="G22"/>
  <c r="G21"/>
  <c r="G34"/>
  <c r="G28"/>
  <c r="G23"/>
  <c r="G32"/>
  <c r="G20"/>
  <c r="G24"/>
  <c r="G30"/>
  <c r="G20" i="38"/>
  <c r="G33"/>
  <c r="G52"/>
  <c r="F7" i="37"/>
  <c r="F83" i="25"/>
  <c r="F7" i="40"/>
  <c r="F48" i="25"/>
  <c r="F114"/>
  <c r="F124"/>
  <c r="F134"/>
  <c r="F14"/>
  <c r="F31" s="1"/>
  <c r="F9" i="38"/>
  <c r="G116" i="25"/>
  <c r="G215" i="40" s="1"/>
  <c r="G54" i="38" s="1"/>
  <c r="G119" i="25"/>
  <c r="G218" i="40" s="1"/>
  <c r="G118" i="25"/>
  <c r="G217" i="40" s="1"/>
  <c r="G115" i="25"/>
  <c r="G214" i="40" s="1"/>
  <c r="G120" i="25"/>
  <c r="G219" i="40" s="1"/>
  <c r="G58" i="38" s="1"/>
  <c r="G117" i="25"/>
  <c r="G216" i="40" s="1"/>
  <c r="G55" i="38" s="1"/>
  <c r="G126" i="25"/>
  <c r="G127"/>
  <c r="G138"/>
  <c r="G130"/>
  <c r="G137"/>
  <c r="G136"/>
  <c r="G135"/>
  <c r="G131"/>
  <c r="G129"/>
  <c r="H56" i="37"/>
  <c r="H65" i="25"/>
  <c r="H56" i="40"/>
  <c r="H51" i="37"/>
  <c r="H51" i="40"/>
  <c r="H71" i="37"/>
  <c r="H71" i="40"/>
  <c r="H52"/>
  <c r="H52" i="37"/>
  <c r="H57" i="40"/>
  <c r="H57" i="37"/>
  <c r="H63" i="40"/>
  <c r="H64" s="1"/>
  <c r="H100" s="1"/>
  <c r="H27" i="38" s="1"/>
  <c r="H63" i="37"/>
  <c r="H64" s="1"/>
  <c r="H110" s="1"/>
  <c r="H159" i="40"/>
  <c r="H56" i="38"/>
  <c r="I178" i="40"/>
  <c r="I179" s="1"/>
  <c r="I183"/>
  <c r="I37"/>
  <c r="I37" i="37"/>
  <c r="I147" i="40"/>
  <c r="I112" i="37"/>
  <c r="AL54" i="40"/>
  <c r="AL99" s="1"/>
  <c r="AL60"/>
  <c r="J26" i="38"/>
  <c r="U227" i="40"/>
  <c r="U93"/>
  <c r="U84" s="1"/>
  <c r="U48"/>
  <c r="U49" s="1"/>
  <c r="AK61"/>
  <c r="AK63"/>
  <c r="AK64" s="1"/>
  <c r="AK100" s="1"/>
  <c r="AK66"/>
  <c r="V199"/>
  <c r="J78"/>
  <c r="J197"/>
  <c r="AN48"/>
  <c r="AN51"/>
  <c r="AN94"/>
  <c r="AP44"/>
  <c r="AM148"/>
  <c r="AM127"/>
  <c r="K99" i="17"/>
  <c r="AM32" i="40"/>
  <c r="AM185"/>
  <c r="AM178"/>
  <c r="AM174"/>
  <c r="BG12" i="38"/>
  <c r="AM12"/>
  <c r="AM20" i="40" s="1"/>
  <c r="AM176"/>
  <c r="AM177"/>
  <c r="AM193" s="1"/>
  <c r="AM202"/>
  <c r="AM204"/>
  <c r="AM136"/>
  <c r="AN132"/>
  <c r="AN134" s="1"/>
  <c r="U112" i="37"/>
  <c r="S76" i="40"/>
  <c r="S196"/>
  <c r="S42"/>
  <c r="S139"/>
  <c r="S222"/>
  <c r="S152"/>
  <c r="S231"/>
  <c r="S105"/>
  <c r="S90"/>
  <c r="S182"/>
  <c r="S166"/>
  <c r="S213"/>
  <c r="S93" i="25"/>
  <c r="S90"/>
  <c r="S85"/>
  <c r="S88"/>
  <c r="S89"/>
  <c r="S87"/>
  <c r="S92"/>
  <c r="S86"/>
  <c r="S94"/>
  <c r="S91"/>
  <c r="S138"/>
  <c r="S136"/>
  <c r="S137"/>
  <c r="S126"/>
  <c r="S129"/>
  <c r="S130"/>
  <c r="S127"/>
  <c r="S135"/>
  <c r="S131"/>
  <c r="S106" i="37"/>
  <c r="S42"/>
  <c r="S78"/>
  <c r="S89"/>
  <c r="S22" i="25"/>
  <c r="S32"/>
  <c r="S40"/>
  <c r="S19"/>
  <c r="S21"/>
  <c r="S30"/>
  <c r="S34"/>
  <c r="S23"/>
  <c r="S28"/>
  <c r="S33"/>
  <c r="S20"/>
  <c r="S39"/>
  <c r="S35"/>
  <c r="S24"/>
  <c r="T173" i="40"/>
  <c r="T96" i="37"/>
  <c r="T98"/>
  <c r="T175" i="40"/>
  <c r="T95" i="25"/>
  <c r="T90" i="37"/>
  <c r="T167" i="40"/>
  <c r="T96" i="25"/>
  <c r="T97" s="1"/>
  <c r="T168" i="40"/>
  <c r="T91" i="37"/>
  <c r="T99"/>
  <c r="T117" s="1"/>
  <c r="T176" i="40"/>
  <c r="AJ61"/>
  <c r="AP61" s="1"/>
  <c r="AJ66"/>
  <c r="AJ63"/>
  <c r="AJ64" s="1"/>
  <c r="H172"/>
  <c r="H95" i="37"/>
  <c r="H176" i="40"/>
  <c r="H99" i="37"/>
  <c r="H91"/>
  <c r="H168" i="40"/>
  <c r="H96" i="37"/>
  <c r="H173" i="40"/>
  <c r="H97" i="37"/>
  <c r="H174" i="40"/>
  <c r="I204"/>
  <c r="I36" i="38" s="1"/>
  <c r="I177" i="40"/>
  <c r="I27"/>
  <c r="I27" i="37"/>
  <c r="I119"/>
  <c r="I18"/>
  <c r="AJ98" i="40"/>
  <c r="AJ95"/>
  <c r="AJ93"/>
  <c r="AL233"/>
  <c r="I187"/>
  <c r="I115" i="37"/>
  <c r="I10" i="40"/>
  <c r="I10" i="37"/>
  <c r="U117"/>
  <c r="U115"/>
  <c r="I208" i="40"/>
  <c r="I58" i="37"/>
  <c r="K233" i="40"/>
  <c r="U10" i="37"/>
  <c r="U120" s="1"/>
  <c r="V209" i="40"/>
  <c r="V38" i="38" s="1"/>
  <c r="H125" i="25"/>
  <c r="I186" i="40"/>
  <c r="I189"/>
  <c r="I29" i="25"/>
  <c r="W144" i="40"/>
  <c r="C101"/>
  <c r="AH101" s="1"/>
  <c r="AH73"/>
  <c r="L72" l="1"/>
  <c r="L73" s="1"/>
  <c r="L101" s="1"/>
  <c r="U21"/>
  <c r="U77" s="1"/>
  <c r="T58" i="37"/>
  <c r="K66" i="40"/>
  <c r="T94"/>
  <c r="T97"/>
  <c r="T95"/>
  <c r="T96"/>
  <c r="T58"/>
  <c r="T26" i="38" s="1"/>
  <c r="K98" i="40"/>
  <c r="K22" i="38" s="1"/>
  <c r="V21"/>
  <c r="V144" i="40"/>
  <c r="U32"/>
  <c r="U39" s="1"/>
  <c r="V22" i="38"/>
  <c r="I199" i="40"/>
  <c r="I21" i="38"/>
  <c r="H97" i="40"/>
  <c r="H25" i="38" s="1"/>
  <c r="U83" i="40"/>
  <c r="U199"/>
  <c r="I83"/>
  <c r="I25" i="38"/>
  <c r="H96" i="40"/>
  <c r="H94"/>
  <c r="H95"/>
  <c r="X86"/>
  <c r="X91"/>
  <c r="X85" s="1"/>
  <c r="K91"/>
  <c r="K85" s="1"/>
  <c r="U68" i="25"/>
  <c r="V60" i="40"/>
  <c r="V61" s="1"/>
  <c r="W61" i="37"/>
  <c r="X69" i="40"/>
  <c r="X72" s="1"/>
  <c r="X73" s="1"/>
  <c r="X101" s="1"/>
  <c r="J60"/>
  <c r="J66" s="1"/>
  <c r="J92" s="1"/>
  <c r="V140"/>
  <c r="V82" s="1"/>
  <c r="V142"/>
  <c r="U34" i="38"/>
  <c r="V68" i="25"/>
  <c r="V145" i="40"/>
  <c r="V141"/>
  <c r="V233"/>
  <c r="W61"/>
  <c r="W66"/>
  <c r="W92" s="1"/>
  <c r="U118" i="37"/>
  <c r="H115"/>
  <c r="U32"/>
  <c r="U39" s="1"/>
  <c r="H188" i="40"/>
  <c r="AM141"/>
  <c r="H161"/>
  <c r="I53"/>
  <c r="I54" s="1"/>
  <c r="I99" s="1"/>
  <c r="I67" i="25"/>
  <c r="I68" s="1"/>
  <c r="T115" i="37"/>
  <c r="H48"/>
  <c r="H49" s="1"/>
  <c r="H189" i="40"/>
  <c r="H184"/>
  <c r="H117" i="37"/>
  <c r="T184" i="40"/>
  <c r="T189"/>
  <c r="S125" i="25"/>
  <c r="H60"/>
  <c r="H61" s="1"/>
  <c r="G128"/>
  <c r="T60"/>
  <c r="T61" s="1"/>
  <c r="V60" i="37"/>
  <c r="V61" s="1"/>
  <c r="J144" i="40"/>
  <c r="U198"/>
  <c r="U16"/>
  <c r="U11" i="38"/>
  <c r="I25" i="40"/>
  <c r="I25" i="37"/>
  <c r="I32" s="1"/>
  <c r="I39" s="1"/>
  <c r="I36" i="25"/>
  <c r="I43" s="1"/>
  <c r="I44" s="1"/>
  <c r="I120" i="37"/>
  <c r="I21"/>
  <c r="AP98" i="40"/>
  <c r="H190"/>
  <c r="H201" s="1"/>
  <c r="H203"/>
  <c r="H35" i="38" s="1"/>
  <c r="AP64" i="40"/>
  <c r="AJ100"/>
  <c r="AP100" s="1"/>
  <c r="T178"/>
  <c r="T179" s="1"/>
  <c r="T183"/>
  <c r="T116" i="37"/>
  <c r="T100"/>
  <c r="S31"/>
  <c r="S31" i="40"/>
  <c r="S37" i="25"/>
  <c r="S12" i="40"/>
  <c r="S12" i="37"/>
  <c r="S24"/>
  <c r="S24" i="40"/>
  <c r="S30"/>
  <c r="S15" i="38" s="1"/>
  <c r="S30" i="37"/>
  <c r="S13"/>
  <c r="S13" i="40"/>
  <c r="S36" i="37"/>
  <c r="S36" i="40"/>
  <c r="S15"/>
  <c r="U193" s="1"/>
  <c r="S15" i="37"/>
  <c r="S96"/>
  <c r="S173" i="40"/>
  <c r="S168"/>
  <c r="S184" s="1"/>
  <c r="S91" i="37"/>
  <c r="S92"/>
  <c r="S169" i="40"/>
  <c r="S170"/>
  <c r="S186" s="1"/>
  <c r="S93" i="37"/>
  <c r="S172" i="40"/>
  <c r="S95" i="37"/>
  <c r="AN163" i="40"/>
  <c r="AN199"/>
  <c r="M67" i="17"/>
  <c r="AN49" i="40"/>
  <c r="AP48"/>
  <c r="AK91"/>
  <c r="AK69"/>
  <c r="U25" i="38"/>
  <c r="AL63" i="40"/>
  <c r="AL64" s="1"/>
  <c r="AL100" s="1"/>
  <c r="AL66"/>
  <c r="AL61"/>
  <c r="H122" i="37"/>
  <c r="G56" i="38"/>
  <c r="G159" i="40"/>
  <c r="F19" i="25"/>
  <c r="F40"/>
  <c r="F23"/>
  <c r="F34"/>
  <c r="F21"/>
  <c r="F20"/>
  <c r="F33"/>
  <c r="F28"/>
  <c r="F24"/>
  <c r="F35"/>
  <c r="F22"/>
  <c r="F32"/>
  <c r="F30"/>
  <c r="F39"/>
  <c r="F135"/>
  <c r="F129"/>
  <c r="F136"/>
  <c r="F130"/>
  <c r="F127"/>
  <c r="F137"/>
  <c r="F138"/>
  <c r="F126"/>
  <c r="F131"/>
  <c r="F70"/>
  <c r="F73"/>
  <c r="F76"/>
  <c r="F64"/>
  <c r="F53"/>
  <c r="F52"/>
  <c r="F54"/>
  <c r="F58"/>
  <c r="F51"/>
  <c r="F63"/>
  <c r="F59"/>
  <c r="F93"/>
  <c r="F91"/>
  <c r="F89"/>
  <c r="F87"/>
  <c r="F85"/>
  <c r="F94"/>
  <c r="F92"/>
  <c r="F88"/>
  <c r="F90"/>
  <c r="F86"/>
  <c r="G20" i="40"/>
  <c r="G12" i="38" s="1"/>
  <c r="G20" i="37"/>
  <c r="G28"/>
  <c r="G28" i="40"/>
  <c r="G29" i="25"/>
  <c r="G24" i="40"/>
  <c r="G24" i="37"/>
  <c r="G13"/>
  <c r="G13" i="40"/>
  <c r="G29"/>
  <c r="G29" i="37"/>
  <c r="G35" i="40"/>
  <c r="G41" i="25"/>
  <c r="G35" i="37"/>
  <c r="G11"/>
  <c r="G18" i="25"/>
  <c r="G25" s="1"/>
  <c r="G11" i="40"/>
  <c r="H37" i="37"/>
  <c r="H37" i="40"/>
  <c r="H147"/>
  <c r="H148"/>
  <c r="H13" i="38" s="1"/>
  <c r="T6" i="40"/>
  <c r="T6" i="37"/>
  <c r="S6" i="25"/>
  <c r="AE31" s="1"/>
  <c r="G6"/>
  <c r="T112" i="37"/>
  <c r="T148" i="40"/>
  <c r="T13" i="38" s="1"/>
  <c r="T37" i="37"/>
  <c r="T37" i="40"/>
  <c r="T147"/>
  <c r="T235"/>
  <c r="T24" i="38" s="1"/>
  <c r="T48" i="37"/>
  <c r="T49" s="1"/>
  <c r="T107"/>
  <c r="J142" i="40"/>
  <c r="J77"/>
  <c r="J145"/>
  <c r="J141"/>
  <c r="W72" i="37"/>
  <c r="W73" s="1"/>
  <c r="W111"/>
  <c r="I26" i="38"/>
  <c r="AL116" i="40"/>
  <c r="AL118" s="1"/>
  <c r="AK120"/>
  <c r="H204"/>
  <c r="H36" i="38" s="1"/>
  <c r="H177" i="40"/>
  <c r="T203"/>
  <c r="T35" i="38" s="1"/>
  <c r="T190" i="40"/>
  <c r="T201" s="1"/>
  <c r="S52" i="37"/>
  <c r="S52" i="40"/>
  <c r="S44" i="37"/>
  <c r="S55" i="25"/>
  <c r="S56" s="1"/>
  <c r="S44" i="40"/>
  <c r="S57" i="37"/>
  <c r="S57" i="40"/>
  <c r="S47" i="37"/>
  <c r="S47" i="40"/>
  <c r="S46" i="37"/>
  <c r="S46" i="40"/>
  <c r="S63" i="37"/>
  <c r="S64" s="1"/>
  <c r="S110" s="1"/>
  <c r="S63" i="40"/>
  <c r="S64" s="1"/>
  <c r="S100" s="1"/>
  <c r="S27" i="38" s="1"/>
  <c r="S56"/>
  <c r="S159" i="40"/>
  <c r="X72" i="37"/>
  <c r="X73" s="1"/>
  <c r="X111"/>
  <c r="M70" i="17"/>
  <c r="AN83" i="40"/>
  <c r="AN204"/>
  <c r="AN176"/>
  <c r="AP175"/>
  <c r="AN177"/>
  <c r="AN191"/>
  <c r="AN202" s="1"/>
  <c r="AN78"/>
  <c r="AN197"/>
  <c r="AP197" s="1"/>
  <c r="AP153"/>
  <c r="AP78" s="1"/>
  <c r="Y72"/>
  <c r="Y73" s="1"/>
  <c r="Y101" s="1"/>
  <c r="Y143"/>
  <c r="Y29" i="38" s="1"/>
  <c r="I78" i="40"/>
  <c r="I197"/>
  <c r="H93"/>
  <c r="H84" s="1"/>
  <c r="H48"/>
  <c r="H49" s="1"/>
  <c r="G71"/>
  <c r="G71" i="37"/>
  <c r="G47"/>
  <c r="G47" i="40"/>
  <c r="G51" i="37"/>
  <c r="G51" i="40"/>
  <c r="G52" i="37"/>
  <c r="G52" i="40"/>
  <c r="G46" i="37"/>
  <c r="G46" i="40"/>
  <c r="G95" i="37"/>
  <c r="G172" i="40"/>
  <c r="G167"/>
  <c r="G96" i="25"/>
  <c r="G97" s="1"/>
  <c r="G90" i="37"/>
  <c r="G97"/>
  <c r="G174" i="40"/>
  <c r="G170"/>
  <c r="G93" i="37"/>
  <c r="G175" i="40"/>
  <c r="G98" i="37"/>
  <c r="G95" i="25"/>
  <c r="H207" i="40"/>
  <c r="H206"/>
  <c r="H18"/>
  <c r="H14" i="38"/>
  <c r="H16"/>
  <c r="T29" i="25"/>
  <c r="T27" i="40"/>
  <c r="T27" i="37"/>
  <c r="T119"/>
  <c r="T18"/>
  <c r="T227" i="40"/>
  <c r="AM54"/>
  <c r="AM99" s="1"/>
  <c r="AM60"/>
  <c r="G125" i="25"/>
  <c r="T121" i="37"/>
  <c r="U21"/>
  <c r="J140" i="40"/>
  <c r="J82" s="1"/>
  <c r="H187"/>
  <c r="H114" i="37"/>
  <c r="H101"/>
  <c r="H102" s="1"/>
  <c r="T188" i="40"/>
  <c r="T186"/>
  <c r="T114" i="37"/>
  <c r="AN136" i="40"/>
  <c r="AM144"/>
  <c r="H10"/>
  <c r="T10" i="37"/>
  <c r="AP93" i="40"/>
  <c r="AP84" s="1"/>
  <c r="AJ84"/>
  <c r="I232"/>
  <c r="I10" i="38" s="1"/>
  <c r="I21" i="40"/>
  <c r="I144" s="1"/>
  <c r="AP95"/>
  <c r="I68" i="17"/>
  <c r="I71" s="1"/>
  <c r="H192" i="40"/>
  <c r="H205"/>
  <c r="H37" i="38" s="1"/>
  <c r="AJ69" i="40"/>
  <c r="AJ91"/>
  <c r="T205"/>
  <c r="T37" i="38" s="1"/>
  <c r="T192" i="40"/>
  <c r="T204"/>
  <c r="T36" i="38" s="1"/>
  <c r="T177" i="40"/>
  <c r="S20" i="37"/>
  <c r="S20" i="40"/>
  <c r="S12" i="38" s="1"/>
  <c r="S26" i="25"/>
  <c r="S35" i="40"/>
  <c r="S41" i="25"/>
  <c r="S35" i="37"/>
  <c r="S29" i="40"/>
  <c r="S29" i="37"/>
  <c r="S17" i="40"/>
  <c r="S17" i="37"/>
  <c r="S26" i="40"/>
  <c r="S26" i="37"/>
  <c r="S11" i="40"/>
  <c r="S11" i="37"/>
  <c r="S18" i="25"/>
  <c r="S25" s="1"/>
  <c r="S28" i="37"/>
  <c r="S29" i="25"/>
  <c r="S28" i="40"/>
  <c r="S176"/>
  <c r="S99" i="37"/>
  <c r="S117" s="1"/>
  <c r="S174" i="40"/>
  <c r="S97" i="37"/>
  <c r="S171" i="40"/>
  <c r="S94" i="37"/>
  <c r="S90"/>
  <c r="S167" i="40"/>
  <c r="S96" i="25"/>
  <c r="S97" s="1"/>
  <c r="S95"/>
  <c r="S175" i="40"/>
  <c r="S98" i="37"/>
  <c r="AM192" i="40"/>
  <c r="AM205"/>
  <c r="AM190"/>
  <c r="AM201" s="1"/>
  <c r="AM203"/>
  <c r="K39" i="17"/>
  <c r="AM200" i="40"/>
  <c r="AM81" s="1"/>
  <c r="AN124"/>
  <c r="AN126" s="1"/>
  <c r="AM128"/>
  <c r="AN53"/>
  <c r="AN235"/>
  <c r="AP51"/>
  <c r="U163"/>
  <c r="H235"/>
  <c r="H24" i="38" s="1"/>
  <c r="G53"/>
  <c r="G160" i="40"/>
  <c r="G80" s="1"/>
  <c r="G223"/>
  <c r="G156"/>
  <c r="T157" s="1"/>
  <c r="G225"/>
  <c r="G57" i="38"/>
  <c r="F20"/>
  <c r="F52"/>
  <c r="F33"/>
  <c r="F118" i="25"/>
  <c r="F217" i="40" s="1"/>
  <c r="F115" i="25"/>
  <c r="F214" i="40" s="1"/>
  <c r="F117" i="25"/>
  <c r="F216" i="40" s="1"/>
  <c r="F55" i="38" s="1"/>
  <c r="F116" i="25"/>
  <c r="F215" i="40" s="1"/>
  <c r="F54" i="38" s="1"/>
  <c r="F120" i="25"/>
  <c r="F219" i="40" s="1"/>
  <c r="F58" i="38" s="1"/>
  <c r="F119" i="25"/>
  <c r="F166" i="40"/>
  <c r="F222"/>
  <c r="F231"/>
  <c r="F213"/>
  <c r="F152"/>
  <c r="F90"/>
  <c r="F76"/>
  <c r="F42"/>
  <c r="F139"/>
  <c r="F196"/>
  <c r="F182"/>
  <c r="F42" i="37"/>
  <c r="F89"/>
  <c r="F106"/>
  <c r="G26"/>
  <c r="G26" i="40"/>
  <c r="G12" i="37"/>
  <c r="G12" i="40"/>
  <c r="G17" i="37"/>
  <c r="G17" i="40"/>
  <c r="G30"/>
  <c r="G15" i="38" s="1"/>
  <c r="G30" i="37"/>
  <c r="G15" i="40"/>
  <c r="T154" s="1"/>
  <c r="G15" i="37"/>
  <c r="T113" s="1"/>
  <c r="T16" s="1"/>
  <c r="G31" i="40"/>
  <c r="G31" i="37"/>
  <c r="G36"/>
  <c r="G36" i="40"/>
  <c r="H36" i="25"/>
  <c r="H43" s="1"/>
  <c r="H44" s="1"/>
  <c r="H25" i="37"/>
  <c r="H25" i="40"/>
  <c r="H27"/>
  <c r="H27" i="37"/>
  <c r="H32"/>
  <c r="H112"/>
  <c r="H153" i="40"/>
  <c r="H224"/>
  <c r="H226"/>
  <c r="H155"/>
  <c r="H6" i="37"/>
  <c r="H6" i="40"/>
  <c r="T153"/>
  <c r="T155"/>
  <c r="T226"/>
  <c r="T161"/>
  <c r="T224"/>
  <c r="AL155"/>
  <c r="T158"/>
  <c r="T79"/>
  <c r="T122" i="37"/>
  <c r="T48" i="40"/>
  <c r="T49" s="1"/>
  <c r="T93"/>
  <c r="T84" s="1"/>
  <c r="J32"/>
  <c r="J39" s="1"/>
  <c r="J146"/>
  <c r="AK95"/>
  <c r="J68" i="17" s="1"/>
  <c r="J71" s="1"/>
  <c r="AK98" i="40"/>
  <c r="AK93"/>
  <c r="H100" i="37"/>
  <c r="H116"/>
  <c r="H178" i="40"/>
  <c r="H179" s="1"/>
  <c r="H183"/>
  <c r="S51" i="37"/>
  <c r="S51" i="40"/>
  <c r="S68" i="37"/>
  <c r="S68" i="40"/>
  <c r="S28" i="38" s="1"/>
  <c r="S71" i="37"/>
  <c r="S71" i="40"/>
  <c r="S56"/>
  <c r="S56" i="37"/>
  <c r="S65" i="25"/>
  <c r="S45" i="40"/>
  <c r="S45" i="37"/>
  <c r="S160" i="40"/>
  <c r="S80" s="1"/>
  <c r="S53" i="38"/>
  <c r="S223" i="40"/>
  <c r="S156"/>
  <c r="S225"/>
  <c r="S57" i="38"/>
  <c r="U197" i="40"/>
  <c r="U78"/>
  <c r="AP10"/>
  <c r="AN232"/>
  <c r="AN21"/>
  <c r="AN144" s="1"/>
  <c r="AN185"/>
  <c r="AP169"/>
  <c r="AN174"/>
  <c r="AN178"/>
  <c r="AP178" s="1"/>
  <c r="AP179" s="1"/>
  <c r="BH14" i="38"/>
  <c r="AN14"/>
  <c r="AN31" i="40" s="1"/>
  <c r="AP31" s="1"/>
  <c r="L9" i="17"/>
  <c r="AN16" i="40"/>
  <c r="AN198"/>
  <c r="AN12" i="38"/>
  <c r="AN20" i="40" s="1"/>
  <c r="AP20" s="1"/>
  <c r="BH12" i="38"/>
  <c r="L99" i="17"/>
  <c r="AN127" i="40"/>
  <c r="AN32"/>
  <c r="AP32" s="1"/>
  <c r="AN148"/>
  <c r="AP24"/>
  <c r="AM25"/>
  <c r="AM77"/>
  <c r="AM145"/>
  <c r="M72"/>
  <c r="M73" s="1"/>
  <c r="M101" s="1"/>
  <c r="M143"/>
  <c r="M29" i="38" s="1"/>
  <c r="H79" i="40"/>
  <c r="H158"/>
  <c r="G65" i="25"/>
  <c r="G56" i="40"/>
  <c r="G56" i="37"/>
  <c r="G68" i="40"/>
  <c r="G28" i="38" s="1"/>
  <c r="G68" i="37"/>
  <c r="G55" i="25"/>
  <c r="G56" s="1"/>
  <c r="G44" i="37"/>
  <c r="G44" i="40"/>
  <c r="G45" i="37"/>
  <c r="G45" i="40"/>
  <c r="G57"/>
  <c r="G57" i="37"/>
  <c r="G63" i="40"/>
  <c r="G64" s="1"/>
  <c r="G100" s="1"/>
  <c r="G27" i="38" s="1"/>
  <c r="G63" i="37"/>
  <c r="G64" s="1"/>
  <c r="G110" s="1"/>
  <c r="G168" i="40"/>
  <c r="G91" i="37"/>
  <c r="G171" i="40"/>
  <c r="G94" i="37"/>
  <c r="G176" i="40"/>
  <c r="G99" i="37"/>
  <c r="G117" s="1"/>
  <c r="G169" i="40"/>
  <c r="G92" i="37"/>
  <c r="G173" i="40"/>
  <c r="G96" i="37"/>
  <c r="H119"/>
  <c r="H18"/>
  <c r="T14" i="38"/>
  <c r="T16"/>
  <c r="T207" i="40"/>
  <c r="T206"/>
  <c r="T18"/>
  <c r="T208"/>
  <c r="U146"/>
  <c r="AL119"/>
  <c r="AL142"/>
  <c r="J100" i="17"/>
  <c r="AL45" i="40"/>
  <c r="T101" i="37"/>
  <c r="T102" s="1"/>
  <c r="S128" i="25"/>
  <c r="H58" i="40"/>
  <c r="H58" i="37"/>
  <c r="T234" i="40"/>
  <c r="T23" i="38" s="1"/>
  <c r="J60" i="37"/>
  <c r="H186" i="40"/>
  <c r="H185"/>
  <c r="T187"/>
  <c r="T185"/>
  <c r="U53"/>
  <c r="U53" i="37"/>
  <c r="H208" i="40"/>
  <c r="H10" i="37"/>
  <c r="T10" i="40"/>
  <c r="T108" i="37"/>
  <c r="I53"/>
  <c r="I54" s="1"/>
  <c r="U209" i="40"/>
  <c r="U38" i="38" s="1"/>
  <c r="K69" i="40" l="1"/>
  <c r="K143" s="1"/>
  <c r="K29" i="38" s="1"/>
  <c r="K92" i="40"/>
  <c r="U141"/>
  <c r="S95"/>
  <c r="S191"/>
  <c r="S202" s="1"/>
  <c r="S187"/>
  <c r="U142"/>
  <c r="S97"/>
  <c r="S188"/>
  <c r="U144"/>
  <c r="U233"/>
  <c r="U140"/>
  <c r="U82" s="1"/>
  <c r="U145"/>
  <c r="K86"/>
  <c r="T53" i="37"/>
  <c r="T54" s="1"/>
  <c r="S96" i="40"/>
  <c r="S94"/>
  <c r="H83"/>
  <c r="S234"/>
  <c r="S23" i="38" s="1"/>
  <c r="V66" i="40"/>
  <c r="I98"/>
  <c r="I22" i="38" s="1"/>
  <c r="J98" i="40"/>
  <c r="J22" i="38" s="1"/>
  <c r="I60" i="40"/>
  <c r="I66" s="1"/>
  <c r="I92" s="1"/>
  <c r="U21" i="38"/>
  <c r="K72" i="40"/>
  <c r="K73" s="1"/>
  <c r="K101" s="1"/>
  <c r="V66" i="37"/>
  <c r="V69" s="1"/>
  <c r="V72" s="1"/>
  <c r="V73" s="1"/>
  <c r="H67" i="25"/>
  <c r="H68" s="1"/>
  <c r="H53" i="37"/>
  <c r="H54" s="1"/>
  <c r="G95" i="40"/>
  <c r="T83"/>
  <c r="G94"/>
  <c r="G163" s="1"/>
  <c r="H163"/>
  <c r="H199"/>
  <c r="H21" i="38"/>
  <c r="G97" i="40"/>
  <c r="G96"/>
  <c r="W91"/>
  <c r="W85" s="1"/>
  <c r="W86"/>
  <c r="J69"/>
  <c r="J143" s="1"/>
  <c r="J29" i="38" s="1"/>
  <c r="J86" i="40"/>
  <c r="J91"/>
  <c r="J85" s="1"/>
  <c r="X143"/>
  <c r="X29" i="38" s="1"/>
  <c r="AC191" i="40"/>
  <c r="AC202" s="1"/>
  <c r="AD191"/>
  <c r="AD202" s="1"/>
  <c r="AA191"/>
  <c r="AA202" s="1"/>
  <c r="AB191"/>
  <c r="AB202" s="1"/>
  <c r="Y191"/>
  <c r="Y202" s="1"/>
  <c r="Z191"/>
  <c r="Z202" s="1"/>
  <c r="W191"/>
  <c r="W202" s="1"/>
  <c r="X191"/>
  <c r="X202" s="1"/>
  <c r="U191"/>
  <c r="U202" s="1"/>
  <c r="V191"/>
  <c r="V202" s="1"/>
  <c r="T191"/>
  <c r="T202" s="1"/>
  <c r="S121" i="37"/>
  <c r="J61" i="40"/>
  <c r="T209"/>
  <c r="T38" i="38" s="1"/>
  <c r="S58" i="37"/>
  <c r="S60" i="25"/>
  <c r="S61" s="1"/>
  <c r="W69" i="40"/>
  <c r="T67" i="25"/>
  <c r="T68" s="1"/>
  <c r="I71"/>
  <c r="I74" s="1"/>
  <c r="I77" s="1"/>
  <c r="I78" s="1"/>
  <c r="H39" i="37"/>
  <c r="T193" i="40"/>
  <c r="S10"/>
  <c r="S232" s="1"/>
  <c r="S10" i="38" s="1"/>
  <c r="S58" i="40"/>
  <c r="S26" i="38" s="1"/>
  <c r="H53" i="40"/>
  <c r="H54" s="1"/>
  <c r="H99" s="1"/>
  <c r="S115" i="37"/>
  <c r="S185" i="40"/>
  <c r="S200" s="1"/>
  <c r="S81" s="1"/>
  <c r="G114" i="37"/>
  <c r="S101"/>
  <c r="S102" s="1"/>
  <c r="I140" i="40"/>
  <c r="I82" s="1"/>
  <c r="G189"/>
  <c r="G185"/>
  <c r="G34" i="38" s="1"/>
  <c r="G187" i="40"/>
  <c r="G184"/>
  <c r="AN141"/>
  <c r="AN128"/>
  <c r="S108" i="37"/>
  <c r="F125" i="25"/>
  <c r="S114" i="37"/>
  <c r="S36" i="25"/>
  <c r="S43" s="1"/>
  <c r="S44" s="1"/>
  <c r="S25" i="40"/>
  <c r="S98" s="1"/>
  <c r="S25" i="37"/>
  <c r="S32" s="1"/>
  <c r="T232" i="40"/>
  <c r="T10" i="38" s="1"/>
  <c r="T21" i="40"/>
  <c r="T233" s="1"/>
  <c r="U54"/>
  <c r="U99" s="1"/>
  <c r="U60"/>
  <c r="AL95"/>
  <c r="K68" i="17" s="1"/>
  <c r="K71" s="1"/>
  <c r="AL93" i="40"/>
  <c r="AL84" s="1"/>
  <c r="AL98"/>
  <c r="G48"/>
  <c r="G49" s="1"/>
  <c r="G93"/>
  <c r="G84" s="1"/>
  <c r="AM119"/>
  <c r="AM45"/>
  <c r="AM142"/>
  <c r="K100" i="17"/>
  <c r="S122" i="37"/>
  <c r="T199" i="40"/>
  <c r="T163"/>
  <c r="T21" i="38"/>
  <c r="H78" i="40"/>
  <c r="H197"/>
  <c r="G18"/>
  <c r="G207"/>
  <c r="G206"/>
  <c r="F56" i="38"/>
  <c r="F159" i="40"/>
  <c r="G79"/>
  <c r="G158"/>
  <c r="S116" i="37"/>
  <c r="S100"/>
  <c r="S178" i="40"/>
  <c r="S179" s="1"/>
  <c r="S183"/>
  <c r="S207"/>
  <c r="S206"/>
  <c r="S18"/>
  <c r="S147"/>
  <c r="S37"/>
  <c r="S37" i="37"/>
  <c r="AJ85" i="40"/>
  <c r="AP91"/>
  <c r="AP85" s="1"/>
  <c r="AJ72"/>
  <c r="AJ71"/>
  <c r="AJ143" s="1"/>
  <c r="AP143" s="1"/>
  <c r="I233"/>
  <c r="I77"/>
  <c r="I141"/>
  <c r="I145"/>
  <c r="T21" i="37"/>
  <c r="T120"/>
  <c r="H232" i="40"/>
  <c r="H10" i="38" s="1"/>
  <c r="H21" i="40"/>
  <c r="H233" s="1"/>
  <c r="AM66"/>
  <c r="AM63"/>
  <c r="AM64" s="1"/>
  <c r="AM100" s="1"/>
  <c r="AM61"/>
  <c r="T25" i="37"/>
  <c r="T25" i="40"/>
  <c r="T36" i="25"/>
  <c r="T43" s="1"/>
  <c r="T44" s="1"/>
  <c r="G204" i="40"/>
  <c r="G36" i="38" s="1"/>
  <c r="G177" i="40"/>
  <c r="G235"/>
  <c r="G24" i="38" s="1"/>
  <c r="G122" i="37"/>
  <c r="S227" i="40"/>
  <c r="AE70" i="25"/>
  <c r="AE73"/>
  <c r="AE93"/>
  <c r="AE7"/>
  <c r="AE119"/>
  <c r="AE30"/>
  <c r="AE86"/>
  <c r="AE9"/>
  <c r="AE51"/>
  <c r="AE32"/>
  <c r="AE115"/>
  <c r="AE214" i="40" s="1"/>
  <c r="AE85" i="25"/>
  <c r="AE128"/>
  <c r="AE23"/>
  <c r="AE54"/>
  <c r="AE94"/>
  <c r="AE130"/>
  <c r="AE131"/>
  <c r="AE53"/>
  <c r="AE21"/>
  <c r="S6" i="40"/>
  <c r="AE64" i="25"/>
  <c r="AE34"/>
  <c r="S6" i="37"/>
  <c r="AE135" i="25"/>
  <c r="AE118"/>
  <c r="AE24"/>
  <c r="AE59"/>
  <c r="AE52"/>
  <c r="AE91"/>
  <c r="AE87"/>
  <c r="AE76"/>
  <c r="AE136"/>
  <c r="AE40"/>
  <c r="AE92"/>
  <c r="AE39"/>
  <c r="AE137"/>
  <c r="AE19"/>
  <c r="AE28"/>
  <c r="AE63"/>
  <c r="F6"/>
  <c r="AF63" s="1"/>
  <c r="AE120"/>
  <c r="AE219" i="40" s="1"/>
  <c r="AE58" i="38" s="1"/>
  <c r="AE117" i="25"/>
  <c r="AE216" i="40" s="1"/>
  <c r="AE55" i="38" s="1"/>
  <c r="AE8" i="25"/>
  <c r="AE89"/>
  <c r="AE138"/>
  <c r="AE22"/>
  <c r="AE126"/>
  <c r="AE129"/>
  <c r="AE127"/>
  <c r="AE35"/>
  <c r="AE20"/>
  <c r="AE58"/>
  <c r="AE10"/>
  <c r="AE88"/>
  <c r="AE90"/>
  <c r="AE43"/>
  <c r="AE116"/>
  <c r="AE215" i="40" s="1"/>
  <c r="AE54" i="38" s="1"/>
  <c r="AE33" i="25"/>
  <c r="G27" i="40"/>
  <c r="G27" i="37"/>
  <c r="F172" i="40"/>
  <c r="F95" i="37"/>
  <c r="F97"/>
  <c r="F174" i="40"/>
  <c r="F90" i="37"/>
  <c r="F96" i="25"/>
  <c r="F97" s="1"/>
  <c r="F167" i="40"/>
  <c r="F171"/>
  <c r="F94" i="37"/>
  <c r="F175" i="40"/>
  <c r="F98" i="37"/>
  <c r="F95" i="25"/>
  <c r="F56" i="37"/>
  <c r="F65" i="25"/>
  <c r="F56" i="40"/>
  <c r="F51" i="37"/>
  <c r="F51" i="40"/>
  <c r="F45" i="37"/>
  <c r="F45" i="40"/>
  <c r="F57" i="37"/>
  <c r="F57" i="40"/>
  <c r="F68"/>
  <c r="F28" i="38" s="1"/>
  <c r="F68" i="37"/>
  <c r="F26"/>
  <c r="F26" i="40"/>
  <c r="F15" i="37"/>
  <c r="S113" s="1"/>
  <c r="S16" s="1"/>
  <c r="F15" i="40"/>
  <c r="R97" s="1"/>
  <c r="F20" i="37"/>
  <c r="F20" i="40"/>
  <c r="F12" i="38" s="1"/>
  <c r="F29" i="40"/>
  <c r="F29" i="37"/>
  <c r="F13"/>
  <c r="F13" i="40"/>
  <c r="F17" i="37"/>
  <c r="F17" i="40"/>
  <c r="F18" i="25"/>
  <c r="F25" s="1"/>
  <c r="F11" i="40"/>
  <c r="F11" i="37"/>
  <c r="AL69" i="40"/>
  <c r="AL91"/>
  <c r="AL85" s="1"/>
  <c r="AK72"/>
  <c r="AK73" s="1"/>
  <c r="AK101" s="1"/>
  <c r="AK71"/>
  <c r="AK143" s="1"/>
  <c r="AK85"/>
  <c r="S148"/>
  <c r="S13" i="38" s="1"/>
  <c r="G58" i="40"/>
  <c r="AN233"/>
  <c r="G186"/>
  <c r="G115" i="37"/>
  <c r="G188" i="40"/>
  <c r="G112" i="37"/>
  <c r="S189" i="40"/>
  <c r="H21" i="37"/>
  <c r="H120"/>
  <c r="U54"/>
  <c r="U60"/>
  <c r="T200" i="40"/>
  <c r="T81" s="1"/>
  <c r="T34" i="38"/>
  <c r="H200" i="40"/>
  <c r="H81" s="1"/>
  <c r="H34" i="38"/>
  <c r="J66" i="37"/>
  <c r="J69" s="1"/>
  <c r="J61"/>
  <c r="H26" i="38"/>
  <c r="AL120" i="40"/>
  <c r="AM116"/>
  <c r="AM118" s="1"/>
  <c r="G192"/>
  <c r="G205"/>
  <c r="G37" i="38" s="1"/>
  <c r="AN203" i="40"/>
  <c r="AN190"/>
  <c r="AN201" s="1"/>
  <c r="L39" i="17"/>
  <c r="AN200" i="40"/>
  <c r="AN81" s="1"/>
  <c r="AN77"/>
  <c r="AP21"/>
  <c r="AP77" s="1"/>
  <c r="AN25"/>
  <c r="AN145"/>
  <c r="S79"/>
  <c r="S158"/>
  <c r="S235"/>
  <c r="S24" i="38" s="1"/>
  <c r="AK84" i="40"/>
  <c r="T198"/>
  <c r="T16"/>
  <c r="T11" i="38"/>
  <c r="T197" i="40"/>
  <c r="T78"/>
  <c r="H146"/>
  <c r="G16" i="38"/>
  <c r="G14"/>
  <c r="G153" i="40"/>
  <c r="G224"/>
  <c r="G226"/>
  <c r="G155"/>
  <c r="G18" i="37"/>
  <c r="G119"/>
  <c r="G25" i="40"/>
  <c r="H98" s="1"/>
  <c r="G25" i="37"/>
  <c r="G32" s="1"/>
  <c r="C22" i="41"/>
  <c r="F218" i="40"/>
  <c r="F160"/>
  <c r="F80" s="1"/>
  <c r="F53" i="38"/>
  <c r="AN60" i="40"/>
  <c r="AN54"/>
  <c r="AN99" s="1"/>
  <c r="AP53"/>
  <c r="S204"/>
  <c r="S36" i="38" s="1"/>
  <c r="S177" i="40"/>
  <c r="S193" s="1"/>
  <c r="S203"/>
  <c r="S35" i="38" s="1"/>
  <c r="S190" i="40"/>
  <c r="S201" s="1"/>
  <c r="S205"/>
  <c r="S37" i="38" s="1"/>
  <c r="S192" i="40"/>
  <c r="S27"/>
  <c r="S27" i="37"/>
  <c r="S119"/>
  <c r="S18"/>
  <c r="G100"/>
  <c r="G116"/>
  <c r="G190" i="40"/>
  <c r="G201" s="1"/>
  <c r="G203"/>
  <c r="G35" i="38" s="1"/>
  <c r="G178" i="40"/>
  <c r="G179" s="1"/>
  <c r="G183"/>
  <c r="AP177"/>
  <c r="AN193"/>
  <c r="AN192"/>
  <c r="AN205"/>
  <c r="AP205" s="1"/>
  <c r="AP176"/>
  <c r="S208"/>
  <c r="S48"/>
  <c r="S49" s="1"/>
  <c r="S93"/>
  <c r="S84" s="1"/>
  <c r="S48" i="37"/>
  <c r="S49" s="1"/>
  <c r="S107"/>
  <c r="G6" i="40"/>
  <c r="G6" i="37"/>
  <c r="G37" i="40"/>
  <c r="G37" i="37"/>
  <c r="G147" i="40"/>
  <c r="G148"/>
  <c r="G13" i="38" s="1"/>
  <c r="F168" i="40"/>
  <c r="F91" i="37"/>
  <c r="F93"/>
  <c r="F170" i="40"/>
  <c r="F99" i="37"/>
  <c r="F117" s="1"/>
  <c r="F176" i="40"/>
  <c r="F92" i="37"/>
  <c r="F169" i="40"/>
  <c r="F96" i="37"/>
  <c r="F173" i="40"/>
  <c r="F52"/>
  <c r="F52" i="37"/>
  <c r="F55" i="25"/>
  <c r="F56" s="1"/>
  <c r="F44" i="37"/>
  <c r="F44" i="40"/>
  <c r="F47"/>
  <c r="F47" i="37"/>
  <c r="F46"/>
  <c r="F46" i="40"/>
  <c r="F71" i="37"/>
  <c r="F71" i="40"/>
  <c r="F63" i="37"/>
  <c r="F64" s="1"/>
  <c r="F110" s="1"/>
  <c r="F63" i="40"/>
  <c r="F64" s="1"/>
  <c r="F100" s="1"/>
  <c r="F27" i="38" s="1"/>
  <c r="F35" i="40"/>
  <c r="F41" i="25"/>
  <c r="F35" i="37"/>
  <c r="F28" i="40"/>
  <c r="F28" i="37"/>
  <c r="F31" i="40"/>
  <c r="F31" i="37"/>
  <c r="F24" i="40"/>
  <c r="F24" i="37"/>
  <c r="F12"/>
  <c r="F12" i="40"/>
  <c r="F30"/>
  <c r="F15" i="38" s="1"/>
  <c r="F30" i="37"/>
  <c r="F36"/>
  <c r="F36" i="40"/>
  <c r="S161"/>
  <c r="S155"/>
  <c r="S224"/>
  <c r="S153"/>
  <c r="S226"/>
  <c r="AD193"/>
  <c r="AC193"/>
  <c r="AB193"/>
  <c r="AA193"/>
  <c r="Z193"/>
  <c r="AK155"/>
  <c r="Y193"/>
  <c r="X193"/>
  <c r="W193"/>
  <c r="V193"/>
  <c r="S112" i="37"/>
  <c r="S16" i="38"/>
  <c r="S14"/>
  <c r="I142" i="40"/>
  <c r="I146"/>
  <c r="I32"/>
  <c r="I39" s="1"/>
  <c r="I60" i="37"/>
  <c r="G48"/>
  <c r="G49" s="1"/>
  <c r="G58"/>
  <c r="T118"/>
  <c r="G101"/>
  <c r="G102" s="1"/>
  <c r="G60" i="25"/>
  <c r="G61" s="1"/>
  <c r="G208" i="40"/>
  <c r="T53"/>
  <c r="H32"/>
  <c r="H39" s="1"/>
  <c r="G10"/>
  <c r="G10" i="37"/>
  <c r="G36" i="25"/>
  <c r="G43" s="1"/>
  <c r="G44" s="1"/>
  <c r="F128"/>
  <c r="G161" i="40"/>
  <c r="S10" i="37"/>
  <c r="S120" s="1"/>
  <c r="V92" i="40" l="1"/>
  <c r="V86" s="1"/>
  <c r="T60" i="37"/>
  <c r="T66" s="1"/>
  <c r="T69" s="1"/>
  <c r="V111"/>
  <c r="I61" i="40"/>
  <c r="H71" i="25"/>
  <c r="H74" s="1"/>
  <c r="H77" s="1"/>
  <c r="H78" s="1"/>
  <c r="V69" i="40"/>
  <c r="V143" s="1"/>
  <c r="V29" i="38" s="1"/>
  <c r="H60" i="37"/>
  <c r="V91" i="40"/>
  <c r="V85" s="1"/>
  <c r="U98"/>
  <c r="U22" i="38" s="1"/>
  <c r="T98" i="40"/>
  <c r="T22" i="38" s="1"/>
  <c r="T25"/>
  <c r="S32" i="40"/>
  <c r="S39" s="1"/>
  <c r="G32"/>
  <c r="G39" s="1"/>
  <c r="H22" i="38"/>
  <c r="F97" i="40"/>
  <c r="F25" i="38" s="1"/>
  <c r="G199" i="40"/>
  <c r="F96"/>
  <c r="G21" i="38"/>
  <c r="F94" i="40"/>
  <c r="F163" s="1"/>
  <c r="S163"/>
  <c r="G83"/>
  <c r="G25" i="38"/>
  <c r="J72" i="40"/>
  <c r="J73" s="1"/>
  <c r="J101" s="1"/>
  <c r="F95"/>
  <c r="F26" i="14"/>
  <c r="E26" s="1"/>
  <c r="R83" i="40"/>
  <c r="F70" i="17"/>
  <c r="R25" i="38"/>
  <c r="R95" i="40"/>
  <c r="F68" i="17" s="1"/>
  <c r="R96" i="40"/>
  <c r="F69" i="17" s="1"/>
  <c r="S154" i="40"/>
  <c r="S11" i="38" s="1"/>
  <c r="I69" i="40"/>
  <c r="I143" s="1"/>
  <c r="I29" i="38" s="1"/>
  <c r="I91" i="40"/>
  <c r="I85" s="1"/>
  <c r="I86"/>
  <c r="G200"/>
  <c r="G81" s="1"/>
  <c r="T71" i="25"/>
  <c r="T74" s="1"/>
  <c r="T77" s="1"/>
  <c r="T78" s="1"/>
  <c r="S67"/>
  <c r="S71" s="1"/>
  <c r="S74" s="1"/>
  <c r="S77" s="1"/>
  <c r="S78" s="1"/>
  <c r="F112" i="37"/>
  <c r="F114"/>
  <c r="S34" i="38"/>
  <c r="F184" i="40"/>
  <c r="H60"/>
  <c r="H66" s="1"/>
  <c r="H92" s="1"/>
  <c r="G53"/>
  <c r="G54" s="1"/>
  <c r="G99" s="1"/>
  <c r="S21"/>
  <c r="S140" s="1"/>
  <c r="S82" s="1"/>
  <c r="W143"/>
  <c r="W29" i="38" s="1"/>
  <c r="W72" i="40"/>
  <c r="W73" s="1"/>
  <c r="W101" s="1"/>
  <c r="H140"/>
  <c r="H82" s="1"/>
  <c r="AF93" i="25"/>
  <c r="AF175" i="40" s="1"/>
  <c r="S22" i="38"/>
  <c r="S39" i="37"/>
  <c r="S109"/>
  <c r="H142" i="40"/>
  <c r="AF70" i="25"/>
  <c r="AF63" i="40" s="1"/>
  <c r="AF64" s="1"/>
  <c r="AF100" s="1"/>
  <c r="AF27" i="38" s="1"/>
  <c r="H193" i="40"/>
  <c r="F208"/>
  <c r="F189"/>
  <c r="F185"/>
  <c r="F34" i="38" s="1"/>
  <c r="F186" i="40"/>
  <c r="G67" i="25"/>
  <c r="G71" s="1"/>
  <c r="G74" s="1"/>
  <c r="G77" s="1"/>
  <c r="G78" s="1"/>
  <c r="AF76"/>
  <c r="AF71" i="37" s="1"/>
  <c r="T140" i="40"/>
  <c r="T82" s="1"/>
  <c r="F58"/>
  <c r="F26" i="38" s="1"/>
  <c r="AF73" i="25"/>
  <c r="AF68" i="37" s="1"/>
  <c r="T144" i="40"/>
  <c r="G232"/>
  <c r="G10" i="38" s="1"/>
  <c r="G21" i="40"/>
  <c r="G144" s="1"/>
  <c r="G21" i="37"/>
  <c r="G120"/>
  <c r="T54" i="40"/>
  <c r="T99" s="1"/>
  <c r="T60"/>
  <c r="I66" i="37"/>
  <c r="I69" s="1"/>
  <c r="I61"/>
  <c r="F29" i="25"/>
  <c r="F27" i="40"/>
  <c r="F27" i="37"/>
  <c r="F37" i="40"/>
  <c r="F37" i="37"/>
  <c r="F147" i="40"/>
  <c r="F93"/>
  <c r="F84" s="1"/>
  <c r="F48"/>
  <c r="F49" s="1"/>
  <c r="AN63"/>
  <c r="AP60"/>
  <c r="AN61"/>
  <c r="AN66"/>
  <c r="G146"/>
  <c r="J72" i="37"/>
  <c r="J73" s="1"/>
  <c r="J111"/>
  <c r="AL71" i="40"/>
  <c r="AL143" s="1"/>
  <c r="AL72"/>
  <c r="AL73" s="1"/>
  <c r="AL101" s="1"/>
  <c r="F18"/>
  <c r="F207"/>
  <c r="F206"/>
  <c r="F153"/>
  <c r="F224"/>
  <c r="F161"/>
  <c r="F226"/>
  <c r="F155"/>
  <c r="Q191"/>
  <c r="Q202" s="1"/>
  <c r="P191"/>
  <c r="P202" s="1"/>
  <c r="Q193"/>
  <c r="O191"/>
  <c r="O202" s="1"/>
  <c r="P193"/>
  <c r="N191"/>
  <c r="N202" s="1"/>
  <c r="O193"/>
  <c r="M191"/>
  <c r="M202" s="1"/>
  <c r="N193"/>
  <c r="L191"/>
  <c r="L202" s="1"/>
  <c r="M193"/>
  <c r="K191"/>
  <c r="K202" s="1"/>
  <c r="L193"/>
  <c r="J191"/>
  <c r="J202" s="1"/>
  <c r="K193"/>
  <c r="I191"/>
  <c r="I202" s="1"/>
  <c r="J193"/>
  <c r="H191"/>
  <c r="H202" s="1"/>
  <c r="I193"/>
  <c r="F122" i="37"/>
  <c r="F177" i="40"/>
  <c r="F193" s="1"/>
  <c r="F204"/>
  <c r="F36" i="38" s="1"/>
  <c r="F191" i="40"/>
  <c r="F202" s="1"/>
  <c r="F203"/>
  <c r="F35" i="38" s="1"/>
  <c r="F190" i="40"/>
  <c r="F201" s="1"/>
  <c r="AE29" i="37"/>
  <c r="AE29" i="40"/>
  <c r="AF88" i="25"/>
  <c r="AE170" i="40"/>
  <c r="AE93" i="37"/>
  <c r="AE51" i="40"/>
  <c r="AE51" i="37"/>
  <c r="AE31" i="40"/>
  <c r="AE14" i="38" s="1"/>
  <c r="AE31" i="37"/>
  <c r="B109" i="29"/>
  <c r="B76"/>
  <c r="C59"/>
  <c r="B95"/>
  <c r="F165"/>
  <c r="F169" s="1"/>
  <c r="AE162" i="40" s="1"/>
  <c r="AF162" s="1"/>
  <c r="G41" i="29"/>
  <c r="AE15" i="37"/>
  <c r="AE15" i="40"/>
  <c r="B124" i="29"/>
  <c r="AE94" i="37"/>
  <c r="AE171" i="40"/>
  <c r="AF89" i="25"/>
  <c r="AF58"/>
  <c r="F6" i="37"/>
  <c r="F6" i="40"/>
  <c r="AE24"/>
  <c r="AE24" i="37"/>
  <c r="AE97"/>
  <c r="AF92" i="25"/>
  <c r="AE174" i="40"/>
  <c r="F95" i="29"/>
  <c r="F124"/>
  <c r="AE92" i="37"/>
  <c r="AE114" s="1"/>
  <c r="AF114" s="1"/>
  <c r="AF87" i="25"/>
  <c r="F109" i="29"/>
  <c r="G59"/>
  <c r="AE169" i="40"/>
  <c r="F76" i="29"/>
  <c r="AE45" i="37"/>
  <c r="AE45" i="40"/>
  <c r="AE20"/>
  <c r="AE12" i="38" s="1"/>
  <c r="AE20" i="37"/>
  <c r="AE30" i="40"/>
  <c r="AE15" i="38" s="1"/>
  <c r="AE30" i="37"/>
  <c r="AE94" i="40"/>
  <c r="AE208"/>
  <c r="AE95"/>
  <c r="G68" i="17" s="1"/>
  <c r="AE96" i="40"/>
  <c r="G69" i="17" s="1"/>
  <c r="AE234" i="40"/>
  <c r="AE23" i="38" s="1"/>
  <c r="AE155" i="40"/>
  <c r="AE209"/>
  <c r="AE98"/>
  <c r="AE22" i="38" s="1"/>
  <c r="AE154" i="40"/>
  <c r="AE97"/>
  <c r="AE92"/>
  <c r="AE86" s="1"/>
  <c r="AE91"/>
  <c r="AE85" s="1"/>
  <c r="AE227"/>
  <c r="AE158"/>
  <c r="AE157"/>
  <c r="AE46" i="37"/>
  <c r="AE46" i="40"/>
  <c r="AE47"/>
  <c r="AE47" i="37"/>
  <c r="AE160" i="40"/>
  <c r="AE53" i="38"/>
  <c r="AE44" i="37"/>
  <c r="AE44" i="40"/>
  <c r="AE55" i="25"/>
  <c r="AE56" s="1"/>
  <c r="AE91" i="37"/>
  <c r="AF86" i="25"/>
  <c r="AE168" i="40"/>
  <c r="F41" i="29"/>
  <c r="AE218" i="40"/>
  <c r="AE95" i="25"/>
  <c r="AE98" i="37"/>
  <c r="AE175" i="40"/>
  <c r="AE63"/>
  <c r="AE64" s="1"/>
  <c r="AE100" s="1"/>
  <c r="AE27" i="38" s="1"/>
  <c r="AE63" i="37"/>
  <c r="AE64" s="1"/>
  <c r="AE110" s="1"/>
  <c r="T32"/>
  <c r="T39" s="1"/>
  <c r="T109"/>
  <c r="AJ37" i="40"/>
  <c r="AJ36"/>
  <c r="AJ73"/>
  <c r="AM120"/>
  <c r="AN116"/>
  <c r="AN118" s="1"/>
  <c r="U61"/>
  <c r="U66"/>
  <c r="U92" s="1"/>
  <c r="S209"/>
  <c r="S38" i="38" s="1"/>
  <c r="S21" i="37"/>
  <c r="S53" i="40"/>
  <c r="F10"/>
  <c r="F60" i="25"/>
  <c r="F61" s="1"/>
  <c r="F187" i="40"/>
  <c r="AF52" i="25"/>
  <c r="AF51"/>
  <c r="AF64"/>
  <c r="AF59"/>
  <c r="G53" i="37"/>
  <c r="G54" s="1"/>
  <c r="G193" i="40"/>
  <c r="S197"/>
  <c r="S78"/>
  <c r="F148"/>
  <c r="F13" i="38" s="1"/>
  <c r="F14"/>
  <c r="F16"/>
  <c r="F192" i="40"/>
  <c r="F205"/>
  <c r="F37" i="38" s="1"/>
  <c r="S199" i="40"/>
  <c r="F223"/>
  <c r="F57" i="38"/>
  <c r="F156" i="40"/>
  <c r="F225"/>
  <c r="G197"/>
  <c r="G78"/>
  <c r="AN142"/>
  <c r="AN119"/>
  <c r="AN45"/>
  <c r="L100" i="17"/>
  <c r="AP25" i="40"/>
  <c r="U66" i="37"/>
  <c r="U69" s="1"/>
  <c r="U61"/>
  <c r="G26" i="38"/>
  <c r="F119" i="37"/>
  <c r="F18"/>
  <c r="F235" i="40"/>
  <c r="F24" i="38" s="1"/>
  <c r="F116" i="37"/>
  <c r="F100"/>
  <c r="F178" i="40"/>
  <c r="F179" s="1"/>
  <c r="F183"/>
  <c r="AF56"/>
  <c r="AF56" i="37"/>
  <c r="AF65" i="25"/>
  <c r="AE172" i="40"/>
  <c r="AF90" i="25"/>
  <c r="AE95" i="37"/>
  <c r="AE12" i="40"/>
  <c r="AE12" i="37"/>
  <c r="AH8" i="25"/>
  <c r="C223" i="17"/>
  <c r="C224" s="1"/>
  <c r="B51" i="32"/>
  <c r="AE65" i="25"/>
  <c r="AE56" i="40"/>
  <c r="AE56" i="37"/>
  <c r="AE11" i="40"/>
  <c r="AE11" i="37"/>
  <c r="AE18" i="25"/>
  <c r="AE25" s="1"/>
  <c r="C50" i="42" s="1"/>
  <c r="AE35" i="37"/>
  <c r="AE41" i="25"/>
  <c r="AE35" i="40"/>
  <c r="AE36" i="37"/>
  <c r="AE36" i="40"/>
  <c r="AE71"/>
  <c r="AE71" i="37"/>
  <c r="AF91" i="25"/>
  <c r="AE96" i="37"/>
  <c r="AE173" i="40"/>
  <c r="AE52"/>
  <c r="AE52" i="37"/>
  <c r="D109" i="29"/>
  <c r="E59"/>
  <c r="D95"/>
  <c r="D124"/>
  <c r="AE217" i="40"/>
  <c r="D76" i="29"/>
  <c r="AE109" i="37"/>
  <c r="AE113"/>
  <c r="AE108"/>
  <c r="AE121"/>
  <c r="AE107"/>
  <c r="AE118"/>
  <c r="AE57" i="40"/>
  <c r="AE57" i="37"/>
  <c r="AE13"/>
  <c r="AE13" i="40"/>
  <c r="AE99" i="37"/>
  <c r="AE176" i="40"/>
  <c r="AE17"/>
  <c r="AE17" i="37"/>
  <c r="AE167" i="40"/>
  <c r="AE96" i="25"/>
  <c r="AE97" s="1"/>
  <c r="AE90" i="37"/>
  <c r="AF85" i="25"/>
  <c r="AE28" i="40"/>
  <c r="AE28" i="37"/>
  <c r="AE26"/>
  <c r="AE26" i="40"/>
  <c r="AE7" i="37"/>
  <c r="L8" i="29"/>
  <c r="B9" i="44"/>
  <c r="C9" s="1"/>
  <c r="D9" s="1"/>
  <c r="E9" s="1"/>
  <c r="F9" s="1"/>
  <c r="G9" s="1"/>
  <c r="H9" s="1"/>
  <c r="I9" s="1"/>
  <c r="J9" s="1"/>
  <c r="K9" s="1"/>
  <c r="L9" s="1"/>
  <c r="M9" s="1"/>
  <c r="N9" s="1"/>
  <c r="O9" s="1"/>
  <c r="P9" s="1"/>
  <c r="Q9" s="1"/>
  <c r="R9" s="1"/>
  <c r="S9" s="1"/>
  <c r="T9" s="1"/>
  <c r="U9" s="1"/>
  <c r="V9" s="1"/>
  <c r="W9" s="1"/>
  <c r="A51" i="32"/>
  <c r="AE134" i="25"/>
  <c r="AE7" i="40"/>
  <c r="AE9" i="38"/>
  <c r="AE52" s="1"/>
  <c r="AE14" i="25"/>
  <c r="AE124"/>
  <c r="AE114"/>
  <c r="A7" i="41"/>
  <c r="F8" i="29"/>
  <c r="J45" s="1"/>
  <c r="F164"/>
  <c r="AE48" i="25"/>
  <c r="AF48" s="1"/>
  <c r="AE83"/>
  <c r="AF83" s="1"/>
  <c r="A52" i="29"/>
  <c r="AE68" i="37"/>
  <c r="AE68" i="40"/>
  <c r="AE28" i="38" s="1"/>
  <c r="S25"/>
  <c r="S83" i="40"/>
  <c r="T146"/>
  <c r="T142"/>
  <c r="T32"/>
  <c r="T39" s="1"/>
  <c r="AM69"/>
  <c r="AM91"/>
  <c r="AM85" s="1"/>
  <c r="H144"/>
  <c r="H77"/>
  <c r="H145"/>
  <c r="H141"/>
  <c r="AM95"/>
  <c r="L68" i="17" s="1"/>
  <c r="L71" s="1"/>
  <c r="AM93" i="40"/>
  <c r="AM84" s="1"/>
  <c r="AM98"/>
  <c r="T77"/>
  <c r="T145"/>
  <c r="T141"/>
  <c r="S146"/>
  <c r="F48" i="37"/>
  <c r="F49" s="1"/>
  <c r="G39"/>
  <c r="S118"/>
  <c r="F10"/>
  <c r="F58"/>
  <c r="F101"/>
  <c r="F102" s="1"/>
  <c r="F115"/>
  <c r="F188" i="40"/>
  <c r="AE125" i="25"/>
  <c r="AF53"/>
  <c r="AF54"/>
  <c r="AF94"/>
  <c r="G191" i="40"/>
  <c r="G202" s="1"/>
  <c r="S53" i="37"/>
  <c r="T61" l="1"/>
  <c r="AE112"/>
  <c r="AF112" s="1"/>
  <c r="V72" i="40"/>
  <c r="V73" s="1"/>
  <c r="V101" s="1"/>
  <c r="AE191"/>
  <c r="AE202" s="1"/>
  <c r="AE36" i="38" s="1"/>
  <c r="H61" i="37"/>
  <c r="H66"/>
  <c r="H69" s="1"/>
  <c r="F83" i="40"/>
  <c r="S21" i="38"/>
  <c r="F199" i="40"/>
  <c r="I72"/>
  <c r="I73" s="1"/>
  <c r="I101" s="1"/>
  <c r="AF98" i="37"/>
  <c r="AF116" s="1"/>
  <c r="F21" i="38"/>
  <c r="S16" i="40"/>
  <c r="R21" i="38"/>
  <c r="R199" i="40"/>
  <c r="R163"/>
  <c r="F67" i="17"/>
  <c r="F71" s="1"/>
  <c r="S198" i="40"/>
  <c r="H61"/>
  <c r="U91"/>
  <c r="U85" s="1"/>
  <c r="U86"/>
  <c r="AF95" i="25"/>
  <c r="S142" i="40"/>
  <c r="H69"/>
  <c r="H72" s="1"/>
  <c r="H73" s="1"/>
  <c r="H101" s="1"/>
  <c r="H86"/>
  <c r="H91"/>
  <c r="H85" s="1"/>
  <c r="S68" i="25"/>
  <c r="G60" i="40"/>
  <c r="G66" s="1"/>
  <c r="G92" s="1"/>
  <c r="AF71"/>
  <c r="F200"/>
  <c r="F81" s="1"/>
  <c r="S145"/>
  <c r="S144"/>
  <c r="S77"/>
  <c r="S141"/>
  <c r="S233"/>
  <c r="AE188"/>
  <c r="AF188" s="1"/>
  <c r="AF63" i="37"/>
  <c r="AF64" s="1"/>
  <c r="AF110" s="1"/>
  <c r="G140" i="40"/>
  <c r="G82" s="1"/>
  <c r="AF68"/>
  <c r="AF28" i="38" s="1"/>
  <c r="AN120" i="40"/>
  <c r="G142"/>
  <c r="AE189"/>
  <c r="AF189" s="1"/>
  <c r="F53"/>
  <c r="AE184"/>
  <c r="AF184" s="1"/>
  <c r="AE185"/>
  <c r="AE200" s="1"/>
  <c r="G68" i="25"/>
  <c r="AE187" i="40"/>
  <c r="AF187" s="1"/>
  <c r="AE101" i="37"/>
  <c r="AE102" s="1"/>
  <c r="AE117"/>
  <c r="F67" i="25"/>
  <c r="F71" s="1"/>
  <c r="F74" s="1"/>
  <c r="F77" s="1"/>
  <c r="F78" s="1"/>
  <c r="AE48" i="37"/>
  <c r="AE49" s="1"/>
  <c r="AE115"/>
  <c r="AF115" s="1"/>
  <c r="AF47" i="40"/>
  <c r="AF47" i="37"/>
  <c r="AF118" s="1"/>
  <c r="A63" i="29"/>
  <c r="A99"/>
  <c r="A113"/>
  <c r="A128"/>
  <c r="A80"/>
  <c r="G8" i="17"/>
  <c r="G128"/>
  <c r="G98"/>
  <c r="AF42" i="40"/>
  <c r="AE42"/>
  <c r="G37" i="17"/>
  <c r="AE29" i="25"/>
  <c r="AE27" i="40"/>
  <c r="AE27" i="37"/>
  <c r="AE183" i="40"/>
  <c r="AF183" s="1"/>
  <c r="AE178"/>
  <c r="AE179" s="1"/>
  <c r="AE206"/>
  <c r="AF206" s="1"/>
  <c r="AE207"/>
  <c r="AE18"/>
  <c r="AE56" i="38"/>
  <c r="AE159" i="40"/>
  <c r="AF159" s="1"/>
  <c r="G61"/>
  <c r="AN95"/>
  <c r="M68" i="17" s="1"/>
  <c r="M71" s="1"/>
  <c r="AN98" i="40"/>
  <c r="AN93"/>
  <c r="AN84" s="1"/>
  <c r="AP45"/>
  <c r="F79"/>
  <c r="F158"/>
  <c r="S157"/>
  <c r="AF57" i="37"/>
  <c r="AF57" i="40"/>
  <c r="AF58" s="1"/>
  <c r="AF45" i="37"/>
  <c r="AF109" s="1"/>
  <c r="AF45" i="40"/>
  <c r="S54"/>
  <c r="S99" s="1"/>
  <c r="S60"/>
  <c r="U69"/>
  <c r="AP73"/>
  <c r="AJ101"/>
  <c r="AP101" s="1"/>
  <c r="H101" i="17"/>
  <c r="AK37" i="40"/>
  <c r="AK92" s="1"/>
  <c r="AJ146"/>
  <c r="AP146" s="1"/>
  <c r="AJ92"/>
  <c r="AJ140"/>
  <c r="AJ39"/>
  <c r="AE100" i="37"/>
  <c r="AE116"/>
  <c r="AE223" i="40"/>
  <c r="AF223" s="1"/>
  <c r="AE156"/>
  <c r="AE57" i="38"/>
  <c r="AE225" i="40"/>
  <c r="AF225" s="1"/>
  <c r="AE93"/>
  <c r="AE84" s="1"/>
  <c r="AE48"/>
  <c r="AE49" s="1"/>
  <c r="G10" i="17"/>
  <c r="AF157" i="40"/>
  <c r="AF154"/>
  <c r="AE11" i="38"/>
  <c r="AE16" i="40"/>
  <c r="AE198"/>
  <c r="AE163"/>
  <c r="AE21" i="38"/>
  <c r="G67" i="17"/>
  <c r="AE199" i="40"/>
  <c r="AF174"/>
  <c r="AF97" i="37"/>
  <c r="AE148" i="40"/>
  <c r="G99" i="17"/>
  <c r="AF171" i="40"/>
  <c r="G131" i="17" s="1"/>
  <c r="AF94" i="37"/>
  <c r="AE224" i="40"/>
  <c r="AF224" s="1"/>
  <c r="AE153"/>
  <c r="G38" i="17"/>
  <c r="AE226" i="40"/>
  <c r="AF226" s="1"/>
  <c r="AE122" i="37"/>
  <c r="AE53"/>
  <c r="AE54" s="1"/>
  <c r="AE235" i="40"/>
  <c r="AE24" i="38" s="1"/>
  <c r="AF204" i="40"/>
  <c r="AF191"/>
  <c r="AF202" s="1"/>
  <c r="F78"/>
  <c r="F197"/>
  <c r="AN69"/>
  <c r="AN91"/>
  <c r="AN85" s="1"/>
  <c r="AP66"/>
  <c r="I72" i="37"/>
  <c r="I73" s="1"/>
  <c r="I111"/>
  <c r="T72"/>
  <c r="T73" s="1"/>
  <c r="T111"/>
  <c r="G77" i="40"/>
  <c r="G141"/>
  <c r="G145"/>
  <c r="AE10" i="37"/>
  <c r="AE58"/>
  <c r="AF58"/>
  <c r="AE186" i="40"/>
  <c r="AF186" s="1"/>
  <c r="S54" i="37"/>
  <c r="S60"/>
  <c r="AF99"/>
  <c r="AF117" s="1"/>
  <c r="AF176" i="40"/>
  <c r="AF46"/>
  <c r="AF234" s="1"/>
  <c r="AF23" i="38" s="1"/>
  <c r="AF46" i="37"/>
  <c r="AF121" s="1"/>
  <c r="F120"/>
  <c r="F21"/>
  <c r="AM72" i="40"/>
  <c r="AM73" s="1"/>
  <c r="AM101" s="1"/>
  <c r="AM71"/>
  <c r="AM143" s="1"/>
  <c r="A45" i="41"/>
  <c r="A7" i="44"/>
  <c r="A26" i="41"/>
  <c r="A33"/>
  <c r="AE42" i="37"/>
  <c r="AF42"/>
  <c r="AF167" i="40"/>
  <c r="AF90" i="37"/>
  <c r="AE119"/>
  <c r="AE18"/>
  <c r="AE192" i="40"/>
  <c r="AE205"/>
  <c r="AE37" i="38" s="1"/>
  <c r="AF113" i="37"/>
  <c r="AE16"/>
  <c r="AF173" i="40"/>
  <c r="G133" i="17" s="1"/>
  <c r="AF96" i="37"/>
  <c r="AE147" i="40"/>
  <c r="AF147" s="1"/>
  <c r="C34" i="42" s="1"/>
  <c r="AE37" i="40"/>
  <c r="C51" i="42"/>
  <c r="AE37" i="37"/>
  <c r="D50" i="42"/>
  <c r="D94" s="1"/>
  <c r="C94"/>
  <c r="AH9" i="25"/>
  <c r="AI8"/>
  <c r="AJ8" s="1"/>
  <c r="AF172" i="40"/>
  <c r="G132" i="17" s="1"/>
  <c r="AF95" i="37"/>
  <c r="U72"/>
  <c r="U73" s="1"/>
  <c r="U111"/>
  <c r="AF52"/>
  <c r="AF108" s="1"/>
  <c r="AF52" i="40"/>
  <c r="AF55" i="25"/>
  <c r="AF56" s="1"/>
  <c r="AF44" i="40"/>
  <c r="AF44" i="37"/>
  <c r="F232" i="40"/>
  <c r="F10" i="38" s="1"/>
  <c r="F21" i="40"/>
  <c r="F233" s="1"/>
  <c r="AK36"/>
  <c r="AL36" s="1"/>
  <c r="AM36" s="1"/>
  <c r="AN36" s="1"/>
  <c r="AP36" s="1"/>
  <c r="AE177"/>
  <c r="AE193" s="1"/>
  <c r="AE204"/>
  <c r="AF168"/>
  <c r="G129" i="17" s="1"/>
  <c r="AF91" i="37"/>
  <c r="AF160" i="40"/>
  <c r="AF80" s="1"/>
  <c r="AE80"/>
  <c r="G70" i="17"/>
  <c r="AE25" i="38"/>
  <c r="AE83" i="40"/>
  <c r="AF169"/>
  <c r="AF92" i="37"/>
  <c r="AE203" i="40"/>
  <c r="AE190"/>
  <c r="AF51"/>
  <c r="AF51" i="37"/>
  <c r="AF170" i="40"/>
  <c r="G130" i="17" s="1"/>
  <c r="AF93" i="37"/>
  <c r="AN64" i="40"/>
  <c r="AN100" s="1"/>
  <c r="AP63"/>
  <c r="F25" i="37"/>
  <c r="F32" s="1"/>
  <c r="F39" s="1"/>
  <c r="F25" i="40"/>
  <c r="F36" i="25"/>
  <c r="F43" s="1"/>
  <c r="F44" s="1"/>
  <c r="T66" i="40"/>
  <c r="T92" s="1"/>
  <c r="T61"/>
  <c r="AE10"/>
  <c r="AE58"/>
  <c r="AE44" i="25"/>
  <c r="G60" i="37"/>
  <c r="AE60" i="25"/>
  <c r="AE61" s="1"/>
  <c r="F53" i="37"/>
  <c r="F54" s="1"/>
  <c r="G233" i="40"/>
  <c r="H72" i="37" l="1"/>
  <c r="H73" s="1"/>
  <c r="H111"/>
  <c r="G98" i="40"/>
  <c r="G22" i="38" s="1"/>
  <c r="F98" i="40"/>
  <c r="F22" i="38" s="1"/>
  <c r="H143" i="40"/>
  <c r="H29" i="38" s="1"/>
  <c r="T86" i="40"/>
  <c r="T91"/>
  <c r="T85" s="1"/>
  <c r="G69"/>
  <c r="G143" s="1"/>
  <c r="G29" i="38" s="1"/>
  <c r="G91" i="40"/>
  <c r="G85" s="1"/>
  <c r="G86"/>
  <c r="AF185"/>
  <c r="AF200" s="1"/>
  <c r="AF81" s="1"/>
  <c r="G71" i="17"/>
  <c r="G39"/>
  <c r="AE34" i="38"/>
  <c r="F68" i="25"/>
  <c r="AE60" i="37"/>
  <c r="AE61" s="1"/>
  <c r="AE161" i="40"/>
  <c r="AF161" s="1"/>
  <c r="F54"/>
  <c r="F99" s="1"/>
  <c r="F60"/>
  <c r="AF119" i="37"/>
  <c r="AF100"/>
  <c r="AF60" i="25"/>
  <c r="AE53" i="40"/>
  <c r="AE54" s="1"/>
  <c r="AE99" s="1"/>
  <c r="AF26" i="38"/>
  <c r="AF122" i="37"/>
  <c r="AF190" i="40"/>
  <c r="AF201" s="1"/>
  <c r="AE201"/>
  <c r="AE232"/>
  <c r="AE21"/>
  <c r="AE140" s="1"/>
  <c r="T69"/>
  <c r="F142"/>
  <c r="F146"/>
  <c r="F32"/>
  <c r="F39" s="1"/>
  <c r="AF235"/>
  <c r="AF24" i="38" s="1"/>
  <c r="AE35"/>
  <c r="AV35" s="1"/>
  <c r="AF203" i="40"/>
  <c r="AF35" i="38" s="1"/>
  <c r="AW35" s="1"/>
  <c r="F144" i="40"/>
  <c r="F77"/>
  <c r="F145"/>
  <c r="F141"/>
  <c r="AF107" i="37"/>
  <c r="AF48"/>
  <c r="AF49" s="1"/>
  <c r="G101" i="17"/>
  <c r="AF89" i="37"/>
  <c r="AF106"/>
  <c r="AF192" i="40"/>
  <c r="AF205"/>
  <c r="AF37" i="38" s="1"/>
  <c r="S61" i="37"/>
  <c r="S66"/>
  <c r="S69" s="1"/>
  <c r="AE120"/>
  <c r="AF120" s="1"/>
  <c r="AE21"/>
  <c r="C32" i="42"/>
  <c r="AF36" i="38"/>
  <c r="AE13"/>
  <c r="AF148" i="40"/>
  <c r="G9" i="17"/>
  <c r="AF198" i="40"/>
  <c r="AP92"/>
  <c r="AP86" s="1"/>
  <c r="AJ86"/>
  <c r="AK140"/>
  <c r="I101" i="17"/>
  <c r="AL37" i="40"/>
  <c r="AL92" s="1"/>
  <c r="AL86" s="1"/>
  <c r="AK146"/>
  <c r="AK39"/>
  <c r="U72"/>
  <c r="U73" s="1"/>
  <c r="U101" s="1"/>
  <c r="U143"/>
  <c r="U29" i="38" s="1"/>
  <c r="AF222" i="40"/>
  <c r="H66" i="17"/>
  <c r="AF90" i="40"/>
  <c r="AF182"/>
  <c r="AF196"/>
  <c r="AF76"/>
  <c r="AF166"/>
  <c r="AF20" i="38"/>
  <c r="AF33" s="1"/>
  <c r="AF231" i="40"/>
  <c r="AF152"/>
  <c r="AF139"/>
  <c r="AF208"/>
  <c r="AF96"/>
  <c r="H69" i="17" s="1"/>
  <c r="AF209" i="40"/>
  <c r="AI9" i="25"/>
  <c r="AF101" i="37"/>
  <c r="AF102" s="1"/>
  <c r="F140" i="40"/>
  <c r="F82" s="1"/>
  <c r="AE67" i="25"/>
  <c r="AF177" i="40"/>
  <c r="AF193" s="1"/>
  <c r="G61" i="37"/>
  <c r="G66"/>
  <c r="G69" s="1"/>
  <c r="AE26" i="38"/>
  <c r="AF48" i="40"/>
  <c r="AF49" s="1"/>
  <c r="AF94"/>
  <c r="AF93"/>
  <c r="AF84" s="1"/>
  <c r="AF97"/>
  <c r="AJ9" i="25"/>
  <c r="AK8"/>
  <c r="D51" i="42"/>
  <c r="C95"/>
  <c r="C96"/>
  <c r="AE89" i="37"/>
  <c r="AE106"/>
  <c r="AN71" i="40"/>
  <c r="AN72"/>
  <c r="AP69"/>
  <c r="AF153"/>
  <c r="AE197"/>
  <c r="AE78"/>
  <c r="C31" i="42"/>
  <c r="AE81" i="40"/>
  <c r="AE79"/>
  <c r="AF156"/>
  <c r="AF79" s="1"/>
  <c r="AK86"/>
  <c r="AJ82"/>
  <c r="AP140"/>
  <c r="AP82" s="1"/>
  <c r="S61"/>
  <c r="S66"/>
  <c r="S92" s="1"/>
  <c r="AF95"/>
  <c r="H68" i="17" s="1"/>
  <c r="AF98" i="40"/>
  <c r="AF22" i="38" s="1"/>
  <c r="AE38"/>
  <c r="AV38" s="1"/>
  <c r="AF207" i="40"/>
  <c r="AE25" i="37"/>
  <c r="AE32" s="1"/>
  <c r="AE39" s="1"/>
  <c r="AE25" i="40"/>
  <c r="G22" i="41"/>
  <c r="AE36" i="25"/>
  <c r="AE139" i="40"/>
  <c r="AE152"/>
  <c r="AE213"/>
  <c r="AE90"/>
  <c r="G66" i="17" s="1"/>
  <c r="AE76" i="40"/>
  <c r="AE231"/>
  <c r="AE222"/>
  <c r="AE20" i="38"/>
  <c r="AE33" s="1"/>
  <c r="AE166" i="40"/>
  <c r="AE182"/>
  <c r="AE196"/>
  <c r="AF178"/>
  <c r="AF179" s="1"/>
  <c r="F60" i="37"/>
  <c r="G72" i="40" l="1"/>
  <c r="G73" s="1"/>
  <c r="G101" s="1"/>
  <c r="AE66" i="37"/>
  <c r="AE69" s="1"/>
  <c r="AE111" s="1"/>
  <c r="S91" i="40"/>
  <c r="S85" s="1"/>
  <c r="AF34" i="38"/>
  <c r="F61" i="40"/>
  <c r="F66"/>
  <c r="AF227"/>
  <c r="AF61" i="25"/>
  <c r="AF67"/>
  <c r="AE60" i="40"/>
  <c r="AE66" s="1"/>
  <c r="AE69" s="1"/>
  <c r="AE146"/>
  <c r="AF146" s="1"/>
  <c r="G100" i="17"/>
  <c r="AE142" i="40"/>
  <c r="AF142" s="1"/>
  <c r="AE32"/>
  <c r="AE39" s="1"/>
  <c r="AF38" i="38"/>
  <c r="G134" i="17"/>
  <c r="S86" i="40"/>
  <c r="S69"/>
  <c r="BD38" i="38"/>
  <c r="AW38"/>
  <c r="AJ38"/>
  <c r="AF78" i="40"/>
  <c r="AF197"/>
  <c r="AN73"/>
  <c r="AN101" s="1"/>
  <c r="AP72"/>
  <c r="D95" i="42"/>
  <c r="D96"/>
  <c r="AF83" i="40"/>
  <c r="H70" i="17"/>
  <c r="AF25" i="38"/>
  <c r="AF199" i="40"/>
  <c r="H67" i="17"/>
  <c r="AF163" i="40"/>
  <c r="AF21" i="38"/>
  <c r="G72" i="37"/>
  <c r="G73" s="1"/>
  <c r="G111"/>
  <c r="AK82" i="40"/>
  <c r="S72" i="37"/>
  <c r="S73" s="1"/>
  <c r="S111"/>
  <c r="AE82" i="40"/>
  <c r="AF140"/>
  <c r="BE35" i="38"/>
  <c r="AK35"/>
  <c r="AK174" i="40" s="1"/>
  <c r="AE233"/>
  <c r="AF233" s="1"/>
  <c r="AE77"/>
  <c r="AF77" s="1"/>
  <c r="AE141"/>
  <c r="AF141" s="1"/>
  <c r="AE145"/>
  <c r="AF145" s="1"/>
  <c r="AF232"/>
  <c r="AE10" i="38"/>
  <c r="AF53" i="40"/>
  <c r="AF53" i="37"/>
  <c r="F66"/>
  <c r="F69" s="1"/>
  <c r="F61"/>
  <c r="AP71" i="40"/>
  <c r="AN143"/>
  <c r="AK9" i="25"/>
  <c r="AL8"/>
  <c r="AL9" s="1"/>
  <c r="AE71"/>
  <c r="AE74" s="1"/>
  <c r="AE77" s="1"/>
  <c r="AE78" s="1"/>
  <c r="AE68"/>
  <c r="AL39" i="40"/>
  <c r="AL140"/>
  <c r="AL82" s="1"/>
  <c r="AM37"/>
  <c r="AM92" s="1"/>
  <c r="AM86" s="1"/>
  <c r="AL146"/>
  <c r="J101" i="17"/>
  <c r="BD35" i="38"/>
  <c r="AJ35"/>
  <c r="AJ174" i="40" s="1"/>
  <c r="T72"/>
  <c r="T73" s="1"/>
  <c r="T101" s="1"/>
  <c r="T143"/>
  <c r="T29" i="38" s="1"/>
  <c r="AE144" i="40"/>
  <c r="AF144" s="1"/>
  <c r="F92" l="1"/>
  <c r="F86" s="1"/>
  <c r="AE61"/>
  <c r="AE72" i="37"/>
  <c r="AE73" s="1"/>
  <c r="F69" i="40"/>
  <c r="F143" s="1"/>
  <c r="F29" i="38" s="1"/>
  <c r="F91" i="40"/>
  <c r="F85" s="1"/>
  <c r="AF71" i="25"/>
  <c r="AF74" s="1"/>
  <c r="AF77" s="1"/>
  <c r="AF78" s="1"/>
  <c r="AF68"/>
  <c r="K101" i="17"/>
  <c r="AM146" i="40"/>
  <c r="AM140"/>
  <c r="AM82" s="1"/>
  <c r="AM39"/>
  <c r="AN37"/>
  <c r="AN92" s="1"/>
  <c r="AN86" s="1"/>
  <c r="AF54" i="37"/>
  <c r="AF60"/>
  <c r="AK203" i="40"/>
  <c r="AK190"/>
  <c r="AK201" s="1"/>
  <c r="C33" i="42"/>
  <c r="AF82" i="40"/>
  <c r="AE72"/>
  <c r="AE73" s="1"/>
  <c r="AE101" s="1"/>
  <c r="AE143"/>
  <c r="AE29" i="38" s="1"/>
  <c r="BE38"/>
  <c r="AX38"/>
  <c r="AK38"/>
  <c r="S72" i="40"/>
  <c r="S73" s="1"/>
  <c r="S101" s="1"/>
  <c r="S143"/>
  <c r="S29" i="38" s="1"/>
  <c r="H71" i="17"/>
  <c r="AJ47" i="40"/>
  <c r="AJ203"/>
  <c r="AP203" s="1"/>
  <c r="AJ190"/>
  <c r="AP174"/>
  <c r="F72" i="37"/>
  <c r="F73" s="1"/>
  <c r="F111"/>
  <c r="AF54" i="40"/>
  <c r="AF99" s="1"/>
  <c r="AF60"/>
  <c r="F72" l="1"/>
  <c r="F73" s="1"/>
  <c r="F101" s="1"/>
  <c r="AJ208"/>
  <c r="AP208" s="1"/>
  <c r="AJ17"/>
  <c r="AJ209"/>
  <c r="AP209" s="1"/>
  <c r="AJ96"/>
  <c r="AF66"/>
  <c r="AF61"/>
  <c r="AY38" i="38"/>
  <c r="BF38"/>
  <c r="AL38"/>
  <c r="AP190" i="40"/>
  <c r="AJ201"/>
  <c r="AP201" s="1"/>
  <c r="AF66" i="37"/>
  <c r="AF69" s="1"/>
  <c r="AF61"/>
  <c r="AN146" i="40"/>
  <c r="L101" i="17"/>
  <c r="AN39" i="40"/>
  <c r="AP39" s="1"/>
  <c r="AP37"/>
  <c r="AN140"/>
  <c r="AN82" s="1"/>
  <c r="AF72" i="37" l="1"/>
  <c r="AF73" s="1"/>
  <c r="AF111"/>
  <c r="AZ38" i="38"/>
  <c r="BG38"/>
  <c r="AM38"/>
  <c r="AF91" i="40"/>
  <c r="AF85" s="1"/>
  <c r="AF69"/>
  <c r="AF92"/>
  <c r="AF86" s="1"/>
  <c r="I69" i="17"/>
  <c r="AP96" i="40"/>
  <c r="AJ207"/>
  <c r="AJ206"/>
  <c r="AP206" s="1"/>
  <c r="AJ18"/>
  <c r="AK47"/>
  <c r="AK17" s="1"/>
  <c r="AL47" s="1"/>
  <c r="AL17" l="1"/>
  <c r="AL208"/>
  <c r="AL209"/>
  <c r="AL96"/>
  <c r="K69" i="17" s="1"/>
  <c r="AK18" i="40"/>
  <c r="AK206"/>
  <c r="AK207"/>
  <c r="I134" i="17" s="1"/>
  <c r="AK209" i="40"/>
  <c r="AK208"/>
  <c r="AK96"/>
  <c r="J69" i="17" s="1"/>
  <c r="H134"/>
  <c r="AP207" i="40"/>
  <c r="AF72"/>
  <c r="AF73" s="1"/>
  <c r="AF101" s="1"/>
  <c r="AF143"/>
  <c r="AF29" i="38" s="1"/>
  <c r="BH38"/>
  <c r="AN38"/>
  <c r="AM47" i="40"/>
  <c r="AM96" l="1"/>
  <c r="L69" i="17" s="1"/>
  <c r="AM209" i="40"/>
  <c r="AM208"/>
  <c r="AL207"/>
  <c r="J134" i="17" s="1"/>
  <c r="AL206" i="40"/>
  <c r="AL18"/>
  <c r="AM17"/>
  <c r="AN47" s="1"/>
  <c r="AM18" l="1"/>
  <c r="AM207"/>
  <c r="K134" i="17" s="1"/>
  <c r="AM206" i="40"/>
  <c r="AN17"/>
  <c r="AN208"/>
  <c r="AN96"/>
  <c r="M69" i="17" s="1"/>
  <c r="AN209" i="40"/>
  <c r="AP47"/>
  <c r="AN206" l="1"/>
  <c r="AN207"/>
  <c r="L134" i="17" s="1"/>
  <c r="AN18" i="40"/>
  <c r="AP18" s="1"/>
  <c r="AP17"/>
  <c r="G232" i="17"/>
  <c r="H232"/>
  <c r="G233"/>
  <c r="H233"/>
  <c r="G234"/>
  <c r="H234"/>
  <c r="G235"/>
  <c r="H235"/>
  <c r="G236"/>
  <c r="H236"/>
  <c r="G237"/>
  <c r="H237"/>
  <c r="G238"/>
  <c r="H238"/>
  <c r="G239"/>
  <c r="H239"/>
  <c r="G240"/>
  <c r="H240"/>
  <c r="G241"/>
  <c r="H241"/>
  <c r="G242"/>
  <c r="H242"/>
  <c r="C232"/>
  <c r="D232"/>
  <c r="E232"/>
  <c r="F232"/>
  <c r="I232"/>
  <c r="J232"/>
  <c r="K232"/>
  <c r="L232"/>
  <c r="C233"/>
  <c r="D233"/>
  <c r="E233"/>
  <c r="F233"/>
  <c r="I233"/>
  <c r="J233"/>
  <c r="K233"/>
  <c r="L233"/>
  <c r="C234"/>
  <c r="D234"/>
  <c r="E234"/>
  <c r="F234"/>
  <c r="I234"/>
  <c r="J234"/>
  <c r="K234"/>
  <c r="L234"/>
  <c r="C235"/>
  <c r="D235"/>
  <c r="E235"/>
  <c r="F235"/>
  <c r="I235"/>
  <c r="J235"/>
  <c r="K235"/>
  <c r="L235"/>
  <c r="C236"/>
  <c r="D236"/>
  <c r="E236"/>
  <c r="F236"/>
  <c r="I236"/>
  <c r="J236"/>
  <c r="K236"/>
  <c r="L236"/>
  <c r="C237"/>
  <c r="D237"/>
  <c r="E237"/>
  <c r="F237"/>
  <c r="I237"/>
  <c r="J237"/>
  <c r="K237"/>
  <c r="L237"/>
  <c r="C238"/>
  <c r="D238"/>
  <c r="E238"/>
  <c r="F238"/>
  <c r="I238"/>
  <c r="J238"/>
  <c r="K238"/>
  <c r="L238"/>
  <c r="C239"/>
  <c r="D239"/>
  <c r="E239"/>
  <c r="F239"/>
  <c r="I239"/>
  <c r="J239"/>
  <c r="K239"/>
  <c r="L239"/>
  <c r="C240"/>
  <c r="D240"/>
  <c r="E240"/>
  <c r="F240"/>
  <c r="I240"/>
  <c r="J240"/>
  <c r="K240"/>
  <c r="L240"/>
  <c r="C241"/>
  <c r="D241"/>
  <c r="E241"/>
  <c r="F241"/>
  <c r="I241"/>
  <c r="J241"/>
  <c r="K241"/>
  <c r="L241"/>
  <c r="C242"/>
  <c r="D242"/>
  <c r="E242"/>
  <c r="F242"/>
  <c r="I242"/>
  <c r="J242"/>
  <c r="K242"/>
  <c r="L242"/>
</calcChain>
</file>

<file path=xl/comments1.xml><?xml version="1.0" encoding="utf-8"?>
<comments xmlns="http://schemas.openxmlformats.org/spreadsheetml/2006/main">
  <authors>
    <author>Nick Noel</author>
  </authors>
  <commentList>
    <comment ref="EC133" authorId="0">
      <text>
        <r>
          <rPr>
            <b/>
            <sz val="9"/>
            <color indexed="81"/>
            <rFont val="Tahoma"/>
            <family val="2"/>
          </rPr>
          <t>Nick Noel:</t>
        </r>
        <r>
          <rPr>
            <sz val="9"/>
            <color indexed="81"/>
            <rFont val="Tahoma"/>
            <family val="2"/>
          </rPr>
          <t xml:space="preserve">
better tag than 0, can have zeroes
</t>
        </r>
      </text>
    </comment>
  </commentList>
</comments>
</file>

<file path=xl/comments2.xml><?xml version="1.0" encoding="utf-8"?>
<comments xmlns="http://schemas.openxmlformats.org/spreadsheetml/2006/main">
  <authors>
    <author>pepe</author>
    <author>DWM</author>
    <author>Susana</author>
    <author xml:space="preserve"> </author>
  </authors>
  <commentList>
    <comment ref="A6" authorId="0">
      <text>
        <r>
          <rPr>
            <b/>
            <sz val="9"/>
            <color indexed="81"/>
            <rFont val="Tahoma"/>
            <family val="2"/>
          </rPr>
          <t>pepe:</t>
        </r>
        <r>
          <rPr>
            <sz val="9"/>
            <color indexed="81"/>
            <rFont val="Tahoma"/>
            <family val="2"/>
          </rPr>
          <t xml:space="preserve">
DO NOT edit or delete this row
</t>
        </r>
      </text>
    </comment>
    <comment ref="AS14" authorId="1">
      <text>
        <r>
          <rPr>
            <b/>
            <sz val="8"/>
            <color indexed="81"/>
            <rFont val="Tahoma"/>
            <family val="2"/>
          </rPr>
          <t>Enter month for calculating the ratios on Statistics tab</t>
        </r>
      </text>
    </comment>
    <comment ref="A15" authorId="2">
      <text>
        <r>
          <rPr>
            <b/>
            <sz val="8"/>
            <color indexed="81"/>
            <rFont val="Tahoma"/>
            <family val="2"/>
          </rPr>
          <t>Please specify whether the information for the year comes from audited or unaudited statements</t>
        </r>
      </text>
    </comment>
    <comment ref="A18" authorId="2">
      <text>
        <r>
          <rPr>
            <b/>
            <sz val="8"/>
            <color indexed="81"/>
            <rFont val="Tahoma"/>
            <family val="2"/>
          </rPr>
          <t>Cash &amp; Due from Banks + cash reserves in central bank + Short term financial assets (investments that can be converted to cash &lt;12 months)</t>
        </r>
        <r>
          <rPr>
            <sz val="8"/>
            <color indexed="81"/>
            <rFont val="Tahoma"/>
            <family val="2"/>
          </rPr>
          <t xml:space="preserve">
</t>
        </r>
      </text>
    </comment>
    <comment ref="A22" authorId="2">
      <text>
        <r>
          <rPr>
            <b/>
            <sz val="8"/>
            <color indexed="81"/>
            <rFont val="Tahoma"/>
            <family val="2"/>
          </rPr>
          <t>All outstanding principal for all outstanding client loans, including current, delinquent and restructured loans, but not loans that have been written off. It does not include interest receivable. It does not include employee loans.</t>
        </r>
        <r>
          <rPr>
            <sz val="8"/>
            <color indexed="81"/>
            <rFont val="Tahoma"/>
            <family val="2"/>
          </rPr>
          <t xml:space="preserve">
</t>
        </r>
      </text>
    </comment>
    <comment ref="A23" authorId="2">
      <text>
        <r>
          <rPr>
            <b/>
            <sz val="8"/>
            <color indexed="81"/>
            <rFont val="Tahoma"/>
            <family val="2"/>
          </rPr>
          <t>The portion of the gross loan portfolio that has been expensed (provisioned for) in anticipation of losses due to default. This item represents the cumulative value of the loan loss provision expense, less the cumulative value of loans written off.</t>
        </r>
      </text>
    </comment>
    <comment ref="A24" authorId="2">
      <text>
        <r>
          <rPr>
            <b/>
            <sz val="8"/>
            <color indexed="81"/>
            <rFont val="Tahoma"/>
            <family val="2"/>
          </rPr>
          <t>Interest Receivable + Accounts Receivable + Long Term Financial Assets+ Net Fixed Assets + Other Assets</t>
        </r>
      </text>
    </comment>
    <comment ref="A28" authorId="2">
      <text>
        <r>
          <rPr>
            <b/>
            <sz val="8"/>
            <color indexed="81"/>
            <rFont val="Tahoma"/>
            <family val="2"/>
          </rPr>
          <t>Demand Deposits both Voluntary and Compulsory + Time Deposits</t>
        </r>
      </text>
    </comment>
    <comment ref="A30" authorId="2">
      <text>
        <r>
          <rPr>
            <b/>
            <sz val="8"/>
            <color indexed="81"/>
            <rFont val="Tahoma"/>
            <family val="2"/>
          </rPr>
          <t>Principal balance of all borrowings, including overdraft accounts, for which the institution pays a nominal rate of interest that is less than the local commercial interest rate</t>
        </r>
      </text>
    </comment>
    <comment ref="A31" authorId="2">
      <text>
        <r>
          <rPr>
            <b/>
            <sz val="8"/>
            <color indexed="81"/>
            <rFont val="Tahoma"/>
            <family val="2"/>
          </rPr>
          <t>Principal balance of all borrowings, including overdraft accounts, for which the institution pays a nominal rate of interest that is greater than to or equal to the local commercial interest rate</t>
        </r>
      </text>
    </comment>
    <comment ref="A35" authorId="2">
      <text>
        <r>
          <rPr>
            <b/>
            <sz val="8"/>
            <color indexed="81"/>
            <rFont val="Tahoma"/>
            <family val="2"/>
          </rPr>
          <t>Interest Payable + Accounts Payable + Other Liabilities (including tax and salary liabilities, social withholdings, deferred income, other accounts payable, including liabilities that do not fund the portfolio, such as mortgages on real estate)</t>
        </r>
      </text>
    </comment>
    <comment ref="A38" authorId="2">
      <text>
        <r>
          <rPr>
            <b/>
            <sz val="8"/>
            <color indexed="81"/>
            <rFont val="Tahoma"/>
            <family val="2"/>
          </rPr>
          <t>Total of All Equity Accounts</t>
        </r>
      </text>
    </comment>
    <comment ref="A39" authorId="3">
      <text>
        <r>
          <rPr>
            <b/>
            <sz val="8"/>
            <color indexed="81"/>
            <rFont val="Tahoma"/>
            <family val="2"/>
          </rPr>
          <t xml:space="preserve">Accumulated donations; Paid in capital : capital paid by shareholders or members </t>
        </r>
      </text>
    </comment>
    <comment ref="A40" authorId="3">
      <text>
        <r>
          <rPr>
            <b/>
            <sz val="8"/>
            <color indexed="81"/>
            <rFont val="Tahoma"/>
            <family val="2"/>
          </rPr>
          <t>Retained Earnings:  accumulated net income after taxes and donations; Reserves: reserves such as those imposed by law or statute</t>
        </r>
      </text>
    </comment>
    <comment ref="A44" authorId="2">
      <text>
        <r>
          <rPr>
            <b/>
            <sz val="8"/>
            <color indexed="81"/>
            <rFont val="Tahoma"/>
            <family val="2"/>
          </rPr>
          <t>BS mismatches greater than 0.1 
will automatically highlight in red</t>
        </r>
      </text>
    </comment>
    <comment ref="A49" authorId="2">
      <text>
        <r>
          <rPr>
            <b/>
            <sz val="8"/>
            <color indexed="81"/>
            <rFont val="Tahoma"/>
            <family val="2"/>
          </rPr>
          <t>Please specify whether the information for the year comes from audited or unaudited statements</t>
        </r>
      </text>
    </comment>
    <comment ref="A51" authorId="2">
      <text>
        <r>
          <rPr>
            <b/>
            <sz val="8"/>
            <color indexed="81"/>
            <rFont val="Tahoma"/>
            <family val="2"/>
          </rPr>
          <t>Total of revenue from loan portfolio and other financial assets, as well as
other financial revenue from financial services.</t>
        </r>
      </text>
    </comment>
    <comment ref="A52" authorId="2">
      <text>
        <r>
          <rPr>
            <b/>
            <sz val="8"/>
            <color indexed="81"/>
            <rFont val="Tahoma"/>
            <family val="2"/>
          </rPr>
          <t>Total of financial expense on liabilities, cost-of funds adjustment and other expenses from financial services</t>
        </r>
      </text>
    </comment>
    <comment ref="A53" authorId="2">
      <text>
        <r>
          <rPr>
            <b/>
            <sz val="8"/>
            <color indexed="81"/>
            <rFont val="Tahoma"/>
            <family val="2"/>
          </rPr>
          <t>Net amount of inflation adjustment= Inflation Adjustment Revenue (Gain on the value of fixed assets due to inflation) - Inflation Adjustment Expense (Cost of maintaining the value of the institution’s equity). Foreign Exchange gains/losses.</t>
        </r>
      </text>
    </comment>
    <comment ref="A54" authorId="2">
      <text>
        <r>
          <rPr>
            <b/>
            <sz val="8"/>
            <color indexed="81"/>
            <rFont val="Tahoma"/>
            <family val="2"/>
          </rPr>
          <t>Sum of loan loss provision expense and recovery on loans written off.</t>
        </r>
      </text>
    </comment>
    <comment ref="A59" authorId="2">
      <text>
        <r>
          <rPr>
            <b/>
            <sz val="8"/>
            <color indexed="81"/>
            <rFont val="Tahoma"/>
            <family val="2"/>
          </rPr>
          <t>Total of Personnel Expense and Administrative Expense</t>
        </r>
      </text>
    </comment>
    <comment ref="A63" authorId="2">
      <text>
        <r>
          <rPr>
            <b/>
            <sz val="8"/>
            <color indexed="81"/>
            <rFont val="Tahoma"/>
            <family val="2"/>
          </rPr>
          <t>Revenue from activity unrelated to the MFI’s core activity of providing financial services. This could include consulting income, sale of IT products, or fees for business development services (BDS).</t>
        </r>
      </text>
    </comment>
    <comment ref="A64" authorId="2">
      <text>
        <r>
          <rPr>
            <b/>
            <sz val="8"/>
            <color indexed="81"/>
            <rFont val="Tahoma"/>
            <family val="2"/>
          </rPr>
          <t>Expenses from activity unrelated to the MFIs core activity of providing financial services, such as BDS development costs or consulting expenses</t>
        </r>
      </text>
    </comment>
    <comment ref="A70" authorId="2">
      <text>
        <r>
          <rPr>
            <b/>
            <sz val="8"/>
            <color indexed="81"/>
            <rFont val="Tahoma"/>
            <family val="2"/>
          </rPr>
          <t>Includes all taxes paid on Net Income or other measure of profits as defined by local tax authorities.</t>
        </r>
      </text>
    </comment>
    <comment ref="A73" authorId="2">
      <text>
        <r>
          <rPr>
            <b/>
            <sz val="8"/>
            <color indexed="81"/>
            <rFont val="Tahoma"/>
            <family val="2"/>
          </rPr>
          <t>Donations made to the MFI to subsidize its operations</t>
        </r>
      </text>
    </comment>
    <comment ref="A76" authorId="2">
      <text>
        <r>
          <rPr>
            <b/>
            <sz val="8"/>
            <color indexed="81"/>
            <rFont val="Tahoma"/>
            <family val="2"/>
          </rPr>
          <t>Dividends paid to employees and/or Shareholders</t>
        </r>
      </text>
    </comment>
    <comment ref="A85" authorId="2">
      <text>
        <r>
          <rPr>
            <b/>
            <sz val="8"/>
            <color indexed="81"/>
            <rFont val="Tahoma"/>
            <family val="2"/>
          </rPr>
          <t>Outstanding Portfolio with no delinquencies restructured or refinanced loans.</t>
        </r>
      </text>
    </comment>
    <comment ref="A86" authorId="2">
      <text>
        <r>
          <rPr>
            <b/>
            <sz val="8"/>
            <color indexed="81"/>
            <rFont val="Tahoma"/>
            <family val="2"/>
          </rPr>
          <t>Outstanding balance, loans overdue between 1- 30 Days</t>
        </r>
      </text>
    </comment>
    <comment ref="A87" authorId="2">
      <text>
        <r>
          <rPr>
            <b/>
            <sz val="8"/>
            <color indexed="81"/>
            <rFont val="Tahoma"/>
            <family val="2"/>
          </rPr>
          <t>Outstanding balance, loans overdue&gt; 30 Days</t>
        </r>
      </text>
    </comment>
    <comment ref="A90" authorId="2">
      <text>
        <r>
          <rPr>
            <b/>
            <sz val="8"/>
            <color indexed="81"/>
            <rFont val="Tahoma"/>
            <family val="2"/>
          </rPr>
          <t>Outstanding balance, loans overdue&gt; 180 Days</t>
        </r>
      </text>
    </comment>
    <comment ref="A91" authorId="2">
      <text>
        <r>
          <rPr>
            <b/>
            <sz val="8"/>
            <color indexed="81"/>
            <rFont val="Tahoma"/>
            <family val="2"/>
          </rPr>
          <t>Outstanding balance, loans overdue&gt; 180 Days</t>
        </r>
      </text>
    </comment>
    <comment ref="A92" authorId="2">
      <text>
        <r>
          <rPr>
            <b/>
            <sz val="8"/>
            <color indexed="81"/>
            <rFont val="Tahoma"/>
            <family val="2"/>
          </rPr>
          <t>All loans that have been restructured or refinanced</t>
        </r>
      </text>
    </comment>
    <comment ref="A93" authorId="2">
      <text>
        <r>
          <rPr>
            <b/>
            <sz val="8"/>
            <color indexed="81"/>
            <rFont val="Tahoma"/>
            <family val="2"/>
          </rPr>
          <t>All loans written off. Accumulated figures for Full Years and monthly figures for each individual month</t>
        </r>
      </text>
    </comment>
    <comment ref="A94" authorId="2">
      <text>
        <r>
          <rPr>
            <b/>
            <sz val="8"/>
            <color indexed="81"/>
            <rFont val="Tahoma"/>
            <family val="2"/>
          </rPr>
          <t>All recovered loans. Accumulated figures for Full Years and monthly figures for each individual month</t>
        </r>
      </text>
    </comment>
    <comment ref="A97" authorId="2">
      <text>
        <r>
          <rPr>
            <b/>
            <sz val="8"/>
            <color indexed="81"/>
            <rFont val="Tahoma"/>
            <family val="2"/>
          </rPr>
          <t>Loan Portfolio mismatches
will automatically highlight in red</t>
        </r>
      </text>
    </comment>
    <comment ref="A115" authorId="2">
      <text>
        <r>
          <rPr>
            <b/>
            <sz val="8"/>
            <color indexed="81"/>
            <rFont val="Tahoma"/>
            <family val="2"/>
          </rPr>
          <t>Total Number of Loan Officers</t>
        </r>
      </text>
    </comment>
    <comment ref="A116" authorId="2">
      <text>
        <r>
          <rPr>
            <b/>
            <sz val="8"/>
            <color indexed="81"/>
            <rFont val="Tahoma"/>
            <family val="2"/>
          </rPr>
          <t>Total number of employees</t>
        </r>
      </text>
    </comment>
    <comment ref="A117" authorId="3">
      <text>
        <r>
          <rPr>
            <b/>
            <sz val="8"/>
            <color indexed="81"/>
            <rFont val="Tahoma"/>
            <family val="2"/>
          </rPr>
          <t>Total Number of Branches</t>
        </r>
      </text>
    </comment>
    <comment ref="A118" authorId="2">
      <text>
        <r>
          <rPr>
            <b/>
            <sz val="8"/>
            <color indexed="81"/>
            <rFont val="Tahoma"/>
            <family val="2"/>
          </rPr>
          <t>Number of loans outstanding, adjusted for standardized write-offs</t>
        </r>
      </text>
    </comment>
    <comment ref="A119" authorId="2">
      <text>
        <r>
          <rPr>
            <b/>
            <sz val="8"/>
            <color indexed="81"/>
            <rFont val="Tahoma"/>
            <family val="2"/>
          </rPr>
          <t>Number of borrowers with loans outstanding, adjusted for standardized write-offs</t>
        </r>
      </text>
    </comment>
    <comment ref="A120" authorId="2">
      <text>
        <r>
          <rPr>
            <b/>
            <sz val="8"/>
            <color indexed="81"/>
            <rFont val="Tahoma"/>
            <family val="2"/>
          </rPr>
          <t>Number of savers with voluntary savings demand deposit and time deposit accounts</t>
        </r>
      </text>
    </comment>
  </commentList>
</comments>
</file>

<file path=xl/comments3.xml><?xml version="1.0" encoding="utf-8"?>
<comments xmlns="http://schemas.openxmlformats.org/spreadsheetml/2006/main">
  <authors>
    <author>Susana</author>
  </authors>
  <commentList>
    <comment ref="A41" authorId="0">
      <text>
        <r>
          <rPr>
            <b/>
            <sz val="8"/>
            <color indexed="81"/>
            <rFont val="Tahoma"/>
            <family val="2"/>
          </rPr>
          <t>Client and Portfolio mismatches
will automatically highlight in red</t>
        </r>
      </text>
    </comment>
    <comment ref="A59" authorId="0">
      <text>
        <r>
          <rPr>
            <b/>
            <sz val="8"/>
            <color indexed="81"/>
            <rFont val="Tahoma"/>
            <family val="2"/>
          </rPr>
          <t>Client and Portfolio mismatches
will automatically highlight in red</t>
        </r>
      </text>
    </comment>
    <comment ref="A76" authorId="0">
      <text>
        <r>
          <rPr>
            <b/>
            <sz val="8"/>
            <color indexed="81"/>
            <rFont val="Tahoma"/>
            <family val="2"/>
          </rPr>
          <t>Client and Portfolio mismatches
will automatically highlight in red</t>
        </r>
      </text>
    </comment>
    <comment ref="A95" authorId="0">
      <text>
        <r>
          <rPr>
            <b/>
            <sz val="8"/>
            <color indexed="81"/>
            <rFont val="Tahoma"/>
            <family val="2"/>
          </rPr>
          <t>Client and Portfolio mismatches
will automatically highlight in red</t>
        </r>
      </text>
    </comment>
    <comment ref="A109" authorId="0">
      <text>
        <r>
          <rPr>
            <b/>
            <sz val="8"/>
            <color indexed="81"/>
            <rFont val="Tahoma"/>
            <family val="2"/>
          </rPr>
          <t>Client and Portfolio mismatches
will automatically highlight in red</t>
        </r>
      </text>
    </comment>
    <comment ref="A124" authorId="0">
      <text>
        <r>
          <rPr>
            <b/>
            <sz val="8"/>
            <color indexed="81"/>
            <rFont val="Tahoma"/>
            <family val="2"/>
          </rPr>
          <t>Client and Portfolio mismatches
will automatically highlight in red</t>
        </r>
      </text>
    </comment>
  </commentList>
</comments>
</file>

<file path=xl/comments4.xml><?xml version="1.0" encoding="utf-8"?>
<comments xmlns="http://schemas.openxmlformats.org/spreadsheetml/2006/main">
  <authors>
    <author>Susana</author>
  </authors>
  <commentList>
    <comment ref="B22" authorId="0">
      <text>
        <r>
          <rPr>
            <b/>
            <sz val="8"/>
            <color indexed="81"/>
            <rFont val="Tahoma"/>
            <family val="2"/>
          </rPr>
          <t>Funding mismatches
will automatically highlight in red</t>
        </r>
      </text>
    </comment>
  </commentList>
</comments>
</file>

<file path=xl/comments5.xml><?xml version="1.0" encoding="utf-8"?>
<comments xmlns="http://schemas.openxmlformats.org/spreadsheetml/2006/main">
  <authors>
    <author>pepe</author>
  </authors>
  <commentList>
    <comment ref="A8" authorId="0">
      <text>
        <r>
          <rPr>
            <b/>
            <sz val="9"/>
            <color indexed="81"/>
            <rFont val="Tahoma"/>
            <family val="2"/>
          </rPr>
          <t>pepe:</t>
        </r>
        <r>
          <rPr>
            <sz val="9"/>
            <color indexed="81"/>
            <rFont val="Tahoma"/>
            <family val="2"/>
          </rPr>
          <t xml:space="preserve">
DO NOT edit or delete this row
</t>
        </r>
      </text>
    </comment>
  </commentList>
</comments>
</file>

<file path=xl/comments6.xml><?xml version="1.0" encoding="utf-8"?>
<comments xmlns="http://schemas.openxmlformats.org/spreadsheetml/2006/main">
  <authors>
    <author>pepe</author>
  </authors>
  <commentList>
    <comment ref="A5" authorId="0">
      <text>
        <r>
          <rPr>
            <b/>
            <sz val="9"/>
            <color indexed="81"/>
            <rFont val="Tahoma"/>
            <family val="2"/>
          </rPr>
          <t>pepe:</t>
        </r>
        <r>
          <rPr>
            <sz val="9"/>
            <color indexed="81"/>
            <rFont val="Tahoma"/>
            <family val="2"/>
          </rPr>
          <t xml:space="preserve">
DO NOT edit or delete this row
</t>
        </r>
      </text>
    </comment>
    <comment ref="A6" authorId="0">
      <text>
        <r>
          <rPr>
            <b/>
            <sz val="9"/>
            <color indexed="81"/>
            <rFont val="Tahoma"/>
            <family val="2"/>
          </rPr>
          <t>pepe:</t>
        </r>
        <r>
          <rPr>
            <sz val="9"/>
            <color indexed="81"/>
            <rFont val="Tahoma"/>
            <family val="2"/>
          </rPr>
          <t xml:space="preserve">
DO NOT edit or delete this row
</t>
        </r>
      </text>
    </comment>
  </commentList>
</comments>
</file>

<file path=xl/comments7.xml><?xml version="1.0" encoding="utf-8"?>
<comments xmlns="http://schemas.openxmlformats.org/spreadsheetml/2006/main">
  <authors>
    <author>pepe</author>
  </authors>
  <commentList>
    <comment ref="B200" authorId="0">
      <text>
        <r>
          <rPr>
            <b/>
            <sz val="9"/>
            <color indexed="81"/>
            <rFont val="Tahoma"/>
            <family val="2"/>
          </rPr>
          <t>pepe:</t>
        </r>
        <r>
          <rPr>
            <sz val="9"/>
            <color indexed="81"/>
            <rFont val="Tahoma"/>
            <family val="2"/>
          </rPr>
          <t xml:space="preserve">
Adjust dates according to disbursements and payments</t>
        </r>
      </text>
    </comment>
  </commentList>
</comments>
</file>

<file path=xl/comments8.xml><?xml version="1.0" encoding="utf-8"?>
<comments xmlns="http://schemas.openxmlformats.org/spreadsheetml/2006/main">
  <authors>
    <author>Thomas Gros</author>
  </authors>
  <commentList>
    <comment ref="C10" authorId="0">
      <text>
        <r>
          <rPr>
            <sz val="14"/>
            <color indexed="81"/>
            <rFont val="Tahoma"/>
            <family val="2"/>
          </rPr>
          <t>Adjusted Total Equity/ Adjusted Total Assets</t>
        </r>
      </text>
    </comment>
    <comment ref="H10" authorId="0">
      <text>
        <r>
          <rPr>
            <sz val="14"/>
            <color indexed="81"/>
            <rFont val="Tahoma"/>
            <family val="2"/>
          </rPr>
          <t>- diversity?
- only donations or also commercial?
- does capital structure make sense?
-  international and local?
- financial strength of shareholders?</t>
        </r>
      </text>
    </comment>
    <comment ref="H11" authorId="0">
      <text>
        <r>
          <rPr>
            <sz val="14"/>
            <color indexed="81"/>
            <rFont val="Tahoma"/>
            <family val="2"/>
          </rPr>
          <t>- borrowings from both local and international sources
- taking deposits from public?</t>
        </r>
      </text>
    </comment>
    <comment ref="C12" authorId="0">
      <text>
        <r>
          <rPr>
            <sz val="14"/>
            <color indexed="81"/>
            <rFont val="Tahoma"/>
            <family val="2"/>
          </rPr>
          <t>Adjusted Financial Expense/ Adjusted Average Total Assets</t>
        </r>
      </text>
    </comment>
    <comment ref="H12" authorId="0">
      <text>
        <r>
          <rPr>
            <sz val="14"/>
            <color indexed="81"/>
            <rFont val="Tahoma"/>
            <family val="2"/>
          </rPr>
          <t>Can be MFI network or network of for profit companies</t>
        </r>
      </text>
    </comment>
    <comment ref="C18" authorId="0">
      <text>
        <r>
          <rPr>
            <sz val="14"/>
            <color indexed="81"/>
            <rFont val="Tahoma"/>
            <family val="2"/>
          </rPr>
          <t>Adjusted Financial Revenue/ Adjusted (Financial Expense + Net Loan Loss Provision Expense + Operating Expense)</t>
        </r>
      </text>
    </comment>
    <comment ref="C19" authorId="0">
      <text>
        <r>
          <rPr>
            <sz val="14"/>
            <color indexed="81"/>
            <rFont val="Tahoma"/>
            <family val="2"/>
          </rPr>
          <t>Cash financial revenue from gross loan portfolio / Average gross loan portfolio</t>
        </r>
      </text>
    </comment>
    <comment ref="C24" authorId="0">
      <text>
        <r>
          <rPr>
            <b/>
            <sz val="14"/>
            <color indexed="81"/>
            <rFont val="Tahoma"/>
            <family val="2"/>
          </rPr>
          <t>Borrowers per Loan Officer</t>
        </r>
        <r>
          <rPr>
            <sz val="9"/>
            <color indexed="81"/>
            <rFont val="Tahoma"/>
            <family val="2"/>
          </rPr>
          <t xml:space="preserve">
</t>
        </r>
      </text>
    </comment>
    <comment ref="C25" authorId="0">
      <text>
        <r>
          <rPr>
            <b/>
            <sz val="14"/>
            <color indexed="81"/>
            <rFont val="Tahoma"/>
            <family val="2"/>
          </rPr>
          <t xml:space="preserve">Borrowers per staff member
</t>
        </r>
        <r>
          <rPr>
            <sz val="14"/>
            <color indexed="81"/>
            <rFont val="Tahoma"/>
            <family val="2"/>
          </rPr>
          <t xml:space="preserve">
</t>
        </r>
      </text>
    </comment>
    <comment ref="C26" authorId="0">
      <text>
        <r>
          <rPr>
            <sz val="14"/>
            <color indexed="81"/>
            <rFont val="Tahoma"/>
            <family val="2"/>
          </rPr>
          <t>Operating Expense/Average Gross Loan Portfolio</t>
        </r>
      </text>
    </comment>
    <comment ref="C30" authorId="0">
      <text>
        <r>
          <rPr>
            <sz val="14"/>
            <color indexed="81"/>
            <rFont val="Tahoma"/>
            <family val="2"/>
          </rPr>
          <t>Adjusted Cash and banks/ Adjusted Total Assets</t>
        </r>
      </text>
    </comment>
    <comment ref="C41" authorId="0">
      <text>
        <r>
          <rPr>
            <sz val="14"/>
            <color indexed="81"/>
            <rFont val="Tahoma"/>
            <family val="2"/>
          </rPr>
          <t>Please compare numbers for latest completed year. If those are not available take the latest partial year results and annualize.</t>
        </r>
      </text>
    </comment>
    <comment ref="C47" authorId="0">
      <text>
        <r>
          <rPr>
            <sz val="14"/>
            <color indexed="81"/>
            <rFont val="Tahoma"/>
            <family val="2"/>
          </rPr>
          <t>Please use scaling tables below to assign score for MFI rating</t>
        </r>
      </text>
    </comment>
    <comment ref="H53" authorId="0">
      <text>
        <r>
          <rPr>
            <sz val="14"/>
            <color indexed="81"/>
            <rFont val="Tahoma"/>
            <family val="2"/>
          </rPr>
          <t>- very restrictive?
- regulation?
- reporting standards</t>
        </r>
        <r>
          <rPr>
            <sz val="9"/>
            <color indexed="81"/>
            <rFont val="Tahoma"/>
            <family val="2"/>
          </rPr>
          <t xml:space="preserve">
</t>
        </r>
      </text>
    </comment>
    <comment ref="C54" authorId="0">
      <text>
        <r>
          <rPr>
            <sz val="14"/>
            <color indexed="81"/>
            <rFont val="Tahoma"/>
            <family val="2"/>
          </rPr>
          <t>Please use scaling tables below to assign score for sovereign debt ratings</t>
        </r>
      </text>
    </comment>
    <comment ref="H54" authorId="0">
      <text>
        <r>
          <rPr>
            <sz val="14"/>
            <color indexed="81"/>
            <rFont val="Tahoma"/>
            <family val="2"/>
          </rPr>
          <t>- cap on interest rate?
- inflation?
- intervention of government?</t>
        </r>
      </text>
    </comment>
    <comment ref="H55" authorId="0">
      <text>
        <r>
          <rPr>
            <sz val="14"/>
            <color indexed="81"/>
            <rFont val="Tahoma"/>
            <family val="2"/>
          </rPr>
          <t xml:space="preserve">High and aggressive competition should give "bad" rating 
</t>
        </r>
      </text>
    </comment>
  </commentList>
</comments>
</file>

<file path=xl/sharedStrings.xml><?xml version="1.0" encoding="utf-8"?>
<sst xmlns="http://schemas.openxmlformats.org/spreadsheetml/2006/main" count="1851" uniqueCount="981">
  <si>
    <t>ASSETS</t>
  </si>
  <si>
    <t>Other Assets</t>
  </si>
  <si>
    <t>Total Assets</t>
  </si>
  <si>
    <t>LIABILITIES</t>
  </si>
  <si>
    <t>Borrowings</t>
  </si>
  <si>
    <t>Other Liabilities</t>
  </si>
  <si>
    <t>Total Liabilities</t>
  </si>
  <si>
    <t>EQUITY</t>
  </si>
  <si>
    <t>Total Equity</t>
  </si>
  <si>
    <t>LIABILITIES + EQUITY</t>
  </si>
  <si>
    <t>Net Monetary/Inflation Adjustments</t>
  </si>
  <si>
    <t>Loan Loss Provision Expense</t>
  </si>
  <si>
    <t>Operating Expense</t>
  </si>
  <si>
    <t>Net Operating Income</t>
  </si>
  <si>
    <t>Net Non-Operating Income</t>
  </si>
  <si>
    <t>Non-Operating Expense</t>
  </si>
  <si>
    <t>Taxes</t>
  </si>
  <si>
    <t>Donations</t>
  </si>
  <si>
    <t>Net Income After Taxes &amp; Donations</t>
  </si>
  <si>
    <t>Dividends</t>
  </si>
  <si>
    <t>Net Income to Retained Earnings</t>
  </si>
  <si>
    <t xml:space="preserve">   Portfolio</t>
  </si>
  <si>
    <t>Liabilities</t>
  </si>
  <si>
    <t xml:space="preserve">   Savings</t>
  </si>
  <si>
    <t xml:space="preserve">   Borrowings</t>
  </si>
  <si>
    <t>Clients</t>
  </si>
  <si>
    <t>Gender</t>
  </si>
  <si>
    <t xml:space="preserve">  Women</t>
  </si>
  <si>
    <t xml:space="preserve">  Men</t>
  </si>
  <si>
    <t xml:space="preserve">  Total</t>
  </si>
  <si>
    <t>Geography</t>
  </si>
  <si>
    <t xml:space="preserve">  Rural</t>
  </si>
  <si>
    <t xml:space="preserve">  Urban</t>
  </si>
  <si>
    <t>Total</t>
  </si>
  <si>
    <t>Activity</t>
  </si>
  <si>
    <t xml:space="preserve">  Agriculture</t>
  </si>
  <si>
    <t xml:space="preserve">  Manufacturing</t>
  </si>
  <si>
    <t xml:space="preserve">  Trade/Commerce</t>
  </si>
  <si>
    <t xml:space="preserve">  Services</t>
  </si>
  <si>
    <t xml:space="preserve">  Other</t>
  </si>
  <si>
    <t>Loan Type</t>
  </si>
  <si>
    <t xml:space="preserve">  Microenterprise</t>
  </si>
  <si>
    <t xml:space="preserve">  Small/medium enterprise</t>
  </si>
  <si>
    <t xml:space="preserve">  Consumer</t>
  </si>
  <si>
    <t xml:space="preserve">  Housing</t>
  </si>
  <si>
    <t>Methodology</t>
  </si>
  <si>
    <t xml:space="preserve">  Individuals</t>
  </si>
  <si>
    <t xml:space="preserve">  Solidarity Groups</t>
  </si>
  <si>
    <t xml:space="preserve">  Village Banks</t>
  </si>
  <si>
    <t>Current Portfolio</t>
  </si>
  <si>
    <t>PAR (1-30 days)</t>
  </si>
  <si>
    <t>PAR (&gt;30 days)</t>
  </si>
  <si>
    <t>PAR (&gt;180 days)</t>
  </si>
  <si>
    <t>Restructured and/or Refinanced</t>
  </si>
  <si>
    <t>Write-Offs</t>
  </si>
  <si>
    <t>Number of loan Officers</t>
  </si>
  <si>
    <t>Number of Employees</t>
  </si>
  <si>
    <t>Number of Loans Outstanding</t>
  </si>
  <si>
    <t>Number of Active Borrowers</t>
  </si>
  <si>
    <t>Number of Voluntary Savers/Depositors</t>
  </si>
  <si>
    <t>S&amp;P</t>
  </si>
  <si>
    <t>Fitch</t>
  </si>
  <si>
    <t>Savings</t>
  </si>
  <si>
    <t>Operational Self-Sufficiency</t>
  </si>
  <si>
    <t>Write-Off Ratio</t>
  </si>
  <si>
    <t>Average Loan Size</t>
  </si>
  <si>
    <t>Average Loan Size/GDP per capita</t>
  </si>
  <si>
    <t>Cash &amp; ST Investments</t>
  </si>
  <si>
    <t>Gross Loan Portfolio</t>
  </si>
  <si>
    <t>(Loan Loss Reserves)</t>
  </si>
  <si>
    <t>Savings Accounts</t>
  </si>
  <si>
    <t>Non-Operating Revenue</t>
  </si>
  <si>
    <t>Net Income (Before Taxes &amp; Donations)</t>
  </si>
  <si>
    <t xml:space="preserve">Financial Revenue </t>
  </si>
  <si>
    <t>BALANCE SHEET</t>
  </si>
  <si>
    <t>INCOME STATEMENT</t>
  </si>
  <si>
    <t>Financial Self-Sufficiency</t>
  </si>
  <si>
    <t>Indicators</t>
  </si>
  <si>
    <t>Net Financial Income</t>
  </si>
  <si>
    <t>USD</t>
  </si>
  <si>
    <t>EURO</t>
  </si>
  <si>
    <t>Net Financial Margin (%)</t>
  </si>
  <si>
    <t>Net Income Margin</t>
  </si>
  <si>
    <t>Net Operating Income Margin (%)</t>
  </si>
  <si>
    <t>Net Income (Before Taxes &amp; Donations) Margin (%)</t>
  </si>
  <si>
    <t xml:space="preserve">Portfolio </t>
  </si>
  <si>
    <t>Total Outstanding Portfolio</t>
  </si>
  <si>
    <t>Ratio to Total Outstanding Portfolio:</t>
  </si>
  <si>
    <t>MFI Name</t>
  </si>
  <si>
    <t>Operating Expense/Loan Portfolio</t>
  </si>
  <si>
    <t>Financial Expenses</t>
  </si>
  <si>
    <t>Audited/Unaudited</t>
  </si>
  <si>
    <t>Audited</t>
  </si>
  <si>
    <t>Unaudited</t>
  </si>
  <si>
    <t>MFI</t>
  </si>
  <si>
    <t>Write-off ratio</t>
  </si>
  <si>
    <t>DWM</t>
  </si>
  <si>
    <t>Other Financial Service Income (Expense)</t>
  </si>
  <si>
    <t>January</t>
  </si>
  <si>
    <t>February</t>
  </si>
  <si>
    <t>March</t>
  </si>
  <si>
    <t>April</t>
  </si>
  <si>
    <t>May</t>
  </si>
  <si>
    <t>June</t>
  </si>
  <si>
    <t>July</t>
  </si>
  <si>
    <t>August</t>
  </si>
  <si>
    <t>September</t>
  </si>
  <si>
    <t>October</t>
  </si>
  <si>
    <t>November</t>
  </si>
  <si>
    <t>December</t>
  </si>
  <si>
    <t>Enter Month</t>
  </si>
  <si>
    <t>Please enter appropriate Exchange Rate</t>
  </si>
  <si>
    <t>Date of Projections:</t>
  </si>
  <si>
    <t>Number of Branches</t>
  </si>
  <si>
    <t>Equity</t>
  </si>
  <si>
    <t xml:space="preserve">   Donated Equity and paid-in-capital </t>
  </si>
  <si>
    <t xml:space="preserve">   Retained Earnings, Reserves &amp; Other</t>
  </si>
  <si>
    <t>Commitment Fee</t>
  </si>
  <si>
    <t>Security</t>
  </si>
  <si>
    <t>Tier</t>
  </si>
  <si>
    <t>YTD</t>
  </si>
  <si>
    <t>FX Exposure</t>
  </si>
  <si>
    <t>Amount in Local Currency:</t>
  </si>
  <si>
    <t xml:space="preserve">Rating: </t>
  </si>
  <si>
    <t>Please select a region:</t>
  </si>
  <si>
    <t>Africa</t>
  </si>
  <si>
    <t>Category</t>
  </si>
  <si>
    <t>Score</t>
  </si>
  <si>
    <t>Value</t>
  </si>
  <si>
    <t>Unit</t>
  </si>
  <si>
    <t>Qualitative Factors</t>
  </si>
  <si>
    <t>Check:</t>
  </si>
  <si>
    <t>Capital/ Asset Ratio</t>
  </si>
  <si>
    <t>Debt/ Equity Ratio</t>
  </si>
  <si>
    <t>Gross Loan Portfolio/ Total Assets</t>
  </si>
  <si>
    <t>Financial Expense Ratio</t>
  </si>
  <si>
    <t>Return on Assets</t>
  </si>
  <si>
    <t>Return on Equity</t>
  </si>
  <si>
    <t>Profit Margin</t>
  </si>
  <si>
    <t>Yield on Gross Portfolio (nominal)</t>
  </si>
  <si>
    <t>Portfolio Growth</t>
  </si>
  <si>
    <t>Portfolio at Risk &gt; 30 Days</t>
  </si>
  <si>
    <t>Write-off Ratio</t>
  </si>
  <si>
    <t>Borrowers per Staff Member</t>
  </si>
  <si>
    <t>Borrowers per Loan Officer</t>
  </si>
  <si>
    <t>Operating Expense/ Loan Portfolio</t>
  </si>
  <si>
    <t>Risk Coverage</t>
  </si>
  <si>
    <t xml:space="preserve">Average Loan Size/GNI per capita </t>
  </si>
  <si>
    <t xml:space="preserve">Client Growth per annum </t>
  </si>
  <si>
    <t>Percent of Women Borrowers</t>
  </si>
  <si>
    <t>GDP Growth Rate</t>
  </si>
  <si>
    <t>Execution of business plan: % of projections achievement</t>
  </si>
  <si>
    <t>Staff turnover</t>
  </si>
  <si>
    <t>%</t>
  </si>
  <si>
    <t>Units:</t>
  </si>
  <si>
    <t>x</t>
  </si>
  <si>
    <t>nb</t>
  </si>
  <si>
    <t>Debt/Equity</t>
  </si>
  <si>
    <t>Capacity to increase funding</t>
  </si>
  <si>
    <t>Affiliation to international microfinance networks</t>
  </si>
  <si>
    <t>Portfolio/Total Assets</t>
  </si>
  <si>
    <t>25th percentile</t>
  </si>
  <si>
    <t>Sum:</t>
  </si>
  <si>
    <t>50th percentile (median)</t>
  </si>
  <si>
    <t>II.    Profitability &amp; sustainability</t>
  </si>
  <si>
    <t>ROA</t>
  </si>
  <si>
    <t xml:space="preserve">75th percentile </t>
  </si>
  <si>
    <t>ROE</t>
  </si>
  <si>
    <t>Liquidity management and working capital management</t>
  </si>
  <si>
    <t>Net income margin</t>
  </si>
  <si>
    <t>East &amp; South Asia</t>
  </si>
  <si>
    <t>Financial self-sufficiency</t>
  </si>
  <si>
    <t>Yield on gross loan portfolio</t>
  </si>
  <si>
    <t xml:space="preserve">III.    Portfolio &amp; efficiency </t>
  </si>
  <si>
    <t>Eastern Europe &amp; Central Asia</t>
  </si>
  <si>
    <t>Portfolio at Risk over 30 days (PAR &gt; 30)</t>
  </si>
  <si>
    <t>Trends in operating expenses</t>
  </si>
  <si>
    <t>Loan officer productivity</t>
  </si>
  <si>
    <t xml:space="preserve">Staff productivity </t>
  </si>
  <si>
    <t>Operating efficiency</t>
  </si>
  <si>
    <t>IV.    Risk management</t>
  </si>
  <si>
    <t>Risk Coverage Ratio</t>
  </si>
  <si>
    <t>Middle East &amp; North Africa</t>
  </si>
  <si>
    <t>Non-earning Liquid Assets as % Total Assets</t>
  </si>
  <si>
    <t>Adequacy of processes and systems regarding risk management &amp; monitoring</t>
  </si>
  <si>
    <t>FX strategy regarding hedging (i.e. use of derivatives)</t>
  </si>
  <si>
    <t xml:space="preserve">Credit policies (limits) and procedures </t>
  </si>
  <si>
    <t>Quality of loan officers</t>
  </si>
  <si>
    <t>  V.  Social Impact</t>
  </si>
  <si>
    <t>Clear definition and articulation of social mission</t>
  </si>
  <si>
    <t>Profile of target clients</t>
  </si>
  <si>
    <t>Evidence of board &amp; management’s commitment to social mission</t>
  </si>
  <si>
    <t>Portion of woman borrowers</t>
  </si>
  <si>
    <t>Rural loans/total loans</t>
  </si>
  <si>
    <t>VI.    Management &amp; strategy</t>
  </si>
  <si>
    <t>Execution of business plan: % of projections achieved</t>
  </si>
  <si>
    <t>Experience of Management in Microfinance</t>
  </si>
  <si>
    <t xml:space="preserve">Composition and background/ experience of the Board of Directors </t>
  </si>
  <si>
    <t>2. Loan portfolio</t>
  </si>
  <si>
    <t>Relationship between Board of Directors and management team</t>
  </si>
  <si>
    <t>Adequacy of strategy and business plan (logic and risk of strategic direction)</t>
  </si>
  <si>
    <t>VII.    Processes, controls &amp; systems</t>
  </si>
  <si>
    <t>Most recent rating from specialized MFI rating agencies</t>
  </si>
  <si>
    <t>Efficiency and adequacy of MIS</t>
  </si>
  <si>
    <t>Presence of Internal Audit</t>
  </si>
  <si>
    <t>VIII.    Macroeconomic issues &amp; external factors</t>
  </si>
  <si>
    <t>GDP growth</t>
  </si>
  <si>
    <t>Legal and regulatory framework</t>
  </si>
  <si>
    <t>Interest rate environment</t>
  </si>
  <si>
    <t xml:space="preserve">1. LT Foreign Currency </t>
  </si>
  <si>
    <t>Competitive environment</t>
  </si>
  <si>
    <t xml:space="preserve">2. LT Local Currency </t>
  </si>
  <si>
    <t>Political stability</t>
  </si>
  <si>
    <t>Total:</t>
  </si>
  <si>
    <t>Total weighting of quantitative factors</t>
  </si>
  <si>
    <t>Total weighting of qualitative factors</t>
  </si>
  <si>
    <t>Note: Please use scaling tables below to assign score for MFI rating and sovereign debt ratings</t>
  </si>
  <si>
    <t>MFI Rating</t>
  </si>
  <si>
    <t>DWM scale</t>
  </si>
  <si>
    <t>M-Cril</t>
  </si>
  <si>
    <t>Microfinanza</t>
  </si>
  <si>
    <t>MicroRate</t>
  </si>
  <si>
    <t>Equilibrium</t>
  </si>
  <si>
    <t>Planet Rating</t>
  </si>
  <si>
    <t>Moody's</t>
  </si>
  <si>
    <t>Aaa</t>
  </si>
  <si>
    <t>AAA</t>
  </si>
  <si>
    <t>Aa1</t>
  </si>
  <si>
    <t>AA+</t>
  </si>
  <si>
    <t>Aa2</t>
  </si>
  <si>
    <t>AA</t>
  </si>
  <si>
    <t>Aa3</t>
  </si>
  <si>
    <t>AA-</t>
  </si>
  <si>
    <t>A1</t>
  </si>
  <si>
    <t>A+</t>
  </si>
  <si>
    <t>A2</t>
  </si>
  <si>
    <t>A</t>
  </si>
  <si>
    <t>a+++</t>
  </si>
  <si>
    <t>A3</t>
  </si>
  <si>
    <t>A-</t>
  </si>
  <si>
    <t>a++</t>
  </si>
  <si>
    <t>Baa1</t>
  </si>
  <si>
    <t>BBB+</t>
  </si>
  <si>
    <t>a+</t>
  </si>
  <si>
    <t>Baa2</t>
  </si>
  <si>
    <t>BBB</t>
  </si>
  <si>
    <t>a</t>
  </si>
  <si>
    <t>Baa3</t>
  </si>
  <si>
    <t>BBB-</t>
  </si>
  <si>
    <t>a-</t>
  </si>
  <si>
    <t>Ba1</t>
  </si>
  <si>
    <t>BB+</t>
  </si>
  <si>
    <t>b+</t>
  </si>
  <si>
    <t>B+</t>
  </si>
  <si>
    <t>Ba2</t>
  </si>
  <si>
    <t>BB</t>
  </si>
  <si>
    <t>b</t>
  </si>
  <si>
    <t>B</t>
  </si>
  <si>
    <t>Ba3</t>
  </si>
  <si>
    <t>BB-</t>
  </si>
  <si>
    <t>b-</t>
  </si>
  <si>
    <t>C/C+</t>
  </si>
  <si>
    <t>B-</t>
  </si>
  <si>
    <t>B1</t>
  </si>
  <si>
    <t>CCC</t>
  </si>
  <si>
    <t>g+</t>
  </si>
  <si>
    <t>C+</t>
  </si>
  <si>
    <t>B2</t>
  </si>
  <si>
    <t>CC</t>
  </si>
  <si>
    <t>g</t>
  </si>
  <si>
    <t>C</t>
  </si>
  <si>
    <t>B3</t>
  </si>
  <si>
    <t>C-</t>
  </si>
  <si>
    <t>Caa1</t>
  </si>
  <si>
    <t>CCC+</t>
  </si>
  <si>
    <t>D</t>
  </si>
  <si>
    <t>Caa2</t>
  </si>
  <si>
    <t>E</t>
  </si>
  <si>
    <t>Caa3</t>
  </si>
  <si>
    <t>CCC-</t>
  </si>
  <si>
    <t>Ca</t>
  </si>
  <si>
    <t xml:space="preserve">Country Rating: LT Foreign &amp; Local Currency </t>
  </si>
  <si>
    <t>Shareholder &amp; capital structure</t>
  </si>
  <si>
    <t>1. Total assets</t>
  </si>
  <si>
    <t>3. Profit</t>
  </si>
  <si>
    <t>4. Equity</t>
  </si>
  <si>
    <t>  I.    Capital structure</t>
  </si>
  <si>
    <t xml:space="preserve">Trends in profit &amp; capacity to increase profit </t>
  </si>
  <si>
    <t>Latin America &amp; Caribbean</t>
  </si>
  <si>
    <t>Operating self-sufficiency</t>
  </si>
  <si>
    <t>Quality of audit firm</t>
  </si>
  <si>
    <t>Management positions appropriately defined &amp; filled</t>
  </si>
  <si>
    <t>Sovereign debt ratings</t>
  </si>
  <si>
    <t>Weighting</t>
  </si>
  <si>
    <t>Management’s capacity to identify/ understand risk issues and capacity to manage it</t>
  </si>
  <si>
    <t>Value of micro loans/Loan portfolio</t>
  </si>
  <si>
    <t>Human resource policies (quality of hiring guidelines, training procedures, staff turnover)</t>
  </si>
  <si>
    <t>For qualitative factors please input value from scale: 1,2,3,4,5 (with 5: "best")</t>
  </si>
  <si>
    <t>Effective Rate</t>
  </si>
  <si>
    <t>Currency</t>
  </si>
  <si>
    <t>Reporting quality &amp; transparency (use MixMarket "diamond rating")</t>
  </si>
  <si>
    <t>Alignment of social indicators and mission</t>
  </si>
  <si>
    <t>Diversification of portfolio (geography/ products/ customer base)</t>
  </si>
  <si>
    <t>Please input values (no text) of the latest complete year to calculate ratios. If a value for a ratio is not available please give same score as for similar ratios in the same category.</t>
  </si>
  <si>
    <t xml:space="preserve">Portfolio growth over the past year </t>
  </si>
  <si>
    <t xml:space="preserve">Client growth over the past year </t>
  </si>
  <si>
    <t>Equity/Donations</t>
  </si>
  <si>
    <t>Projection</t>
  </si>
  <si>
    <t>Loan Officers</t>
  </si>
  <si>
    <t>Active Borrowers</t>
  </si>
  <si>
    <t>Average Loan/GDP</t>
  </si>
  <si>
    <t xml:space="preserve">Average Loan Size/GDP per capita </t>
  </si>
  <si>
    <t>Balance Sheet</t>
  </si>
  <si>
    <t>Definition</t>
  </si>
  <si>
    <t>Cash &amp; Due from Banks + cash reserves in central bank + Short term financial assets (investments that can be converted to cash &lt;12 months)</t>
  </si>
  <si>
    <t>All outstanding principal for all outstanding client loans, including current, delinquent and restructured loans, but not loans that have been written off. It does not include interest receivable. It does not include employee loans.</t>
  </si>
  <si>
    <t>Loan Loss Reserves</t>
  </si>
  <si>
    <t>Interest Receivable + Accounts Receivable + Long Term Financial Assets+ Net Fixed Assets + Other Assets</t>
  </si>
  <si>
    <t>Demand Deposits both Voluntary and Compulsory + Time Deposits</t>
  </si>
  <si>
    <t>Borrowings at Concessional Interest Rates</t>
  </si>
  <si>
    <t>Principal balance of all borrowings, including overdraft accounts, for which the institution pays a nominal rate of interest that is less than the local commercial interest rate</t>
  </si>
  <si>
    <t>Borrowings at Commercial Interest Rates</t>
  </si>
  <si>
    <t>Principal balance of all borrowings, including overdraft accounts, for which the institution pays a nominal rate of interest that is greater than to or equal to the local commercial interest rate</t>
  </si>
  <si>
    <t>Interest Payable + Accounts Payable + Other Liabilities (including tax and salary liabilities, social withholdings, deferred income, other accounts payable, including liabilities that do not fund the portfolio, such as mortgages on real estate)</t>
  </si>
  <si>
    <t>Total of All Equity Accounts</t>
  </si>
  <si>
    <t xml:space="preserve">Donated Equity: accumulated donations; Paid in capital : capital paid by shareholders or members </t>
  </si>
  <si>
    <t>Retained Earnings:  accumulated net income after taxes and donations; Reserves: reserves such as those imposed by law or statute</t>
  </si>
  <si>
    <t>Income Statement</t>
  </si>
  <si>
    <t>Total of revenue from loan portfolio and other financial assets, as well as other financial revenue from financial services.</t>
  </si>
  <si>
    <t>Total of financial expense on liabilities, cost-of funds adjustment and other expenses from financial services</t>
  </si>
  <si>
    <t>Net amount of inflation adjustment= Inflation Adjustment Revenue (Gain on the value of fixed assets due to inflation) - Inflation Adjustment Expense (Cost of maintaining the value of the institution’s equity). Foreign Exchange gains/losses.</t>
  </si>
  <si>
    <t>Sum of loan loss provision expense and recovery on loans written off.</t>
  </si>
  <si>
    <t>Total of Personnel Expense and Administrative Expense</t>
  </si>
  <si>
    <t>Revenue from activity unrelated to the MFI’s core activity of providing financial services. This could include consulting income, sale of IT products, or fees for business development services (BDS).</t>
  </si>
  <si>
    <t>Expenses from activity unrelated to the MFIs core activity of providing financial services, such as BDS development costs or consulting expenses</t>
  </si>
  <si>
    <t>Includes all taxes paid on Net Income or other measure of profits as defined by local tax authorities.</t>
  </si>
  <si>
    <t>Donations made to the MFI to subsidize its operations</t>
  </si>
  <si>
    <t>Dividends paid to employees and/or Shareholders</t>
  </si>
  <si>
    <t>Statistics</t>
  </si>
  <si>
    <t>Outstanding Portfolio with no delinquencies restructured or refinanced loans.</t>
  </si>
  <si>
    <t>Outstanding balance, loans overdue between 1- 30 Days</t>
  </si>
  <si>
    <t>Outstanding balance, loans overdue&gt; 30 Days</t>
  </si>
  <si>
    <t>Outstanding balance, loans overdue&gt; 180 Days</t>
  </si>
  <si>
    <t>All loans that have been restructured or refinanced</t>
  </si>
  <si>
    <t>All loans written off</t>
  </si>
  <si>
    <t>Number of Loan Officers</t>
  </si>
  <si>
    <t>Total Number of Loan Officers</t>
  </si>
  <si>
    <t>Total Number of Employees</t>
  </si>
  <si>
    <t>Total Number of Branches</t>
  </si>
  <si>
    <t>Number of loans outstanding, adjusted for standardized write-offs</t>
  </si>
  <si>
    <t>Number of borrowers with loans outstanding, adjusted for standardized write-offs</t>
  </si>
  <si>
    <t>Number of savers with voluntary savings demand deposit and time deposit accounts</t>
  </si>
  <si>
    <t>Operating Expense/Gross Loan Portfolio</t>
  </si>
  <si>
    <t>Net Income/Total Assets</t>
  </si>
  <si>
    <t>Net Income/Total Equity</t>
  </si>
  <si>
    <t>Financial Revenue/(Financial Expenses + Loan Loss Reserve + Operating Expenses)</t>
  </si>
  <si>
    <t>Adjusted Financial Revenue/(Adjusted Financial Expense + Adjusted Impairment Losses on Loans + Adjusted Operating Expense)</t>
  </si>
  <si>
    <t>Borrowings + Savings / Total Equity</t>
  </si>
  <si>
    <t>Write-offs/Gross Loan Portfolio</t>
  </si>
  <si>
    <t>Foreign Currency Covenant Ratio</t>
  </si>
  <si>
    <t>Average Loan size measured in currency of the investment (calculated as Gross Loan Portfolio divided by Number of Loans Outstanding)</t>
  </si>
  <si>
    <t>Note: Definitions for various items 
are hidden and locked on the definitions tab</t>
  </si>
  <si>
    <t>(Inputted as negative) The portion of the gross loan portfolio that has been expensed (provisioned for) in anticipation of losses due to default. This item represents the cumulative value of the loan loss provision expense, less the cumulative value of loans written off.</t>
  </si>
  <si>
    <t>Recovered loans</t>
  </si>
  <si>
    <t>Net Write-Offs</t>
  </si>
  <si>
    <t>*Note: GDP Per Capita is the nominal GDP from the EIU reports (not PPP)</t>
  </si>
  <si>
    <t>DWM Rating</t>
  </si>
  <si>
    <t>YE</t>
  </si>
  <si>
    <t>Liabilities in a Foreign Currency</t>
  </si>
  <si>
    <t xml:space="preserve"> </t>
  </si>
  <si>
    <t>REGION</t>
  </si>
  <si>
    <t>Region</t>
  </si>
  <si>
    <t>Solvency Ratio</t>
  </si>
  <si>
    <t>Restricted Cash</t>
  </si>
  <si>
    <t>Cash that has been pledged to secure borrowings, including any back-to-back loans</t>
  </si>
  <si>
    <t>Unrestricted Cash</t>
  </si>
  <si>
    <t>Cash that is not pledged to anything and is free for immediate use</t>
  </si>
  <si>
    <t>Senior Secured Debt</t>
  </si>
  <si>
    <t>Secured debt that is paid first in the event of a default.</t>
  </si>
  <si>
    <t>Senior Unsecured Debt</t>
  </si>
  <si>
    <t>Securities that have priority ahead of all other unsecured or subordinated debt for payment in the event of default.</t>
  </si>
  <si>
    <t>Subordinated Debt</t>
  </si>
  <si>
    <t xml:space="preserve">Debt that in the event of a default is repaid only after senior debt has been repaid. </t>
  </si>
  <si>
    <t>PAR (&gt;60 days)</t>
  </si>
  <si>
    <t>Outstanding balance, loans overdue&gt; 60 Days</t>
  </si>
  <si>
    <t>PAR (&gt;90 days)</t>
  </si>
  <si>
    <t>Outstanding balance, loans overdue&gt; 90 Days</t>
  </si>
  <si>
    <t>Options</t>
  </si>
  <si>
    <t>The total amount of currency one has the right to buy or sell at a specified price to hedge foreign currency exposures</t>
  </si>
  <si>
    <t>Forwards</t>
  </si>
  <si>
    <t>The total amount contracted to buy or sell a given currency at a specific future date</t>
  </si>
  <si>
    <t>Swaps</t>
  </si>
  <si>
    <t>The total nominal amount of Forex or Currency swap contracts which have been entered into with the purpose of hedging the MFI's foreign currency exposure</t>
  </si>
  <si>
    <t>Back-to-back loans</t>
  </si>
  <si>
    <t xml:space="preserve">The total principal amount of hard currency loans from funders placed as a deposit with a local bank as a security for a local currency loan.  This should be reported in local currency. </t>
  </si>
  <si>
    <t xml:space="preserve">       Restricted Cash</t>
  </si>
  <si>
    <t xml:space="preserve">       Unrestricted Cash</t>
  </si>
  <si>
    <t xml:space="preserve">       Short Term Investments</t>
  </si>
  <si>
    <t xml:space="preserve">       Total Borrowings at Concessional Interest Rates</t>
  </si>
  <si>
    <t xml:space="preserve">       Total Borrowings at Commercial Interest Rates</t>
  </si>
  <si>
    <t xml:space="preserve">       Senior Secured Debt</t>
  </si>
  <si>
    <t xml:space="preserve">       Senior Unsecured Debt</t>
  </si>
  <si>
    <t xml:space="preserve">       Subordinated Debt</t>
  </si>
  <si>
    <t>FOREIGN CURRENCY HEDGES</t>
  </si>
  <si>
    <t>Back-to-back Loans</t>
  </si>
  <si>
    <t>PAR (30-60 days)</t>
  </si>
  <si>
    <t>PAR (60-90 days)</t>
  </si>
  <si>
    <t>PAR (90-180 days)</t>
  </si>
  <si>
    <t>Date</t>
  </si>
  <si>
    <t>Quantitative Factors as of December 2008</t>
  </si>
  <si>
    <t>Amount</t>
  </si>
  <si>
    <t>Key Investment Details</t>
  </si>
  <si>
    <t>Legal Structure</t>
  </si>
  <si>
    <t>International Network</t>
  </si>
  <si>
    <t>Year Founded</t>
  </si>
  <si>
    <t>Other Key Financiers</t>
  </si>
  <si>
    <t>Donors</t>
  </si>
  <si>
    <t>Date of Last Visit</t>
  </si>
  <si>
    <t>DWM RM/Contact</t>
  </si>
  <si>
    <t>Prior Deals with DWM</t>
  </si>
  <si>
    <t>Rater</t>
  </si>
  <si>
    <t>Rating</t>
  </si>
  <si>
    <t>Deal Terms</t>
  </si>
  <si>
    <t xml:space="preserve">Type of Investment </t>
  </si>
  <si>
    <t>Interest Rate</t>
  </si>
  <si>
    <t>Disbursement(s)</t>
  </si>
  <si>
    <t>Fund Allocation (%)</t>
  </si>
  <si>
    <t>SIMF</t>
  </si>
  <si>
    <t>SIMF II</t>
  </si>
  <si>
    <t>DWMF</t>
  </si>
  <si>
    <t>Covenants</t>
  </si>
  <si>
    <t>FX Ratio</t>
  </si>
  <si>
    <t>Country Overview</t>
  </si>
  <si>
    <t>XXEB</t>
  </si>
  <si>
    <t>Main Indicators</t>
  </si>
  <si>
    <t>Solvency ratio (E/TA)</t>
  </si>
  <si>
    <t>Op. Self-Sufficiency</t>
  </si>
  <si>
    <t>Productivity</t>
  </si>
  <si>
    <t>Asset/Liability Ratios</t>
  </si>
  <si>
    <t>Total Lending Activity (GLP/TA)</t>
  </si>
  <si>
    <t>Liquidity Ratio (Cash/TA)</t>
  </si>
  <si>
    <t>Debt/Equity ratio (x)</t>
  </si>
  <si>
    <t>Asset Quality Ratios</t>
  </si>
  <si>
    <t>Loans Outstanding</t>
  </si>
  <si>
    <t>LLR/GLP</t>
  </si>
  <si>
    <t>Reporting Currency</t>
  </si>
  <si>
    <t>GLP (y-o-y growth)</t>
  </si>
  <si>
    <t>Borrowers (y-o-y growth)</t>
  </si>
  <si>
    <r>
      <t xml:space="preserve">For questions, suggestions, improvements but above all </t>
    </r>
    <r>
      <rPr>
        <u/>
        <sz val="10"/>
        <rFont val="Arial"/>
        <family val="2"/>
      </rPr>
      <t>changes</t>
    </r>
    <r>
      <rPr>
        <sz val="10"/>
        <rFont val="Arial"/>
        <family val="2"/>
      </rPr>
      <t xml:space="preserve"> to the layout of this document please mail to: alexander.lubeck@snsam.nl</t>
    </r>
  </si>
  <si>
    <r>
      <t>For following tranches</t>
    </r>
    <r>
      <rPr>
        <sz val="10"/>
        <rFont val="Arial"/>
        <family val="2"/>
      </rPr>
      <t xml:space="preserve"> the latest version will be used by DWM by filling out the next tranche as in step 2 and so on</t>
    </r>
  </si>
  <si>
    <r>
      <t>Finally,</t>
    </r>
    <r>
      <rPr>
        <sz val="10"/>
        <rFont val="Arial"/>
        <family val="2"/>
      </rPr>
      <t xml:space="preserve"> SNS conforms exchange rate to DWM after referencing with SNS AM Treasury desk. SNS names the latest version in a logical way, on-sends the latest doc to DWM. Both DWM and SNS save this latest version for later reference </t>
    </r>
  </si>
  <si>
    <r>
      <t>After that,</t>
    </r>
    <r>
      <rPr>
        <sz val="10"/>
        <rFont val="Arial"/>
        <family val="2"/>
      </rPr>
      <t xml:space="preserve"> DWM fills in the exchange rate at which the disbursement is being converted, name and date as well and on-send</t>
    </r>
  </si>
  <si>
    <r>
      <t>After receiving an approval</t>
    </r>
    <r>
      <rPr>
        <sz val="10"/>
        <rFont val="Arial"/>
        <family val="2"/>
      </rPr>
      <t xml:space="preserve"> for the chairman of the IC, SNS will fill out the dibursement date and loan numbers for the relevant tranche, fills out name and date and on-sends this document to DWM</t>
    </r>
  </si>
  <si>
    <r>
      <t>Following that</t>
    </r>
    <r>
      <rPr>
        <sz val="10"/>
        <rFont val="Arial"/>
        <family val="2"/>
      </rPr>
      <t>, SNS fills out the second table and once all points are checked and found ok, fills out name and date and on-sends the document to the Chairman of the IC for approval</t>
    </r>
  </si>
  <si>
    <t>If the first table is fully filled in, name and date are being filled out and all documents needed for disbursment of Tranche 1 are ready, this document is being on-send send with the first disbursement request to SNS</t>
  </si>
  <si>
    <t>Note that each tranche of a loan has a separate tab needs to be filled out. This will normally be at different moments in time</t>
  </si>
  <si>
    <r>
      <t>After approval in the IC</t>
    </r>
    <r>
      <rPr>
        <sz val="10"/>
        <rFont val="Arial"/>
        <family val="2"/>
      </rPr>
      <t>, SNS will on-send this document to DWM to fill out all requested data in the first table  in 'Tranche 1'</t>
    </r>
  </si>
  <si>
    <t xml:space="preserve">At this stage the entire excel file will be send together with the Investment Proposal to SNS IC </t>
  </si>
  <si>
    <t xml:space="preserve">It is important to note that both tables will be part of the final Investment Proposal. The data in this sheet will be leading. </t>
  </si>
  <si>
    <t>Once all data is filled in the name of the relevant person is stated as well as the date om completion</t>
  </si>
  <si>
    <t>These dealdata are split in 'Key investment details" and "Investment Mandate Restrictions" and are filled in by DWM</t>
  </si>
  <si>
    <r>
      <t>The first sheet:</t>
    </r>
    <r>
      <rPr>
        <sz val="10"/>
        <rFont val="Arial"/>
        <family val="2"/>
      </rPr>
      <t xml:space="preserve"> 'Dealdata IC proposal' captures all relevant deal data which is accompanying the Investment Proposal</t>
    </r>
  </si>
  <si>
    <t>The document is 'filled' by DWM and SNS interatively, step by step. This way, noise in communication will be kept at a minimum.</t>
  </si>
  <si>
    <r>
      <t>This worksheet</t>
    </r>
    <r>
      <rPr>
        <sz val="10"/>
        <rFont val="Arial"/>
        <family val="2"/>
      </rPr>
      <t xml:space="preserve"> is used to document the steps taken and dealdata needed to be captured by DWM and SNS </t>
    </r>
  </si>
  <si>
    <t xml:space="preserve">Key Investment Details: </t>
  </si>
  <si>
    <t xml:space="preserve">To be filled out by DWM </t>
  </si>
  <si>
    <t>Dimension</t>
  </si>
  <si>
    <t>MFI:</t>
  </si>
  <si>
    <t>SAM</t>
  </si>
  <si>
    <t>SA</t>
  </si>
  <si>
    <t>South America</t>
  </si>
  <si>
    <t>COUNTRY/REGION :</t>
  </si>
  <si>
    <t>CAM.CAR</t>
  </si>
  <si>
    <t>CAC</t>
  </si>
  <si>
    <t>Central America &amp; Caribbean</t>
  </si>
  <si>
    <t>SAS.SEAAS</t>
  </si>
  <si>
    <t>SSEA</t>
  </si>
  <si>
    <t>South &amp; Southeast Asia</t>
  </si>
  <si>
    <t>LEGAL STATUS:</t>
  </si>
  <si>
    <t>MEA.AF</t>
  </si>
  <si>
    <t>AF</t>
  </si>
  <si>
    <t>Middle East &amp; Africa</t>
  </si>
  <si>
    <t>YEAR FOUNDED:</t>
  </si>
  <si>
    <t>EAEU</t>
  </si>
  <si>
    <t>EER</t>
  </si>
  <si>
    <t>Eastern Europe &amp; Russia</t>
  </si>
  <si>
    <t>DWM RATING:</t>
  </si>
  <si>
    <t>CAU.CEAS</t>
  </si>
  <si>
    <t>CCA</t>
  </si>
  <si>
    <t>Caucasus &amp; Central Asia</t>
  </si>
  <si>
    <t>Rating(s) of the MFI and Rating(s) Provider(s)</t>
  </si>
  <si>
    <t>EUR EX. GB</t>
  </si>
  <si>
    <t>EUR?</t>
  </si>
  <si>
    <t xml:space="preserve">Europe </t>
  </si>
  <si>
    <t>TIER:</t>
  </si>
  <si>
    <t>DIV</t>
  </si>
  <si>
    <t>Diversified</t>
  </si>
  <si>
    <t>Type of Investment</t>
  </si>
  <si>
    <t>POTENTIAL CONFLICT WITH DWM:</t>
  </si>
  <si>
    <t>Debt, Senior</t>
  </si>
  <si>
    <t xml:space="preserve">Debt, Subordinated with terms set at start of loan, </t>
  </si>
  <si>
    <t>TYPE OF INVESTMENT:</t>
  </si>
  <si>
    <t>Equity Related, Subordinated with terms contingent on capital performance</t>
  </si>
  <si>
    <t>CURRENCY:</t>
  </si>
  <si>
    <t>INTEREST RATE:</t>
  </si>
  <si>
    <t>SECURITY:</t>
  </si>
  <si>
    <t>COMMITMENT FEE:</t>
  </si>
  <si>
    <t xml:space="preserve">KEY OTHER FINANCIERS: </t>
  </si>
  <si>
    <t xml:space="preserve">DONORS: </t>
  </si>
  <si>
    <t>NETWORKS:</t>
  </si>
  <si>
    <t>Investments details mandate restriction</t>
  </si>
  <si>
    <t>Total Equity (USD)</t>
  </si>
  <si>
    <t>Registration with regulator needed?</t>
  </si>
  <si>
    <t>Additional action needed for tax status?</t>
  </si>
  <si>
    <t>Fund Assets (in EUR)</t>
  </si>
  <si>
    <t>Filled by</t>
  </si>
  <si>
    <t>Name:</t>
  </si>
  <si>
    <t xml:space="preserve">Contact at MFI </t>
  </si>
  <si>
    <t>Relationship Manager</t>
  </si>
  <si>
    <t>Date:</t>
  </si>
  <si>
    <t>To</t>
  </si>
  <si>
    <t>Potential Conflicts with DWM</t>
  </si>
  <si>
    <r>
      <t xml:space="preserve">Loan Loss Provisions </t>
    </r>
    <r>
      <rPr>
        <b/>
        <sz val="11"/>
        <rFont val="Calibri"/>
        <family val="2"/>
      </rPr>
      <t>/</t>
    </r>
    <r>
      <rPr>
        <sz val="11"/>
        <rFont val="Calibri"/>
        <family val="2"/>
      </rPr>
      <t xml:space="preserve"> PAR&gt;30 + Restructured &amp; Refinanced Loans</t>
    </r>
  </si>
  <si>
    <r>
      <t xml:space="preserve">(Assets in a Foreign Currency </t>
    </r>
    <r>
      <rPr>
        <b/>
        <sz val="11"/>
        <color indexed="8"/>
        <rFont val="Calibri"/>
        <family val="2"/>
      </rPr>
      <t>-</t>
    </r>
    <r>
      <rPr>
        <sz val="11"/>
        <color indexed="8"/>
        <rFont val="Calibri"/>
        <family val="2"/>
      </rPr>
      <t xml:space="preserve"> Liabilities in a Foreign Currency) </t>
    </r>
    <r>
      <rPr>
        <b/>
        <sz val="11"/>
        <color indexed="8"/>
        <rFont val="Calibri"/>
        <family val="2"/>
      </rPr>
      <t>/</t>
    </r>
    <r>
      <rPr>
        <sz val="11"/>
        <color indexed="8"/>
        <rFont val="Calibri"/>
        <family val="2"/>
      </rPr>
      <t xml:space="preserve">  (Total Company Equity)</t>
    </r>
  </si>
  <si>
    <t>Loan officer productivity (clients / LO)</t>
  </si>
  <si>
    <t>Staff productivity (clients / employee)</t>
  </si>
  <si>
    <t>Loan Portfolio</t>
  </si>
  <si>
    <t>Gross Loan Portfolio Growth (Y-o-Y)</t>
  </si>
  <si>
    <t>Net Loan Portfolio</t>
  </si>
  <si>
    <t xml:space="preserve">Balance Sheet Check: </t>
  </si>
  <si>
    <t>PORTFOLIO QUALITY</t>
  </si>
  <si>
    <t>ORGANIZATIONAL DATA</t>
  </si>
  <si>
    <t>LTM</t>
  </si>
  <si>
    <t>NA</t>
  </si>
  <si>
    <t>Average Exchange Rate (y-o-y)</t>
  </si>
  <si>
    <t>Average Exchange Rate (ytd)</t>
  </si>
  <si>
    <t>Foreign Exchange Rate [USD / EURO]</t>
  </si>
  <si>
    <t xml:space="preserve">Loan Portfolio Check: </t>
  </si>
  <si>
    <t>Avg. Cost of Borrowing</t>
  </si>
  <si>
    <t>Portfolio Yield (as % of GLP)</t>
  </si>
  <si>
    <t>Financial Exp. Ratio (as % of GLP)</t>
  </si>
  <si>
    <t>Provision Exp. Ratio (as % of GLP)</t>
  </si>
  <si>
    <t>OpEx Ratio (as % of GLP)</t>
  </si>
  <si>
    <t>Profitability Ratios</t>
  </si>
  <si>
    <t>Risk Coverage (LLR / PAR &gt;30 days + R&amp;R)</t>
  </si>
  <si>
    <t>Net Operating Income Margin</t>
  </si>
  <si>
    <t>Net Income Margin (%)</t>
  </si>
  <si>
    <t>Dividend Payout Ratio</t>
  </si>
  <si>
    <t>WO / (PAR &gt;30 days + R&amp;R)</t>
  </si>
  <si>
    <t>R&amp;R / Par &gt;30 days</t>
  </si>
  <si>
    <t>ASSET / LIABILITY MATURITY SCHEDULE</t>
  </si>
  <si>
    <t>Principal</t>
  </si>
  <si>
    <t>Assets</t>
  </si>
  <si>
    <t>Interest</t>
  </si>
  <si>
    <t>New Debt Needs</t>
  </si>
  <si>
    <t>Total Debt Needs</t>
  </si>
  <si>
    <t>New Origination Needs</t>
  </si>
  <si>
    <t>Maturing Loans</t>
  </si>
  <si>
    <t>Total Origination Needs</t>
  </si>
  <si>
    <t>BOP Loans Outstanding</t>
  </si>
  <si>
    <t>EOP Loans</t>
  </si>
  <si>
    <t>Supporting ratios</t>
  </si>
  <si>
    <t>Net Monetary / Inflation Adj. as % of GLP</t>
  </si>
  <si>
    <t>Other Financial Service as % of Financial Revenues</t>
  </si>
  <si>
    <t>Income Tax Rate (%)</t>
  </si>
  <si>
    <t>Income Tax Rate</t>
  </si>
  <si>
    <t>Provision Expense / PAR &gt;30 days + R&amp;R</t>
  </si>
  <si>
    <t>MANAGEMENT PROJECTIONS</t>
  </si>
  <si>
    <t>Choose Case for Projections</t>
  </si>
  <si>
    <t>Last Fiscal Year</t>
  </si>
  <si>
    <t>Management</t>
  </si>
  <si>
    <t>Cash as a % of GLP</t>
  </si>
  <si>
    <t>Recovered Loans / WO</t>
  </si>
  <si>
    <t>Deposit Ratio (% of GLP)</t>
  </si>
  <si>
    <t>DWM STRESS</t>
  </si>
  <si>
    <t>DWM BASE</t>
  </si>
  <si>
    <t>DWM Base</t>
  </si>
  <si>
    <t>DWM Stress</t>
  </si>
  <si>
    <t>(Discount) / Premium</t>
  </si>
  <si>
    <t>Projections Output Reset</t>
  </si>
  <si>
    <t>Reset Mode</t>
  </si>
  <si>
    <t>Active Mode</t>
  </si>
  <si>
    <t>MANAGEMENT</t>
  </si>
  <si>
    <t>Backup Tab for Management Projections</t>
  </si>
  <si>
    <t>Active Borrowers Growth (Y-o-Y)</t>
  </si>
  <si>
    <t>Savings / TA</t>
  </si>
  <si>
    <t>Borrowings / TA</t>
  </si>
  <si>
    <t>Average Loan Size (USD)</t>
  </si>
  <si>
    <t>GDP Per Capita* (USD)</t>
  </si>
  <si>
    <t>[$&gt;0 &amp; &lt;=500]</t>
  </si>
  <si>
    <t>Product</t>
  </si>
  <si>
    <t>Amount Outstanding</t>
  </si>
  <si>
    <t>% of the Portfolio</t>
  </si>
  <si>
    <t>Amount in PAR&gt;30 Days</t>
  </si>
  <si>
    <t>PAR&gt;30 Days as % of the Portfolio</t>
  </si>
  <si>
    <t>Guarantee / Coverage required (%)</t>
  </si>
  <si>
    <t>Microenterprise</t>
  </si>
  <si>
    <t>Consumer</t>
  </si>
  <si>
    <t>Housing</t>
  </si>
  <si>
    <t>Other</t>
  </si>
  <si>
    <t>Daily</t>
  </si>
  <si>
    <t>Weekly</t>
  </si>
  <si>
    <t>Monthly</t>
  </si>
  <si>
    <t>Quarterly</t>
  </si>
  <si>
    <t>Semi-annual</t>
  </si>
  <si>
    <t>Annual</t>
  </si>
  <si>
    <t>Amortization</t>
  </si>
  <si>
    <t>At maturity</t>
  </si>
  <si>
    <t>Small/Mid enterprise</t>
  </si>
  <si>
    <t>PORTFOLIO BY PRODUCT</t>
  </si>
  <si>
    <t>PORTFOLIO BY ACTIVITY</t>
  </si>
  <si>
    <t>Agriculture</t>
  </si>
  <si>
    <t>PORTFOLIO BY LOAN SIZE</t>
  </si>
  <si>
    <t>Loan Size</t>
  </si>
  <si>
    <t>Name of the Region/Province</t>
  </si>
  <si>
    <t>PORTFOLIO BY BRANCH</t>
  </si>
  <si>
    <t>Branch</t>
  </si>
  <si>
    <t>LARGEST 10 LOANS IN THE PORTFOLIO</t>
  </si>
  <si>
    <t>Name of Borrower</t>
  </si>
  <si>
    <t>Average Maturity (months)</t>
  </si>
  <si>
    <t>Maturity (months)</t>
  </si>
  <si>
    <t>RATINGS AND EXTERNAL AUDIT</t>
  </si>
  <si>
    <t>Name of Institution</t>
  </si>
  <si>
    <t>Outlook</t>
  </si>
  <si>
    <t>LIST OF MAIN COMPETITORS</t>
  </si>
  <si>
    <t>Name</t>
  </si>
  <si>
    <t>LOAN SIZE/GDP PER CAPITA</t>
  </si>
  <si>
    <t>Historical and Projected Inputs</t>
  </si>
  <si>
    <t>BREAKDOWN OF CLIENTS AND PORFTOLIO BY TYPES</t>
  </si>
  <si>
    <t>Portfolio and Other Inputs</t>
  </si>
  <si>
    <t>(1)  In case of variable rates, specify the reference rate, the spread and the floor/roof (if applicable)</t>
  </si>
  <si>
    <t>Date of Disbursement</t>
  </si>
  <si>
    <t>Outstanding Balance</t>
  </si>
  <si>
    <t>Date of Maturity</t>
  </si>
  <si>
    <t>Maturity 
(months)</t>
  </si>
  <si>
    <t>% of Borrowings</t>
  </si>
  <si>
    <t>Name of Lender</t>
  </si>
  <si>
    <t>Name of Shareholder</t>
  </si>
  <si>
    <t>LIST OF LENDERS</t>
  </si>
  <si>
    <t>LIST OF 10 LARGEST EQUITYHOLDERS</t>
  </si>
  <si>
    <t>Date of Entry</t>
  </si>
  <si>
    <t>BOARD MEMBERS</t>
  </si>
  <si>
    <t>Liabilities, Shareholders, Board and Management</t>
  </si>
  <si>
    <t>Title</t>
  </si>
  <si>
    <t>Company</t>
  </si>
  <si>
    <t>Display Data in Currency:</t>
  </si>
  <si>
    <t>to DWM Base</t>
  </si>
  <si>
    <t>Projection Assumptions</t>
  </si>
  <si>
    <t>Portfolio % Breakdown</t>
  </si>
  <si>
    <t>% Breakdown by Clients</t>
  </si>
  <si>
    <t xml:space="preserve">  Other Liabilities</t>
  </si>
  <si>
    <t>% of Total Equity</t>
  </si>
  <si>
    <t>Definitions</t>
  </si>
  <si>
    <t xml:space="preserve">Donated Equity and paid-in-capital </t>
  </si>
  <si>
    <t>Retained Earnings, Reserves &amp; Other</t>
  </si>
  <si>
    <t xml:space="preserve">   Other Assets</t>
  </si>
  <si>
    <t>Total Assets  in a Foreign Currency</t>
  </si>
  <si>
    <t>Ratios for Projections</t>
  </si>
  <si>
    <t>Equity Injections</t>
  </si>
  <si>
    <t>Provision Expense (as % of GLP)</t>
  </si>
  <si>
    <t>Institution</t>
  </si>
  <si>
    <t>% of Funds</t>
  </si>
  <si>
    <t>Fund</t>
  </si>
  <si>
    <t>Tenor (M)</t>
  </si>
  <si>
    <t>Repayment Schedule</t>
  </si>
  <si>
    <t>Allocation</t>
  </si>
  <si>
    <t>SIMF I</t>
  </si>
  <si>
    <t>FC LT Debt</t>
  </si>
  <si>
    <t>LC LT Debt</t>
  </si>
  <si>
    <t>Ratings (most recent)</t>
  </si>
  <si>
    <t>Ratings (other)</t>
  </si>
  <si>
    <t>Audit (most recent)</t>
  </si>
  <si>
    <t>Debt Exposure</t>
  </si>
  <si>
    <t>Equity Exposure</t>
  </si>
  <si>
    <t>Total Exposure</t>
  </si>
  <si>
    <t>DWMQ</t>
  </si>
  <si>
    <t>Spread</t>
  </si>
  <si>
    <t>Portfolio Yield</t>
  </si>
  <si>
    <t>Financial Exp. Ratio</t>
  </si>
  <si>
    <t>Provision Exp. Ratio</t>
  </si>
  <si>
    <t>OpEx Ratio</t>
  </si>
  <si>
    <t>PAR&gt;30 Days (%)</t>
  </si>
  <si>
    <t>Graphs and Table Outputs</t>
  </si>
  <si>
    <t>Graph 1. Portfolio and Borrower Growth</t>
  </si>
  <si>
    <t>Graph 2. Portfolio Quality Evolution</t>
  </si>
  <si>
    <t>Graph 3. Portfolio Yield &amp; Expenses as a % of GLP</t>
  </si>
  <si>
    <t>Graph 4. Funding structure</t>
  </si>
  <si>
    <t>Graph 5. PAR Structure and Risk Coverage</t>
  </si>
  <si>
    <t>Graph 6. PAR by Loan Size</t>
  </si>
  <si>
    <t>Deposits</t>
  </si>
  <si>
    <t>Funds from the current proposal</t>
  </si>
  <si>
    <t>Funding gap</t>
  </si>
  <si>
    <t>Amount (in USD)</t>
  </si>
  <si>
    <t>Fees</t>
  </si>
  <si>
    <t>Total Funding</t>
  </si>
  <si>
    <t>FC Rate Weighing</t>
  </si>
  <si>
    <t>LC Rate Weighing</t>
  </si>
  <si>
    <t>Other funds currently secured</t>
  </si>
  <si>
    <t>Table 1. SNS / DWM Debt Schedule</t>
  </si>
  <si>
    <t>Apr-10</t>
  </si>
  <si>
    <t>May-10</t>
  </si>
  <si>
    <t>Jul-10</t>
  </si>
  <si>
    <t>Sep-10</t>
  </si>
  <si>
    <t>Jan-11</t>
  </si>
  <si>
    <t>May-11</t>
  </si>
  <si>
    <t>Sep-11</t>
  </si>
  <si>
    <t>Mar-12</t>
  </si>
  <si>
    <t>Jul-13</t>
  </si>
  <si>
    <t>BOP Balance</t>
  </si>
  <si>
    <t>New Loan</t>
  </si>
  <si>
    <t>Payments</t>
  </si>
  <si>
    <t>EOP Total</t>
  </si>
  <si>
    <t>BOP Borrowings</t>
  </si>
  <si>
    <t>Maturing Principal</t>
  </si>
  <si>
    <t>EOP Borrowings</t>
  </si>
  <si>
    <t>UN-HEDGED FOREIGN CURRENCY EXPOSURE</t>
  </si>
  <si>
    <t>Amount  (USD)</t>
  </si>
  <si>
    <t>Amount (USD)</t>
  </si>
  <si>
    <t>Country Exposure in USD</t>
  </si>
  <si>
    <t>USD 000's</t>
  </si>
  <si>
    <t>nvt</t>
  </si>
  <si>
    <t>Waarschijnlijk geen gegevens beschikbaar</t>
  </si>
  <si>
    <t>yes</t>
  </si>
  <si>
    <t>Max expected maturity &lt; Max Maturity</t>
  </si>
  <si>
    <t>&lt;20%</t>
  </si>
  <si>
    <t>Waarschijnlijk geen gegevens beschikbaar ? Max % MFI shorter 3 years 20%</t>
  </si>
  <si>
    <t>&lt;10%</t>
  </si>
  <si>
    <t>UnHedged+crosshedged Currency of proposal in % of Committed Capital</t>
  </si>
  <si>
    <t>UnHedged+crosshedged Currency of proposal in % of Total Assets</t>
  </si>
  <si>
    <t>&lt; 30%</t>
  </si>
  <si>
    <t>Unhedged + Cross Hedged non USD/EURO in % of Committed Capital</t>
  </si>
  <si>
    <t>Unhedged + Cross Hedged non USD/EURO in % of Total Assets</t>
  </si>
  <si>
    <t>&lt; 60%</t>
  </si>
  <si>
    <t>Amount invested EER, CCA as % of Committed Capital (manual)</t>
  </si>
  <si>
    <t>Amount invested EER, CCA as % of Total Assets (manual)</t>
  </si>
  <si>
    <t>Amount invested SA, CAC as % of Committed Capital (manual)</t>
  </si>
  <si>
    <t>Amount invested SA, CAC as % of Total Assets (manual)</t>
  </si>
  <si>
    <t>&lt; 15%</t>
  </si>
  <si>
    <t>Total Country of  MFI Investment in % of Committed Capital</t>
  </si>
  <si>
    <t>Total Country of  MFI Investment in % of Total Assets</t>
  </si>
  <si>
    <t>&lt; 35%</t>
  </si>
  <si>
    <t>Total Region of MFI Investment in % of Committed Capital</t>
  </si>
  <si>
    <t>Total Region of MFI Investment in % of Total Assets</t>
  </si>
  <si>
    <t>&gt; 15% voor NGO</t>
  </si>
  <si>
    <t>&gt; 12.5% voor Non Regulated MFI</t>
  </si>
  <si>
    <t>&gt;8 % voor Regulated Ban</t>
  </si>
  <si>
    <t>Total Equity and Equity Related in MFI as % of Total Equity MFI</t>
  </si>
  <si>
    <t>&lt; 25%</t>
  </si>
  <si>
    <t>Total capital invested in MFI as % of MFI Total Assets</t>
  </si>
  <si>
    <t>&lt; 10%</t>
  </si>
  <si>
    <t>Total capital invested in MFI as % of Committed Capital</t>
  </si>
  <si>
    <t>Total capital invested in MFI as % of Total Assets</t>
  </si>
  <si>
    <t>Non rated as % of Committed Capital</t>
  </si>
  <si>
    <t>Non rated as % of Total Assets</t>
  </si>
  <si>
    <t>MF related entities as % of Commited Capital</t>
  </si>
  <si>
    <t>MF related entities as % of Total Assets</t>
  </si>
  <si>
    <t>Equity/Equity Related as % of Committed Capital</t>
  </si>
  <si>
    <t>Equity/Equity Related as % of Fund total</t>
  </si>
  <si>
    <t>&gt; 70%</t>
  </si>
  <si>
    <t>Debt as % of Committed Capital</t>
  </si>
  <si>
    <t>Debt as % of Fund total</t>
  </si>
  <si>
    <t>Ratio's after proposed transaction</t>
  </si>
  <si>
    <t>leontine.baars@snsam.nl; bob.vanderveen@snsam.nl; jeroen.verberk@snsam.nl; theo.brouwers@snsam.nl</t>
  </si>
  <si>
    <t>cc:</t>
  </si>
  <si>
    <t>judy@dwmarkets.com; joy@dwmarkets.com; barbara@dwmarkets.com</t>
  </si>
  <si>
    <t>To:</t>
  </si>
  <si>
    <t>sinisa.vukic@snsam.nl; bart.vandekamer@snsam.nl; alexander.lubeck@snsam.nl; ruben.smit@snsam.nl</t>
  </si>
  <si>
    <t>From:</t>
  </si>
  <si>
    <t>Unhedged or crosshedged Non USD/EUR: yes/no</t>
  </si>
  <si>
    <t>Other information needed</t>
  </si>
  <si>
    <t>Alexander Lubeck</t>
  </si>
  <si>
    <t>% Loans longer max maturity Minus 2 years</t>
  </si>
  <si>
    <t>Max Maturity</t>
  </si>
  <si>
    <t>% MFI aged under 3 years</t>
  </si>
  <si>
    <t>UnHedged+crosshedged Debt in Currency of proposal in (EUR)</t>
  </si>
  <si>
    <t>UnHedged+crosshedged Debt Non USD/EUR total (Euro)</t>
  </si>
  <si>
    <t>Amount invested in Eastern Europe &amp; Russia and Caucasus &amp;Central Asia(EUR)</t>
  </si>
  <si>
    <t>Amount invested in South America, Central America and Caribbean (EUR)</t>
  </si>
  <si>
    <t>Amount invested in Country of MFI proposed (EUR)</t>
  </si>
  <si>
    <t>Amount invested in Region of MFI proposed (EUR)</t>
  </si>
  <si>
    <t>MFI Related (EUR)</t>
  </si>
  <si>
    <t>MFI's (EUR)</t>
  </si>
  <si>
    <t>Non Rated MFI's (EUR)</t>
  </si>
  <si>
    <t>Rated MFI's (EUR)</t>
  </si>
  <si>
    <t xml:space="preserve">Committed Capital Fund </t>
  </si>
  <si>
    <t xml:space="preserve">Total Cash </t>
  </si>
  <si>
    <t>Total Equity and Equity Related Assets (EUR)</t>
  </si>
  <si>
    <t>Total debt assets Fund  (EUR)</t>
  </si>
  <si>
    <t>Data Latest Monthly Portfolio numbers</t>
  </si>
  <si>
    <t xml:space="preserve">To be filled out by SNS </t>
  </si>
  <si>
    <t>MF Related: Yes/No</t>
  </si>
  <si>
    <t>Data on MFI: latest available unaudited report</t>
  </si>
  <si>
    <t>To be filled out by DWM</t>
  </si>
  <si>
    <t>USD/EUR</t>
  </si>
  <si>
    <t>leontine.baars@snsam.nl; bob.vanderveen@snsam.nl; jeroen.verberk@snsam.nl</t>
  </si>
  <si>
    <t>theo.brouwers@snsam.nl; sinisa.vukic@snsam.nl; bart.vandekamer@snsam.nl; alexander.lubeck@snsam.nl; ruben.smit@snsam.nl</t>
  </si>
  <si>
    <t>judy@dwmarkets.com;</t>
  </si>
  <si>
    <t>Special checks on follow-on disbursements?</t>
  </si>
  <si>
    <t>PROPOSED DISBURSEMENT DATE dd-mm-yy</t>
  </si>
  <si>
    <r>
      <t xml:space="preserve">FX </t>
    </r>
    <r>
      <rPr>
        <sz val="10"/>
        <color indexed="8"/>
        <rFont val="Arial"/>
        <family val="2"/>
      </rPr>
      <t xml:space="preserve">Mismatch as % of Equity: </t>
    </r>
    <r>
      <rPr>
        <sz val="10"/>
        <rFont val="Arial"/>
        <family val="2"/>
      </rPr>
      <t xml:space="preserve"> COVENANT:       Actual:</t>
    </r>
  </si>
  <si>
    <t>SOLVENCY:   COVENANT:       Actual:</t>
  </si>
  <si>
    <t xml:space="preserve">WRITE-OFF:   COVENANT:       Actual: </t>
  </si>
  <si>
    <t xml:space="preserve">PAR&gt;30+RR:  COVENANT        Actual: </t>
  </si>
  <si>
    <t>MATURITY / REPAYMENT: DD-MM-YY</t>
  </si>
  <si>
    <t>CURRENT PRICE PER SHARE-ADJUSTED</t>
  </si>
  <si>
    <t>SUBSCRIPTION PRICE PER SHARE</t>
  </si>
  <si>
    <t>DISBURSEMENT(S):/CAPITAL CALLS:</t>
  </si>
  <si>
    <t>AMOUNT / COMMITTED AMOUNT (EQUITY)</t>
  </si>
  <si>
    <t>sinisa.vukic@snsam.nl/bart.vandekamer@snsam.nl/alexander.lubeck@snsam.nl/ruben.smit@snsam.nl; jeroen.verberk@snsam.nl</t>
  </si>
  <si>
    <t>leontine.baars@snsam.nl/bob.vanderveen@snsam.nl</t>
  </si>
  <si>
    <t xml:space="preserve">From: </t>
  </si>
  <si>
    <t>Send to DWM administration</t>
  </si>
  <si>
    <t>Conformation FX rate</t>
  </si>
  <si>
    <t>To be filled by SNS</t>
  </si>
  <si>
    <t>send to SAM administration</t>
  </si>
  <si>
    <t>Source for FX rate</t>
  </si>
  <si>
    <t>FX rate used to convert in denominated currency</t>
  </si>
  <si>
    <t>To be filled by DWM</t>
  </si>
  <si>
    <t>sinisa.vukic@snsam.nl; bart.vandekamer@snsam.nl; alexander.lubeck@snsam.nl; ruben.smit@snsam.nl; jeroen.verberk@snsam.nl; theo.brouwers@snsam.nl</t>
  </si>
  <si>
    <t>leontine.baars@snsam.nl; bob.vanderveen@snsam.nl</t>
  </si>
  <si>
    <t>Send to DWM</t>
  </si>
  <si>
    <t>Reference number of loan</t>
  </si>
  <si>
    <r>
      <t xml:space="preserve">Disbursement Date </t>
    </r>
    <r>
      <rPr>
        <i/>
        <sz val="11"/>
        <rFont val="Arial"/>
        <family val="2"/>
      </rPr>
      <t>actual</t>
    </r>
  </si>
  <si>
    <t>To be filled by SIMF Administration after approval by Chairman IC by mail</t>
  </si>
  <si>
    <t>Send to Chairman of Investment Committee with request for disbursement approval</t>
  </si>
  <si>
    <t>Confirmed / Not confirmed</t>
  </si>
  <si>
    <t>Confirmation of data provided by DWM</t>
  </si>
  <si>
    <t>Business Classification</t>
  </si>
  <si>
    <t>theo.brouwers@snsam.nl</t>
  </si>
  <si>
    <t>Signatures:</t>
  </si>
  <si>
    <t>Loan/Shareholders Agreement</t>
  </si>
  <si>
    <t>Legal Opinion:</t>
  </si>
  <si>
    <t>Board Resolution:</t>
  </si>
  <si>
    <t>Fees:</t>
  </si>
  <si>
    <t>Covenants:</t>
  </si>
  <si>
    <t xml:space="preserve">Terms: </t>
  </si>
  <si>
    <t xml:space="preserve">Amount: </t>
  </si>
  <si>
    <t>To be Filled by SIMF Investment Committee members</t>
  </si>
  <si>
    <t>ruben.smit@snsam.nl; bart.vandekamer@snsam.nl; jeroen.verberk@snsam.nl</t>
  </si>
  <si>
    <t>Receiving Counterpart - ABA number</t>
  </si>
  <si>
    <t>theo.brouwers@snsam.nl; sinisa.vukic@snsam.nl; alexander.lubeck@snsam.nl; leontine.baars@snsam.nl; bob.vanderveen@snsam.nl</t>
  </si>
  <si>
    <t>Receiving Counterpart - IBAN number within Europe</t>
  </si>
  <si>
    <t>barbara@dwmarkets</t>
  </si>
  <si>
    <t>joy@dwmarkets</t>
  </si>
  <si>
    <t>Receiving Counterpart - Bank</t>
  </si>
  <si>
    <t>Receiving Counterpart - Name</t>
  </si>
  <si>
    <t>Correspondent Bank - Bank account</t>
  </si>
  <si>
    <t>Correspondent Bank - Name</t>
  </si>
  <si>
    <t>Maturity Date of this Disbursement SIMF 2</t>
  </si>
  <si>
    <t>Maturity Date of this Disbursement SIMF 1</t>
  </si>
  <si>
    <r>
      <t>Maturity</t>
    </r>
    <r>
      <rPr>
        <sz val="11"/>
        <color indexed="17"/>
        <rFont val="Arial"/>
        <family val="2"/>
      </rPr>
      <t xml:space="preserve"> Loan</t>
    </r>
  </si>
  <si>
    <t>Coupon Frequency</t>
  </si>
  <si>
    <t>Coupon Date (interest accrued from date)</t>
  </si>
  <si>
    <t>1st Coupon Date</t>
  </si>
  <si>
    <t>Coupon net of Withholding Tax</t>
  </si>
  <si>
    <t>Withholding Tax</t>
  </si>
  <si>
    <t>Interest convention</t>
  </si>
  <si>
    <t>Coupon Percentage</t>
  </si>
  <si>
    <t>Determined base rate (%)</t>
  </si>
  <si>
    <r>
      <t xml:space="preserve">Base rate </t>
    </r>
    <r>
      <rPr>
        <sz val="11"/>
        <color indexed="17"/>
        <rFont val="Arial"/>
        <family val="2"/>
      </rPr>
      <t>Loan</t>
    </r>
  </si>
  <si>
    <t>Currency of Denomination</t>
  </si>
  <si>
    <t>Fees withheld (total)</t>
  </si>
  <si>
    <t># of #</t>
  </si>
  <si>
    <t>Disbursement # / Capital call #</t>
  </si>
  <si>
    <t>Number of shares</t>
  </si>
  <si>
    <t>Disbursement date requested</t>
  </si>
  <si>
    <t>Currency of Disbursement</t>
  </si>
  <si>
    <t xml:space="preserve">           Amount disbursed from SIMF2</t>
  </si>
  <si>
    <t xml:space="preserve">           Amount disbursed from SIMF1</t>
  </si>
  <si>
    <t>Judy@dwmarkets.com; peter@dwmarkets.com</t>
  </si>
  <si>
    <r>
      <t xml:space="preserve">Disbursement amount </t>
    </r>
    <r>
      <rPr>
        <b/>
        <sz val="11"/>
        <color indexed="17"/>
        <rFont val="Arial"/>
        <family val="2"/>
      </rPr>
      <t>(Per Tranche)</t>
    </r>
  </si>
  <si>
    <t>Barbara@dwmarkets.com; joy@dwmarkets.com</t>
  </si>
  <si>
    <r>
      <t xml:space="preserve">To be filled by DWM </t>
    </r>
    <r>
      <rPr>
        <b/>
        <sz val="11"/>
        <color indexed="17"/>
        <rFont val="Arial"/>
        <family val="2"/>
      </rPr>
      <t>after IC Approval</t>
    </r>
  </si>
  <si>
    <t>Country</t>
  </si>
  <si>
    <t>FUNDS COUNTRY INVESTMENT (USD)</t>
  </si>
  <si>
    <t>PRIOR DEALS WITH DWM (USD):</t>
  </si>
  <si>
    <t>PAR30 + Restructured Ratio</t>
  </si>
  <si>
    <t>Equity and Equity related to be Provided with transaction (USD)</t>
  </si>
  <si>
    <t>Existing Equity and Equity Related invested in MFI (USD)</t>
  </si>
  <si>
    <t>Debt to be provided in MFI (USD)</t>
  </si>
  <si>
    <t>Existing Invested Debt  in MFI (USD)</t>
  </si>
  <si>
    <t>Total existing Assets of MFI (USD)</t>
  </si>
  <si>
    <t>Write-off Policy (# of Days until delinquent loan is written off)</t>
  </si>
  <si>
    <t>Is your write-off policy internal or required by government regulation?</t>
  </si>
  <si>
    <t>Breakdown by Product of Interest Rate, Maturity and Portfolio at Risk</t>
  </si>
  <si>
    <t>Average Annual Interest Rate</t>
  </si>
  <si>
    <t>Average Loan Maturity 
(in months)</t>
  </si>
  <si>
    <t>PAR &gt;30
(%)</t>
  </si>
  <si>
    <t>Microenterprise Loans</t>
  </si>
  <si>
    <t>Small/Medium Enterprise Loans</t>
  </si>
  <si>
    <t>Average Annual Interest Rate (%)</t>
  </si>
  <si>
    <t>[Agriculture]</t>
  </si>
  <si>
    <t>[Manufacturing]</t>
  </si>
  <si>
    <t>[Trade/Commerce]</t>
  </si>
  <si>
    <t>[Services]</t>
  </si>
  <si>
    <t xml:space="preserve">Client and Portfolio Check: </t>
  </si>
  <si>
    <t xml:space="preserve">Funding Check: </t>
  </si>
  <si>
    <t>Table 3. Sensitivity Analysis</t>
  </si>
  <si>
    <r>
      <t>Interest Rate</t>
    </r>
    <r>
      <rPr>
        <b/>
        <vertAlign val="superscript"/>
        <sz val="11"/>
        <color indexed="9"/>
        <rFont val="Calibri"/>
        <family val="2"/>
      </rPr>
      <t>1</t>
    </r>
  </si>
  <si>
    <t>Net Income (After Taxes Before Donations)</t>
  </si>
  <si>
    <t xml:space="preserve">ROE </t>
  </si>
  <si>
    <t>Guarantee / Collateral</t>
  </si>
  <si>
    <t>PORTFOLIO BY GUARANTEE / COVERAGE (%)</t>
  </si>
  <si>
    <t>Guarantee / Coverage (%)</t>
  </si>
  <si>
    <t>Trail report Disbursements</t>
  </si>
  <si>
    <t xml:space="preserve">         Fee withheld SIMF 1</t>
  </si>
  <si>
    <t xml:space="preserve">         Fee withheld SIMF 2</t>
  </si>
  <si>
    <t>Correspondent Bank - Address</t>
  </si>
  <si>
    <t>Correspondent Bank - SWIFT address</t>
  </si>
  <si>
    <t>Receiving Counterpart - Address</t>
  </si>
  <si>
    <t>Receiving Counterpart - Bank account</t>
  </si>
  <si>
    <t>Receiving Counterpart - SWIFT address</t>
  </si>
  <si>
    <t>during the whole process from Investment Proposal to initial disbursement and fx setting</t>
  </si>
  <si>
    <t>Local Exchange Rate vs. USD</t>
  </si>
  <si>
    <t>Number of Shares</t>
  </si>
  <si>
    <t>Liabilities Amortization Schedule</t>
  </si>
  <si>
    <t>Principal payments on each loan due in Local currency:</t>
  </si>
  <si>
    <t>Check</t>
  </si>
  <si>
    <t>Graph 6. Principal Amortization Schedule by Lender</t>
  </si>
  <si>
    <t xml:space="preserve">  Legal Entity</t>
  </si>
  <si>
    <t xml:space="preserve">  Semi-urban</t>
  </si>
  <si>
    <t>New Deposit Needs</t>
  </si>
  <si>
    <t>BOP Deposits</t>
  </si>
  <si>
    <t>EOP Deposits</t>
  </si>
  <si>
    <t>Total Deposit Needs</t>
  </si>
  <si>
    <t>.</t>
  </si>
  <si>
    <t>DO NOT INSERT ON THIS ROW</t>
  </si>
  <si>
    <t>[None]</t>
  </si>
  <si>
    <t>Nominal GDP from EIU</t>
  </si>
  <si>
    <t>Population from EIU</t>
  </si>
  <si>
    <t>Gross Loan Portfolio Growth (YTD)</t>
  </si>
  <si>
    <t>Active Borrowers Growth (YTD)</t>
  </si>
  <si>
    <t>Cash as a % of Total Assets</t>
  </si>
  <si>
    <t>Write-Offs (Assumes YTD for monthly numbers EXCEPT FOR COLUMN AF)</t>
  </si>
  <si>
    <t>VERSION 15</t>
  </si>
  <si>
    <t>`</t>
  </si>
  <si>
    <t>[$&gt;500 &amp; &lt;=1000]</t>
  </si>
  <si>
    <t>[$ &gt;1000 &amp; &lt;=1500]</t>
  </si>
  <si>
    <t>[$&gt;1500 &amp; &lt;=2000]</t>
  </si>
  <si>
    <t>[$&gt;2500 &amp; &lt;=3000]</t>
  </si>
  <si>
    <t>[$&gt;3000]</t>
  </si>
  <si>
    <t>Promujer</t>
  </si>
  <si>
    <t>Tamweelcom</t>
  </si>
  <si>
    <t>Microfund for Women</t>
  </si>
  <si>
    <t>MEMCC</t>
  </si>
  <si>
    <t>AMC</t>
  </si>
  <si>
    <t>DEF</t>
  </si>
  <si>
    <t>National Microfinance Bank</t>
  </si>
  <si>
    <t>Financial Year End:</t>
  </si>
  <si>
    <t>Write-Offs YTD</t>
  </si>
  <si>
    <t>Template Properties</t>
  </si>
  <si>
    <t>#tags</t>
  </si>
  <si>
    <t>Template Name</t>
  </si>
  <si>
    <t>#template_name</t>
  </si>
  <si>
    <t>Template Version</t>
  </si>
  <si>
    <t>#template_version</t>
  </si>
  <si>
    <t>Last Edited</t>
  </si>
  <si>
    <t>#last_edited</t>
  </si>
  <si>
    <t>Notes</t>
  </si>
  <si>
    <t>#template_description</t>
  </si>
  <si>
    <t>Other Details</t>
  </si>
  <si>
    <t>#mfi_name</t>
  </si>
  <si>
    <t>MFI ID</t>
  </si>
  <si>
    <t>#mfi_id</t>
  </si>
  <si>
    <t>Reporting Currency Code</t>
  </si>
  <si>
    <t>#mfi_reporting_currency_code</t>
  </si>
  <si>
    <t>#mfi_country</t>
  </si>
  <si>
    <t>#mfi_region</t>
  </si>
  <si>
    <t>Region ID</t>
  </si>
  <si>
    <t>#mfi_region_id</t>
  </si>
  <si>
    <t>Network</t>
  </si>
  <si>
    <t>#mfi_network</t>
  </si>
  <si>
    <t>Date Established</t>
  </si>
  <si>
    <t>#mfi_date_established</t>
  </si>
  <si>
    <t>Legal Status</t>
  </si>
  <si>
    <t>#mfi_legal_status</t>
  </si>
  <si>
    <t>USD to Local FX</t>
  </si>
  <si>
    <t>#usd_local_fx</t>
  </si>
  <si>
    <t>USD to EUR FX</t>
  </si>
  <si>
    <t>#usd_eur_fx</t>
  </si>
  <si>
    <t>IC Template</t>
  </si>
</sst>
</file>

<file path=xl/styles.xml><?xml version="1.0" encoding="utf-8"?>
<styleSheet xmlns="http://schemas.openxmlformats.org/spreadsheetml/2006/main">
  <numFmts count="37">
    <numFmt numFmtId="6" formatCode="&quot;$&quot;#,##0_);[Red]\(&quot;$&quot;#,##0\)"/>
    <numFmt numFmtId="44" formatCode="_(&quot;$&quot;* #,##0.00_);_(&quot;$&quot;* \(#,##0.00\);_(&quot;$&quot;* &quot;-&quot;??_);_(@_)"/>
    <numFmt numFmtId="43" formatCode="_(* #,##0.00_);_(* \(#,##0.00\);_(* &quot;-&quot;??_);_(@_)"/>
    <numFmt numFmtId="164" formatCode="_(* #,##0_);_(* \(#,##0\);_(* &quot;-&quot;??_);_(@_)"/>
    <numFmt numFmtId="165" formatCode="[$-409]mmm\-yy;@"/>
    <numFmt numFmtId="166" formatCode="0.0%"/>
    <numFmt numFmtId="167" formatCode="0.000"/>
    <numFmt numFmtId="168" formatCode="_(* #,##0.0_);_(* \(#,##0.0\);_(* &quot;-&quot;??_);_(@_)"/>
    <numFmt numFmtId="169" formatCode="0_);\(0\)"/>
    <numFmt numFmtId="170" formatCode="#\ &quot;Est&quot;"/>
    <numFmt numFmtId="171" formatCode="0.0000"/>
    <numFmt numFmtId="172" formatCode="#,##0.0%_);\(#,##0.0%\)"/>
    <numFmt numFmtId="173" formatCode="_-* #,##0.00_-;\-* #,##0.00_-;_-* &quot;-&quot;??_-;_-@_-"/>
    <numFmt numFmtId="174" formatCode="_-&quot;$&quot;* #,##0.00_-;\-&quot;$&quot;* #,##0.00_-;_-&quot;$&quot;* &quot;-&quot;??_-;_-@_-"/>
    <numFmt numFmtId="175" formatCode="#,##0.00;[Red]#,##0.00"/>
    <numFmt numFmtId="176" formatCode="_-* #,##0.00\ _€_-;\-* #,##0.00\ _€_-;_-* &quot;-&quot;??\ _€_-;_-@_-"/>
    <numFmt numFmtId="177" formatCode="_(* #,##0.000_);_(* \(#,##0.000\);_(* &quot;-&quot;??_);_(@_)"/>
    <numFmt numFmtId="178" formatCode="_(* #,##0.000000_);_(* \(#,##0.000000\);_(* &quot;-&quot;??_);_(@_)"/>
    <numFmt numFmtId="179" formatCode="0.0%;\ \-\ \ ;\ \-\ \ \ \ \ \ "/>
    <numFmt numFmtId="180" formatCode="0.0%;\ \(0.0%\);\ \-\ \ \ \ \ \ "/>
    <numFmt numFmtId="181" formatCode="#,##0_);\(#,##0\);\-\ \ "/>
    <numFmt numFmtId="182" formatCode="#,##0_ ;\-#,##0\ "/>
    <numFmt numFmtId="183" formatCode="#,##0.000000000_ ;\-#,##0.000000000\ "/>
    <numFmt numFmtId="184" formatCode="_ * #,##0.00_ ;_ * \-#,##0.00_ ;_ * &quot;-&quot;??_ ;_ @_ "/>
    <numFmt numFmtId="185" formatCode="[$-409]d\-mmm\-yy;@"/>
    <numFmt numFmtId="186" formatCode="_ * #,##0_ ;_ * \-#,##0_ ;_ * &quot;-&quot;??_ ;_ @_ "/>
    <numFmt numFmtId="187" formatCode="d/mmm/yyyy"/>
    <numFmt numFmtId="188" formatCode="d/mm/yy;@"/>
    <numFmt numFmtId="189" formatCode="_-* #,##0.00_-;_-* #,##0.00\-;_-* &quot;-&quot;??_-;_-@_-"/>
    <numFmt numFmtId="190" formatCode="_-* #,##0_-;_-* #,##0\-;_-* &quot;-&quot;??_-;_-@_-"/>
    <numFmt numFmtId="191" formatCode="[$-409]mmmm\ d\,\ yyyy;@"/>
    <numFmt numFmtId="192" formatCode="[$-F800]dddd\,\ mmmm\ dd\,\ yyyy"/>
    <numFmt numFmtId="193" formatCode="yyyy"/>
    <numFmt numFmtId="194" formatCode="_(&quot;$&quot;* #,##0_);_(&quot;$&quot;* \(#,##0\);_(&quot;$&quot;* &quot;-&quot;??_);_(@_)"/>
    <numFmt numFmtId="195" formatCode="_(\ #,##0_);_(\ \(#,##0\);_(\ &quot;-&quot;??_);_(@_)"/>
    <numFmt numFmtId="196" formatCode="_(* #,##0.0000_);_(* \(#,##0.0000\);_(* &quot;-&quot;??_);_(@_)"/>
    <numFmt numFmtId="197" formatCode="_(* #,##0.000000000_);_(* \(#,##0.000000000\);_(* &quot;-&quot;??_);_(@_)"/>
  </numFmts>
  <fonts count="132">
    <font>
      <sz val="10"/>
      <name val="Arial"/>
    </font>
    <font>
      <sz val="11"/>
      <color theme="1"/>
      <name val="Calibri"/>
      <family val="2"/>
      <scheme val="minor"/>
    </font>
    <font>
      <sz val="10"/>
      <name val="Arial"/>
      <family val="2"/>
    </font>
    <font>
      <b/>
      <sz val="12"/>
      <name val="Arial"/>
      <family val="2"/>
    </font>
    <font>
      <b/>
      <sz val="10"/>
      <name val="Arial"/>
      <family val="2"/>
    </font>
    <font>
      <sz val="10"/>
      <name val="Arial"/>
      <family val="2"/>
    </font>
    <font>
      <u/>
      <sz val="10"/>
      <color indexed="12"/>
      <name val="Arial"/>
      <family val="2"/>
    </font>
    <font>
      <u/>
      <sz val="10"/>
      <name val="Arial"/>
      <family val="2"/>
    </font>
    <font>
      <sz val="8"/>
      <color indexed="81"/>
      <name val="Tahoma"/>
      <family val="2"/>
    </font>
    <font>
      <b/>
      <sz val="8"/>
      <color indexed="81"/>
      <name val="Tahoma"/>
      <family val="2"/>
    </font>
    <font>
      <sz val="12"/>
      <name val="Arial"/>
      <family val="2"/>
    </font>
    <font>
      <i/>
      <sz val="12"/>
      <name val="Arial"/>
      <family val="2"/>
    </font>
    <font>
      <b/>
      <sz val="12"/>
      <color indexed="9"/>
      <name val="Arial"/>
      <family val="2"/>
    </font>
    <font>
      <sz val="11"/>
      <name val="Arial"/>
      <family val="2"/>
    </font>
    <font>
      <sz val="9"/>
      <color indexed="81"/>
      <name val="Tahoma"/>
      <family val="2"/>
    </font>
    <font>
      <i/>
      <sz val="12"/>
      <color indexed="9"/>
      <name val="Arial"/>
      <family val="2"/>
    </font>
    <font>
      <sz val="12"/>
      <name val="Calibri"/>
      <family val="2"/>
    </font>
    <font>
      <sz val="12"/>
      <color indexed="8"/>
      <name val="Arial"/>
      <family val="2"/>
    </font>
    <font>
      <sz val="12"/>
      <color indexed="10"/>
      <name val="Arial"/>
      <family val="2"/>
    </font>
    <font>
      <sz val="8"/>
      <name val="Arial"/>
      <family val="2"/>
    </font>
    <font>
      <b/>
      <sz val="12"/>
      <color indexed="55"/>
      <name val="Arial"/>
      <family val="2"/>
    </font>
    <font>
      <b/>
      <sz val="14"/>
      <color indexed="81"/>
      <name val="Tahoma"/>
      <family val="2"/>
    </font>
    <font>
      <sz val="14"/>
      <color indexed="81"/>
      <name val="Tahoma"/>
      <family val="2"/>
    </font>
    <font>
      <sz val="10"/>
      <name val="Times New Roman"/>
      <family val="1"/>
    </font>
    <font>
      <b/>
      <sz val="14"/>
      <name val="Arial"/>
      <family val="2"/>
    </font>
    <font>
      <b/>
      <i/>
      <sz val="14"/>
      <name val="Arial"/>
      <family val="2"/>
    </font>
    <font>
      <b/>
      <sz val="18"/>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2"/>
      <color indexed="55"/>
      <name val="Arial"/>
      <family val="2"/>
    </font>
    <font>
      <sz val="12"/>
      <color indexed="55"/>
      <name val="Arial"/>
      <family val="2"/>
    </font>
    <font>
      <sz val="9"/>
      <color indexed="10"/>
      <name val="Geneva"/>
    </font>
    <font>
      <sz val="8"/>
      <name val="Arial"/>
      <family val="2"/>
    </font>
    <font>
      <b/>
      <sz val="14"/>
      <color indexed="10"/>
      <name val="Arial"/>
      <family val="2"/>
    </font>
    <font>
      <b/>
      <sz val="11"/>
      <color indexed="10"/>
      <name val="Arial"/>
      <family val="2"/>
    </font>
    <font>
      <b/>
      <sz val="11"/>
      <name val="Calibri"/>
      <family val="2"/>
    </font>
    <font>
      <sz val="11"/>
      <name val="Calibri"/>
      <family val="2"/>
    </font>
    <font>
      <sz val="10"/>
      <name val="Arial"/>
      <family val="2"/>
    </font>
    <font>
      <b/>
      <sz val="9"/>
      <color indexed="81"/>
      <name val="Tahoma"/>
      <family val="2"/>
    </font>
    <font>
      <sz val="10"/>
      <color indexed="8"/>
      <name val="Arial"/>
      <family val="2"/>
    </font>
    <font>
      <sz val="11"/>
      <color indexed="8"/>
      <name val="Arial"/>
      <family val="2"/>
    </font>
    <font>
      <b/>
      <sz val="11"/>
      <name val="Arial"/>
      <family val="2"/>
    </font>
    <font>
      <u/>
      <sz val="10"/>
      <color indexed="17"/>
      <name val="Arial"/>
      <family val="2"/>
    </font>
    <font>
      <b/>
      <i/>
      <sz val="12"/>
      <color indexed="17"/>
      <name val="Arial"/>
      <family val="2"/>
    </font>
    <font>
      <b/>
      <sz val="11"/>
      <color indexed="8"/>
      <name val="Arial"/>
      <family val="2"/>
    </font>
    <font>
      <sz val="10"/>
      <color indexed="17"/>
      <name val="Arial"/>
      <family val="2"/>
    </font>
    <font>
      <b/>
      <sz val="10"/>
      <color indexed="17"/>
      <name val="Arial"/>
      <family val="2"/>
    </font>
    <font>
      <i/>
      <sz val="11"/>
      <name val="Arial"/>
      <family val="2"/>
    </font>
    <font>
      <sz val="12"/>
      <color indexed="17"/>
      <name val="Arial"/>
      <family val="2"/>
    </font>
    <font>
      <sz val="11"/>
      <color indexed="17"/>
      <name val="Arial"/>
      <family val="2"/>
    </font>
    <font>
      <b/>
      <sz val="11"/>
      <color indexed="17"/>
      <name val="Arial"/>
      <family val="2"/>
    </font>
    <font>
      <b/>
      <vertAlign val="superscript"/>
      <sz val="11"/>
      <color indexed="9"/>
      <name val="Calibri"/>
      <family val="2"/>
    </font>
    <font>
      <sz val="10"/>
      <name val="Trebuchet MS"/>
      <family val="2"/>
    </font>
    <font>
      <i/>
      <sz val="10"/>
      <name val="Trebuchet MS"/>
      <family val="2"/>
    </font>
    <font>
      <b/>
      <sz val="10"/>
      <name val="Trebuchet MS"/>
      <family val="2"/>
    </font>
    <font>
      <sz val="10"/>
      <color indexed="8"/>
      <name val="Trebuchet MS"/>
      <family val="2"/>
    </font>
    <font>
      <b/>
      <sz val="10"/>
      <color indexed="8"/>
      <name val="Trebuchet MS"/>
      <family val="2"/>
    </font>
    <font>
      <b/>
      <i/>
      <sz val="10"/>
      <name val="Trebuchet MS"/>
      <family val="2"/>
    </font>
    <font>
      <sz val="11"/>
      <color theme="1"/>
      <name val="Calibri"/>
      <family val="2"/>
      <scheme val="minor"/>
    </font>
    <font>
      <sz val="9"/>
      <name val="Calibri"/>
      <family val="2"/>
      <scheme val="minor"/>
    </font>
    <font>
      <b/>
      <sz val="9"/>
      <name val="Calibri"/>
      <family val="2"/>
      <scheme val="minor"/>
    </font>
    <font>
      <b/>
      <sz val="15"/>
      <name val="Calibri"/>
      <family val="2"/>
      <scheme val="minor"/>
    </font>
    <font>
      <sz val="10"/>
      <name val="Calibri"/>
      <family val="2"/>
      <scheme val="minor"/>
    </font>
    <font>
      <b/>
      <sz val="10"/>
      <name val="Calibri"/>
      <family val="2"/>
      <scheme val="minor"/>
    </font>
    <font>
      <sz val="11"/>
      <color indexed="8"/>
      <name val="Calibri"/>
      <family val="2"/>
      <scheme val="minor"/>
    </font>
    <font>
      <sz val="11"/>
      <name val="Calibri"/>
      <family val="2"/>
      <scheme val="minor"/>
    </font>
    <font>
      <u val="singleAccounting"/>
      <sz val="10"/>
      <name val="Calibri"/>
      <family val="2"/>
      <scheme val="minor"/>
    </font>
    <font>
      <u/>
      <sz val="10"/>
      <name val="Calibri"/>
      <family val="2"/>
      <scheme val="minor"/>
    </font>
    <font>
      <b/>
      <sz val="16"/>
      <color indexed="62"/>
      <name val="Calibri"/>
      <family val="2"/>
      <scheme val="minor"/>
    </font>
    <font>
      <b/>
      <sz val="12"/>
      <name val="Calibri"/>
      <family val="2"/>
      <scheme val="minor"/>
    </font>
    <font>
      <i/>
      <sz val="10"/>
      <name val="Calibri"/>
      <family val="2"/>
      <scheme val="minor"/>
    </font>
    <font>
      <i/>
      <sz val="10"/>
      <color rgb="FF0070C0"/>
      <name val="Calibri"/>
      <family val="2"/>
      <scheme val="minor"/>
    </font>
    <font>
      <b/>
      <sz val="10"/>
      <color indexed="62"/>
      <name val="Calibri"/>
      <family val="2"/>
      <scheme val="minor"/>
    </font>
    <font>
      <sz val="10"/>
      <color theme="0"/>
      <name val="Calibri"/>
      <family val="2"/>
      <scheme val="minor"/>
    </font>
    <font>
      <b/>
      <sz val="10"/>
      <color theme="0"/>
      <name val="Calibri"/>
      <family val="2"/>
      <scheme val="minor"/>
    </font>
    <font>
      <b/>
      <sz val="10"/>
      <color indexed="9"/>
      <name val="Calibri"/>
      <family val="2"/>
      <scheme val="minor"/>
    </font>
    <font>
      <b/>
      <sz val="11"/>
      <name val="Calibri"/>
      <family val="2"/>
      <scheme val="minor"/>
    </font>
    <font>
      <b/>
      <sz val="10"/>
      <color indexed="10"/>
      <name val="Calibri"/>
      <family val="2"/>
      <scheme val="minor"/>
    </font>
    <font>
      <b/>
      <sz val="10"/>
      <color indexed="12"/>
      <name val="Calibri"/>
      <family val="2"/>
      <scheme val="minor"/>
    </font>
    <font>
      <sz val="10"/>
      <color indexed="9"/>
      <name val="Calibri"/>
      <family val="2"/>
      <scheme val="minor"/>
    </font>
    <font>
      <sz val="10"/>
      <color indexed="10"/>
      <name val="Calibri"/>
      <family val="2"/>
      <scheme val="minor"/>
    </font>
    <font>
      <b/>
      <sz val="14"/>
      <name val="Calibri"/>
      <family val="2"/>
      <scheme val="minor"/>
    </font>
    <font>
      <b/>
      <sz val="10"/>
      <color rgb="FFFF0000"/>
      <name val="Calibri"/>
      <family val="2"/>
      <scheme val="minor"/>
    </font>
    <font>
      <b/>
      <sz val="11"/>
      <color theme="0"/>
      <name val="Calibri"/>
      <family val="2"/>
      <scheme val="minor"/>
    </font>
    <font>
      <b/>
      <sz val="15"/>
      <color rgb="FF002060"/>
      <name val="Calibri"/>
      <family val="2"/>
      <scheme val="minor"/>
    </font>
    <font>
      <b/>
      <sz val="12"/>
      <color indexed="10"/>
      <name val="Calibri"/>
      <family val="2"/>
      <scheme val="minor"/>
    </font>
    <font>
      <b/>
      <sz val="16"/>
      <name val="Calibri"/>
      <family val="2"/>
      <scheme val="minor"/>
    </font>
    <font>
      <b/>
      <sz val="16"/>
      <color rgb="FF002060"/>
      <name val="Calibri"/>
      <family val="2"/>
      <scheme val="minor"/>
    </font>
    <font>
      <b/>
      <sz val="11"/>
      <color indexed="9"/>
      <name val="Calibri"/>
      <family val="2"/>
      <scheme val="minor"/>
    </font>
    <font>
      <sz val="11"/>
      <color indexed="9"/>
      <name val="Calibri"/>
      <family val="2"/>
      <scheme val="minor"/>
    </font>
    <font>
      <i/>
      <sz val="9"/>
      <name val="Calibri"/>
      <family val="2"/>
      <scheme val="minor"/>
    </font>
    <font>
      <sz val="11"/>
      <color theme="0"/>
      <name val="Calibri"/>
      <family val="2"/>
      <scheme val="minor"/>
    </font>
    <font>
      <sz val="10"/>
      <color rgb="FF000000"/>
      <name val="Calibri"/>
      <family val="2"/>
      <scheme val="minor"/>
    </font>
    <font>
      <b/>
      <sz val="10"/>
      <color rgb="FF000000"/>
      <name val="Calibri"/>
      <family val="2"/>
      <scheme val="minor"/>
    </font>
    <font>
      <sz val="10"/>
      <color indexed="12"/>
      <name val="Calibri"/>
      <family val="2"/>
      <scheme val="minor"/>
    </font>
    <font>
      <sz val="9"/>
      <color theme="0"/>
      <name val="Calibri"/>
      <family val="2"/>
      <scheme val="minor"/>
    </font>
    <font>
      <sz val="10"/>
      <color indexed="17"/>
      <name val="Calibri"/>
      <family val="2"/>
      <scheme val="minor"/>
    </font>
    <font>
      <sz val="11"/>
      <color rgb="FF000000"/>
      <name val="Calibri"/>
      <family val="2"/>
      <scheme val="minor"/>
    </font>
    <font>
      <b/>
      <sz val="11"/>
      <color rgb="FF000000"/>
      <name val="Calibri"/>
      <family val="2"/>
      <scheme val="minor"/>
    </font>
    <font>
      <b/>
      <u val="singleAccounting"/>
      <sz val="11"/>
      <color theme="0"/>
      <name val="Calibri"/>
      <family val="2"/>
      <scheme val="minor"/>
    </font>
    <font>
      <sz val="9"/>
      <color rgb="FFFF0000"/>
      <name val="Calibri"/>
      <family val="2"/>
      <scheme val="minor"/>
    </font>
    <font>
      <sz val="10"/>
      <color rgb="FFFF0000"/>
      <name val="Calibri"/>
      <family val="2"/>
      <scheme val="minor"/>
    </font>
    <font>
      <b/>
      <sz val="15"/>
      <color rgb="FFFF0000"/>
      <name val="Calibri"/>
      <family val="2"/>
      <scheme val="minor"/>
    </font>
    <font>
      <b/>
      <sz val="11"/>
      <color theme="1"/>
      <name val="Calibri"/>
      <family val="2"/>
      <scheme val="minor"/>
    </font>
    <font>
      <b/>
      <sz val="11"/>
      <color theme="3"/>
      <name val="Calibri"/>
      <family val="2"/>
      <scheme val="minor"/>
    </font>
    <font>
      <sz val="10"/>
      <color theme="1"/>
      <name val="Calibri"/>
      <family val="2"/>
      <scheme val="minor"/>
    </font>
    <font>
      <i/>
      <sz val="11"/>
      <color theme="1"/>
      <name val="Calibri"/>
      <family val="2"/>
      <scheme val="minor"/>
    </font>
    <font>
      <i/>
      <sz val="10"/>
      <color theme="1"/>
      <name val="Calibri"/>
      <family val="2"/>
      <scheme val="minor"/>
    </font>
    <font>
      <b/>
      <sz val="10"/>
      <color theme="0"/>
      <name val="Trebuchet MS"/>
      <family val="2"/>
    </font>
    <font>
      <sz val="10"/>
      <color theme="0"/>
      <name val="Trebuchet MS"/>
      <family val="2"/>
    </font>
    <font>
      <sz val="10"/>
      <color theme="1"/>
      <name val="Trebuchet MS"/>
      <family val="2"/>
    </font>
    <font>
      <b/>
      <sz val="10"/>
      <color theme="1"/>
      <name val="Trebuchet MS"/>
      <family val="2"/>
    </font>
    <font>
      <i/>
      <sz val="10"/>
      <color theme="1"/>
      <name val="Trebuchet MS"/>
      <family val="2"/>
    </font>
    <font>
      <strike/>
      <sz val="10"/>
      <color theme="1"/>
      <name val="Trebuchet MS"/>
      <family val="2"/>
    </font>
    <font>
      <b/>
      <sz val="10"/>
      <color theme="3" tint="-0.249977111117893"/>
      <name val="Calibri"/>
      <family val="2"/>
      <scheme val="minor"/>
    </font>
    <font>
      <b/>
      <sz val="12"/>
      <color theme="0"/>
      <name val="Calibri"/>
      <family val="2"/>
      <scheme val="minor"/>
    </font>
    <font>
      <b/>
      <sz val="9"/>
      <color theme="0"/>
      <name val="Calibri"/>
      <family val="2"/>
      <scheme val="minor"/>
    </font>
    <font>
      <sz val="10"/>
      <name val="Arial"/>
      <family val="2"/>
    </font>
  </fonts>
  <fills count="5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2"/>
        <bgColor indexed="64"/>
      </patternFill>
    </fill>
    <fill>
      <patternFill patternType="solid">
        <fgColor indexed="26"/>
      </patternFill>
    </fill>
    <fill>
      <patternFill patternType="solid">
        <fgColor indexed="43"/>
        <bgColor indexed="64"/>
      </patternFill>
    </fill>
    <fill>
      <patternFill patternType="solid">
        <fgColor indexed="9"/>
        <bgColor indexed="64"/>
      </patternFill>
    </fill>
    <fill>
      <patternFill patternType="solid">
        <fgColor indexed="23"/>
        <bgColor indexed="64"/>
      </patternFill>
    </fill>
    <fill>
      <patternFill patternType="solid">
        <fgColor indexed="55"/>
        <bgColor indexed="64"/>
      </patternFill>
    </fill>
    <fill>
      <patternFill patternType="solid">
        <fgColor indexed="44"/>
        <bgColor indexed="64"/>
      </patternFill>
    </fill>
    <fill>
      <patternFill patternType="solid">
        <fgColor indexed="29"/>
        <bgColor indexed="64"/>
      </patternFill>
    </fill>
    <fill>
      <patternFill patternType="solid">
        <fgColor indexed="22"/>
        <bgColor indexed="64"/>
      </patternFill>
    </fill>
    <fill>
      <patternFill patternType="solid">
        <fgColor indexed="9"/>
        <bgColor indexed="8"/>
      </patternFill>
    </fill>
    <fill>
      <patternFill patternType="solid">
        <fgColor indexed="10"/>
        <bgColor indexed="64"/>
      </patternFill>
    </fill>
    <fill>
      <patternFill patternType="solid">
        <fgColor indexed="50"/>
        <bgColor indexed="64"/>
      </patternFill>
    </fill>
    <fill>
      <patternFill patternType="solid">
        <fgColor indexed="47"/>
        <bgColor indexed="64"/>
      </patternFill>
    </fill>
    <fill>
      <patternFill patternType="solid">
        <fgColor indexed="61"/>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249977111117893"/>
        <bgColor indexed="64"/>
      </patternFill>
    </fill>
  </fills>
  <borders count="122">
    <border>
      <left/>
      <right/>
      <top/>
      <bottom/>
      <diagonal/>
    </border>
    <border>
      <left/>
      <right style="medium">
        <color indexed="0"/>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ck">
        <color indexed="8"/>
      </left>
      <right style="thick">
        <color indexed="8"/>
      </right>
      <top style="thick">
        <color indexed="8"/>
      </top>
      <bottom style="thick">
        <color indexed="8"/>
      </bottom>
      <diagonal/>
    </border>
    <border>
      <left style="thick">
        <color indexed="8"/>
      </left>
      <right/>
      <top style="thick">
        <color indexed="8"/>
      </top>
      <bottom style="thick">
        <color indexed="8"/>
      </bottom>
      <diagonal/>
    </border>
    <border>
      <left style="thick">
        <color indexed="12"/>
      </left>
      <right/>
      <top style="thick">
        <color indexed="12"/>
      </top>
      <bottom/>
      <diagonal/>
    </border>
    <border>
      <left/>
      <right/>
      <top style="thick">
        <color indexed="12"/>
      </top>
      <bottom/>
      <diagonal/>
    </border>
    <border>
      <left style="medium">
        <color indexed="10"/>
      </left>
      <right style="medium">
        <color indexed="10"/>
      </right>
      <top style="thick">
        <color indexed="12"/>
      </top>
      <bottom/>
      <diagonal/>
    </border>
    <border>
      <left style="medium">
        <color indexed="10"/>
      </left>
      <right style="thick">
        <color indexed="12"/>
      </right>
      <top style="thick">
        <color indexed="12"/>
      </top>
      <bottom/>
      <diagonal/>
    </border>
    <border>
      <left style="thick">
        <color indexed="8"/>
      </left>
      <right/>
      <top style="medium">
        <color indexed="64"/>
      </top>
      <bottom/>
      <diagonal/>
    </border>
    <border>
      <left style="medium">
        <color indexed="64"/>
      </left>
      <right style="thick">
        <color indexed="8"/>
      </right>
      <top style="medium">
        <color indexed="64"/>
      </top>
      <bottom/>
      <diagonal/>
    </border>
    <border>
      <left style="thick">
        <color indexed="8"/>
      </left>
      <right style="thick">
        <color indexed="8"/>
      </right>
      <top/>
      <bottom/>
      <diagonal/>
    </border>
    <border>
      <left style="medium">
        <color indexed="64"/>
      </left>
      <right/>
      <top style="thin">
        <color indexed="64"/>
      </top>
      <bottom style="thin">
        <color indexed="64"/>
      </bottom>
      <diagonal/>
    </border>
    <border>
      <left style="thick">
        <color indexed="8"/>
      </left>
      <right style="medium">
        <color indexed="64"/>
      </right>
      <top style="thin">
        <color indexed="8"/>
      </top>
      <bottom style="thin">
        <color indexed="8"/>
      </bottom>
      <diagonal/>
    </border>
    <border>
      <left style="medium">
        <color indexed="64"/>
      </left>
      <right style="thick">
        <color indexed="8"/>
      </right>
      <top style="thin">
        <color indexed="64"/>
      </top>
      <bottom style="thin">
        <color indexed="64"/>
      </bottom>
      <diagonal/>
    </border>
    <border>
      <left style="thick">
        <color indexed="8"/>
      </left>
      <right style="thick">
        <color indexed="8"/>
      </right>
      <top style="thin">
        <color indexed="8"/>
      </top>
      <bottom style="thin">
        <color indexed="8"/>
      </bottom>
      <diagonal/>
    </border>
    <border>
      <left style="thick">
        <color indexed="12"/>
      </left>
      <right/>
      <top/>
      <bottom/>
      <diagonal/>
    </border>
    <border>
      <left style="medium">
        <color indexed="10"/>
      </left>
      <right style="medium">
        <color indexed="10"/>
      </right>
      <top/>
      <bottom/>
      <diagonal/>
    </border>
    <border>
      <left style="medium">
        <color indexed="10"/>
      </left>
      <right style="thick">
        <color indexed="12"/>
      </right>
      <top/>
      <bottom/>
      <diagonal/>
    </border>
    <border>
      <left style="medium">
        <color indexed="10"/>
      </left>
      <right style="medium">
        <color indexed="10"/>
      </right>
      <top/>
      <bottom style="thick">
        <color indexed="8"/>
      </bottom>
      <diagonal/>
    </border>
    <border>
      <left style="thick">
        <color indexed="12"/>
      </left>
      <right/>
      <top style="thick">
        <color indexed="64"/>
      </top>
      <bottom style="thin">
        <color indexed="64"/>
      </bottom>
      <diagonal/>
    </border>
    <border>
      <left/>
      <right/>
      <top style="thick">
        <color indexed="64"/>
      </top>
      <bottom style="thin">
        <color indexed="64"/>
      </bottom>
      <diagonal/>
    </border>
    <border>
      <left/>
      <right style="thick">
        <color indexed="12"/>
      </right>
      <top style="thick">
        <color indexed="64"/>
      </top>
      <bottom style="thin">
        <color indexed="64"/>
      </bottom>
      <diagonal/>
    </border>
    <border>
      <left style="thick">
        <color indexed="8"/>
      </left>
      <right style="medium">
        <color indexed="64"/>
      </right>
      <top style="thin">
        <color indexed="8"/>
      </top>
      <bottom/>
      <diagonal/>
    </border>
    <border>
      <left style="thick">
        <color indexed="8"/>
      </left>
      <right/>
      <top/>
      <bottom/>
      <diagonal/>
    </border>
    <border>
      <left style="medium">
        <color indexed="8"/>
      </left>
      <right/>
      <top/>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8"/>
      </left>
      <right style="medium">
        <color indexed="64"/>
      </right>
      <top style="medium">
        <color indexed="8"/>
      </top>
      <bottom style="thick">
        <color indexed="8"/>
      </bottom>
      <diagonal/>
    </border>
    <border>
      <left style="medium">
        <color indexed="64"/>
      </left>
      <right style="thick">
        <color indexed="8"/>
      </right>
      <top style="medium">
        <color indexed="64"/>
      </top>
      <bottom style="thick">
        <color indexed="64"/>
      </bottom>
      <diagonal/>
    </border>
    <border>
      <left style="thick">
        <color indexed="8"/>
      </left>
      <right style="medium">
        <color indexed="64"/>
      </right>
      <top/>
      <bottom style="thin">
        <color indexed="8"/>
      </bottom>
      <diagonal/>
    </border>
    <border>
      <left style="medium">
        <color indexed="64"/>
      </left>
      <right style="thick">
        <color indexed="8"/>
      </right>
      <top/>
      <bottom/>
      <diagonal/>
    </border>
    <border>
      <left style="thin">
        <color indexed="64"/>
      </left>
      <right style="thin">
        <color indexed="64"/>
      </right>
      <top style="thin">
        <color indexed="64"/>
      </top>
      <bottom style="thick">
        <color indexed="12"/>
      </bottom>
      <diagonal/>
    </border>
    <border>
      <left style="thick">
        <color indexed="8"/>
      </left>
      <right/>
      <top/>
      <bottom style="medium">
        <color indexed="64"/>
      </bottom>
      <diagonal/>
    </border>
    <border>
      <left style="medium">
        <color indexed="64"/>
      </left>
      <right style="thick">
        <color indexed="8"/>
      </right>
      <top/>
      <bottom style="medium">
        <color indexed="64"/>
      </bottom>
      <diagonal/>
    </border>
    <border>
      <left style="thick">
        <color indexed="8"/>
      </left>
      <right style="thick">
        <color indexed="8"/>
      </right>
      <top/>
      <bottom style="medium">
        <color indexed="64"/>
      </bottom>
      <diagonal/>
    </border>
    <border>
      <left style="thick">
        <color indexed="8"/>
      </left>
      <right/>
      <top style="medium">
        <color indexed="64"/>
      </top>
      <bottom style="thick">
        <color indexed="64"/>
      </bottom>
      <diagonal/>
    </border>
    <border>
      <left style="thick">
        <color indexed="8"/>
      </left>
      <right style="thick">
        <color indexed="8"/>
      </right>
      <top style="medium">
        <color indexed="64"/>
      </top>
      <bottom style="thick">
        <color indexed="64"/>
      </bottom>
      <diagonal/>
    </border>
    <border>
      <left style="medium">
        <color indexed="64"/>
      </left>
      <right/>
      <top style="medium">
        <color indexed="64"/>
      </top>
      <bottom style="thick">
        <color indexed="64"/>
      </bottom>
      <diagonal/>
    </border>
    <border>
      <left style="medium">
        <color indexed="8"/>
      </left>
      <right/>
      <top/>
      <bottom style="medium">
        <color indexed="64"/>
      </bottom>
      <diagonal/>
    </border>
    <border>
      <left/>
      <right/>
      <top/>
      <bottom style="medium">
        <color indexed="64"/>
      </bottom>
      <diagonal/>
    </border>
    <border>
      <left style="thick">
        <color indexed="64"/>
      </left>
      <right/>
      <top style="medium">
        <color indexed="64"/>
      </top>
      <bottom style="thick">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ck">
        <color indexed="8"/>
      </left>
      <right/>
      <top style="thin">
        <color indexed="8"/>
      </top>
      <bottom style="thin">
        <color indexed="8"/>
      </bottom>
      <diagonal/>
    </border>
    <border>
      <left style="thick">
        <color indexed="8"/>
      </left>
      <right style="thick">
        <color indexed="8"/>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double">
        <color indexed="17"/>
      </left>
      <right style="double">
        <color indexed="17"/>
      </right>
      <top style="double">
        <color indexed="17"/>
      </top>
      <bottom style="double">
        <color indexed="1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8"/>
      </right>
      <top/>
      <bottom/>
      <diagonal/>
    </border>
    <border>
      <left/>
      <right style="medium">
        <color indexed="8"/>
      </right>
      <top/>
      <bottom style="thick">
        <color indexed="64"/>
      </bottom>
      <diagonal/>
    </border>
    <border>
      <left/>
      <right style="medium">
        <color indexed="8"/>
      </right>
      <top style="thick">
        <color indexed="64"/>
      </top>
      <bottom/>
      <diagonal/>
    </border>
    <border>
      <left style="medium">
        <color indexed="8"/>
      </left>
      <right style="thick">
        <color indexed="8"/>
      </right>
      <top style="thick">
        <color indexed="64"/>
      </top>
      <bottom/>
      <diagonal/>
    </border>
    <border>
      <left style="medium">
        <color indexed="8"/>
      </left>
      <right style="thick">
        <color indexed="8"/>
      </right>
      <top/>
      <bottom/>
      <diagonal/>
    </border>
    <border>
      <left style="medium">
        <color indexed="8"/>
      </left>
      <right style="thick">
        <color indexed="8"/>
      </right>
      <top/>
      <bottom style="thick">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indexed="8"/>
      </left>
      <right/>
      <top style="medium">
        <color indexed="8"/>
      </top>
      <bottom style="medium">
        <color indexed="64"/>
      </bottom>
      <diagonal/>
    </border>
    <border>
      <left/>
      <right style="thick">
        <color indexed="8"/>
      </right>
      <top style="medium">
        <color indexed="8"/>
      </top>
      <bottom style="medium">
        <color indexed="64"/>
      </bottom>
      <diagonal/>
    </border>
    <border>
      <left style="thick">
        <color indexed="12"/>
      </left>
      <right style="medium">
        <color indexed="64"/>
      </right>
      <top style="medium">
        <color indexed="64"/>
      </top>
      <bottom/>
      <diagonal/>
    </border>
    <border>
      <left style="thick">
        <color indexed="12"/>
      </left>
      <right style="medium">
        <color indexed="64"/>
      </right>
      <top/>
      <bottom/>
      <diagonal/>
    </border>
    <border>
      <left style="thick">
        <color indexed="12"/>
      </left>
      <right style="medium">
        <color indexed="64"/>
      </right>
      <top/>
      <bottom style="thick">
        <color indexed="12"/>
      </bottom>
      <diagonal/>
    </border>
    <border>
      <left style="medium">
        <color indexed="8"/>
      </left>
      <right style="thick">
        <color indexed="8"/>
      </right>
      <top style="medium">
        <color indexed="64"/>
      </top>
      <bottom/>
      <diagonal/>
    </border>
    <border>
      <left style="thick">
        <color indexed="12"/>
      </left>
      <right style="medium">
        <color indexed="64"/>
      </right>
      <top/>
      <bottom style="medium">
        <color indexed="64"/>
      </bottom>
      <diagonal/>
    </border>
    <border>
      <left/>
      <right style="thin">
        <color indexed="64"/>
      </right>
      <top/>
      <bottom style="medium">
        <color indexed="64"/>
      </bottom>
      <diagonal/>
    </border>
    <border>
      <left style="thin">
        <color indexed="64"/>
      </left>
      <right style="thick">
        <color rgb="FF0000FF"/>
      </right>
      <top style="thin">
        <color indexed="64"/>
      </top>
      <bottom style="thin">
        <color indexed="64"/>
      </bottom>
      <diagonal/>
    </border>
    <border>
      <left/>
      <right style="thick">
        <color rgb="FF0000FF"/>
      </right>
      <top/>
      <bottom/>
      <diagonal/>
    </border>
    <border>
      <left style="thin">
        <color indexed="64"/>
      </left>
      <right style="thick">
        <color rgb="FF0000FF"/>
      </right>
      <top style="thin">
        <color indexed="64"/>
      </top>
      <bottom style="thick">
        <color rgb="FF0000FF"/>
      </bottom>
      <diagonal/>
    </border>
    <border>
      <left/>
      <right/>
      <top/>
      <bottom style="medium">
        <color theme="4" tint="-0.49998474074526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777">
    <xf numFmtId="0" fontId="0" fillId="0" borderId="0"/>
    <xf numFmtId="0" fontId="5" fillId="0" borderId="0"/>
    <xf numFmtId="0" fontId="5" fillId="0" borderId="1"/>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9" borderId="0" applyNumberFormat="0" applyBorder="0" applyAlignment="0" applyProtection="0"/>
    <xf numFmtId="0" fontId="35" fillId="3" borderId="0" applyNumberFormat="0" applyBorder="0" applyAlignment="0" applyProtection="0"/>
    <xf numFmtId="0" fontId="30" fillId="20" borderId="3" applyNumberFormat="0" applyAlignment="0" applyProtection="0"/>
    <xf numFmtId="0" fontId="45" fillId="0" borderId="0"/>
    <xf numFmtId="0" fontId="42" fillId="21" borderId="4" applyNumberFormat="0" applyAlignment="0" applyProtection="0"/>
    <xf numFmtId="43" fontId="2"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9" fontId="5" fillId="0" borderId="0" applyFont="0" applyFill="0" applyBorder="0" applyAlignment="0" applyProtection="0"/>
    <xf numFmtId="43" fontId="72" fillId="0" borderId="0" applyFont="0" applyFill="0" applyBorder="0" applyAlignment="0" applyProtection="0"/>
    <xf numFmtId="44" fontId="2" fillId="0" borderId="0" applyFont="0" applyFill="0" applyBorder="0" applyAlignment="0" applyProtection="0"/>
    <xf numFmtId="174" fontId="27" fillId="0" borderId="0" applyFon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37" fillId="0" borderId="6" applyNumberFormat="0" applyFill="0" applyAlignment="0" applyProtection="0"/>
    <xf numFmtId="0" fontId="38" fillId="0" borderId="7" applyNumberFormat="0" applyFill="0" applyAlignment="0" applyProtection="0"/>
    <xf numFmtId="0" fontId="39" fillId="0" borderId="8" applyNumberFormat="0" applyFill="0" applyAlignment="0" applyProtection="0"/>
    <xf numFmtId="0" fontId="39" fillId="0" borderId="0" applyNumberFormat="0" applyFill="0" applyBorder="0" applyAlignment="0" applyProtection="0"/>
    <xf numFmtId="0" fontId="6" fillId="0" borderId="0" applyNumberFormat="0" applyFill="0" applyBorder="0" applyAlignment="0" applyProtection="0">
      <alignment vertical="top"/>
      <protection locked="0"/>
    </xf>
    <xf numFmtId="0" fontId="31" fillId="7" borderId="3" applyNumberFormat="0" applyAlignment="0" applyProtection="0"/>
    <xf numFmtId="38" fontId="19" fillId="22" borderId="9">
      <alignment vertical="top"/>
    </xf>
    <xf numFmtId="0" fontId="40" fillId="0" borderId="10"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27"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6" fontId="72"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27"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72"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72" fillId="0" borderId="0" applyFont="0" applyFill="0" applyBorder="0" applyAlignment="0" applyProtection="0"/>
    <xf numFmtId="173" fontId="72" fillId="0" borderId="0" applyFont="0" applyFill="0" applyBorder="0" applyAlignment="0" applyProtection="0"/>
    <xf numFmtId="173" fontId="27"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27" fillId="0" borderId="0" applyFont="0" applyFill="0" applyBorder="0" applyAlignment="0" applyProtection="0"/>
    <xf numFmtId="173" fontId="5" fillId="0" borderId="0" applyFont="0" applyFill="0" applyBorder="0" applyAlignment="0" applyProtection="0"/>
    <xf numFmtId="173" fontId="27"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4" fontId="72" fillId="0" borderId="0" applyFont="0" applyFill="0" applyBorder="0" applyAlignment="0" applyProtection="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5" fillId="0" borderId="0"/>
    <xf numFmtId="0" fontId="27" fillId="0" borderId="0"/>
    <xf numFmtId="0" fontId="5"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72"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0" fontId="5" fillId="0" borderId="0"/>
    <xf numFmtId="0" fontId="27" fillId="0" borderId="0"/>
    <xf numFmtId="0" fontId="5" fillId="0" borderId="0"/>
    <xf numFmtId="0" fontId="27" fillId="0" borderId="0"/>
    <xf numFmtId="0" fontId="5" fillId="0" borderId="0"/>
    <xf numFmtId="0" fontId="27" fillId="0" borderId="0"/>
    <xf numFmtId="0" fontId="5"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5" fillId="0" borderId="0"/>
    <xf numFmtId="0" fontId="27" fillId="0" borderId="0"/>
    <xf numFmtId="0" fontId="5" fillId="0" borderId="0"/>
    <xf numFmtId="0" fontId="27" fillId="0" borderId="0"/>
    <xf numFmtId="0" fontId="27" fillId="0" borderId="0"/>
    <xf numFmtId="0" fontId="5"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5" fillId="0" borderId="0"/>
    <xf numFmtId="0" fontId="5" fillId="0" borderId="1"/>
    <xf numFmtId="0" fontId="27" fillId="0" borderId="0"/>
    <xf numFmtId="0" fontId="45" fillId="0" borderId="0"/>
    <xf numFmtId="0" fontId="5" fillId="0" borderId="0"/>
    <xf numFmtId="0" fontId="5" fillId="0" borderId="0"/>
    <xf numFmtId="0" fontId="5" fillId="0" borderId="0"/>
    <xf numFmtId="0" fontId="5" fillId="0" borderId="0"/>
    <xf numFmtId="0" fontId="5" fillId="0" borderId="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7" fillId="23" borderId="11" applyNumberFormat="0" applyFont="0" applyAlignment="0" applyProtection="0"/>
    <xf numFmtId="0" fontId="29" fillId="20" borderId="2" applyNumberFormat="0" applyAlignment="0" applyProtection="0"/>
    <xf numFmtId="9" fontId="2" fillId="0" borderId="0" applyFont="0" applyFill="0" applyBorder="0" applyAlignment="0" applyProtection="0"/>
    <xf numFmtId="9" fontId="5" fillId="0" borderId="0" applyFont="0" applyFill="0" applyBorder="0" applyAlignment="0" applyProtection="0"/>
    <xf numFmtId="9" fontId="5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8" fontId="47" fillId="24" borderId="12" applyNumberFormat="0" applyBorder="0"/>
    <xf numFmtId="0" fontId="27" fillId="0" borderId="0"/>
    <xf numFmtId="38" fontId="48" fillId="24" borderId="0" applyNumberFormat="0" applyFill="0" applyBorder="0"/>
    <xf numFmtId="0" fontId="32" fillId="25" borderId="13" applyFont="0" applyFill="0" applyAlignment="0">
      <alignment vertical="top"/>
    </xf>
    <xf numFmtId="0" fontId="36" fillId="0" borderId="0" applyNumberFormat="0" applyFill="0" applyBorder="0" applyAlignment="0" applyProtection="0"/>
    <xf numFmtId="0" fontId="32" fillId="0" borderId="5" applyNumberFormat="0" applyFill="0" applyAlignment="0" applyProtection="0"/>
    <xf numFmtId="0" fontId="32" fillId="0" borderId="5" applyNumberFormat="0" applyFill="0" applyAlignment="0" applyProtection="0"/>
    <xf numFmtId="0" fontId="32" fillId="0" borderId="5" applyNumberFormat="0" applyFill="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41" fillId="0" borderId="0" applyNumberFormat="0" applyFill="0" applyBorder="0" applyAlignment="0" applyProtection="0"/>
    <xf numFmtId="0" fontId="1" fillId="0" borderId="0"/>
  </cellStyleXfs>
  <cellXfs count="1215">
    <xf numFmtId="0" fontId="0" fillId="0" borderId="0" xfId="0"/>
    <xf numFmtId="0" fontId="0" fillId="0" borderId="0" xfId="0" applyProtection="1"/>
    <xf numFmtId="0" fontId="4" fillId="0" borderId="0" xfId="0" applyFont="1" applyProtection="1"/>
    <xf numFmtId="0" fontId="0" fillId="0" borderId="0" xfId="0" applyBorder="1" applyProtection="1"/>
    <xf numFmtId="0" fontId="5" fillId="0" borderId="0" xfId="0" applyFont="1" applyProtection="1"/>
    <xf numFmtId="0" fontId="23" fillId="0" borderId="0" xfId="404" applyFont="1"/>
    <xf numFmtId="0" fontId="10" fillId="0" borderId="0" xfId="0" applyFont="1" applyBorder="1" applyAlignment="1" applyProtection="1">
      <alignment vertical="center"/>
      <protection hidden="1"/>
    </xf>
    <xf numFmtId="0" fontId="15" fillId="0" borderId="0" xfId="0" applyFont="1" applyBorder="1" applyAlignment="1" applyProtection="1">
      <alignment vertical="center"/>
      <protection hidden="1"/>
    </xf>
    <xf numFmtId="0" fontId="10" fillId="26" borderId="0" xfId="0" applyFont="1" applyFill="1" applyAlignment="1" applyProtection="1">
      <alignment vertical="center"/>
      <protection hidden="1"/>
    </xf>
    <xf numFmtId="0" fontId="3" fillId="0" borderId="0" xfId="0" applyFont="1" applyBorder="1" applyAlignment="1" applyProtection="1">
      <alignment vertical="center"/>
      <protection hidden="1"/>
    </xf>
    <xf numFmtId="0" fontId="16" fillId="0" borderId="0" xfId="0" applyFont="1" applyBorder="1" applyAlignment="1" applyProtection="1">
      <alignment vertical="center" wrapText="1"/>
      <protection hidden="1"/>
    </xf>
    <xf numFmtId="0" fontId="3" fillId="27" borderId="14" xfId="0" applyFont="1" applyFill="1" applyBorder="1" applyAlignment="1" applyProtection="1">
      <alignment horizontal="center" vertical="center" wrapText="1"/>
      <protection hidden="1"/>
    </xf>
    <xf numFmtId="0" fontId="3" fillId="27" borderId="15" xfId="0" applyFont="1" applyFill="1" applyBorder="1" applyAlignment="1" applyProtection="1">
      <alignment horizontal="center" vertical="center" wrapText="1"/>
      <protection hidden="1"/>
    </xf>
    <xf numFmtId="0" fontId="3" fillId="27" borderId="16" xfId="0" applyFont="1" applyFill="1" applyBorder="1" applyAlignment="1" applyProtection="1">
      <alignment horizontal="center" vertical="center" wrapText="1"/>
      <protection hidden="1"/>
    </xf>
    <xf numFmtId="0" fontId="3" fillId="27" borderId="17" xfId="0" applyFont="1" applyFill="1" applyBorder="1" applyAlignment="1" applyProtection="1">
      <alignment horizontal="center" vertical="center" wrapText="1"/>
      <protection hidden="1"/>
    </xf>
    <xf numFmtId="0" fontId="3" fillId="27" borderId="18" xfId="0" applyFont="1" applyFill="1" applyBorder="1" applyAlignment="1" applyProtection="1">
      <alignment horizontal="center" vertical="center" wrapText="1"/>
      <protection hidden="1"/>
    </xf>
    <xf numFmtId="0" fontId="11" fillId="0" borderId="0" xfId="0" applyFont="1" applyBorder="1" applyAlignment="1" applyProtection="1">
      <alignment vertical="center"/>
      <protection hidden="1"/>
    </xf>
    <xf numFmtId="0" fontId="10" fillId="0" borderId="19" xfId="0" applyFont="1" applyBorder="1" applyAlignment="1" applyProtection="1">
      <alignment vertical="center"/>
      <protection hidden="1"/>
    </xf>
    <xf numFmtId="0" fontId="17" fillId="0" borderId="20" xfId="0" applyFont="1" applyBorder="1" applyProtection="1">
      <protection hidden="1"/>
    </xf>
    <xf numFmtId="0" fontId="10" fillId="28" borderId="21" xfId="0" applyNumberFormat="1" applyFont="1" applyFill="1" applyBorder="1" applyAlignment="1" applyProtection="1">
      <alignment horizontal="center" vertical="center" wrapText="1"/>
      <protection hidden="1"/>
    </xf>
    <xf numFmtId="0" fontId="10" fillId="29" borderId="21" xfId="0" applyNumberFormat="1" applyFont="1" applyFill="1" applyBorder="1" applyAlignment="1" applyProtection="1">
      <alignment horizontal="center" vertical="center" wrapText="1"/>
      <protection hidden="1"/>
    </xf>
    <xf numFmtId="0" fontId="10" fillId="29" borderId="22" xfId="0" applyNumberFormat="1" applyFont="1" applyFill="1" applyBorder="1" applyAlignment="1" applyProtection="1">
      <alignment horizontal="center" vertical="center" wrapText="1"/>
      <protection hidden="1"/>
    </xf>
    <xf numFmtId="0" fontId="3" fillId="0" borderId="23" xfId="0" applyFont="1" applyBorder="1" applyAlignment="1" applyProtection="1">
      <alignment horizontal="left" vertical="center" wrapText="1"/>
      <protection hidden="1"/>
    </xf>
    <xf numFmtId="9" fontId="10" fillId="0" borderId="24" xfId="0" applyNumberFormat="1" applyFont="1" applyBorder="1" applyAlignment="1" applyProtection="1">
      <alignment horizontal="center" vertical="center" wrapText="1"/>
      <protection hidden="1"/>
    </xf>
    <xf numFmtId="9" fontId="3" fillId="0" borderId="25" xfId="752" applyFont="1" applyBorder="1" applyAlignment="1" applyProtection="1">
      <alignment horizontal="center" vertical="center" wrapText="1"/>
      <protection hidden="1"/>
    </xf>
    <xf numFmtId="2" fontId="10" fillId="25" borderId="26" xfId="31" applyNumberFormat="1" applyFont="1" applyFill="1" applyBorder="1" applyAlignment="1" applyProtection="1">
      <alignment horizontal="center" vertical="center"/>
      <protection hidden="1"/>
    </xf>
    <xf numFmtId="1" fontId="10" fillId="0" borderId="25" xfId="0" applyNumberFormat="1" applyFont="1" applyBorder="1" applyAlignment="1" applyProtection="1">
      <alignment horizontal="center" vertical="center" wrapText="1"/>
      <protection hidden="1"/>
    </xf>
    <xf numFmtId="0" fontId="3" fillId="0" borderId="27" xfId="0" applyFont="1" applyBorder="1" applyAlignment="1" applyProtection="1">
      <alignment horizontal="left" vertical="center" wrapText="1"/>
      <protection hidden="1"/>
    </xf>
    <xf numFmtId="9" fontId="10" fillId="0" borderId="28" xfId="0" applyNumberFormat="1" applyFont="1" applyBorder="1" applyAlignment="1" applyProtection="1">
      <alignment horizontal="center" vertical="center" wrapText="1"/>
      <protection hidden="1"/>
    </xf>
    <xf numFmtId="9" fontId="3" fillId="0" borderId="29" xfId="752" applyFont="1" applyBorder="1" applyAlignment="1" applyProtection="1">
      <alignment horizontal="center" vertical="center" wrapText="1"/>
      <protection hidden="1"/>
    </xf>
    <xf numFmtId="0" fontId="10" fillId="0" borderId="30" xfId="0" applyFont="1" applyBorder="1" applyAlignment="1" applyProtection="1">
      <alignment vertical="center"/>
      <protection hidden="1"/>
    </xf>
    <xf numFmtId="0" fontId="11" fillId="0" borderId="0" xfId="0" applyNumberFormat="1" applyFont="1" applyFill="1" applyBorder="1" applyAlignment="1" applyProtection="1">
      <alignment horizontal="right"/>
      <protection hidden="1"/>
    </xf>
    <xf numFmtId="0" fontId="10" fillId="0" borderId="31" xfId="0" applyNumberFormat="1" applyFont="1" applyFill="1" applyBorder="1" applyAlignment="1" applyProtection="1">
      <alignment horizontal="center" vertical="center" wrapText="1"/>
      <protection hidden="1"/>
    </xf>
    <xf numFmtId="0" fontId="10" fillId="0" borderId="0" xfId="0" applyNumberFormat="1" applyFont="1" applyFill="1" applyBorder="1" applyAlignment="1" applyProtection="1">
      <alignment horizontal="center" vertical="center" wrapText="1"/>
      <protection hidden="1"/>
    </xf>
    <xf numFmtId="0" fontId="10" fillId="0" borderId="32" xfId="0" applyNumberFormat="1" applyFont="1" applyFill="1" applyBorder="1" applyAlignment="1" applyProtection="1">
      <alignment horizontal="center" vertical="center" wrapText="1"/>
      <protection hidden="1"/>
    </xf>
    <xf numFmtId="1" fontId="10" fillId="0" borderId="29" xfId="0" applyNumberFormat="1" applyFont="1" applyBorder="1" applyAlignment="1" applyProtection="1">
      <alignment horizontal="center" vertical="center" wrapText="1"/>
      <protection hidden="1"/>
    </xf>
    <xf numFmtId="0" fontId="17" fillId="0" borderId="30" xfId="0" applyFont="1" applyBorder="1" applyProtection="1">
      <protection hidden="1"/>
    </xf>
    <xf numFmtId="0" fontId="10" fillId="0" borderId="31" xfId="0" applyNumberFormat="1" applyFont="1" applyFill="1" applyBorder="1" applyAlignment="1" applyProtection="1">
      <alignment horizontal="center" wrapText="1"/>
      <protection hidden="1"/>
    </xf>
    <xf numFmtId="0" fontId="10" fillId="0" borderId="0" xfId="0" applyNumberFormat="1" applyFont="1" applyFill="1" applyBorder="1" applyAlignment="1" applyProtection="1">
      <alignment horizontal="center" wrapText="1"/>
      <protection hidden="1"/>
    </xf>
    <xf numFmtId="0" fontId="10" fillId="0" borderId="33" xfId="0" applyNumberFormat="1" applyFont="1" applyFill="1" applyBorder="1" applyAlignment="1" applyProtection="1">
      <alignment horizontal="center" wrapText="1"/>
      <protection hidden="1"/>
    </xf>
    <xf numFmtId="0" fontId="10" fillId="0" borderId="32" xfId="0" applyNumberFormat="1" applyFont="1" applyFill="1" applyBorder="1" applyAlignment="1" applyProtection="1">
      <alignment horizontal="center" wrapText="1"/>
      <protection hidden="1"/>
    </xf>
    <xf numFmtId="0" fontId="17" fillId="0" borderId="34" xfId="0" applyFont="1" applyBorder="1" applyProtection="1">
      <protection hidden="1"/>
    </xf>
    <xf numFmtId="0" fontId="17" fillId="0" borderId="35" xfId="0" applyFont="1" applyBorder="1" applyProtection="1">
      <protection hidden="1"/>
    </xf>
    <xf numFmtId="0" fontId="17" fillId="0" borderId="36" xfId="0" applyFont="1" applyBorder="1" applyProtection="1">
      <protection hidden="1"/>
    </xf>
    <xf numFmtId="0" fontId="3" fillId="0" borderId="37" xfId="0" applyFont="1" applyBorder="1" applyAlignment="1" applyProtection="1">
      <alignment horizontal="left" vertical="center" wrapText="1"/>
      <protection hidden="1"/>
    </xf>
    <xf numFmtId="0" fontId="18" fillId="0" borderId="38" xfId="0" applyFont="1" applyBorder="1" applyAlignment="1" applyProtection="1">
      <alignment horizontal="left" vertical="center" wrapText="1"/>
      <protection hidden="1"/>
    </xf>
    <xf numFmtId="0" fontId="10" fillId="0" borderId="39" xfId="0" applyFont="1" applyBorder="1" applyAlignment="1" applyProtection="1">
      <alignment horizontal="left" vertical="center" wrapText="1"/>
      <protection hidden="1"/>
    </xf>
    <xf numFmtId="0" fontId="10" fillId="0" borderId="40" xfId="0" applyFont="1" applyBorder="1" applyAlignment="1" applyProtection="1">
      <alignment horizontal="left" vertical="center" wrapText="1"/>
      <protection hidden="1"/>
    </xf>
    <xf numFmtId="0" fontId="10" fillId="0" borderId="25" xfId="0" applyFont="1" applyBorder="1" applyAlignment="1" applyProtection="1">
      <alignment vertical="center" wrapText="1"/>
      <protection hidden="1"/>
    </xf>
    <xf numFmtId="0" fontId="10" fillId="30" borderId="41" xfId="0" applyNumberFormat="1" applyFont="1" applyFill="1" applyBorder="1" applyAlignment="1" applyProtection="1">
      <protection hidden="1"/>
    </xf>
    <xf numFmtId="168" fontId="10" fillId="31" borderId="41" xfId="31" applyNumberFormat="1" applyFont="1" applyFill="1" applyBorder="1" applyAlignment="1" applyProtection="1">
      <alignment horizontal="right"/>
      <protection hidden="1"/>
    </xf>
    <xf numFmtId="164" fontId="10" fillId="31" borderId="41" xfId="31" applyNumberFormat="1" applyFont="1" applyFill="1" applyBorder="1" applyAlignment="1" applyProtection="1">
      <alignment horizontal="right"/>
      <protection hidden="1"/>
    </xf>
    <xf numFmtId="0" fontId="10" fillId="30" borderId="42" xfId="0" applyFont="1" applyFill="1" applyBorder="1" applyAlignment="1" applyProtection="1">
      <alignment horizontal="center" vertical="center"/>
      <protection hidden="1"/>
    </xf>
    <xf numFmtId="9" fontId="10" fillId="27" borderId="43" xfId="0" applyNumberFormat="1" applyFont="1" applyFill="1" applyBorder="1" applyAlignment="1" applyProtection="1">
      <alignment horizontal="center" vertical="center" wrapText="1"/>
      <protection hidden="1"/>
    </xf>
    <xf numFmtId="0" fontId="43" fillId="30" borderId="42" xfId="0" applyFont="1" applyFill="1" applyBorder="1" applyAlignment="1" applyProtection="1">
      <alignment horizontal="center" vertical="center"/>
      <protection hidden="1"/>
    </xf>
    <xf numFmtId="0" fontId="20" fillId="30" borderId="42" xfId="0" applyFont="1" applyFill="1" applyBorder="1" applyAlignment="1" applyProtection="1">
      <alignment horizontal="center" vertical="center"/>
      <protection hidden="1"/>
    </xf>
    <xf numFmtId="9" fontId="15" fillId="32" borderId="0" xfId="0" applyNumberFormat="1" applyFont="1" applyFill="1" applyBorder="1" applyAlignment="1" applyProtection="1">
      <alignment vertical="center"/>
      <protection hidden="1"/>
    </xf>
    <xf numFmtId="0" fontId="10" fillId="30" borderId="41" xfId="0" applyNumberFormat="1" applyFont="1" applyFill="1" applyBorder="1" applyAlignment="1" applyProtection="1">
      <alignment wrapText="1"/>
      <protection hidden="1"/>
    </xf>
    <xf numFmtId="0" fontId="3" fillId="0" borderId="44" xfId="0" applyFont="1" applyBorder="1" applyAlignment="1" applyProtection="1">
      <alignment horizontal="left" vertical="center" wrapText="1"/>
      <protection hidden="1"/>
    </xf>
    <xf numFmtId="0" fontId="17" fillId="26" borderId="0" xfId="0" applyFont="1" applyFill="1" applyProtection="1">
      <protection hidden="1"/>
    </xf>
    <xf numFmtId="2" fontId="17" fillId="26" borderId="0" xfId="0" applyNumberFormat="1" applyFont="1" applyFill="1" applyProtection="1">
      <protection hidden="1"/>
    </xf>
    <xf numFmtId="0" fontId="17" fillId="0" borderId="0" xfId="0" applyFont="1" applyBorder="1" applyProtection="1">
      <protection hidden="1"/>
    </xf>
    <xf numFmtId="0" fontId="17" fillId="25" borderId="0" xfId="0" applyFont="1" applyFill="1" applyBorder="1" applyProtection="1">
      <protection hidden="1"/>
    </xf>
    <xf numFmtId="0" fontId="10" fillId="0" borderId="38" xfId="0" applyFont="1" applyBorder="1" applyAlignment="1" applyProtection="1">
      <alignment horizontal="left" vertical="center" wrapText="1"/>
      <protection hidden="1"/>
    </xf>
    <xf numFmtId="9" fontId="10" fillId="0" borderId="45" xfId="0" applyNumberFormat="1" applyFont="1" applyBorder="1" applyAlignment="1" applyProtection="1">
      <alignment horizontal="center" vertical="center" wrapText="1"/>
      <protection hidden="1"/>
    </xf>
    <xf numFmtId="9" fontId="10" fillId="0" borderId="40" xfId="0" applyNumberFormat="1" applyFont="1" applyBorder="1" applyAlignment="1" applyProtection="1">
      <alignment horizontal="left" vertical="center" wrapText="1"/>
      <protection hidden="1"/>
    </xf>
    <xf numFmtId="0" fontId="10" fillId="0" borderId="25" xfId="0" applyFont="1" applyBorder="1" applyAlignment="1" applyProtection="1">
      <alignment horizontal="left" vertical="center" wrapText="1"/>
      <protection hidden="1"/>
    </xf>
    <xf numFmtId="166" fontId="10" fillId="0" borderId="28" xfId="0" applyNumberFormat="1" applyFont="1" applyBorder="1" applyAlignment="1" applyProtection="1">
      <alignment horizontal="center" vertical="center" wrapText="1"/>
      <protection hidden="1"/>
    </xf>
    <xf numFmtId="0" fontId="10" fillId="0" borderId="45" xfId="0" applyFont="1" applyBorder="1" applyAlignment="1" applyProtection="1">
      <alignment horizontal="left" vertical="center" wrapText="1"/>
      <protection hidden="1"/>
    </xf>
    <xf numFmtId="0" fontId="10" fillId="30" borderId="46" xfId="0" applyNumberFormat="1" applyFont="1" applyFill="1" applyBorder="1" applyAlignment="1" applyProtection="1">
      <alignment wrapText="1"/>
      <protection hidden="1"/>
    </xf>
    <xf numFmtId="168" fontId="10" fillId="31" borderId="46" xfId="31" applyNumberFormat="1" applyFont="1" applyFill="1" applyBorder="1" applyAlignment="1" applyProtection="1">
      <alignment horizontal="right"/>
      <protection hidden="1"/>
    </xf>
    <xf numFmtId="0" fontId="10" fillId="0" borderId="45" xfId="0" applyFont="1" applyBorder="1" applyAlignment="1" applyProtection="1">
      <alignment vertical="center" wrapText="1"/>
      <protection hidden="1"/>
    </xf>
    <xf numFmtId="0" fontId="10" fillId="0" borderId="47" xfId="0" applyFont="1" applyBorder="1" applyAlignment="1" applyProtection="1">
      <alignment horizontal="left" vertical="center" wrapText="1"/>
      <protection hidden="1"/>
    </xf>
    <xf numFmtId="0" fontId="10" fillId="0" borderId="48" xfId="0" applyFont="1" applyBorder="1" applyAlignment="1" applyProtection="1">
      <alignment vertical="center" wrapText="1"/>
      <protection hidden="1"/>
    </xf>
    <xf numFmtId="0" fontId="10" fillId="0" borderId="49" xfId="0" applyFont="1" applyBorder="1" applyAlignment="1" applyProtection="1">
      <alignment vertical="center" wrapText="1"/>
      <protection hidden="1"/>
    </xf>
    <xf numFmtId="0" fontId="10" fillId="27" borderId="50" xfId="0" applyFont="1" applyFill="1" applyBorder="1" applyAlignment="1" applyProtection="1">
      <alignment horizontal="center" vertical="center"/>
      <protection hidden="1"/>
    </xf>
    <xf numFmtId="0" fontId="43" fillId="27" borderId="42" xfId="0" applyFont="1" applyFill="1" applyBorder="1" applyAlignment="1" applyProtection="1">
      <alignment horizontal="center" vertical="center"/>
      <protection hidden="1"/>
    </xf>
    <xf numFmtId="9" fontId="10" fillId="27" borderId="51" xfId="0" applyNumberFormat="1" applyFont="1" applyFill="1" applyBorder="1" applyAlignment="1" applyProtection="1">
      <alignment horizontal="center" vertical="center" wrapText="1"/>
      <protection hidden="1"/>
    </xf>
    <xf numFmtId="9" fontId="10" fillId="27" borderId="52" xfId="0" applyNumberFormat="1" applyFont="1" applyFill="1" applyBorder="1" applyAlignment="1" applyProtection="1">
      <alignment horizontal="center" vertical="center" wrapText="1"/>
      <protection hidden="1"/>
    </xf>
    <xf numFmtId="9" fontId="44" fillId="27" borderId="51" xfId="0" applyNumberFormat="1" applyFont="1" applyFill="1" applyBorder="1" applyAlignment="1" applyProtection="1">
      <alignment horizontal="center" vertical="center" wrapText="1"/>
      <protection hidden="1"/>
    </xf>
    <xf numFmtId="0" fontId="10" fillId="0" borderId="38" xfId="0" applyFont="1" applyBorder="1" applyAlignment="1" applyProtection="1">
      <alignment vertical="center" wrapText="1"/>
      <protection hidden="1"/>
    </xf>
    <xf numFmtId="0" fontId="10" fillId="0" borderId="53" xfId="0" applyFont="1" applyBorder="1" applyAlignment="1" applyProtection="1">
      <alignment horizontal="left" vertical="center" wrapText="1"/>
      <protection hidden="1"/>
    </xf>
    <xf numFmtId="0" fontId="10" fillId="0" borderId="27" xfId="0" applyFont="1" applyBorder="1" applyAlignment="1" applyProtection="1">
      <alignment horizontal="left" vertical="center" wrapText="1"/>
      <protection hidden="1"/>
    </xf>
    <xf numFmtId="0" fontId="18" fillId="0" borderId="25" xfId="0" applyFont="1" applyBorder="1" applyAlignment="1" applyProtection="1">
      <alignment horizontal="left" vertical="center" wrapText="1"/>
      <protection hidden="1"/>
    </xf>
    <xf numFmtId="0" fontId="43" fillId="27" borderId="42" xfId="0" applyNumberFormat="1" applyFont="1" applyFill="1" applyBorder="1" applyAlignment="1" applyProtection="1">
      <alignment horizontal="center" vertical="center"/>
      <protection hidden="1"/>
    </xf>
    <xf numFmtId="0" fontId="3" fillId="25" borderId="54" xfId="0" applyFont="1" applyFill="1" applyBorder="1" applyAlignment="1" applyProtection="1">
      <alignment vertical="center"/>
      <protection hidden="1"/>
    </xf>
    <xf numFmtId="9" fontId="3" fillId="25" borderId="14" xfId="0" applyNumberFormat="1" applyFont="1" applyFill="1" applyBorder="1" applyAlignment="1" applyProtection="1">
      <alignment horizontal="center" vertical="center"/>
      <protection hidden="1"/>
    </xf>
    <xf numFmtId="0" fontId="10" fillId="25" borderId="50" xfId="0" applyFont="1" applyFill="1" applyBorder="1" applyAlignment="1" applyProtection="1">
      <alignment horizontal="center" vertical="center"/>
      <protection hidden="1"/>
    </xf>
    <xf numFmtId="9" fontId="10" fillId="25" borderId="43" xfId="0" applyNumberFormat="1" applyFont="1" applyFill="1" applyBorder="1" applyAlignment="1" applyProtection="1">
      <alignment horizontal="center" vertical="center" wrapText="1"/>
      <protection hidden="1"/>
    </xf>
    <xf numFmtId="9" fontId="10" fillId="25" borderId="51" xfId="0" applyNumberFormat="1" applyFont="1" applyFill="1" applyBorder="1" applyAlignment="1" applyProtection="1">
      <alignment horizontal="center" vertical="center" wrapText="1"/>
      <protection hidden="1"/>
    </xf>
    <xf numFmtId="9" fontId="10" fillId="25" borderId="52" xfId="0" applyNumberFormat="1" applyFont="1" applyFill="1" applyBorder="1" applyAlignment="1" applyProtection="1">
      <alignment horizontal="center" vertical="center" wrapText="1"/>
      <protection hidden="1"/>
    </xf>
    <xf numFmtId="9" fontId="10" fillId="25" borderId="55" xfId="0" applyNumberFormat="1" applyFont="1" applyFill="1" applyBorder="1" applyAlignment="1" applyProtection="1">
      <alignment horizontal="center" vertical="center" wrapText="1"/>
      <protection hidden="1"/>
    </xf>
    <xf numFmtId="14" fontId="0" fillId="0" borderId="0" xfId="0" applyNumberFormat="1" applyFill="1" applyBorder="1" applyAlignment="1" applyProtection="1">
      <alignment horizontal="center"/>
      <protection hidden="1"/>
    </xf>
    <xf numFmtId="0" fontId="13" fillId="26" borderId="0" xfId="0" applyFont="1" applyFill="1" applyAlignment="1" applyProtection="1">
      <alignment vertical="center"/>
      <protection hidden="1"/>
    </xf>
    <xf numFmtId="0" fontId="3" fillId="25" borderId="41" xfId="0" applyFont="1" applyFill="1" applyBorder="1" applyAlignment="1" applyProtection="1">
      <alignment horizontal="center"/>
      <protection hidden="1"/>
    </xf>
    <xf numFmtId="0" fontId="10" fillId="25" borderId="41" xfId="0" applyFont="1" applyFill="1" applyBorder="1" applyAlignment="1" applyProtection="1">
      <alignment horizontal="center"/>
      <protection hidden="1"/>
    </xf>
    <xf numFmtId="0" fontId="10" fillId="25" borderId="56" xfId="0" applyFont="1" applyFill="1" applyBorder="1" applyAlignment="1" applyProtection="1">
      <alignment horizontal="center"/>
      <protection hidden="1"/>
    </xf>
    <xf numFmtId="0" fontId="10" fillId="25" borderId="57" xfId="0" applyFont="1" applyFill="1" applyBorder="1" applyAlignment="1" applyProtection="1">
      <alignment horizontal="center"/>
      <protection hidden="1"/>
    </xf>
    <xf numFmtId="0" fontId="10" fillId="25" borderId="58" xfId="0" applyFont="1" applyFill="1" applyBorder="1" applyAlignment="1" applyProtection="1">
      <alignment horizontal="center"/>
      <protection hidden="1"/>
    </xf>
    <xf numFmtId="0" fontId="10" fillId="27" borderId="59" xfId="0" applyFont="1" applyFill="1" applyBorder="1" applyAlignment="1" applyProtection="1">
      <alignment horizontal="center"/>
      <protection hidden="1"/>
    </xf>
    <xf numFmtId="0" fontId="10" fillId="27" borderId="60" xfId="0" applyFont="1" applyFill="1" applyBorder="1" applyAlignment="1" applyProtection="1">
      <alignment horizontal="center"/>
      <protection hidden="1"/>
    </xf>
    <xf numFmtId="0" fontId="10" fillId="27" borderId="41" xfId="0" applyFont="1" applyFill="1" applyBorder="1" applyAlignment="1" applyProtection="1">
      <alignment horizontal="center"/>
      <protection hidden="1"/>
    </xf>
    <xf numFmtId="0" fontId="10" fillId="27" borderId="56" xfId="0" applyFont="1" applyFill="1" applyBorder="1" applyAlignment="1" applyProtection="1">
      <alignment horizontal="center"/>
      <protection hidden="1"/>
    </xf>
    <xf numFmtId="0" fontId="10" fillId="27" borderId="57" xfId="0" applyFont="1" applyFill="1" applyBorder="1" applyAlignment="1" applyProtection="1">
      <alignment horizontal="center"/>
      <protection hidden="1"/>
    </xf>
    <xf numFmtId="0" fontId="10" fillId="27" borderId="58" xfId="0" applyFont="1" applyFill="1" applyBorder="1" applyAlignment="1" applyProtection="1">
      <alignment horizontal="center"/>
      <protection hidden="1"/>
    </xf>
    <xf numFmtId="0" fontId="10" fillId="25" borderId="59" xfId="0" applyFont="1" applyFill="1" applyBorder="1" applyAlignment="1" applyProtection="1">
      <alignment horizontal="center"/>
      <protection hidden="1"/>
    </xf>
    <xf numFmtId="0" fontId="10" fillId="25" borderId="60" xfId="0" applyFont="1" applyFill="1" applyBorder="1" applyAlignment="1" applyProtection="1">
      <alignment horizontal="center"/>
      <protection hidden="1"/>
    </xf>
    <xf numFmtId="0" fontId="10" fillId="27" borderId="61" xfId="0" applyFont="1" applyFill="1" applyBorder="1" applyAlignment="1" applyProtection="1">
      <alignment horizontal="center"/>
      <protection hidden="1"/>
    </xf>
    <xf numFmtId="0" fontId="10" fillId="27" borderId="62" xfId="0" applyFont="1" applyFill="1" applyBorder="1" applyAlignment="1" applyProtection="1">
      <alignment horizontal="center"/>
      <protection hidden="1"/>
    </xf>
    <xf numFmtId="0" fontId="10" fillId="25" borderId="61" xfId="0" applyFont="1" applyFill="1" applyBorder="1" applyAlignment="1" applyProtection="1">
      <alignment horizontal="center"/>
      <protection hidden="1"/>
    </xf>
    <xf numFmtId="0" fontId="10" fillId="25" borderId="62" xfId="0" applyFont="1" applyFill="1" applyBorder="1" applyAlignment="1" applyProtection="1">
      <alignment horizontal="center"/>
      <protection hidden="1"/>
    </xf>
    <xf numFmtId="0" fontId="10" fillId="26" borderId="0" xfId="0" applyFont="1" applyFill="1" applyBorder="1" applyAlignment="1" applyProtection="1">
      <alignment vertical="center"/>
      <protection hidden="1"/>
    </xf>
    <xf numFmtId="0" fontId="15" fillId="26" borderId="0" xfId="0" applyFont="1" applyFill="1" applyAlignment="1" applyProtection="1">
      <alignment vertical="center"/>
      <protection hidden="1"/>
    </xf>
    <xf numFmtId="0" fontId="10" fillId="0" borderId="0" xfId="0" applyFont="1" applyBorder="1" applyAlignment="1" applyProtection="1">
      <alignment vertical="center" wrapText="1"/>
      <protection hidden="1"/>
    </xf>
    <xf numFmtId="37" fontId="10" fillId="25" borderId="26" xfId="31" applyNumberFormat="1" applyFont="1" applyFill="1" applyBorder="1" applyAlignment="1" applyProtection="1">
      <alignment horizontal="center" vertical="center"/>
      <protection hidden="1"/>
    </xf>
    <xf numFmtId="168" fontId="17" fillId="25" borderId="0" xfId="0" applyNumberFormat="1" applyFont="1" applyFill="1" applyBorder="1" applyProtection="1">
      <protection hidden="1"/>
    </xf>
    <xf numFmtId="168" fontId="10" fillId="31" borderId="117" xfId="31" applyNumberFormat="1" applyFont="1" applyFill="1" applyBorder="1" applyAlignment="1" applyProtection="1">
      <alignment horizontal="right"/>
      <protection hidden="1"/>
    </xf>
    <xf numFmtId="168" fontId="17" fillId="25" borderId="118" xfId="0" applyNumberFormat="1" applyFont="1" applyFill="1" applyBorder="1" applyProtection="1">
      <protection hidden="1"/>
    </xf>
    <xf numFmtId="168" fontId="10" fillId="31" borderId="119" xfId="31" applyNumberFormat="1" applyFont="1" applyFill="1" applyBorder="1" applyAlignment="1" applyProtection="1">
      <alignment horizontal="right"/>
      <protection hidden="1"/>
    </xf>
    <xf numFmtId="0" fontId="73" fillId="0" borderId="0" xfId="177" applyFont="1"/>
    <xf numFmtId="0" fontId="74" fillId="36" borderId="41" xfId="177" applyFont="1" applyFill="1" applyBorder="1"/>
    <xf numFmtId="0" fontId="74" fillId="0" borderId="41" xfId="177" applyFont="1" applyBorder="1"/>
    <xf numFmtId="0" fontId="73" fillId="0" borderId="0" xfId="177" applyFont="1" applyBorder="1"/>
    <xf numFmtId="0" fontId="73" fillId="0" borderId="0" xfId="177" applyFont="1" applyAlignment="1">
      <alignment horizontal="center"/>
    </xf>
    <xf numFmtId="0" fontId="74" fillId="0" borderId="61" xfId="177" applyFont="1" applyBorder="1"/>
    <xf numFmtId="0" fontId="75" fillId="0" borderId="0" xfId="0" applyFont="1" applyProtection="1"/>
    <xf numFmtId="0" fontId="76" fillId="0" borderId="0" xfId="0" applyFont="1" applyProtection="1"/>
    <xf numFmtId="0" fontId="76" fillId="0" borderId="0" xfId="0" applyFont="1" applyFill="1" applyBorder="1" applyProtection="1"/>
    <xf numFmtId="0" fontId="76" fillId="0" borderId="0" xfId="0" applyFont="1" applyFill="1" applyProtection="1"/>
    <xf numFmtId="0" fontId="76" fillId="0" borderId="0" xfId="0" applyFont="1" applyAlignment="1" applyProtection="1">
      <alignment horizontal="center"/>
    </xf>
    <xf numFmtId="164" fontId="76" fillId="0" borderId="0" xfId="31" applyNumberFormat="1" applyFont="1" applyFill="1" applyBorder="1" applyProtection="1"/>
    <xf numFmtId="0" fontId="76" fillId="0" borderId="0" xfId="0" applyFont="1" applyFill="1" applyBorder="1" applyAlignment="1" applyProtection="1">
      <alignment horizontal="left"/>
    </xf>
    <xf numFmtId="0" fontId="76" fillId="0" borderId="0" xfId="0" applyFont="1" applyFill="1" applyBorder="1" applyAlignment="1" applyProtection="1"/>
    <xf numFmtId="0" fontId="77" fillId="0" borderId="0" xfId="0" applyFont="1" applyFill="1" applyBorder="1" applyAlignment="1" applyProtection="1">
      <alignment vertical="top"/>
    </xf>
    <xf numFmtId="0" fontId="10" fillId="37" borderId="63" xfId="0" applyFont="1" applyFill="1" applyBorder="1" applyAlignment="1" applyProtection="1">
      <alignment horizontal="center" vertical="center"/>
      <protection hidden="1"/>
    </xf>
    <xf numFmtId="2" fontId="10" fillId="37" borderId="26" xfId="31" applyNumberFormat="1" applyFont="1" applyFill="1" applyBorder="1" applyAlignment="1" applyProtection="1">
      <alignment horizontal="center" vertical="center"/>
      <protection hidden="1"/>
    </xf>
    <xf numFmtId="1" fontId="10" fillId="37" borderId="26" xfId="31" applyNumberFormat="1" applyFont="1" applyFill="1" applyBorder="1" applyAlignment="1" applyProtection="1">
      <alignment horizontal="center" vertical="center"/>
      <protection hidden="1"/>
    </xf>
    <xf numFmtId="9" fontId="3" fillId="0" borderId="64" xfId="752" applyFont="1" applyBorder="1" applyAlignment="1" applyProtection="1">
      <alignment horizontal="center" vertical="center" wrapText="1"/>
      <protection hidden="1"/>
    </xf>
    <xf numFmtId="9" fontId="10" fillId="27" borderId="65" xfId="0" applyNumberFormat="1" applyFont="1" applyFill="1" applyBorder="1" applyAlignment="1" applyProtection="1">
      <alignment horizontal="center" vertical="center" wrapText="1"/>
      <protection hidden="1"/>
    </xf>
    <xf numFmtId="2" fontId="10" fillId="37" borderId="66" xfId="31" applyNumberFormat="1" applyFont="1" applyFill="1" applyBorder="1" applyAlignment="1" applyProtection="1">
      <alignment horizontal="center" vertical="center"/>
      <protection hidden="1"/>
    </xf>
    <xf numFmtId="2" fontId="10" fillId="37" borderId="67" xfId="31" applyNumberFormat="1" applyFont="1" applyFill="1" applyBorder="1" applyAlignment="1" applyProtection="1">
      <alignment horizontal="center" vertical="center"/>
      <protection hidden="1"/>
    </xf>
    <xf numFmtId="2" fontId="10" fillId="37" borderId="68" xfId="31" applyNumberFormat="1" applyFont="1" applyFill="1" applyBorder="1" applyAlignment="1" applyProtection="1">
      <alignment horizontal="center" vertical="center"/>
      <protection hidden="1"/>
    </xf>
    <xf numFmtId="0" fontId="12" fillId="38" borderId="69" xfId="0" applyNumberFormat="1" applyFont="1" applyFill="1" applyBorder="1" applyAlignment="1" applyProtection="1">
      <alignment horizontal="center" vertical="center" wrapText="1"/>
      <protection hidden="1"/>
    </xf>
    <xf numFmtId="0" fontId="10" fillId="38" borderId="0" xfId="0" applyFont="1" applyFill="1" applyBorder="1" applyAlignment="1" applyProtection="1">
      <alignment vertical="center"/>
      <protection hidden="1"/>
    </xf>
    <xf numFmtId="0" fontId="12" fillId="38" borderId="61" xfId="0" applyNumberFormat="1" applyFont="1" applyFill="1" applyBorder="1" applyAlignment="1" applyProtection="1">
      <alignment horizontal="center" vertical="center" wrapText="1"/>
      <protection hidden="1"/>
    </xf>
    <xf numFmtId="0" fontId="5" fillId="25" borderId="0" xfId="177" applyFill="1"/>
    <xf numFmtId="0" fontId="5" fillId="25" borderId="0" xfId="177" applyFill="1" applyAlignment="1">
      <alignment horizontal="right" vertical="center"/>
    </xf>
    <xf numFmtId="0" fontId="5" fillId="25" borderId="0" xfId="177" applyFill="1" applyAlignment="1">
      <alignment wrapText="1"/>
    </xf>
    <xf numFmtId="0" fontId="4" fillId="25" borderId="0" xfId="177" applyFont="1" applyFill="1" applyAlignment="1">
      <alignment wrapText="1"/>
    </xf>
    <xf numFmtId="0" fontId="5" fillId="25" borderId="0" xfId="177" applyFont="1" applyFill="1" applyAlignment="1">
      <alignment wrapText="1"/>
    </xf>
    <xf numFmtId="0" fontId="4" fillId="25" borderId="0" xfId="177" applyFont="1" applyFill="1" applyAlignment="1">
      <alignment horizontal="right" vertical="center"/>
    </xf>
    <xf numFmtId="0" fontId="76" fillId="0" borderId="0" xfId="0" applyFont="1"/>
    <xf numFmtId="0" fontId="78" fillId="0" borderId="0" xfId="403" applyFont="1"/>
    <xf numFmtId="0" fontId="79" fillId="0" borderId="0" xfId="0" applyFont="1" applyFill="1" applyBorder="1" applyProtection="1"/>
    <xf numFmtId="0" fontId="79" fillId="0" borderId="0" xfId="0" applyFont="1"/>
    <xf numFmtId="0" fontId="79" fillId="0" borderId="0" xfId="403" applyFont="1" applyFill="1" applyBorder="1" applyProtection="1"/>
    <xf numFmtId="0" fontId="78" fillId="0" borderId="0" xfId="403" applyFont="1" applyAlignment="1">
      <alignment wrapText="1"/>
    </xf>
    <xf numFmtId="0" fontId="78" fillId="0" borderId="0" xfId="403" applyFont="1" applyFill="1" applyBorder="1" applyProtection="1"/>
    <xf numFmtId="17" fontId="77" fillId="0" borderId="0" xfId="0" applyNumberFormat="1" applyFont="1" applyFill="1" applyBorder="1" applyAlignment="1" applyProtection="1">
      <alignment horizontal="center"/>
      <protection locked="0"/>
    </xf>
    <xf numFmtId="0" fontId="76" fillId="0" borderId="0" xfId="0" applyFont="1" applyFill="1" applyBorder="1" applyProtection="1">
      <protection locked="0"/>
    </xf>
    <xf numFmtId="164" fontId="76" fillId="0" borderId="0" xfId="31" applyNumberFormat="1" applyFont="1" applyFill="1" applyBorder="1" applyProtection="1">
      <protection locked="0"/>
    </xf>
    <xf numFmtId="164" fontId="76" fillId="0" borderId="0" xfId="0" applyNumberFormat="1" applyFont="1" applyFill="1" applyBorder="1" applyProtection="1">
      <protection locked="0"/>
    </xf>
    <xf numFmtId="0" fontId="80" fillId="0" borderId="0" xfId="0" applyFont="1" applyFill="1" applyBorder="1" applyProtection="1">
      <protection locked="0"/>
    </xf>
    <xf numFmtId="164" fontId="80" fillId="0" borderId="0" xfId="31" applyNumberFormat="1" applyFont="1" applyFill="1" applyBorder="1" applyProtection="1">
      <protection locked="0"/>
    </xf>
    <xf numFmtId="164" fontId="81" fillId="0" borderId="0" xfId="31" applyNumberFormat="1" applyFont="1" applyFill="1" applyBorder="1" applyProtection="1">
      <protection locked="0"/>
    </xf>
    <xf numFmtId="0" fontId="81" fillId="0" borderId="0" xfId="0" applyFont="1" applyFill="1" applyBorder="1" applyProtection="1">
      <protection locked="0"/>
    </xf>
    <xf numFmtId="0" fontId="76" fillId="0" borderId="0" xfId="0" applyFont="1" applyFill="1" applyBorder="1" applyAlignment="1" applyProtection="1">
      <alignment horizontal="centerContinuous"/>
      <protection locked="0"/>
    </xf>
    <xf numFmtId="0" fontId="76" fillId="0" borderId="0" xfId="0" applyFont="1" applyFill="1" applyBorder="1" applyAlignment="1" applyProtection="1">
      <alignment horizontal="left"/>
      <protection locked="0"/>
    </xf>
    <xf numFmtId="164" fontId="76" fillId="37" borderId="41" xfId="31" applyNumberFormat="1" applyFont="1" applyFill="1" applyBorder="1" applyProtection="1">
      <protection locked="0"/>
    </xf>
    <xf numFmtId="0" fontId="76" fillId="0" borderId="0" xfId="0" applyFont="1" applyFill="1" applyProtection="1">
      <protection locked="0"/>
    </xf>
    <xf numFmtId="0" fontId="76" fillId="0" borderId="0" xfId="0" applyFont="1" applyBorder="1" applyProtection="1"/>
    <xf numFmtId="37" fontId="76" fillId="0" borderId="0" xfId="0" applyNumberFormat="1" applyFont="1" applyFill="1" applyBorder="1" applyAlignment="1" applyProtection="1">
      <alignment vertical="top"/>
      <protection locked="0"/>
    </xf>
    <xf numFmtId="0" fontId="77" fillId="0" borderId="0" xfId="0" applyFont="1" applyFill="1" applyBorder="1" applyProtection="1"/>
    <xf numFmtId="0" fontId="82" fillId="0" borderId="0" xfId="0" applyFont="1" applyAlignment="1" applyProtection="1">
      <alignment horizontal="left"/>
    </xf>
    <xf numFmtId="0" fontId="83" fillId="0" borderId="0" xfId="0" applyFont="1" applyProtection="1"/>
    <xf numFmtId="0" fontId="77" fillId="0" borderId="0" xfId="0" applyFont="1" applyFill="1" applyBorder="1" applyAlignment="1" applyProtection="1">
      <alignment horizontal="left"/>
    </xf>
    <xf numFmtId="3" fontId="77" fillId="0" borderId="0" xfId="0" applyNumberFormat="1" applyFont="1" applyFill="1" applyBorder="1" applyAlignment="1" applyProtection="1">
      <alignment horizontal="right"/>
    </xf>
    <xf numFmtId="0" fontId="76" fillId="0" borderId="0" xfId="0" applyFont="1" applyFill="1" applyBorder="1" applyAlignment="1" applyProtection="1">
      <alignment horizontal="center"/>
      <protection locked="0"/>
    </xf>
    <xf numFmtId="166" fontId="77" fillId="0" borderId="0" xfId="752" applyNumberFormat="1" applyFont="1" applyFill="1" applyBorder="1" applyAlignment="1" applyProtection="1">
      <alignment horizontal="right"/>
    </xf>
    <xf numFmtId="164" fontId="76" fillId="0" borderId="0" xfId="34" applyNumberFormat="1" applyFont="1" applyFill="1" applyBorder="1" applyProtection="1"/>
    <xf numFmtId="0" fontId="84" fillId="0" borderId="0" xfId="0" applyFont="1" applyFill="1" applyBorder="1" applyProtection="1"/>
    <xf numFmtId="164" fontId="77" fillId="0" borderId="0" xfId="34" applyNumberFormat="1" applyFont="1" applyFill="1" applyBorder="1" applyProtection="1"/>
    <xf numFmtId="164" fontId="85" fillId="0" borderId="0" xfId="34" applyNumberFormat="1" applyFont="1" applyFill="1" applyBorder="1" applyAlignment="1" applyProtection="1">
      <alignment horizontal="left"/>
    </xf>
    <xf numFmtId="9" fontId="85" fillId="0" borderId="0" xfId="754" applyFont="1" applyFill="1" applyBorder="1" applyProtection="1"/>
    <xf numFmtId="164" fontId="77" fillId="0" borderId="70" xfId="34" applyNumberFormat="1" applyFont="1" applyFill="1" applyBorder="1" applyProtection="1"/>
    <xf numFmtId="0" fontId="77" fillId="39" borderId="0" xfId="0" applyFont="1" applyFill="1" applyBorder="1" applyProtection="1"/>
    <xf numFmtId="164" fontId="77" fillId="39" borderId="70" xfId="34" applyNumberFormat="1" applyFont="1" applyFill="1" applyBorder="1" applyProtection="1"/>
    <xf numFmtId="164" fontId="76" fillId="0" borderId="0" xfId="34" applyNumberFormat="1" applyFont="1" applyFill="1" applyBorder="1" applyAlignment="1" applyProtection="1">
      <alignment horizontal="left"/>
    </xf>
    <xf numFmtId="164" fontId="77" fillId="36" borderId="0" xfId="34" applyNumberFormat="1" applyFont="1" applyFill="1" applyBorder="1" applyAlignment="1" applyProtection="1">
      <alignment horizontal="left"/>
    </xf>
    <xf numFmtId="164" fontId="77" fillId="36" borderId="70" xfId="34" applyNumberFormat="1" applyFont="1" applyFill="1" applyBorder="1" applyProtection="1"/>
    <xf numFmtId="164" fontId="77" fillId="36" borderId="0" xfId="34" applyNumberFormat="1" applyFont="1" applyFill="1" applyBorder="1" applyProtection="1"/>
    <xf numFmtId="164" fontId="86" fillId="0" borderId="0" xfId="34" applyNumberFormat="1" applyFont="1" applyFill="1" applyBorder="1" applyProtection="1"/>
    <xf numFmtId="164" fontId="84" fillId="0" borderId="0" xfId="34" applyNumberFormat="1" applyFont="1" applyFill="1" applyBorder="1" applyAlignment="1" applyProtection="1">
      <alignment horizontal="left"/>
    </xf>
    <xf numFmtId="9" fontId="84" fillId="0" borderId="0" xfId="754" applyFont="1" applyFill="1" applyBorder="1" applyProtection="1"/>
    <xf numFmtId="164" fontId="77" fillId="30" borderId="0" xfId="34" applyNumberFormat="1" applyFont="1" applyFill="1" applyBorder="1" applyProtection="1"/>
    <xf numFmtId="37" fontId="77" fillId="0" borderId="0" xfId="0" applyNumberFormat="1" applyFont="1" applyFill="1" applyBorder="1" applyAlignment="1" applyProtection="1">
      <alignment vertical="top"/>
      <protection locked="0"/>
    </xf>
    <xf numFmtId="2" fontId="76" fillId="37" borderId="41" xfId="0" applyNumberFormat="1" applyFont="1" applyFill="1" applyBorder="1" applyAlignment="1" applyProtection="1">
      <alignment horizontal="center"/>
      <protection locked="0"/>
    </xf>
    <xf numFmtId="2" fontId="76" fillId="0" borderId="0" xfId="0" applyNumberFormat="1" applyFont="1" applyFill="1" applyBorder="1" applyAlignment="1" applyProtection="1">
      <alignment horizontal="center"/>
      <protection locked="0"/>
    </xf>
    <xf numFmtId="37" fontId="76" fillId="0" borderId="0" xfId="31" applyNumberFormat="1" applyFont="1" applyFill="1" applyBorder="1" applyProtection="1">
      <protection locked="0"/>
    </xf>
    <xf numFmtId="0" fontId="87" fillId="0" borderId="0" xfId="0" applyFont="1" applyFill="1" applyProtection="1"/>
    <xf numFmtId="0" fontId="87" fillId="0" borderId="0" xfId="0" applyFont="1" applyProtection="1"/>
    <xf numFmtId="0" fontId="87" fillId="0" borderId="0" xfId="0" applyFont="1" applyFill="1" applyBorder="1" applyProtection="1"/>
    <xf numFmtId="2" fontId="76" fillId="0" borderId="41" xfId="0" applyNumberFormat="1" applyFont="1" applyFill="1" applyBorder="1" applyAlignment="1" applyProtection="1">
      <alignment horizontal="center"/>
      <protection locked="0"/>
    </xf>
    <xf numFmtId="0" fontId="76" fillId="0" borderId="41" xfId="0" applyFont="1" applyFill="1" applyBorder="1" applyProtection="1">
      <protection locked="0"/>
    </xf>
    <xf numFmtId="14" fontId="76" fillId="37" borderId="70" xfId="31" applyNumberFormat="1" applyFont="1" applyFill="1" applyBorder="1" applyAlignment="1" applyProtection="1">
      <alignment horizontal="center"/>
      <protection locked="0"/>
    </xf>
    <xf numFmtId="37" fontId="76" fillId="37" borderId="41" xfId="31" applyNumberFormat="1" applyFont="1" applyFill="1" applyBorder="1" applyProtection="1">
      <protection locked="0"/>
    </xf>
    <xf numFmtId="0" fontId="76" fillId="0" borderId="61" xfId="0" applyFont="1" applyFill="1" applyBorder="1" applyProtection="1">
      <protection locked="0"/>
    </xf>
    <xf numFmtId="37" fontId="77" fillId="0" borderId="0" xfId="31" applyNumberFormat="1" applyFont="1" applyFill="1" applyBorder="1" applyProtection="1">
      <protection locked="0"/>
    </xf>
    <xf numFmtId="0" fontId="76" fillId="0" borderId="0" xfId="0" applyFont="1" applyBorder="1" applyAlignment="1" applyProtection="1">
      <alignment horizontal="center"/>
    </xf>
    <xf numFmtId="1" fontId="88" fillId="0" borderId="0" xfId="0" applyNumberFormat="1" applyFont="1" applyBorder="1" applyAlignment="1" applyProtection="1">
      <alignment horizontal="right"/>
    </xf>
    <xf numFmtId="167" fontId="87" fillId="0" borderId="0" xfId="0" applyNumberFormat="1" applyFont="1" applyBorder="1" applyProtection="1"/>
    <xf numFmtId="0" fontId="87" fillId="0" borderId="0" xfId="0" applyFont="1" applyBorder="1" applyProtection="1"/>
    <xf numFmtId="1" fontId="83" fillId="0" borderId="0" xfId="0" applyNumberFormat="1" applyFont="1" applyBorder="1" applyAlignment="1" applyProtection="1">
      <alignment horizontal="left"/>
    </xf>
    <xf numFmtId="0" fontId="76" fillId="0" borderId="0" xfId="0" applyFont="1" applyProtection="1">
      <protection locked="0"/>
    </xf>
    <xf numFmtId="0" fontId="76" fillId="0" borderId="0" xfId="0" applyFont="1" applyBorder="1" applyProtection="1">
      <protection locked="0"/>
    </xf>
    <xf numFmtId="0" fontId="76" fillId="0" borderId="0" xfId="0" applyFont="1" applyBorder="1" applyAlignment="1" applyProtection="1">
      <alignment horizontal="center"/>
      <protection locked="0"/>
    </xf>
    <xf numFmtId="0" fontId="76" fillId="0" borderId="0" xfId="0" applyFont="1" applyAlignment="1" applyProtection="1">
      <alignment horizontal="center"/>
      <protection locked="0"/>
    </xf>
    <xf numFmtId="1" fontId="83" fillId="0" borderId="0" xfId="0" applyNumberFormat="1" applyFont="1" applyBorder="1" applyAlignment="1" applyProtection="1">
      <alignment horizontal="left"/>
      <protection locked="0"/>
    </xf>
    <xf numFmtId="0" fontId="77" fillId="0" borderId="0" xfId="0" applyFont="1" applyProtection="1">
      <protection locked="0"/>
    </xf>
    <xf numFmtId="0" fontId="77" fillId="0" borderId="0" xfId="0" applyFont="1" applyAlignment="1" applyProtection="1">
      <alignment horizontal="center"/>
      <protection locked="0"/>
    </xf>
    <xf numFmtId="17" fontId="89" fillId="38" borderId="0" xfId="0" applyNumberFormat="1" applyFont="1" applyFill="1" applyBorder="1" applyAlignment="1" applyProtection="1">
      <alignment horizontal="center"/>
      <protection locked="0"/>
    </xf>
    <xf numFmtId="17" fontId="88" fillId="38" borderId="0" xfId="0" applyNumberFormat="1" applyFont="1" applyFill="1" applyBorder="1" applyAlignment="1" applyProtection="1">
      <alignment horizontal="center"/>
      <protection locked="0"/>
    </xf>
    <xf numFmtId="0" fontId="77" fillId="0" borderId="0" xfId="0" applyFont="1" applyFill="1" applyBorder="1" applyProtection="1">
      <protection locked="0"/>
    </xf>
    <xf numFmtId="164" fontId="76" fillId="0" borderId="0" xfId="34" applyNumberFormat="1" applyFont="1" applyFill="1" applyBorder="1" applyProtection="1">
      <protection locked="0"/>
    </xf>
    <xf numFmtId="164" fontId="77" fillId="0" borderId="0" xfId="34" applyNumberFormat="1" applyFont="1" applyFill="1" applyBorder="1" applyProtection="1">
      <protection locked="0"/>
    </xf>
    <xf numFmtId="164" fontId="77" fillId="0" borderId="70" xfId="34" applyNumberFormat="1" applyFont="1" applyFill="1" applyBorder="1" applyProtection="1">
      <protection locked="0"/>
    </xf>
    <xf numFmtId="17" fontId="88" fillId="38" borderId="70" xfId="0" applyNumberFormat="1" applyFont="1" applyFill="1" applyBorder="1" applyAlignment="1" applyProtection="1">
      <alignment horizontal="center"/>
      <protection locked="0"/>
    </xf>
    <xf numFmtId="0" fontId="76" fillId="36" borderId="0" xfId="0" applyFont="1" applyFill="1" applyProtection="1">
      <protection locked="0"/>
    </xf>
    <xf numFmtId="166" fontId="76" fillId="0" borderId="70" xfId="0" applyNumberFormat="1" applyFont="1" applyBorder="1" applyAlignment="1" applyProtection="1">
      <alignment horizontal="right"/>
      <protection locked="0"/>
    </xf>
    <xf numFmtId="166" fontId="76" fillId="0" borderId="0" xfId="0" applyNumberFormat="1" applyFont="1" applyBorder="1" applyAlignment="1" applyProtection="1">
      <alignment horizontal="right"/>
      <protection locked="0"/>
    </xf>
    <xf numFmtId="0" fontId="90" fillId="0" borderId="0" xfId="0" applyFont="1" applyBorder="1" applyProtection="1">
      <protection locked="0"/>
    </xf>
    <xf numFmtId="0" fontId="77" fillId="0" borderId="0" xfId="0" applyFont="1" applyBorder="1" applyProtection="1">
      <protection locked="0"/>
    </xf>
    <xf numFmtId="164" fontId="76" fillId="0" borderId="71" xfId="34" applyNumberFormat="1" applyFont="1" applyFill="1" applyBorder="1" applyProtection="1">
      <protection locked="0"/>
    </xf>
    <xf numFmtId="166" fontId="76" fillId="0" borderId="71" xfId="0" applyNumberFormat="1" applyFont="1" applyBorder="1" applyAlignment="1" applyProtection="1">
      <alignment horizontal="right"/>
      <protection locked="0"/>
    </xf>
    <xf numFmtId="37" fontId="77" fillId="0" borderId="0" xfId="0" applyNumberFormat="1" applyFont="1" applyFill="1" applyBorder="1" applyProtection="1">
      <protection locked="0"/>
    </xf>
    <xf numFmtId="0" fontId="84" fillId="0" borderId="0" xfId="0" applyFont="1" applyFill="1" applyBorder="1" applyAlignment="1" applyProtection="1">
      <alignment horizontal="right"/>
      <protection locked="0"/>
    </xf>
    <xf numFmtId="164" fontId="76" fillId="0" borderId="0" xfId="31" applyNumberFormat="1" applyFont="1" applyBorder="1" applyAlignment="1" applyProtection="1">
      <alignment horizontal="center"/>
      <protection locked="0"/>
    </xf>
    <xf numFmtId="179" fontId="76" fillId="0" borderId="0" xfId="0" applyNumberFormat="1" applyFont="1" applyBorder="1" applyAlignment="1" applyProtection="1">
      <alignment horizontal="right"/>
      <protection locked="0"/>
    </xf>
    <xf numFmtId="0" fontId="77" fillId="0" borderId="0" xfId="0" applyFont="1" applyFill="1" applyBorder="1" applyAlignment="1" applyProtection="1">
      <alignment horizontal="left" vertical="top"/>
      <protection locked="0"/>
    </xf>
    <xf numFmtId="0" fontId="76" fillId="0" borderId="0" xfId="0" applyFont="1" applyFill="1" applyBorder="1" applyAlignment="1" applyProtection="1">
      <protection locked="0"/>
    </xf>
    <xf numFmtId="0" fontId="77" fillId="0" borderId="12" xfId="0" applyFont="1" applyBorder="1" applyProtection="1">
      <protection locked="0"/>
    </xf>
    <xf numFmtId="164" fontId="76" fillId="0" borderId="0" xfId="0" applyNumberFormat="1" applyFont="1" applyProtection="1">
      <protection locked="0"/>
    </xf>
    <xf numFmtId="0" fontId="87" fillId="0" borderId="0" xfId="0" applyFont="1" applyProtection="1">
      <protection locked="0"/>
    </xf>
    <xf numFmtId="0" fontId="87" fillId="0" borderId="0" xfId="0" applyFont="1" applyFill="1" applyProtection="1">
      <protection locked="0"/>
    </xf>
    <xf numFmtId="0" fontId="76" fillId="0" borderId="72" xfId="0" applyFont="1" applyBorder="1" applyProtection="1">
      <protection locked="0"/>
    </xf>
    <xf numFmtId="1" fontId="89" fillId="38" borderId="41" xfId="0" applyNumberFormat="1" applyFont="1" applyFill="1" applyBorder="1" applyAlignment="1" applyProtection="1">
      <alignment horizontal="center"/>
      <protection locked="0"/>
    </xf>
    <xf numFmtId="17" fontId="89" fillId="38" borderId="41" xfId="0" applyNumberFormat="1" applyFont="1" applyFill="1" applyBorder="1" applyAlignment="1" applyProtection="1">
      <alignment horizontal="center"/>
      <protection locked="0"/>
    </xf>
    <xf numFmtId="17" fontId="88" fillId="38" borderId="41" xfId="0" applyNumberFormat="1" applyFont="1" applyFill="1" applyBorder="1" applyAlignment="1" applyProtection="1">
      <alignment horizontal="center"/>
      <protection locked="0"/>
    </xf>
    <xf numFmtId="0" fontId="76" fillId="0" borderId="0" xfId="2" applyFont="1" applyFill="1" applyBorder="1" applyProtection="1">
      <protection locked="0"/>
    </xf>
    <xf numFmtId="0" fontId="76" fillId="0" borderId="0" xfId="2" applyFont="1" applyBorder="1" applyProtection="1">
      <protection locked="0"/>
    </xf>
    <xf numFmtId="0" fontId="91" fillId="37" borderId="41" xfId="0" applyFont="1" applyFill="1" applyBorder="1" applyProtection="1">
      <protection locked="0"/>
    </xf>
    <xf numFmtId="2" fontId="76" fillId="37" borderId="73" xfId="0" applyNumberFormat="1" applyFont="1" applyFill="1" applyBorder="1" applyAlignment="1" applyProtection="1">
      <alignment horizontal="center"/>
      <protection locked="0"/>
    </xf>
    <xf numFmtId="1" fontId="83" fillId="0" borderId="0" xfId="0" applyNumberFormat="1" applyFont="1" applyAlignment="1" applyProtection="1">
      <alignment horizontal="left"/>
      <protection locked="0"/>
    </xf>
    <xf numFmtId="0" fontId="89" fillId="0" borderId="0" xfId="0" applyNumberFormat="1" applyFont="1" applyFill="1" applyBorder="1" applyAlignment="1" applyProtection="1">
      <alignment horizontal="centerContinuous"/>
      <protection locked="0" hidden="1"/>
    </xf>
    <xf numFmtId="0" fontId="89" fillId="0" borderId="0" xfId="0" applyNumberFormat="1" applyFont="1" applyFill="1" applyBorder="1" applyAlignment="1" applyProtection="1">
      <alignment horizontal="centerContinuous"/>
      <protection locked="0"/>
    </xf>
    <xf numFmtId="0" fontId="89" fillId="0" borderId="0" xfId="0" applyNumberFormat="1" applyFont="1" applyFill="1" applyBorder="1" applyAlignment="1" applyProtection="1">
      <alignment horizontal="center"/>
      <protection locked="0"/>
    </xf>
    <xf numFmtId="0" fontId="91" fillId="0" borderId="41" xfId="0" applyFont="1" applyBorder="1" applyProtection="1">
      <protection locked="0"/>
    </xf>
    <xf numFmtId="17" fontId="89" fillId="0" borderId="0" xfId="0" applyNumberFormat="1" applyFont="1" applyFill="1" applyBorder="1" applyAlignment="1" applyProtection="1">
      <alignment horizontal="center"/>
      <protection locked="0" hidden="1"/>
    </xf>
    <xf numFmtId="17" fontId="89" fillId="0" borderId="0" xfId="0" applyNumberFormat="1" applyFont="1" applyFill="1" applyBorder="1" applyAlignment="1" applyProtection="1">
      <alignment horizontal="center"/>
      <protection locked="0"/>
    </xf>
    <xf numFmtId="17" fontId="92" fillId="0" borderId="0" xfId="0" applyNumberFormat="1" applyFont="1" applyFill="1" applyBorder="1" applyAlignment="1" applyProtection="1">
      <alignment horizontal="center"/>
      <protection locked="0"/>
    </xf>
    <xf numFmtId="0" fontId="76" fillId="0" borderId="41" xfId="0" applyFont="1" applyBorder="1" applyProtection="1">
      <protection locked="0"/>
    </xf>
    <xf numFmtId="164" fontId="76" fillId="0" borderId="41" xfId="31" applyNumberFormat="1" applyFont="1" applyBorder="1" applyProtection="1">
      <protection locked="0"/>
    </xf>
    <xf numFmtId="0" fontId="93" fillId="0" borderId="0" xfId="0" applyFont="1" applyFill="1" applyBorder="1" applyProtection="1">
      <protection locked="0" hidden="1"/>
    </xf>
    <xf numFmtId="0" fontId="92" fillId="0" borderId="41" xfId="0" applyFont="1" applyBorder="1" applyProtection="1">
      <protection locked="0"/>
    </xf>
    <xf numFmtId="164" fontId="76" fillId="0" borderId="41" xfId="0" applyNumberFormat="1" applyFont="1" applyFill="1" applyBorder="1" applyProtection="1">
      <protection locked="0" hidden="1"/>
    </xf>
    <xf numFmtId="164" fontId="93" fillId="0" borderId="0" xfId="31" applyNumberFormat="1" applyFont="1" applyFill="1" applyBorder="1" applyProtection="1">
      <protection locked="0" hidden="1"/>
    </xf>
    <xf numFmtId="0" fontId="84" fillId="0" borderId="41" xfId="0" applyFont="1" applyFill="1" applyBorder="1" applyProtection="1">
      <protection locked="0"/>
    </xf>
    <xf numFmtId="164" fontId="76" fillId="36" borderId="41" xfId="31" applyNumberFormat="1" applyFont="1" applyFill="1" applyBorder="1" applyProtection="1">
      <protection locked="0"/>
    </xf>
    <xf numFmtId="0" fontId="76" fillId="0" borderId="41" xfId="0" applyFont="1" applyFill="1" applyBorder="1" applyAlignment="1" applyProtection="1">
      <alignment horizontal="left"/>
      <protection locked="0"/>
    </xf>
    <xf numFmtId="0" fontId="77" fillId="30" borderId="41" xfId="0" applyFont="1" applyFill="1" applyBorder="1" applyProtection="1">
      <protection locked="0" hidden="1"/>
    </xf>
    <xf numFmtId="164" fontId="77" fillId="30" borderId="41" xfId="31" applyNumberFormat="1" applyFont="1" applyFill="1" applyBorder="1" applyProtection="1">
      <protection locked="0"/>
    </xf>
    <xf numFmtId="164" fontId="77" fillId="30" borderId="41" xfId="31" applyNumberFormat="1" applyFont="1" applyFill="1" applyBorder="1" applyProtection="1">
      <protection locked="0" hidden="1"/>
    </xf>
    <xf numFmtId="164" fontId="77" fillId="0" borderId="0" xfId="31" applyNumberFormat="1" applyFont="1" applyFill="1" applyBorder="1" applyProtection="1">
      <protection locked="0" hidden="1"/>
    </xf>
    <xf numFmtId="0" fontId="76" fillId="0" borderId="0" xfId="0" applyFont="1" applyFill="1" applyBorder="1" applyProtection="1">
      <protection locked="0" hidden="1"/>
    </xf>
    <xf numFmtId="0" fontId="76" fillId="0" borderId="0" xfId="0" applyFont="1" applyFill="1" applyProtection="1">
      <protection locked="0" hidden="1"/>
    </xf>
    <xf numFmtId="0" fontId="76" fillId="0" borderId="41" xfId="0" applyFont="1" applyBorder="1" applyProtection="1">
      <protection locked="0" hidden="1"/>
    </xf>
    <xf numFmtId="0" fontId="92" fillId="0" borderId="41" xfId="0" applyFont="1" applyBorder="1" applyProtection="1">
      <protection locked="0" hidden="1"/>
    </xf>
    <xf numFmtId="0" fontId="76" fillId="36" borderId="41" xfId="0" applyFont="1" applyFill="1" applyBorder="1" applyProtection="1">
      <protection locked="0"/>
    </xf>
    <xf numFmtId="164" fontId="93" fillId="36" borderId="0" xfId="31" applyNumberFormat="1" applyFont="1" applyFill="1" applyBorder="1" applyProtection="1">
      <protection locked="0" hidden="1"/>
    </xf>
    <xf numFmtId="164" fontId="76" fillId="36" borderId="0" xfId="31" applyNumberFormat="1" applyFont="1" applyFill="1" applyBorder="1" applyProtection="1">
      <protection locked="0"/>
    </xf>
    <xf numFmtId="0" fontId="76" fillId="36" borderId="0" xfId="0" applyFont="1" applyFill="1" applyBorder="1" applyProtection="1">
      <protection locked="0"/>
    </xf>
    <xf numFmtId="0" fontId="84" fillId="0" borderId="41" xfId="0" applyFont="1" applyFill="1" applyBorder="1" applyAlignment="1" applyProtection="1">
      <alignment horizontal="left" indent="1"/>
      <protection locked="0"/>
    </xf>
    <xf numFmtId="0" fontId="77" fillId="30" borderId="41" xfId="0" applyFont="1" applyFill="1" applyBorder="1" applyProtection="1">
      <protection locked="0"/>
    </xf>
    <xf numFmtId="164" fontId="77" fillId="0" borderId="0" xfId="31" applyNumberFormat="1" applyFont="1" applyFill="1" applyBorder="1" applyProtection="1">
      <protection locked="0"/>
    </xf>
    <xf numFmtId="164" fontId="76" fillId="0" borderId="41" xfId="31" applyNumberFormat="1" applyFont="1" applyFill="1" applyBorder="1" applyProtection="1">
      <protection locked="0"/>
    </xf>
    <xf numFmtId="0" fontId="94" fillId="0" borderId="0" xfId="0" applyFont="1" applyFill="1" applyBorder="1" applyProtection="1">
      <protection locked="0"/>
    </xf>
    <xf numFmtId="164" fontId="76" fillId="0" borderId="0" xfId="31" applyNumberFormat="1" applyFont="1" applyFill="1" applyBorder="1" applyProtection="1">
      <protection locked="0" hidden="1"/>
    </xf>
    <xf numFmtId="171" fontId="76" fillId="0" borderId="0" xfId="0" applyNumberFormat="1" applyFont="1" applyBorder="1" applyAlignment="1" applyProtection="1">
      <alignment horizontal="center"/>
      <protection locked="0"/>
    </xf>
    <xf numFmtId="178" fontId="76" fillId="0" borderId="0" xfId="0" applyNumberFormat="1" applyFont="1" applyProtection="1">
      <protection locked="0"/>
    </xf>
    <xf numFmtId="177" fontId="76" fillId="0" borderId="0" xfId="0" applyNumberFormat="1" applyFont="1" applyProtection="1">
      <protection locked="0"/>
    </xf>
    <xf numFmtId="0" fontId="90" fillId="0" borderId="0" xfId="0" applyFont="1" applyProtection="1">
      <protection locked="0"/>
    </xf>
    <xf numFmtId="43" fontId="89" fillId="0" borderId="0" xfId="31" applyFont="1" applyFill="1" applyBorder="1" applyAlignment="1" applyProtection="1">
      <alignment horizontal="center"/>
      <protection locked="0"/>
    </xf>
    <xf numFmtId="164" fontId="77" fillId="0" borderId="41" xfId="31" applyNumberFormat="1" applyFont="1" applyFill="1" applyBorder="1" applyProtection="1">
      <protection locked="0"/>
    </xf>
    <xf numFmtId="164" fontId="76" fillId="0" borderId="41" xfId="31" applyNumberFormat="1" applyFont="1" applyFill="1" applyBorder="1" applyAlignment="1" applyProtection="1">
      <alignment horizontal="left"/>
      <protection locked="0"/>
    </xf>
    <xf numFmtId="164" fontId="84" fillId="0" borderId="41" xfId="31" applyNumberFormat="1" applyFont="1" applyFill="1" applyBorder="1" applyAlignment="1" applyProtection="1">
      <alignment horizontal="left"/>
      <protection locked="0"/>
    </xf>
    <xf numFmtId="9" fontId="84" fillId="0" borderId="41" xfId="752" applyFont="1" applyFill="1" applyBorder="1" applyProtection="1">
      <protection locked="0"/>
    </xf>
    <xf numFmtId="9" fontId="84" fillId="0" borderId="0" xfId="752" applyFont="1" applyFill="1" applyBorder="1" applyProtection="1">
      <protection locked="0"/>
    </xf>
    <xf numFmtId="164" fontId="84" fillId="0" borderId="0" xfId="31" applyNumberFormat="1" applyFont="1" applyFill="1" applyBorder="1" applyProtection="1">
      <protection locked="0"/>
    </xf>
    <xf numFmtId="0" fontId="84" fillId="0" borderId="0" xfId="0" applyFont="1" applyFill="1" applyProtection="1">
      <protection locked="0"/>
    </xf>
    <xf numFmtId="164" fontId="86" fillId="0" borderId="41" xfId="31" applyNumberFormat="1" applyFont="1" applyFill="1" applyBorder="1" applyProtection="1">
      <protection locked="0"/>
    </xf>
    <xf numFmtId="0" fontId="80" fillId="0" borderId="0" xfId="0" applyFont="1" applyFill="1" applyProtection="1">
      <protection locked="0"/>
    </xf>
    <xf numFmtId="0" fontId="77" fillId="0" borderId="41" xfId="0" applyFont="1" applyFill="1" applyBorder="1" applyProtection="1">
      <protection locked="0"/>
    </xf>
    <xf numFmtId="164" fontId="89" fillId="0" borderId="0" xfId="31" applyNumberFormat="1" applyFont="1" applyFill="1" applyBorder="1" applyProtection="1">
      <protection locked="0" hidden="1"/>
    </xf>
    <xf numFmtId="0" fontId="77" fillId="0" borderId="0" xfId="0" applyFont="1" applyFill="1" applyProtection="1">
      <protection locked="0"/>
    </xf>
    <xf numFmtId="9" fontId="84" fillId="0" borderId="0" xfId="752" applyFont="1" applyFill="1" applyProtection="1">
      <protection locked="0"/>
    </xf>
    <xf numFmtId="0" fontId="84" fillId="0" borderId="0" xfId="752" applyNumberFormat="1" applyFont="1" applyFill="1" applyBorder="1" applyProtection="1">
      <protection locked="0"/>
    </xf>
    <xf numFmtId="0" fontId="89" fillId="38" borderId="41" xfId="0" applyFont="1" applyFill="1" applyBorder="1" applyProtection="1">
      <protection locked="0"/>
    </xf>
    <xf numFmtId="0" fontId="76" fillId="0" borderId="41" xfId="2" applyFont="1" applyBorder="1" applyAlignment="1" applyProtection="1">
      <alignment horizontal="left" indent="1"/>
      <protection locked="0"/>
    </xf>
    <xf numFmtId="0" fontId="76" fillId="0" borderId="41" xfId="2" applyFont="1" applyBorder="1" applyAlignment="1" applyProtection="1">
      <alignment horizontal="left" indent="2"/>
      <protection locked="0"/>
    </xf>
    <xf numFmtId="0" fontId="84" fillId="0" borderId="41" xfId="2" applyFont="1" applyBorder="1" applyAlignment="1" applyProtection="1">
      <alignment horizontal="left" indent="1"/>
      <protection locked="0"/>
    </xf>
    <xf numFmtId="37" fontId="76" fillId="0" borderId="41" xfId="31" applyNumberFormat="1" applyFont="1" applyFill="1" applyBorder="1" applyProtection="1">
      <protection locked="0"/>
    </xf>
    <xf numFmtId="37" fontId="77" fillId="30" borderId="41" xfId="0" applyNumberFormat="1" applyFont="1" applyFill="1" applyBorder="1" applyProtection="1">
      <protection locked="0"/>
    </xf>
    <xf numFmtId="164" fontId="77" fillId="36" borderId="41" xfId="31" applyNumberFormat="1" applyFont="1" applyFill="1" applyBorder="1" applyProtection="1">
      <protection locked="0"/>
    </xf>
    <xf numFmtId="0" fontId="94" fillId="0" borderId="0" xfId="0" applyFont="1" applyProtection="1">
      <protection locked="0"/>
    </xf>
    <xf numFmtId="0" fontId="76" fillId="0" borderId="0" xfId="0" applyFont="1" applyFill="1" applyBorder="1" applyAlignment="1" applyProtection="1">
      <alignment vertical="top"/>
      <protection locked="0"/>
    </xf>
    <xf numFmtId="165" fontId="83" fillId="0" borderId="0" xfId="0" applyNumberFormat="1" applyFont="1" applyFill="1" applyBorder="1" applyAlignment="1" applyProtection="1">
      <protection locked="0"/>
    </xf>
    <xf numFmtId="0" fontId="90" fillId="0" borderId="41" xfId="2" applyFont="1" applyBorder="1" applyProtection="1">
      <protection locked="0"/>
    </xf>
    <xf numFmtId="0" fontId="77" fillId="0" borderId="0" xfId="0" applyFont="1" applyFill="1" applyBorder="1" applyAlignment="1" applyProtection="1">
      <alignment vertical="top"/>
      <protection locked="0"/>
    </xf>
    <xf numFmtId="0" fontId="95" fillId="0" borderId="0" xfId="0" applyFont="1" applyProtection="1">
      <protection locked="0"/>
    </xf>
    <xf numFmtId="0" fontId="75" fillId="0" borderId="0" xfId="0" applyFont="1" applyBorder="1" applyProtection="1">
      <protection locked="0"/>
    </xf>
    <xf numFmtId="0" fontId="77" fillId="0" borderId="74" xfId="0" applyFont="1" applyBorder="1" applyProtection="1">
      <protection locked="0"/>
    </xf>
    <xf numFmtId="164" fontId="76" fillId="0" borderId="0" xfId="0" applyNumberFormat="1" applyFont="1" applyBorder="1" applyProtection="1">
      <protection locked="0"/>
    </xf>
    <xf numFmtId="0" fontId="76" fillId="0" borderId="75" xfId="0" applyFont="1" applyBorder="1" applyAlignment="1" applyProtection="1">
      <alignment horizontal="center"/>
      <protection locked="0"/>
    </xf>
    <xf numFmtId="0" fontId="97" fillId="38" borderId="0" xfId="0" applyFont="1" applyFill="1" applyBorder="1" applyAlignment="1" applyProtection="1">
      <alignment horizontal="left"/>
      <protection locked="0"/>
    </xf>
    <xf numFmtId="0" fontId="89" fillId="38" borderId="0" xfId="0" applyNumberFormat="1" applyFont="1" applyFill="1" applyBorder="1" applyAlignment="1" applyProtection="1">
      <alignment horizontal="center"/>
      <protection locked="0"/>
    </xf>
    <xf numFmtId="166" fontId="76" fillId="37" borderId="70" xfId="0" applyNumberFormat="1" applyFont="1" applyFill="1" applyBorder="1" applyAlignment="1" applyProtection="1">
      <alignment horizontal="right"/>
      <protection locked="0"/>
    </xf>
    <xf numFmtId="166" fontId="76" fillId="37" borderId="0" xfId="0" applyNumberFormat="1" applyFont="1" applyFill="1" applyBorder="1" applyAlignment="1" applyProtection="1">
      <alignment horizontal="right"/>
      <protection locked="0"/>
    </xf>
    <xf numFmtId="164" fontId="76" fillId="37" borderId="0" xfId="34" applyNumberFormat="1" applyFont="1" applyFill="1" applyBorder="1" applyProtection="1">
      <protection locked="0"/>
    </xf>
    <xf numFmtId="164" fontId="76" fillId="37" borderId="71" xfId="34" applyNumberFormat="1" applyFont="1" applyFill="1" applyBorder="1" applyProtection="1">
      <protection locked="0"/>
    </xf>
    <xf numFmtId="178" fontId="76" fillId="0" borderId="0" xfId="0" applyNumberFormat="1" applyFont="1" applyBorder="1" applyProtection="1">
      <protection locked="0"/>
    </xf>
    <xf numFmtId="177" fontId="76" fillId="0" borderId="0" xfId="0" applyNumberFormat="1" applyFont="1" applyBorder="1" applyProtection="1">
      <protection locked="0"/>
    </xf>
    <xf numFmtId="166" fontId="76" fillId="37" borderId="71" xfId="0" applyNumberFormat="1" applyFont="1" applyFill="1" applyBorder="1" applyAlignment="1" applyProtection="1">
      <alignment horizontal="right"/>
      <protection locked="0"/>
    </xf>
    <xf numFmtId="164" fontId="77" fillId="37" borderId="70" xfId="34" applyNumberFormat="1" applyFont="1" applyFill="1" applyBorder="1" applyProtection="1">
      <protection locked="0"/>
    </xf>
    <xf numFmtId="164" fontId="77" fillId="37" borderId="0" xfId="34" applyNumberFormat="1" applyFont="1" applyFill="1" applyBorder="1" applyProtection="1">
      <protection locked="0"/>
    </xf>
    <xf numFmtId="166" fontId="76" fillId="0" borderId="0" xfId="752" applyNumberFormat="1" applyFont="1" applyBorder="1" applyProtection="1"/>
    <xf numFmtId="0" fontId="73" fillId="0" borderId="0" xfId="0" applyFont="1" applyBorder="1" applyAlignment="1" applyProtection="1">
      <alignment horizontal="center"/>
    </xf>
    <xf numFmtId="1" fontId="87" fillId="0" borderId="0" xfId="0" applyNumberFormat="1" applyFont="1" applyBorder="1" applyProtection="1"/>
    <xf numFmtId="14" fontId="87" fillId="0" borderId="0" xfId="31" applyNumberFormat="1" applyFont="1" applyFill="1" applyBorder="1" applyAlignment="1" applyProtection="1">
      <alignment horizontal="center"/>
    </xf>
    <xf numFmtId="0" fontId="77" fillId="0" borderId="70" xfId="0" applyFont="1" applyBorder="1" applyAlignment="1" applyProtection="1">
      <alignment horizontal="left" vertical="top"/>
    </xf>
    <xf numFmtId="166" fontId="76" fillId="0" borderId="70" xfId="0" applyNumberFormat="1" applyFont="1" applyBorder="1" applyAlignment="1" applyProtection="1">
      <alignment horizontal="right"/>
    </xf>
    <xf numFmtId="166" fontId="76" fillId="0" borderId="0" xfId="752" applyNumberFormat="1" applyFont="1" applyBorder="1" applyAlignment="1" applyProtection="1">
      <alignment horizontal="right"/>
    </xf>
    <xf numFmtId="0" fontId="77" fillId="0" borderId="0" xfId="0" applyFont="1" applyBorder="1" applyAlignment="1" applyProtection="1">
      <alignment horizontal="left" vertical="top"/>
    </xf>
    <xf numFmtId="166" fontId="76" fillId="0" borderId="0" xfId="0" applyNumberFormat="1" applyFont="1" applyBorder="1" applyAlignment="1" applyProtection="1">
      <alignment horizontal="right"/>
    </xf>
    <xf numFmtId="164" fontId="76" fillId="0" borderId="71" xfId="34" applyNumberFormat="1" applyFont="1" applyFill="1" applyBorder="1" applyProtection="1"/>
    <xf numFmtId="0" fontId="77" fillId="0" borderId="71" xfId="0" applyFont="1" applyBorder="1" applyAlignment="1" applyProtection="1">
      <alignment horizontal="left" vertical="top"/>
    </xf>
    <xf numFmtId="166" fontId="76" fillId="0" borderId="71" xfId="0" applyNumberFormat="1" applyFont="1" applyBorder="1" applyAlignment="1" applyProtection="1">
      <alignment horizontal="right"/>
    </xf>
    <xf numFmtId="179" fontId="76" fillId="0" borderId="71" xfId="0" applyNumberFormat="1" applyFont="1" applyBorder="1" applyAlignment="1" applyProtection="1">
      <alignment horizontal="right"/>
    </xf>
    <xf numFmtId="0" fontId="77" fillId="0" borderId="70" xfId="2" applyFont="1" applyBorder="1" applyAlignment="1" applyProtection="1">
      <alignment horizontal="left"/>
    </xf>
    <xf numFmtId="0" fontId="76" fillId="0" borderId="0" xfId="2" applyFont="1" applyBorder="1" applyAlignment="1" applyProtection="1">
      <alignment horizontal="left" indent="1"/>
    </xf>
    <xf numFmtId="0" fontId="77" fillId="0" borderId="0" xfId="2" applyFont="1" applyBorder="1" applyAlignment="1" applyProtection="1">
      <alignment horizontal="left"/>
    </xf>
    <xf numFmtId="0" fontId="76" fillId="0" borderId="71" xfId="2" applyFont="1" applyBorder="1" applyAlignment="1" applyProtection="1">
      <alignment horizontal="left" indent="1"/>
    </xf>
    <xf numFmtId="164" fontId="77" fillId="0" borderId="71" xfId="34" applyNumberFormat="1" applyFont="1" applyFill="1" applyBorder="1" applyProtection="1"/>
    <xf numFmtId="0" fontId="76" fillId="0" borderId="71" xfId="0" applyFont="1" applyBorder="1" applyProtection="1"/>
    <xf numFmtId="166" fontId="76" fillId="0" borderId="0" xfId="752" applyNumberFormat="1" applyFont="1" applyProtection="1"/>
    <xf numFmtId="0" fontId="73" fillId="0" borderId="0" xfId="0" applyFont="1" applyAlignment="1" applyProtection="1">
      <alignment horizontal="center"/>
    </xf>
    <xf numFmtId="0" fontId="77" fillId="0" borderId="0" xfId="0" applyFont="1" applyProtection="1"/>
    <xf numFmtId="166" fontId="77" fillId="0" borderId="0" xfId="752" applyNumberFormat="1" applyFont="1" applyProtection="1"/>
    <xf numFmtId="0" fontId="74" fillId="0" borderId="0" xfId="0" applyFont="1" applyAlignment="1" applyProtection="1">
      <alignment horizontal="center"/>
    </xf>
    <xf numFmtId="0" fontId="77" fillId="0" borderId="0" xfId="0" applyFont="1" applyAlignment="1" applyProtection="1">
      <alignment horizontal="center"/>
    </xf>
    <xf numFmtId="1" fontId="98" fillId="0" borderId="0" xfId="0" applyNumberFormat="1" applyFont="1" applyBorder="1" applyAlignment="1" applyProtection="1">
      <alignment horizontal="left"/>
    </xf>
    <xf numFmtId="0" fontId="88" fillId="38" borderId="0" xfId="0" applyFont="1" applyFill="1" applyBorder="1" applyAlignment="1" applyProtection="1">
      <alignment horizontal="left"/>
    </xf>
    <xf numFmtId="1" fontId="88" fillId="38" borderId="0" xfId="0" applyNumberFormat="1" applyFont="1" applyFill="1" applyBorder="1" applyAlignment="1" applyProtection="1">
      <alignment horizontal="center"/>
    </xf>
    <xf numFmtId="17" fontId="89" fillId="38" borderId="0" xfId="0" applyNumberFormat="1" applyFont="1" applyFill="1" applyBorder="1" applyAlignment="1" applyProtection="1">
      <alignment horizontal="center"/>
    </xf>
    <xf numFmtId="166" fontId="88" fillId="38" borderId="0" xfId="752" quotePrefix="1" applyNumberFormat="1" applyFont="1" applyFill="1" applyBorder="1" applyAlignment="1" applyProtection="1">
      <alignment horizontal="center"/>
    </xf>
    <xf numFmtId="17" fontId="88" fillId="38" borderId="0" xfId="0" applyNumberFormat="1" applyFont="1" applyFill="1" applyBorder="1" applyAlignment="1" applyProtection="1">
      <alignment horizontal="center"/>
    </xf>
    <xf numFmtId="166" fontId="88" fillId="38" borderId="0" xfId="752" applyNumberFormat="1" applyFont="1" applyFill="1" applyBorder="1" applyAlignment="1" applyProtection="1">
      <alignment horizontal="center"/>
    </xf>
    <xf numFmtId="166" fontId="77" fillId="0" borderId="0" xfId="752" applyNumberFormat="1" applyFont="1" applyFill="1" applyBorder="1" applyProtection="1"/>
    <xf numFmtId="166" fontId="76" fillId="0" borderId="0" xfId="752" applyNumberFormat="1" applyFont="1" applyFill="1" applyBorder="1" applyAlignment="1" applyProtection="1">
      <alignment horizontal="right"/>
    </xf>
    <xf numFmtId="166" fontId="85" fillId="0" borderId="0" xfId="752" applyNumberFormat="1" applyFont="1" applyFill="1" applyBorder="1" applyAlignment="1" applyProtection="1">
      <alignment horizontal="right"/>
    </xf>
    <xf numFmtId="166" fontId="77" fillId="0" borderId="70" xfId="752" applyNumberFormat="1" applyFont="1" applyFill="1" applyBorder="1" applyAlignment="1" applyProtection="1">
      <alignment horizontal="right"/>
    </xf>
    <xf numFmtId="166" fontId="77" fillId="39" borderId="70" xfId="752" applyNumberFormat="1" applyFont="1" applyFill="1" applyBorder="1" applyAlignment="1" applyProtection="1">
      <alignment horizontal="right"/>
    </xf>
    <xf numFmtId="0" fontId="84" fillId="0" borderId="0" xfId="0" applyFont="1" applyFill="1" applyBorder="1" applyAlignment="1" applyProtection="1">
      <alignment horizontal="left" indent="1"/>
    </xf>
    <xf numFmtId="0" fontId="76" fillId="0" borderId="70" xfId="0" applyFont="1" applyBorder="1" applyProtection="1"/>
    <xf numFmtId="166" fontId="76" fillId="0" borderId="70" xfId="752" applyNumberFormat="1" applyFont="1" applyBorder="1" applyProtection="1"/>
    <xf numFmtId="0" fontId="73" fillId="0" borderId="70" xfId="0" applyFont="1" applyBorder="1" applyAlignment="1" applyProtection="1">
      <alignment horizontal="center"/>
    </xf>
    <xf numFmtId="0" fontId="76" fillId="0" borderId="70" xfId="0" applyFont="1" applyBorder="1" applyAlignment="1" applyProtection="1">
      <alignment horizontal="center"/>
    </xf>
    <xf numFmtId="17" fontId="88" fillId="38" borderId="70" xfId="0" applyNumberFormat="1" applyFont="1" applyFill="1" applyBorder="1" applyAlignment="1" applyProtection="1">
      <alignment horizontal="center"/>
    </xf>
    <xf numFmtId="0" fontId="88" fillId="38" borderId="71" xfId="0" applyFont="1" applyFill="1" applyBorder="1" applyAlignment="1" applyProtection="1">
      <alignment horizontal="left"/>
    </xf>
    <xf numFmtId="17" fontId="88" fillId="38" borderId="71" xfId="0" applyNumberFormat="1" applyFont="1" applyFill="1" applyBorder="1" applyAlignment="1" applyProtection="1">
      <alignment horizontal="center"/>
    </xf>
    <xf numFmtId="166" fontId="88" fillId="38" borderId="71" xfId="752" applyNumberFormat="1" applyFont="1" applyFill="1" applyBorder="1" applyAlignment="1" applyProtection="1">
      <alignment horizontal="center"/>
    </xf>
    <xf numFmtId="170" fontId="88" fillId="38" borderId="71" xfId="0" applyNumberFormat="1" applyFont="1" applyFill="1" applyBorder="1" applyAlignment="1" applyProtection="1">
      <alignment horizontal="center"/>
    </xf>
    <xf numFmtId="166" fontId="77" fillId="36" borderId="70" xfId="752" applyNumberFormat="1" applyFont="1" applyFill="1" applyBorder="1" applyAlignment="1" applyProtection="1">
      <alignment horizontal="right"/>
    </xf>
    <xf numFmtId="0" fontId="76" fillId="36" borderId="0" xfId="0" applyFont="1" applyFill="1" applyProtection="1"/>
    <xf numFmtId="0" fontId="76" fillId="36" borderId="0" xfId="0" applyFont="1" applyFill="1" applyAlignment="1" applyProtection="1">
      <alignment horizontal="center"/>
    </xf>
    <xf numFmtId="166" fontId="84" fillId="0" borderId="0" xfId="752" applyNumberFormat="1" applyFont="1" applyFill="1" applyBorder="1" applyAlignment="1" applyProtection="1">
      <alignment horizontal="right"/>
    </xf>
    <xf numFmtId="166" fontId="77" fillId="30" borderId="0" xfId="752" applyNumberFormat="1" applyFont="1" applyFill="1" applyBorder="1" applyAlignment="1" applyProtection="1">
      <alignment horizontal="right"/>
    </xf>
    <xf numFmtId="166" fontId="76" fillId="0" borderId="70" xfId="0" applyNumberFormat="1" applyFont="1" applyBorder="1" applyAlignment="1" applyProtection="1">
      <alignment horizontal="center"/>
    </xf>
    <xf numFmtId="166" fontId="76" fillId="0" borderId="70" xfId="752" applyNumberFormat="1" applyFont="1" applyBorder="1" applyAlignment="1" applyProtection="1">
      <alignment horizontal="right"/>
    </xf>
    <xf numFmtId="166" fontId="0" fillId="0" borderId="0" xfId="752" applyNumberFormat="1" applyFont="1" applyProtection="1"/>
    <xf numFmtId="0" fontId="88" fillId="38" borderId="70" xfId="0" applyFont="1" applyFill="1" applyBorder="1" applyAlignment="1" applyProtection="1">
      <alignment horizontal="left"/>
    </xf>
    <xf numFmtId="164" fontId="76" fillId="0" borderId="0" xfId="34" applyNumberFormat="1" applyFont="1" applyFill="1" applyBorder="1" applyAlignment="1" applyProtection="1">
      <alignment horizontal="right"/>
    </xf>
    <xf numFmtId="166" fontId="76" fillId="0" borderId="0" xfId="752" applyNumberFormat="1" applyFont="1" applyFill="1" applyBorder="1" applyProtection="1"/>
    <xf numFmtId="0" fontId="76" fillId="40" borderId="0" xfId="0" applyFont="1" applyFill="1" applyProtection="1"/>
    <xf numFmtId="166" fontId="76" fillId="40" borderId="0" xfId="752" applyNumberFormat="1" applyFont="1" applyFill="1" applyProtection="1"/>
    <xf numFmtId="0" fontId="73" fillId="40" borderId="0" xfId="0" applyFont="1" applyFill="1" applyAlignment="1" applyProtection="1">
      <alignment horizontal="center"/>
    </xf>
    <xf numFmtId="0" fontId="76" fillId="40" borderId="0" xfId="0" applyFont="1" applyFill="1" applyAlignment="1" applyProtection="1">
      <alignment horizontal="center"/>
    </xf>
    <xf numFmtId="0" fontId="76" fillId="0" borderId="0" xfId="0" applyFont="1" applyAlignment="1" applyProtection="1">
      <alignment horizontal="right"/>
    </xf>
    <xf numFmtId="0" fontId="84" fillId="40" borderId="0" xfId="0" applyFont="1" applyFill="1" applyBorder="1" applyAlignment="1" applyProtection="1">
      <alignment horizontal="right"/>
    </xf>
    <xf numFmtId="0" fontId="76" fillId="40" borderId="0" xfId="0" applyFont="1" applyFill="1" applyBorder="1" applyAlignment="1" applyProtection="1"/>
    <xf numFmtId="0" fontId="76" fillId="40" borderId="0" xfId="0" applyFont="1" applyFill="1" applyBorder="1" applyAlignment="1" applyProtection="1">
      <alignment horizontal="left"/>
    </xf>
    <xf numFmtId="0" fontId="76" fillId="40" borderId="0" xfId="0" applyFont="1" applyFill="1" applyBorder="1" applyProtection="1"/>
    <xf numFmtId="0" fontId="90" fillId="0" borderId="0" xfId="0" applyFont="1" applyBorder="1" applyProtection="1"/>
    <xf numFmtId="37" fontId="77" fillId="0" borderId="0" xfId="31" applyNumberFormat="1" applyFont="1" applyFill="1" applyBorder="1" applyProtection="1"/>
    <xf numFmtId="0" fontId="77" fillId="0" borderId="0" xfId="0" applyFont="1" applyBorder="1" applyProtection="1"/>
    <xf numFmtId="37" fontId="76" fillId="0" borderId="0" xfId="31" applyNumberFormat="1" applyFont="1" applyFill="1" applyBorder="1" applyProtection="1"/>
    <xf numFmtId="0" fontId="76" fillId="0" borderId="0" xfId="2" applyFont="1" applyBorder="1" applyAlignment="1" applyProtection="1">
      <alignment horizontal="left"/>
    </xf>
    <xf numFmtId="164" fontId="76" fillId="0" borderId="70" xfId="34" applyNumberFormat="1" applyFont="1" applyFill="1" applyBorder="1" applyProtection="1"/>
    <xf numFmtId="0" fontId="76" fillId="0" borderId="71" xfId="2" applyFont="1" applyBorder="1" applyAlignment="1" applyProtection="1">
      <alignment horizontal="left"/>
    </xf>
    <xf numFmtId="164" fontId="77" fillId="30" borderId="71" xfId="34" applyNumberFormat="1" applyFont="1" applyFill="1" applyBorder="1" applyProtection="1"/>
    <xf numFmtId="2" fontId="76" fillId="0" borderId="0" xfId="0" applyNumberFormat="1" applyFont="1" applyBorder="1" applyAlignment="1" applyProtection="1">
      <alignment horizontal="right"/>
    </xf>
    <xf numFmtId="0" fontId="77" fillId="40" borderId="0" xfId="0" applyFont="1" applyFill="1" applyBorder="1" applyAlignment="1" applyProtection="1">
      <alignment horizontal="left" vertical="top"/>
    </xf>
    <xf numFmtId="166" fontId="76" fillId="40" borderId="0" xfId="0" applyNumberFormat="1" applyFont="1" applyFill="1" applyBorder="1" applyAlignment="1" applyProtection="1">
      <alignment horizontal="center"/>
    </xf>
    <xf numFmtId="166" fontId="76" fillId="40" borderId="0" xfId="0" applyNumberFormat="1" applyFont="1" applyFill="1" applyBorder="1" applyAlignment="1" applyProtection="1">
      <alignment horizontal="right"/>
    </xf>
    <xf numFmtId="166" fontId="76" fillId="40" borderId="0" xfId="752" applyNumberFormat="1" applyFont="1" applyFill="1" applyBorder="1" applyAlignment="1" applyProtection="1">
      <alignment horizontal="right"/>
    </xf>
    <xf numFmtId="166" fontId="76" fillId="0" borderId="0" xfId="0" applyNumberFormat="1" applyFont="1" applyBorder="1" applyAlignment="1" applyProtection="1">
      <alignment horizontal="center"/>
    </xf>
    <xf numFmtId="166" fontId="76" fillId="0" borderId="71" xfId="752" applyNumberFormat="1" applyFont="1" applyBorder="1" applyAlignment="1" applyProtection="1">
      <alignment horizontal="right"/>
    </xf>
    <xf numFmtId="0" fontId="76" fillId="0" borderId="0" xfId="0" applyFont="1" applyBorder="1" applyAlignment="1" applyProtection="1">
      <alignment horizontal="right"/>
    </xf>
    <xf numFmtId="0" fontId="76" fillId="0" borderId="0" xfId="2" applyFont="1" applyBorder="1" applyAlignment="1" applyProtection="1">
      <alignment horizontal="left" indent="2"/>
    </xf>
    <xf numFmtId="0" fontId="84" fillId="0" borderId="0" xfId="2" applyFont="1" applyBorder="1" applyAlignment="1" applyProtection="1">
      <alignment horizontal="left" indent="1"/>
    </xf>
    <xf numFmtId="0" fontId="77" fillId="30" borderId="71" xfId="0" applyFont="1" applyFill="1" applyBorder="1" applyProtection="1"/>
    <xf numFmtId="164" fontId="77" fillId="39" borderId="71" xfId="34" applyNumberFormat="1" applyFont="1" applyFill="1" applyBorder="1" applyProtection="1"/>
    <xf numFmtId="37" fontId="77" fillId="0" borderId="0" xfId="0" applyNumberFormat="1" applyFont="1" applyFill="1" applyBorder="1" applyProtection="1"/>
    <xf numFmtId="166" fontId="77" fillId="30" borderId="71" xfId="752" applyNumberFormat="1" applyFont="1" applyFill="1" applyBorder="1" applyAlignment="1" applyProtection="1">
      <alignment horizontal="right"/>
    </xf>
    <xf numFmtId="37" fontId="77" fillId="30" borderId="71" xfId="0" applyNumberFormat="1" applyFont="1" applyFill="1" applyBorder="1" applyProtection="1"/>
    <xf numFmtId="0" fontId="84" fillId="0" borderId="0" xfId="0" applyFont="1" applyFill="1" applyBorder="1" applyAlignment="1" applyProtection="1">
      <alignment horizontal="right"/>
    </xf>
    <xf numFmtId="164" fontId="76" fillId="0" borderId="0" xfId="31" applyNumberFormat="1" applyFont="1" applyBorder="1" applyAlignment="1" applyProtection="1">
      <alignment horizontal="center"/>
    </xf>
    <xf numFmtId="166" fontId="76" fillId="0" borderId="0" xfId="752" applyNumberFormat="1" applyFont="1" applyBorder="1" applyAlignment="1" applyProtection="1">
      <alignment horizontal="center"/>
    </xf>
    <xf numFmtId="179" fontId="76" fillId="0" borderId="0" xfId="0" applyNumberFormat="1" applyFont="1" applyBorder="1" applyAlignment="1" applyProtection="1">
      <alignment horizontal="right"/>
    </xf>
    <xf numFmtId="0" fontId="84" fillId="0" borderId="71" xfId="2" applyFont="1" applyBorder="1" applyAlignment="1" applyProtection="1">
      <alignment horizontal="left" indent="1"/>
    </xf>
    <xf numFmtId="0" fontId="88" fillId="38" borderId="70" xfId="0" applyFont="1" applyFill="1" applyBorder="1" applyAlignment="1" applyProtection="1">
      <alignment horizontal="center"/>
    </xf>
    <xf numFmtId="0" fontId="77" fillId="0" borderId="0" xfId="0" applyFont="1" applyFill="1" applyBorder="1" applyAlignment="1" applyProtection="1">
      <alignment horizontal="left" vertical="top"/>
    </xf>
    <xf numFmtId="180" fontId="76" fillId="0" borderId="0" xfId="0" applyNumberFormat="1" applyFont="1" applyBorder="1" applyAlignment="1" applyProtection="1">
      <alignment horizontal="right"/>
    </xf>
    <xf numFmtId="0" fontId="94" fillId="0" borderId="0" xfId="0" applyFont="1" applyBorder="1" applyProtection="1"/>
    <xf numFmtId="166" fontId="76" fillId="0" borderId="71" xfId="752" applyNumberFormat="1" applyFont="1" applyFill="1" applyBorder="1" applyAlignment="1" applyProtection="1">
      <alignment horizontal="right"/>
    </xf>
    <xf numFmtId="166" fontId="76" fillId="0" borderId="0" xfId="752" applyNumberFormat="1" applyFont="1" applyFill="1" applyBorder="1" applyAlignment="1" applyProtection="1">
      <alignment horizontal="left"/>
    </xf>
    <xf numFmtId="37" fontId="76" fillId="0" borderId="0" xfId="0" applyNumberFormat="1" applyFont="1" applyBorder="1" applyAlignment="1" applyProtection="1">
      <alignment horizontal="right"/>
    </xf>
    <xf numFmtId="37" fontId="76" fillId="0" borderId="71" xfId="0" applyNumberFormat="1" applyFont="1" applyBorder="1" applyAlignment="1" applyProtection="1">
      <alignment horizontal="right"/>
    </xf>
    <xf numFmtId="0" fontId="76" fillId="0" borderId="0" xfId="0" applyNumberFormat="1" applyFont="1" applyBorder="1" applyAlignment="1" applyProtection="1">
      <alignment horizontal="right"/>
    </xf>
    <xf numFmtId="180" fontId="76" fillId="41" borderId="0" xfId="0" applyNumberFormat="1" applyFont="1" applyFill="1" applyBorder="1" applyAlignment="1" applyProtection="1">
      <alignment horizontal="center"/>
      <protection locked="0"/>
    </xf>
    <xf numFmtId="166" fontId="76" fillId="42" borderId="0" xfId="0" applyNumberFormat="1" applyFont="1" applyFill="1" applyBorder="1" applyAlignment="1" applyProtection="1">
      <alignment horizontal="right"/>
      <protection locked="0"/>
    </xf>
    <xf numFmtId="164" fontId="77" fillId="39" borderId="13" xfId="34" applyNumberFormat="1" applyFont="1" applyFill="1" applyBorder="1" applyProtection="1"/>
    <xf numFmtId="0" fontId="89" fillId="38" borderId="41" xfId="0" applyNumberFormat="1" applyFont="1" applyFill="1" applyBorder="1" applyAlignment="1" applyProtection="1">
      <alignment horizontal="center"/>
      <protection locked="0"/>
    </xf>
    <xf numFmtId="0" fontId="95" fillId="0" borderId="0" xfId="2" applyFont="1" applyBorder="1" applyProtection="1"/>
    <xf numFmtId="0" fontId="76" fillId="0" borderId="0" xfId="2" quotePrefix="1" applyFont="1" applyFill="1" applyBorder="1" applyProtection="1"/>
    <xf numFmtId="182" fontId="76" fillId="0" borderId="0" xfId="2" applyNumberFormat="1" applyFont="1" applyBorder="1" applyProtection="1"/>
    <xf numFmtId="0" fontId="76" fillId="0" borderId="0" xfId="2" applyFont="1" applyBorder="1" applyProtection="1"/>
    <xf numFmtId="0" fontId="76" fillId="0" borderId="0" xfId="2" applyFont="1" applyFill="1" applyBorder="1" applyProtection="1"/>
    <xf numFmtId="166" fontId="76" fillId="0" borderId="0" xfId="2" applyNumberFormat="1" applyFont="1" applyFill="1" applyBorder="1" applyAlignment="1" applyProtection="1">
      <alignment horizontal="center"/>
    </xf>
    <xf numFmtId="183" fontId="76" fillId="0" borderId="0" xfId="2" applyNumberFormat="1" applyFont="1" applyBorder="1" applyProtection="1"/>
    <xf numFmtId="166" fontId="79" fillId="0" borderId="41" xfId="753" applyNumberFormat="1" applyFont="1" applyFill="1" applyBorder="1" applyAlignment="1">
      <alignment horizontal="center" vertical="center"/>
    </xf>
    <xf numFmtId="166" fontId="79" fillId="0" borderId="41" xfId="753" applyNumberFormat="1" applyFont="1" applyBorder="1" applyAlignment="1">
      <alignment horizontal="center"/>
    </xf>
    <xf numFmtId="164" fontId="79" fillId="0" borderId="41" xfId="33" applyNumberFormat="1" applyFont="1" applyFill="1" applyBorder="1" applyAlignment="1" applyProtection="1">
      <alignment horizontal="center"/>
      <protection locked="0"/>
    </xf>
    <xf numFmtId="0" fontId="90" fillId="30" borderId="41" xfId="0" applyFont="1" applyFill="1" applyBorder="1"/>
    <xf numFmtId="164" fontId="90" fillId="30" borderId="41" xfId="0" applyNumberFormat="1" applyFont="1" applyFill="1" applyBorder="1"/>
    <xf numFmtId="166" fontId="90" fillId="30" borderId="41" xfId="753" applyNumberFormat="1" applyFont="1" applyFill="1" applyBorder="1" applyAlignment="1">
      <alignment horizontal="center"/>
    </xf>
    <xf numFmtId="164" fontId="90" fillId="30" borderId="41" xfId="0" applyNumberFormat="1" applyFont="1" applyFill="1" applyBorder="1" applyAlignment="1">
      <alignment horizontal="center"/>
    </xf>
    <xf numFmtId="164" fontId="76" fillId="0" borderId="0" xfId="2" applyNumberFormat="1" applyFont="1" applyBorder="1" applyProtection="1"/>
    <xf numFmtId="184" fontId="76" fillId="0" borderId="0" xfId="2" applyNumberFormat="1" applyFont="1" applyBorder="1" applyProtection="1"/>
    <xf numFmtId="0" fontId="79" fillId="0" borderId="0" xfId="2" quotePrefix="1" applyFont="1" applyFill="1" applyBorder="1" applyProtection="1"/>
    <xf numFmtId="0" fontId="90" fillId="0" borderId="0" xfId="0" applyFont="1" applyFill="1" applyBorder="1" applyAlignment="1" applyProtection="1">
      <alignment vertical="top"/>
    </xf>
    <xf numFmtId="0" fontId="79" fillId="37" borderId="41" xfId="0" applyFont="1" applyFill="1" applyBorder="1"/>
    <xf numFmtId="164" fontId="79" fillId="37" borderId="41" xfId="33" applyNumberFormat="1" applyFont="1" applyFill="1" applyBorder="1" applyProtection="1">
      <protection locked="0"/>
    </xf>
    <xf numFmtId="166" fontId="79" fillId="37" borderId="41" xfId="753" applyNumberFormat="1" applyFont="1" applyFill="1" applyBorder="1" applyProtection="1">
      <protection locked="0"/>
    </xf>
    <xf numFmtId="169" fontId="79" fillId="37" borderId="41" xfId="33" applyNumberFormat="1" applyFont="1" applyFill="1" applyBorder="1" applyAlignment="1" applyProtection="1">
      <alignment horizontal="center"/>
      <protection locked="0"/>
    </xf>
    <xf numFmtId="166" fontId="79" fillId="37" borderId="41" xfId="753" applyNumberFormat="1" applyFont="1" applyFill="1" applyBorder="1" applyAlignment="1" applyProtection="1">
      <alignment horizontal="center"/>
      <protection locked="0"/>
    </xf>
    <xf numFmtId="0" fontId="79" fillId="25" borderId="41" xfId="2" applyFont="1" applyFill="1" applyBorder="1" applyAlignment="1" applyProtection="1">
      <alignment horizontal="left"/>
    </xf>
    <xf numFmtId="165" fontId="79" fillId="37" borderId="41" xfId="33" applyNumberFormat="1" applyFont="1" applyFill="1" applyBorder="1" applyAlignment="1" applyProtection="1">
      <alignment horizontal="center" wrapText="1"/>
    </xf>
    <xf numFmtId="0" fontId="79" fillId="37" borderId="41" xfId="0" applyFont="1" applyFill="1" applyBorder="1" applyAlignment="1">
      <alignment horizontal="center" vertical="center" wrapText="1"/>
    </xf>
    <xf numFmtId="37" fontId="79" fillId="37" borderId="41" xfId="33" applyNumberFormat="1" applyFont="1" applyFill="1" applyBorder="1" applyAlignment="1" applyProtection="1">
      <alignment horizontal="center"/>
      <protection locked="0"/>
    </xf>
    <xf numFmtId="0" fontId="79" fillId="0" borderId="41" xfId="2" applyFont="1" applyFill="1" applyBorder="1" applyAlignment="1" applyProtection="1">
      <alignment horizontal="center"/>
    </xf>
    <xf numFmtId="0" fontId="75" fillId="0" borderId="0" xfId="2" applyFont="1" applyBorder="1" applyProtection="1"/>
    <xf numFmtId="0" fontId="83" fillId="0" borderId="0" xfId="2" applyFont="1" applyBorder="1" applyProtection="1"/>
    <xf numFmtId="0" fontId="79" fillId="0" borderId="0" xfId="2" applyFont="1" applyBorder="1" applyProtection="1"/>
    <xf numFmtId="0" fontId="79" fillId="25" borderId="41" xfId="2" applyFont="1" applyFill="1" applyBorder="1" applyAlignment="1" applyProtection="1">
      <alignment horizontal="center"/>
    </xf>
    <xf numFmtId="166" fontId="79" fillId="0" borderId="41" xfId="753" applyNumberFormat="1" applyFont="1" applyFill="1" applyBorder="1" applyAlignment="1" applyProtection="1">
      <alignment horizontal="center"/>
      <protection locked="0"/>
    </xf>
    <xf numFmtId="0" fontId="79" fillId="30" borderId="41" xfId="2" applyFont="1" applyFill="1" applyBorder="1" applyProtection="1"/>
    <xf numFmtId="0" fontId="90" fillId="30" borderId="41" xfId="2" applyFont="1" applyFill="1" applyBorder="1" applyAlignment="1" applyProtection="1"/>
    <xf numFmtId="0" fontId="90" fillId="30" borderId="41" xfId="2" applyFont="1" applyFill="1" applyBorder="1" applyAlignment="1" applyProtection="1">
      <alignment horizontal="center"/>
    </xf>
    <xf numFmtId="164" fontId="90" fillId="30" borderId="41" xfId="2" applyNumberFormat="1" applyFont="1" applyFill="1" applyBorder="1" applyAlignment="1" applyProtection="1"/>
    <xf numFmtId="166" fontId="90" fillId="39" borderId="41" xfId="753" applyNumberFormat="1" applyFont="1" applyFill="1" applyBorder="1" applyAlignment="1" applyProtection="1">
      <alignment horizontal="center"/>
      <protection locked="0"/>
    </xf>
    <xf numFmtId="0" fontId="73" fillId="0" borderId="0" xfId="402" applyFont="1" applyBorder="1"/>
    <xf numFmtId="166" fontId="79" fillId="0" borderId="41" xfId="753" applyNumberFormat="1" applyFont="1" applyFill="1" applyBorder="1" applyAlignment="1" applyProtection="1">
      <alignment horizontal="center" wrapText="1"/>
      <protection locked="0"/>
    </xf>
    <xf numFmtId="0" fontId="76" fillId="0" borderId="120" xfId="0" applyFont="1" applyBorder="1" applyProtection="1">
      <protection locked="0"/>
    </xf>
    <xf numFmtId="0" fontId="99" fillId="0" borderId="72" xfId="0" applyFont="1" applyBorder="1" applyProtection="1"/>
    <xf numFmtId="0" fontId="91" fillId="25" borderId="76" xfId="0" applyFont="1" applyFill="1" applyBorder="1" applyProtection="1"/>
    <xf numFmtId="0" fontId="77" fillId="0" borderId="73" xfId="0" applyFont="1" applyFill="1" applyBorder="1" applyAlignment="1" applyProtection="1">
      <alignment horizontal="center"/>
    </xf>
    <xf numFmtId="0" fontId="77" fillId="0" borderId="41" xfId="0" applyFont="1" applyFill="1" applyBorder="1" applyAlignment="1" applyProtection="1">
      <alignment horizontal="center"/>
    </xf>
    <xf numFmtId="0" fontId="91" fillId="25" borderId="61" xfId="0" applyFont="1" applyFill="1" applyBorder="1" applyProtection="1"/>
    <xf numFmtId="0" fontId="77" fillId="25" borderId="41" xfId="0" applyFont="1" applyFill="1" applyBorder="1" applyAlignment="1" applyProtection="1">
      <alignment horizontal="left"/>
    </xf>
    <xf numFmtId="0" fontId="77" fillId="30" borderId="41" xfId="0" applyFont="1" applyFill="1" applyBorder="1" applyAlignment="1" applyProtection="1">
      <alignment horizontal="left"/>
    </xf>
    <xf numFmtId="0" fontId="83" fillId="0" borderId="0" xfId="0" applyFont="1" applyFill="1" applyBorder="1" applyProtection="1"/>
    <xf numFmtId="0" fontId="76" fillId="25" borderId="41" xfId="0" applyFont="1" applyFill="1" applyBorder="1" applyAlignment="1" applyProtection="1">
      <alignment horizontal="left"/>
    </xf>
    <xf numFmtId="164" fontId="76" fillId="0" borderId="41" xfId="31" applyNumberFormat="1" applyFont="1" applyFill="1" applyBorder="1" applyAlignment="1" applyProtection="1">
      <alignment horizontal="center"/>
    </xf>
    <xf numFmtId="164" fontId="76" fillId="37" borderId="41" xfId="31" applyNumberFormat="1" applyFont="1" applyFill="1" applyBorder="1" applyAlignment="1" applyProtection="1">
      <alignment horizontal="center"/>
      <protection locked="0"/>
    </xf>
    <xf numFmtId="164" fontId="76" fillId="0" borderId="0" xfId="31" applyNumberFormat="1" applyFont="1" applyProtection="1"/>
    <xf numFmtId="166" fontId="76" fillId="0" borderId="41" xfId="752" applyNumberFormat="1" applyFont="1" applyBorder="1" applyAlignment="1" applyProtection="1"/>
    <xf numFmtId="0" fontId="76" fillId="25" borderId="77" xfId="0" applyFont="1" applyFill="1" applyBorder="1" applyAlignment="1" applyProtection="1">
      <alignment horizontal="left"/>
    </xf>
    <xf numFmtId="0" fontId="100" fillId="0" borderId="0" xfId="0" applyFont="1" applyProtection="1">
      <protection locked="0"/>
    </xf>
    <xf numFmtId="0" fontId="100" fillId="0" borderId="0" xfId="0" applyFont="1" applyProtection="1"/>
    <xf numFmtId="1" fontId="101" fillId="0" borderId="0" xfId="0" applyNumberFormat="1" applyFont="1" applyBorder="1" applyAlignment="1" applyProtection="1">
      <alignment horizontal="left"/>
    </xf>
    <xf numFmtId="0" fontId="79" fillId="37" borderId="41" xfId="402" applyFont="1" applyFill="1" applyBorder="1"/>
    <xf numFmtId="0" fontId="79" fillId="37" borderId="69" xfId="402" applyFont="1" applyFill="1" applyBorder="1" applyAlignment="1">
      <alignment horizontal="center"/>
    </xf>
    <xf numFmtId="164" fontId="79" fillId="37" borderId="73" xfId="33" applyNumberFormat="1" applyFont="1" applyFill="1" applyBorder="1" applyProtection="1">
      <protection locked="0"/>
    </xf>
    <xf numFmtId="0" fontId="79" fillId="37" borderId="73" xfId="402" applyFont="1" applyFill="1" applyBorder="1" applyAlignment="1">
      <alignment horizontal="center"/>
    </xf>
    <xf numFmtId="164" fontId="79" fillId="37" borderId="73" xfId="33" applyNumberFormat="1" applyFont="1" applyFill="1" applyBorder="1" applyAlignment="1" applyProtection="1">
      <alignment wrapText="1"/>
      <protection locked="0"/>
    </xf>
    <xf numFmtId="0" fontId="79" fillId="37" borderId="41" xfId="402" applyFont="1" applyFill="1" applyBorder="1" applyAlignment="1">
      <alignment wrapText="1"/>
    </xf>
    <xf numFmtId="0" fontId="79" fillId="37" borderId="41" xfId="402" applyFont="1" applyFill="1" applyBorder="1" applyAlignment="1">
      <alignment horizontal="left" vertical="center" wrapText="1"/>
    </xf>
    <xf numFmtId="0" fontId="79" fillId="37" borderId="41" xfId="402" applyFont="1" applyFill="1" applyBorder="1" applyAlignment="1">
      <alignment horizontal="center" vertical="center" wrapText="1"/>
    </xf>
    <xf numFmtId="0" fontId="91" fillId="0" borderId="41" xfId="0" applyFont="1" applyFill="1" applyBorder="1" applyProtection="1">
      <protection locked="0"/>
    </xf>
    <xf numFmtId="0" fontId="91" fillId="0" borderId="41" xfId="0" applyFont="1" applyFill="1" applyBorder="1" applyAlignment="1" applyProtection="1">
      <alignment horizontal="center"/>
      <protection locked="0"/>
    </xf>
    <xf numFmtId="0" fontId="91" fillId="37" borderId="72" xfId="0" applyFont="1" applyFill="1" applyBorder="1" applyProtection="1">
      <protection locked="0"/>
    </xf>
    <xf numFmtId="0" fontId="91" fillId="0" borderId="13" xfId="0" applyFont="1" applyFill="1" applyBorder="1" applyAlignment="1" applyProtection="1">
      <alignment horizontal="center"/>
      <protection locked="0"/>
    </xf>
    <xf numFmtId="166" fontId="76" fillId="0" borderId="41" xfId="31" applyNumberFormat="1" applyFont="1" applyFill="1" applyBorder="1" applyAlignment="1" applyProtection="1">
      <alignment horizontal="center"/>
    </xf>
    <xf numFmtId="166" fontId="77" fillId="30" borderId="41" xfId="31" applyNumberFormat="1" applyFont="1" applyFill="1" applyBorder="1" applyAlignment="1" applyProtection="1">
      <alignment horizontal="center"/>
    </xf>
    <xf numFmtId="166" fontId="77" fillId="30" borderId="41" xfId="0" applyNumberFormat="1" applyFont="1" applyFill="1" applyBorder="1" applyAlignment="1" applyProtection="1">
      <alignment horizontal="center"/>
    </xf>
    <xf numFmtId="181" fontId="76" fillId="37" borderId="41" xfId="31" applyNumberFormat="1" applyFont="1" applyFill="1" applyBorder="1" applyAlignment="1" applyProtection="1">
      <alignment horizontal="center"/>
      <protection locked="0"/>
    </xf>
    <xf numFmtId="181" fontId="77" fillId="30" borderId="41" xfId="31" applyNumberFormat="1" applyFont="1" applyFill="1" applyBorder="1" applyAlignment="1" applyProtection="1">
      <alignment horizontal="center"/>
    </xf>
    <xf numFmtId="181" fontId="77" fillId="30" borderId="41" xfId="0" applyNumberFormat="1" applyFont="1" applyFill="1" applyBorder="1" applyAlignment="1" applyProtection="1">
      <alignment horizontal="center"/>
    </xf>
    <xf numFmtId="164" fontId="76" fillId="0" borderId="0" xfId="31" applyNumberFormat="1" applyFont="1" applyFill="1" applyBorder="1" applyAlignment="1" applyProtection="1">
      <alignment horizontal="left" indent="1"/>
    </xf>
    <xf numFmtId="0" fontId="76" fillId="0" borderId="0" xfId="0" applyFont="1" applyFill="1" applyBorder="1" applyAlignment="1" applyProtection="1">
      <alignment horizontal="left" indent="1"/>
    </xf>
    <xf numFmtId="9" fontId="26" fillId="43" borderId="15" xfId="0" applyNumberFormat="1" applyFont="1" applyFill="1" applyBorder="1" applyAlignment="1" applyProtection="1">
      <alignment horizontal="center" vertical="center"/>
      <protection hidden="1"/>
    </xf>
    <xf numFmtId="0" fontId="76" fillId="0" borderId="41" xfId="0" applyFont="1" applyFill="1" applyBorder="1" applyAlignment="1" applyProtection="1">
      <alignment vertical="top"/>
      <protection locked="0"/>
    </xf>
    <xf numFmtId="0" fontId="77" fillId="0" borderId="41" xfId="2" applyFont="1" applyFill="1" applyBorder="1" applyAlignment="1" applyProtection="1">
      <protection locked="0"/>
    </xf>
    <xf numFmtId="0" fontId="76" fillId="0" borderId="41" xfId="2" applyFont="1" applyFill="1" applyBorder="1" applyAlignment="1" applyProtection="1">
      <alignment horizontal="left" indent="1"/>
      <protection locked="0"/>
    </xf>
    <xf numFmtId="0" fontId="76" fillId="0" borderId="41" xfId="0" applyFont="1" applyFill="1" applyBorder="1" applyAlignment="1" applyProtection="1">
      <alignment horizontal="left" indent="1"/>
      <protection locked="0"/>
    </xf>
    <xf numFmtId="0" fontId="102" fillId="44" borderId="0" xfId="403" applyFont="1" applyFill="1"/>
    <xf numFmtId="0" fontId="103" fillId="44" borderId="0" xfId="403" applyFont="1" applyFill="1"/>
    <xf numFmtId="0" fontId="78" fillId="44" borderId="0" xfId="403" applyFont="1" applyFill="1"/>
    <xf numFmtId="0" fontId="78" fillId="0" borderId="70" xfId="403" applyFont="1" applyBorder="1"/>
    <xf numFmtId="166" fontId="76" fillId="0" borderId="0" xfId="0" applyNumberFormat="1" applyFont="1" applyFill="1" applyBorder="1" applyAlignment="1" applyProtection="1">
      <alignment horizontal="right"/>
    </xf>
    <xf numFmtId="0" fontId="74" fillId="36" borderId="72" xfId="177" applyFont="1" applyFill="1" applyBorder="1" applyAlignment="1">
      <alignment vertical="top"/>
    </xf>
    <xf numFmtId="0" fontId="74" fillId="36" borderId="78" xfId="177" applyFont="1" applyFill="1" applyBorder="1" applyAlignment="1">
      <alignment vertical="top"/>
    </xf>
    <xf numFmtId="0" fontId="74" fillId="0" borderId="57" xfId="177" applyFont="1" applyFill="1" applyBorder="1" applyAlignment="1">
      <alignment horizontal="center"/>
    </xf>
    <xf numFmtId="0" fontId="74" fillId="36" borderId="72" xfId="177" applyFont="1" applyFill="1" applyBorder="1"/>
    <xf numFmtId="0" fontId="74" fillId="36" borderId="0" xfId="177" applyFont="1" applyFill="1" applyBorder="1"/>
    <xf numFmtId="0" fontId="74" fillId="36" borderId="76" xfId="177" applyFont="1" applyFill="1" applyBorder="1"/>
    <xf numFmtId="0" fontId="74" fillId="0" borderId="41" xfId="177" applyFont="1" applyFill="1" applyBorder="1" applyAlignment="1">
      <alignment horizontal="center"/>
    </xf>
    <xf numFmtId="0" fontId="74" fillId="36" borderId="72" xfId="177" applyFont="1" applyFill="1" applyBorder="1" applyAlignment="1">
      <alignment vertical="center"/>
    </xf>
    <xf numFmtId="0" fontId="74" fillId="36" borderId="76" xfId="177" applyFont="1" applyFill="1" applyBorder="1" applyAlignment="1">
      <alignment vertical="center"/>
    </xf>
    <xf numFmtId="0" fontId="74" fillId="36" borderId="61" xfId="177" applyFont="1" applyFill="1" applyBorder="1" applyAlignment="1">
      <alignment vertical="center"/>
    </xf>
    <xf numFmtId="0" fontId="74" fillId="0" borderId="57" xfId="177" applyFont="1" applyBorder="1" applyAlignment="1">
      <alignment horizontal="center"/>
    </xf>
    <xf numFmtId="0" fontId="73" fillId="45" borderId="69" xfId="177" applyFont="1" applyFill="1" applyBorder="1" applyAlignment="1">
      <alignment horizontal="center"/>
    </xf>
    <xf numFmtId="0" fontId="73" fillId="45" borderId="61" xfId="177" applyFont="1" applyFill="1" applyBorder="1" applyAlignment="1">
      <alignment horizontal="center"/>
    </xf>
    <xf numFmtId="37" fontId="73" fillId="36" borderId="41" xfId="177" applyNumberFormat="1" applyFont="1" applyFill="1" applyBorder="1" applyAlignment="1">
      <alignment horizontal="center"/>
    </xf>
    <xf numFmtId="0" fontId="74" fillId="0" borderId="73" xfId="177" applyFont="1" applyFill="1" applyBorder="1" applyAlignment="1">
      <alignment horizontal="center"/>
    </xf>
    <xf numFmtId="17" fontId="73" fillId="36" borderId="73" xfId="177" applyNumberFormat="1" applyFont="1" applyFill="1" applyBorder="1" applyAlignment="1">
      <alignment horizontal="center"/>
    </xf>
    <xf numFmtId="0" fontId="73" fillId="0" borderId="13" xfId="177" applyFont="1" applyBorder="1"/>
    <xf numFmtId="0" fontId="73" fillId="36" borderId="0" xfId="177" applyFont="1" applyFill="1" applyBorder="1"/>
    <xf numFmtId="0" fontId="74" fillId="36" borderId="0" xfId="177" applyFont="1" applyFill="1" applyBorder="1" applyAlignment="1">
      <alignment horizontal="center"/>
    </xf>
    <xf numFmtId="0" fontId="74" fillId="0" borderId="0" xfId="177" applyFont="1"/>
    <xf numFmtId="0" fontId="74" fillId="39" borderId="0" xfId="177" applyFont="1" applyFill="1" applyBorder="1"/>
    <xf numFmtId="0" fontId="73" fillId="0" borderId="70" xfId="177" applyFont="1" applyBorder="1"/>
    <xf numFmtId="0" fontId="74" fillId="36" borderId="79" xfId="177" applyFont="1" applyFill="1" applyBorder="1" applyAlignment="1">
      <alignment horizontal="center"/>
    </xf>
    <xf numFmtId="0" fontId="73" fillId="36" borderId="79" xfId="177" applyFont="1" applyFill="1" applyBorder="1"/>
    <xf numFmtId="0" fontId="104" fillId="45" borderId="0" xfId="177" applyFont="1" applyFill="1" applyBorder="1"/>
    <xf numFmtId="0" fontId="104" fillId="45" borderId="70" xfId="177" applyFont="1" applyFill="1" applyBorder="1"/>
    <xf numFmtId="164" fontId="73" fillId="45" borderId="70" xfId="31" applyNumberFormat="1" applyFont="1" applyFill="1" applyBorder="1"/>
    <xf numFmtId="164" fontId="73" fillId="36" borderId="80" xfId="31" applyNumberFormat="1" applyFont="1" applyFill="1" applyBorder="1"/>
    <xf numFmtId="164" fontId="73" fillId="45" borderId="0" xfId="31" applyNumberFormat="1" applyFont="1" applyFill="1" applyBorder="1"/>
    <xf numFmtId="164" fontId="73" fillId="36" borderId="79" xfId="31" applyNumberFormat="1" applyFont="1" applyFill="1" applyBorder="1"/>
    <xf numFmtId="164" fontId="74" fillId="36" borderId="70" xfId="31" applyNumberFormat="1" applyFont="1" applyFill="1" applyBorder="1"/>
    <xf numFmtId="164" fontId="74" fillId="36" borderId="80" xfId="31" applyNumberFormat="1" applyFont="1" applyFill="1" applyBorder="1"/>
    <xf numFmtId="164" fontId="73" fillId="36" borderId="0" xfId="31" applyNumberFormat="1" applyFont="1" applyFill="1" applyBorder="1"/>
    <xf numFmtId="164" fontId="74" fillId="39" borderId="70" xfId="31" applyNumberFormat="1" applyFont="1" applyFill="1" applyBorder="1"/>
    <xf numFmtId="164" fontId="74" fillId="39" borderId="73" xfId="31" applyNumberFormat="1" applyFont="1" applyFill="1" applyBorder="1"/>
    <xf numFmtId="164" fontId="79" fillId="0" borderId="41" xfId="33" applyNumberFormat="1" applyFont="1" applyFill="1" applyBorder="1" applyProtection="1">
      <protection locked="0"/>
    </xf>
    <xf numFmtId="0" fontId="88" fillId="38" borderId="0" xfId="0" applyFont="1" applyFill="1" applyBorder="1" applyAlignment="1" applyProtection="1">
      <alignment horizontal="center" wrapText="1"/>
    </xf>
    <xf numFmtId="0" fontId="79" fillId="0" borderId="81" xfId="0" applyFont="1" applyFill="1" applyBorder="1"/>
    <xf numFmtId="0" fontId="79" fillId="0" borderId="73" xfId="0" applyFont="1" applyFill="1" applyBorder="1"/>
    <xf numFmtId="164" fontId="79" fillId="45" borderId="41" xfId="33" applyNumberFormat="1" applyFont="1" applyFill="1" applyBorder="1" applyProtection="1">
      <protection locked="0"/>
    </xf>
    <xf numFmtId="0" fontId="90" fillId="39" borderId="81" xfId="0" applyFont="1" applyFill="1" applyBorder="1"/>
    <xf numFmtId="0" fontId="90" fillId="39" borderId="73" xfId="0" applyFont="1" applyFill="1" applyBorder="1"/>
    <xf numFmtId="164" fontId="90" fillId="39" borderId="41" xfId="33" applyNumberFormat="1" applyFont="1" applyFill="1" applyBorder="1" applyProtection="1">
      <protection locked="0"/>
    </xf>
    <xf numFmtId="0" fontId="105" fillId="38" borderId="41" xfId="2" applyFont="1" applyFill="1" applyBorder="1" applyProtection="1"/>
    <xf numFmtId="0" fontId="97" fillId="38" borderId="41" xfId="2" applyFont="1" applyFill="1" applyBorder="1" applyAlignment="1" applyProtection="1"/>
    <xf numFmtId="164" fontId="97" fillId="38" borderId="41" xfId="2" applyNumberFormat="1" applyFont="1" applyFill="1" applyBorder="1" applyAlignment="1" applyProtection="1"/>
    <xf numFmtId="166" fontId="97" fillId="38" borderId="41" xfId="753" applyNumberFormat="1" applyFont="1" applyFill="1" applyBorder="1" applyAlignment="1" applyProtection="1">
      <alignment horizontal="center"/>
      <protection locked="0"/>
    </xf>
    <xf numFmtId="10" fontId="90" fillId="39" borderId="41" xfId="753" applyNumberFormat="1" applyFont="1" applyFill="1" applyBorder="1" applyAlignment="1" applyProtection="1">
      <alignment horizontal="center"/>
      <protection locked="0"/>
    </xf>
    <xf numFmtId="10" fontId="97" fillId="38" borderId="41" xfId="753" applyNumberFormat="1" applyFont="1" applyFill="1" applyBorder="1" applyAlignment="1" applyProtection="1">
      <alignment horizontal="center"/>
      <protection locked="0"/>
    </xf>
    <xf numFmtId="180" fontId="79" fillId="0" borderId="41" xfId="753" applyNumberFormat="1" applyFont="1" applyFill="1" applyBorder="1" applyAlignment="1" applyProtection="1">
      <alignment horizontal="center"/>
      <protection locked="0"/>
    </xf>
    <xf numFmtId="3" fontId="90" fillId="39" borderId="41" xfId="753" applyNumberFormat="1" applyFont="1" applyFill="1" applyBorder="1" applyAlignment="1" applyProtection="1">
      <alignment horizontal="center"/>
      <protection locked="0"/>
    </xf>
    <xf numFmtId="3" fontId="97" fillId="38" borderId="41" xfId="753" applyNumberFormat="1" applyFont="1" applyFill="1" applyBorder="1" applyAlignment="1" applyProtection="1">
      <alignment horizontal="center"/>
      <protection locked="0"/>
    </xf>
    <xf numFmtId="0" fontId="88" fillId="44" borderId="0" xfId="0" applyFont="1" applyFill="1" applyBorder="1" applyAlignment="1" applyProtection="1">
      <alignment horizontal="center"/>
    </xf>
    <xf numFmtId="186" fontId="106" fillId="36" borderId="0" xfId="31" applyNumberFormat="1" applyFont="1" applyFill="1" applyBorder="1" applyAlignment="1" applyProtection="1">
      <alignment wrapText="1"/>
    </xf>
    <xf numFmtId="186" fontId="106" fillId="37" borderId="0" xfId="31" applyNumberFormat="1" applyFont="1" applyFill="1" applyBorder="1" applyAlignment="1" applyProtection="1">
      <alignment wrapText="1"/>
    </xf>
    <xf numFmtId="186" fontId="107" fillId="39" borderId="71" xfId="31" applyNumberFormat="1" applyFont="1" applyFill="1" applyBorder="1" applyAlignment="1" applyProtection="1">
      <alignment wrapText="1"/>
    </xf>
    <xf numFmtId="0" fontId="79" fillId="0" borderId="0" xfId="0" applyFont="1" applyFill="1" applyBorder="1"/>
    <xf numFmtId="164" fontId="79" fillId="0" borderId="0" xfId="33" applyNumberFormat="1" applyFont="1" applyFill="1" applyBorder="1" applyProtection="1">
      <protection locked="0"/>
    </xf>
    <xf numFmtId="166" fontId="79" fillId="0" borderId="0" xfId="753" applyNumberFormat="1" applyFont="1" applyFill="1" applyBorder="1" applyAlignment="1">
      <alignment horizontal="center"/>
    </xf>
    <xf numFmtId="0" fontId="79" fillId="0" borderId="71" xfId="0" applyFont="1" applyFill="1" applyBorder="1"/>
    <xf numFmtId="164" fontId="79" fillId="0" borderId="71" xfId="33" applyNumberFormat="1" applyFont="1" applyFill="1" applyBorder="1" applyProtection="1">
      <protection locked="0"/>
    </xf>
    <xf numFmtId="166" fontId="79" fillId="0" borderId="71" xfId="753" applyNumberFormat="1" applyFont="1" applyFill="1" applyBorder="1" applyAlignment="1">
      <alignment horizontal="center"/>
    </xf>
    <xf numFmtId="0" fontId="79" fillId="0" borderId="70" xfId="0" applyFont="1" applyFill="1" applyBorder="1"/>
    <xf numFmtId="0" fontId="95" fillId="0" borderId="0" xfId="2" applyFont="1" applyFill="1" applyBorder="1" applyProtection="1"/>
    <xf numFmtId="0" fontId="73" fillId="36" borderId="41" xfId="177" applyFont="1" applyFill="1" applyBorder="1" applyAlignment="1">
      <alignment horizontal="center"/>
    </xf>
    <xf numFmtId="0" fontId="89" fillId="38" borderId="41" xfId="0" applyNumberFormat="1" applyFont="1" applyFill="1" applyBorder="1" applyAlignment="1" applyProtection="1">
      <alignment horizontal="center"/>
      <protection locked="0"/>
    </xf>
    <xf numFmtId="185" fontId="73" fillId="45" borderId="41" xfId="177" quotePrefix="1" applyNumberFormat="1" applyFont="1" applyFill="1" applyBorder="1" applyAlignment="1">
      <alignment horizontal="center"/>
    </xf>
    <xf numFmtId="166" fontId="73" fillId="45" borderId="61" xfId="752" applyNumberFormat="1" applyFont="1" applyFill="1" applyBorder="1" applyAlignment="1">
      <alignment horizontal="center"/>
    </xf>
    <xf numFmtId="0" fontId="5" fillId="0" borderId="0" xfId="141"/>
    <xf numFmtId="0" fontId="5" fillId="0" borderId="0" xfId="141" applyAlignment="1">
      <alignment horizontal="left"/>
    </xf>
    <xf numFmtId="0" fontId="5" fillId="0" borderId="0" xfId="141" applyAlignment="1">
      <alignment horizontal="right"/>
    </xf>
    <xf numFmtId="0" fontId="5" fillId="0" borderId="0" xfId="141" applyNumberFormat="1" applyAlignment="1">
      <alignment horizontal="right"/>
    </xf>
    <xf numFmtId="166" fontId="0" fillId="0" borderId="0" xfId="753" applyNumberFormat="1" applyFont="1" applyAlignment="1">
      <alignment horizontal="right"/>
    </xf>
    <xf numFmtId="166" fontId="0" fillId="0" borderId="0" xfId="753" applyNumberFormat="1" applyFont="1" applyFill="1" applyAlignment="1">
      <alignment horizontal="right"/>
    </xf>
    <xf numFmtId="0" fontId="6" fillId="0" borderId="0" xfId="45" applyAlignment="1" applyProtection="1"/>
    <xf numFmtId="166" fontId="5" fillId="0" borderId="0" xfId="141" applyNumberFormat="1" applyAlignment="1">
      <alignment horizontal="right"/>
    </xf>
    <xf numFmtId="3" fontId="54" fillId="0" borderId="0" xfId="141" applyNumberFormat="1" applyFont="1" applyBorder="1" applyAlignment="1">
      <alignment horizontal="left"/>
    </xf>
    <xf numFmtId="3" fontId="54" fillId="0" borderId="82" xfId="141" applyNumberFormat="1" applyFont="1" applyBorder="1" applyAlignment="1">
      <alignment horizontal="right"/>
    </xf>
    <xf numFmtId="0" fontId="56" fillId="0" borderId="0" xfId="45" applyFont="1" applyAlignment="1" applyProtection="1"/>
    <xf numFmtId="0" fontId="4" fillId="0" borderId="0" xfId="141" applyFont="1"/>
    <xf numFmtId="0" fontId="4" fillId="0" borderId="0" xfId="141" applyFont="1" applyFill="1" applyBorder="1"/>
    <xf numFmtId="0" fontId="4" fillId="0" borderId="0" xfId="141" applyFont="1" applyBorder="1"/>
    <xf numFmtId="3" fontId="54" fillId="0" borderId="0" xfId="141" applyNumberFormat="1" applyFont="1" applyBorder="1" applyAlignment="1">
      <alignment horizontal="center"/>
    </xf>
    <xf numFmtId="0" fontId="5" fillId="0" borderId="69" xfId="141" applyBorder="1"/>
    <xf numFmtId="187" fontId="53" fillId="0" borderId="71" xfId="141" applyNumberFormat="1" applyFont="1" applyBorder="1"/>
    <xf numFmtId="0" fontId="4" fillId="0" borderId="83" xfId="141" applyFont="1" applyBorder="1"/>
    <xf numFmtId="0" fontId="5" fillId="0" borderId="79" xfId="141" applyBorder="1"/>
    <xf numFmtId="0" fontId="5" fillId="0" borderId="0" xfId="141" applyBorder="1"/>
    <xf numFmtId="0" fontId="5" fillId="0" borderId="78" xfId="141" applyBorder="1"/>
    <xf numFmtId="0" fontId="4" fillId="0" borderId="78" xfId="141" applyFont="1" applyBorder="1"/>
    <xf numFmtId="0" fontId="5" fillId="0" borderId="80" xfId="141" applyBorder="1"/>
    <xf numFmtId="0" fontId="4" fillId="0" borderId="70" xfId="141" applyFont="1" applyBorder="1"/>
    <xf numFmtId="0" fontId="4" fillId="0" borderId="84" xfId="141" applyFont="1" applyBorder="1"/>
    <xf numFmtId="188" fontId="54" fillId="0" borderId="82" xfId="141" applyNumberFormat="1" applyFont="1" applyBorder="1" applyAlignment="1">
      <alignment horizontal="right"/>
    </xf>
    <xf numFmtId="10" fontId="54" fillId="0" borderId="82" xfId="753" applyNumberFormat="1" applyFont="1" applyBorder="1" applyAlignment="1">
      <alignment horizontal="right"/>
    </xf>
    <xf numFmtId="190" fontId="54" fillId="0" borderId="82" xfId="35" applyNumberFormat="1" applyFont="1" applyBorder="1" applyAlignment="1">
      <alignment horizontal="right"/>
    </xf>
    <xf numFmtId="190" fontId="54" fillId="22" borderId="82" xfId="35" applyNumberFormat="1" applyFont="1" applyFill="1" applyBorder="1" applyAlignment="1">
      <alignment horizontal="right"/>
    </xf>
    <xf numFmtId="3" fontId="54" fillId="22" borderId="82" xfId="141" applyNumberFormat="1" applyFont="1" applyFill="1" applyBorder="1" applyAlignment="1">
      <alignment horizontal="right"/>
    </xf>
    <xf numFmtId="10" fontId="54" fillId="0" borderId="0" xfId="141" applyNumberFormat="1" applyFont="1" applyBorder="1" applyAlignment="1">
      <alignment horizontal="center"/>
    </xf>
    <xf numFmtId="190" fontId="54" fillId="0" borderId="82" xfId="141" applyNumberFormat="1" applyFont="1" applyFill="1" applyBorder="1" applyAlignment="1">
      <alignment horizontal="right"/>
    </xf>
    <xf numFmtId="190" fontId="54" fillId="0" borderId="82" xfId="35" applyNumberFormat="1" applyFont="1" applyFill="1" applyBorder="1" applyAlignment="1">
      <alignment horizontal="right"/>
    </xf>
    <xf numFmtId="3" fontId="54" fillId="0" borderId="82" xfId="141" applyNumberFormat="1" applyFont="1" applyFill="1" applyBorder="1" applyAlignment="1">
      <alignment horizontal="right"/>
    </xf>
    <xf numFmtId="10" fontId="54" fillId="0" borderId="0" xfId="141" applyNumberFormat="1" applyFont="1" applyFill="1" applyBorder="1" applyAlignment="1">
      <alignment horizontal="center"/>
    </xf>
    <xf numFmtId="3" fontId="58" fillId="0" borderId="0" xfId="141" applyNumberFormat="1" applyFont="1" applyBorder="1" applyAlignment="1">
      <alignment horizontal="center"/>
    </xf>
    <xf numFmtId="3" fontId="58" fillId="22" borderId="82" xfId="141" applyNumberFormat="1" applyFont="1" applyFill="1" applyBorder="1" applyAlignment="1">
      <alignment horizontal="right"/>
    </xf>
    <xf numFmtId="3" fontId="58" fillId="0" borderId="82" xfId="141" applyNumberFormat="1" applyFont="1" applyBorder="1" applyAlignment="1">
      <alignment horizontal="right"/>
    </xf>
    <xf numFmtId="0" fontId="5" fillId="0" borderId="0" xfId="141" applyBorder="1" applyAlignment="1">
      <alignment horizontal="left"/>
    </xf>
    <xf numFmtId="3" fontId="54" fillId="0" borderId="0" xfId="141" applyNumberFormat="1" applyFont="1" applyBorder="1" applyAlignment="1">
      <alignment horizontal="right"/>
    </xf>
    <xf numFmtId="0" fontId="54" fillId="0" borderId="0" xfId="141" applyFont="1" applyBorder="1" applyAlignment="1">
      <alignment horizontal="left"/>
    </xf>
    <xf numFmtId="0" fontId="5" fillId="0" borderId="41" xfId="141" applyBorder="1" applyAlignment="1">
      <alignment horizontal="right"/>
    </xf>
    <xf numFmtId="0" fontId="5" fillId="0" borderId="41" xfId="141" applyBorder="1"/>
    <xf numFmtId="0" fontId="59" fillId="0" borderId="71" xfId="141" applyFont="1" applyBorder="1"/>
    <xf numFmtId="187" fontId="5" fillId="0" borderId="0" xfId="141" applyNumberFormat="1" applyBorder="1" applyAlignment="1">
      <alignment horizontal="left"/>
    </xf>
    <xf numFmtId="190" fontId="0" fillId="0" borderId="0" xfId="35" applyNumberFormat="1" applyFont="1" applyBorder="1" applyAlignment="1">
      <alignment horizontal="left"/>
    </xf>
    <xf numFmtId="0" fontId="59" fillId="0" borderId="0" xfId="141" applyFont="1"/>
    <xf numFmtId="0" fontId="60" fillId="0" borderId="0" xfId="141" applyFont="1"/>
    <xf numFmtId="9" fontId="54" fillId="0" borderId="0" xfId="141" applyNumberFormat="1" applyFont="1" applyBorder="1" applyAlignment="1">
      <alignment horizontal="center"/>
    </xf>
    <xf numFmtId="9" fontId="54" fillId="0" borderId="0" xfId="141" applyNumberFormat="1" applyFont="1" applyBorder="1" applyAlignment="1">
      <alignment horizontal="left"/>
    </xf>
    <xf numFmtId="0" fontId="60" fillId="0" borderId="41" xfId="141" applyFont="1" applyBorder="1"/>
    <xf numFmtId="191" fontId="54" fillId="0" borderId="0" xfId="141" applyNumberFormat="1" applyFont="1" applyFill="1" applyBorder="1" applyAlignment="1">
      <alignment horizontal="center"/>
    </xf>
    <xf numFmtId="0" fontId="13" fillId="0" borderId="0" xfId="141" applyFont="1" applyFill="1" applyBorder="1" applyAlignment="1">
      <alignment horizontal="left"/>
    </xf>
    <xf numFmtId="3" fontId="54" fillId="0" borderId="41" xfId="141" applyNumberFormat="1" applyFont="1" applyBorder="1" applyAlignment="1">
      <alignment horizontal="center"/>
    </xf>
    <xf numFmtId="0" fontId="13" fillId="0" borderId="41" xfId="141" applyFont="1" applyBorder="1" applyAlignment="1">
      <alignment horizontal="left"/>
    </xf>
    <xf numFmtId="0" fontId="58" fillId="33" borderId="41" xfId="141" applyFont="1" applyFill="1" applyBorder="1" applyAlignment="1">
      <alignment horizontal="center"/>
    </xf>
    <xf numFmtId="0" fontId="4" fillId="33" borderId="41" xfId="141" applyFont="1" applyFill="1" applyBorder="1"/>
    <xf numFmtId="0" fontId="5" fillId="0" borderId="71" xfId="141" applyBorder="1"/>
    <xf numFmtId="0" fontId="59" fillId="0" borderId="0" xfId="141" applyFont="1" applyBorder="1"/>
    <xf numFmtId="0" fontId="4" fillId="0" borderId="71" xfId="141" applyFont="1" applyBorder="1"/>
    <xf numFmtId="0" fontId="54" fillId="0" borderId="41" xfId="141" applyFont="1" applyBorder="1" applyAlignment="1">
      <alignment horizontal="left"/>
    </xf>
    <xf numFmtId="0" fontId="58" fillId="33" borderId="41" xfId="141" applyFont="1" applyFill="1" applyBorder="1" applyAlignment="1">
      <alignment horizontal="right"/>
    </xf>
    <xf numFmtId="0" fontId="62" fillId="0" borderId="41" xfId="141" applyFont="1" applyBorder="1" applyAlignment="1">
      <alignment horizontal="left"/>
    </xf>
    <xf numFmtId="191" fontId="58" fillId="0" borderId="0" xfId="141" applyNumberFormat="1" applyFont="1" applyBorder="1" applyAlignment="1">
      <alignment horizontal="center"/>
    </xf>
    <xf numFmtId="0" fontId="55" fillId="0" borderId="0" xfId="141" applyFont="1" applyBorder="1" applyAlignment="1">
      <alignment horizontal="left"/>
    </xf>
    <xf numFmtId="0" fontId="55" fillId="0" borderId="41" xfId="141" applyFont="1" applyBorder="1" applyAlignment="1">
      <alignment horizontal="left"/>
    </xf>
    <xf numFmtId="3" fontId="54" fillId="30" borderId="41" xfId="141" applyNumberFormat="1" applyFont="1" applyFill="1" applyBorder="1" applyAlignment="1">
      <alignment horizontal="center"/>
    </xf>
    <xf numFmtId="0" fontId="13" fillId="30" borderId="41" xfId="141" applyFont="1" applyFill="1" applyBorder="1" applyAlignment="1">
      <alignment horizontal="left"/>
    </xf>
    <xf numFmtId="0" fontId="13" fillId="0" borderId="41" xfId="141" applyFont="1" applyFill="1" applyBorder="1" applyAlignment="1">
      <alignment horizontal="left"/>
    </xf>
    <xf numFmtId="0" fontId="55" fillId="0" borderId="41" xfId="141" applyFont="1" applyFill="1" applyBorder="1" applyAlignment="1">
      <alignment horizontal="left"/>
    </xf>
    <xf numFmtId="3" fontId="54" fillId="0" borderId="41" xfId="141" applyNumberFormat="1" applyFont="1" applyFill="1" applyBorder="1" applyAlignment="1">
      <alignment horizontal="center"/>
    </xf>
    <xf numFmtId="3" fontId="10" fillId="30" borderId="41" xfId="141" applyNumberFormat="1" applyFont="1" applyFill="1" applyBorder="1" applyAlignment="1">
      <alignment horizontal="center"/>
    </xf>
    <xf numFmtId="3" fontId="10" fillId="0" borderId="41" xfId="141" applyNumberFormat="1" applyFont="1" applyBorder="1" applyAlignment="1">
      <alignment horizontal="center"/>
    </xf>
    <xf numFmtId="3" fontId="55" fillId="0" borderId="41" xfId="141" applyNumberFormat="1" applyFont="1" applyBorder="1" applyAlignment="1">
      <alignment horizontal="left"/>
    </xf>
    <xf numFmtId="3" fontId="3" fillId="34" borderId="41" xfId="141" applyNumberFormat="1" applyFont="1" applyFill="1" applyBorder="1" applyAlignment="1">
      <alignment horizontal="center"/>
    </xf>
    <xf numFmtId="0" fontId="55" fillId="34" borderId="41" xfId="141" applyFont="1" applyFill="1" applyBorder="1" applyAlignment="1">
      <alignment horizontal="left"/>
    </xf>
    <xf numFmtId="3" fontId="3" fillId="0" borderId="41" xfId="141" applyNumberFormat="1" applyFont="1" applyBorder="1" applyAlignment="1">
      <alignment horizontal="center"/>
    </xf>
    <xf numFmtId="0" fontId="54" fillId="0" borderId="41" xfId="141" applyFont="1" applyBorder="1" applyAlignment="1">
      <alignment horizontal="center"/>
    </xf>
    <xf numFmtId="0" fontId="4" fillId="0" borderId="41" xfId="141" applyFont="1" applyBorder="1"/>
    <xf numFmtId="0" fontId="4" fillId="0" borderId="41" xfId="141" applyFont="1" applyBorder="1" applyAlignment="1">
      <alignment horizontal="center"/>
    </xf>
    <xf numFmtId="37" fontId="73" fillId="36" borderId="69" xfId="31" applyNumberFormat="1" applyFont="1" applyFill="1" applyBorder="1" applyAlignment="1">
      <alignment horizontal="center"/>
    </xf>
    <xf numFmtId="166" fontId="73" fillId="45" borderId="41" xfId="752" applyNumberFormat="1" applyFont="1" applyFill="1" applyBorder="1" applyAlignment="1">
      <alignment horizontal="center"/>
    </xf>
    <xf numFmtId="0" fontId="5" fillId="0" borderId="41" xfId="141" applyBorder="1" applyAlignment="1">
      <alignment horizontal="right" wrapText="1"/>
    </xf>
    <xf numFmtId="0" fontId="5" fillId="0" borderId="41" xfId="141" applyBorder="1" applyAlignment="1">
      <alignment vertical="top"/>
    </xf>
    <xf numFmtId="0" fontId="60" fillId="0" borderId="41" xfId="141" applyFont="1" applyBorder="1" applyAlignment="1">
      <alignment vertical="top"/>
    </xf>
    <xf numFmtId="0" fontId="5" fillId="0" borderId="72" xfId="141" applyBorder="1" applyAlignment="1">
      <alignment vertical="top"/>
    </xf>
    <xf numFmtId="0" fontId="5" fillId="34" borderId="41" xfId="141" applyFill="1" applyBorder="1" applyAlignment="1">
      <alignment vertical="top"/>
    </xf>
    <xf numFmtId="0" fontId="5" fillId="30" borderId="41" xfId="141" applyFill="1" applyBorder="1" applyAlignment="1">
      <alignment vertical="top"/>
    </xf>
    <xf numFmtId="0" fontId="5" fillId="0" borderId="41" xfId="141" applyBorder="1" applyAlignment="1">
      <alignment horizontal="right" vertical="top"/>
    </xf>
    <xf numFmtId="9" fontId="5" fillId="0" borderId="41" xfId="752" applyFont="1" applyBorder="1" applyAlignment="1">
      <alignment horizontal="right" vertical="top"/>
    </xf>
    <xf numFmtId="37" fontId="5" fillId="0" borderId="41" xfId="141" applyNumberFormat="1" applyBorder="1" applyAlignment="1">
      <alignment horizontal="right" vertical="top" wrapText="1"/>
    </xf>
    <xf numFmtId="190" fontId="0" fillId="0" borderId="41" xfId="35" applyNumberFormat="1" applyFont="1" applyBorder="1" applyAlignment="1">
      <alignment horizontal="right" vertical="top"/>
    </xf>
    <xf numFmtId="0" fontId="5" fillId="0" borderId="41" xfId="141" applyBorder="1" applyAlignment="1">
      <alignment horizontal="right" vertical="top" wrapText="1"/>
    </xf>
    <xf numFmtId="0" fontId="5" fillId="34" borderId="41" xfId="141" applyFill="1" applyBorder="1" applyAlignment="1">
      <alignment horizontal="right" vertical="top"/>
    </xf>
    <xf numFmtId="9" fontId="0" fillId="30" borderId="41" xfId="753" applyFont="1" applyFill="1" applyBorder="1" applyAlignment="1">
      <alignment horizontal="right" vertical="top"/>
    </xf>
    <xf numFmtId="6" fontId="5" fillId="0" borderId="41" xfId="141" applyNumberFormat="1" applyBorder="1" applyAlignment="1">
      <alignment horizontal="right" vertical="top"/>
    </xf>
    <xf numFmtId="10" fontId="5" fillId="30" borderId="41" xfId="141" applyNumberFormat="1" applyFill="1" applyBorder="1" applyAlignment="1">
      <alignment horizontal="right" vertical="top" wrapText="1"/>
    </xf>
    <xf numFmtId="14" fontId="5" fillId="30" borderId="41" xfId="141" applyNumberFormat="1" applyFill="1" applyBorder="1" applyAlignment="1">
      <alignment horizontal="right" vertical="top" wrapText="1"/>
    </xf>
    <xf numFmtId="0" fontId="5" fillId="30" borderId="41" xfId="141" applyFill="1" applyBorder="1" applyAlignment="1">
      <alignment horizontal="right" vertical="top" wrapText="1"/>
    </xf>
    <xf numFmtId="0" fontId="57" fillId="0" borderId="0" xfId="141" applyFont="1" applyAlignment="1">
      <alignment vertical="top"/>
    </xf>
    <xf numFmtId="0" fontId="54" fillId="0" borderId="0" xfId="141" applyFont="1" applyBorder="1" applyAlignment="1">
      <alignment horizontal="left" vertical="top"/>
    </xf>
    <xf numFmtId="0" fontId="57" fillId="0" borderId="0" xfId="141" applyFont="1" applyFill="1" applyBorder="1" applyAlignment="1">
      <alignment vertical="top"/>
    </xf>
    <xf numFmtId="0" fontId="5" fillId="0" borderId="0" xfId="141" applyAlignment="1">
      <alignment vertical="top"/>
    </xf>
    <xf numFmtId="0" fontId="55" fillId="0" borderId="82" xfId="141" applyFont="1" applyBorder="1" applyAlignment="1">
      <alignment horizontal="left" vertical="top"/>
    </xf>
    <xf numFmtId="0" fontId="13" fillId="0" borderId="82" xfId="141" applyFont="1" applyBorder="1" applyAlignment="1">
      <alignment horizontal="left" vertical="top"/>
    </xf>
    <xf numFmtId="0" fontId="54" fillId="0" borderId="82" xfId="141" applyFont="1" applyBorder="1" applyAlignment="1">
      <alignment horizontal="left" vertical="top"/>
    </xf>
    <xf numFmtId="0" fontId="54" fillId="0" borderId="82" xfId="141" applyFont="1" applyBorder="1" applyAlignment="1">
      <alignment horizontal="center" vertical="top"/>
    </xf>
    <xf numFmtId="0" fontId="55" fillId="0" borderId="0" xfId="141" applyFont="1" applyAlignment="1">
      <alignment vertical="top"/>
    </xf>
    <xf numFmtId="0" fontId="54" fillId="0" borderId="0" xfId="141" applyFont="1" applyFill="1" applyBorder="1" applyAlignment="1">
      <alignment horizontal="left" vertical="top"/>
    </xf>
    <xf numFmtId="9" fontId="5" fillId="30" borderId="41" xfId="752" applyFont="1" applyFill="1" applyBorder="1" applyAlignment="1">
      <alignment horizontal="right"/>
    </xf>
    <xf numFmtId="14" fontId="5" fillId="45" borderId="41" xfId="141" applyNumberFormat="1" applyFill="1" applyBorder="1" applyAlignment="1">
      <alignment horizontal="right"/>
    </xf>
    <xf numFmtId="0" fontId="5" fillId="45" borderId="41" xfId="141" applyFill="1" applyBorder="1" applyAlignment="1">
      <alignment horizontal="right"/>
    </xf>
    <xf numFmtId="0" fontId="5" fillId="45" borderId="0" xfId="141" applyFill="1" applyBorder="1"/>
    <xf numFmtId="0" fontId="5" fillId="45" borderId="79" xfId="141" applyFill="1" applyBorder="1"/>
    <xf numFmtId="0" fontId="59" fillId="45" borderId="71" xfId="141" applyFont="1" applyFill="1" applyBorder="1"/>
    <xf numFmtId="0" fontId="5" fillId="45" borderId="69" xfId="141" applyFill="1" applyBorder="1"/>
    <xf numFmtId="0" fontId="5" fillId="45" borderId="0" xfId="141" applyFill="1" applyAlignment="1">
      <alignment horizontal="right"/>
    </xf>
    <xf numFmtId="14" fontId="5" fillId="45" borderId="0" xfId="141" applyNumberFormat="1" applyFill="1"/>
    <xf numFmtId="9" fontId="73" fillId="36" borderId="41" xfId="177" applyNumberFormat="1" applyFont="1" applyFill="1" applyBorder="1"/>
    <xf numFmtId="190" fontId="54" fillId="45" borderId="82" xfId="35" applyNumberFormat="1" applyFont="1" applyFill="1" applyBorder="1" applyAlignment="1">
      <alignment horizontal="right"/>
    </xf>
    <xf numFmtId="190" fontId="54" fillId="45" borderId="82" xfId="141" applyNumberFormat="1" applyFont="1" applyFill="1" applyBorder="1" applyAlignment="1">
      <alignment horizontal="right"/>
    </xf>
    <xf numFmtId="191" fontId="58" fillId="45" borderId="41" xfId="141" applyNumberFormat="1" applyFont="1" applyFill="1" applyBorder="1" applyAlignment="1">
      <alignment horizontal="center"/>
    </xf>
    <xf numFmtId="0" fontId="54" fillId="45" borderId="41" xfId="141" applyNumberFormat="1" applyFont="1" applyFill="1" applyBorder="1" applyAlignment="1">
      <alignment horizontal="center" vertical="top" wrapText="1"/>
    </xf>
    <xf numFmtId="10" fontId="54" fillId="45" borderId="41" xfId="141" applyNumberFormat="1" applyFont="1" applyFill="1" applyBorder="1" applyAlignment="1">
      <alignment horizontal="center" vertical="top" wrapText="1"/>
    </xf>
    <xf numFmtId="10" fontId="58" fillId="45" borderId="41" xfId="753" applyNumberFormat="1" applyFont="1" applyFill="1" applyBorder="1" applyAlignment="1">
      <alignment horizontal="center"/>
    </xf>
    <xf numFmtId="10" fontId="54" fillId="45" borderId="41" xfId="141" applyNumberFormat="1" applyFont="1" applyFill="1" applyBorder="1" applyAlignment="1">
      <alignment horizontal="center"/>
    </xf>
    <xf numFmtId="10" fontId="54" fillId="45" borderId="41" xfId="753" applyNumberFormat="1" applyFont="1" applyFill="1" applyBorder="1" applyAlignment="1">
      <alignment horizontal="center"/>
    </xf>
    <xf numFmtId="192" fontId="54" fillId="45" borderId="41" xfId="141" applyNumberFormat="1" applyFont="1" applyFill="1" applyBorder="1" applyAlignment="1">
      <alignment horizontal="center"/>
    </xf>
    <xf numFmtId="191" fontId="54" fillId="45" borderId="41" xfId="141" applyNumberFormat="1" applyFont="1" applyFill="1" applyBorder="1" applyAlignment="1">
      <alignment horizontal="center"/>
    </xf>
    <xf numFmtId="3" fontId="54" fillId="45" borderId="41" xfId="141" applyNumberFormat="1" applyFont="1" applyFill="1" applyBorder="1" applyAlignment="1">
      <alignment horizontal="center"/>
    </xf>
    <xf numFmtId="3" fontId="54" fillId="45" borderId="41" xfId="141" applyNumberFormat="1" applyFont="1" applyFill="1" applyBorder="1" applyAlignment="1">
      <alignment horizontal="center" wrapText="1"/>
    </xf>
    <xf numFmtId="0" fontId="59" fillId="45" borderId="0" xfId="141" applyFont="1" applyFill="1" applyBorder="1"/>
    <xf numFmtId="0" fontId="79" fillId="0" borderId="41" xfId="753" applyNumberFormat="1" applyFont="1" applyBorder="1" applyAlignment="1">
      <alignment horizontal="center"/>
    </xf>
    <xf numFmtId="2" fontId="108" fillId="37" borderId="85" xfId="0" applyNumberFormat="1" applyFont="1" applyFill="1" applyBorder="1" applyAlignment="1" applyProtection="1">
      <alignment horizontal="center"/>
      <protection locked="0"/>
    </xf>
    <xf numFmtId="0" fontId="76" fillId="36" borderId="67" xfId="0" applyFont="1" applyFill="1" applyBorder="1" applyAlignment="1" applyProtection="1">
      <alignment wrapText="1"/>
      <protection locked="0"/>
    </xf>
    <xf numFmtId="0" fontId="77" fillId="36" borderId="41" xfId="0" applyFont="1" applyFill="1" applyBorder="1" applyAlignment="1" applyProtection="1">
      <alignment horizontal="left"/>
    </xf>
    <xf numFmtId="0" fontId="83" fillId="0" borderId="0" xfId="0" applyFont="1" applyFill="1" applyProtection="1"/>
    <xf numFmtId="3" fontId="77" fillId="0" borderId="41" xfId="33" applyNumberFormat="1" applyFont="1" applyFill="1" applyBorder="1" applyAlignment="1" applyProtection="1">
      <alignment horizontal="center" wrapText="1"/>
    </xf>
    <xf numFmtId="0" fontId="95" fillId="36" borderId="0" xfId="0" applyFont="1" applyFill="1" applyProtection="1"/>
    <xf numFmtId="193" fontId="89" fillId="38" borderId="41" xfId="0" applyNumberFormat="1" applyFont="1" applyFill="1" applyBorder="1" applyAlignment="1" applyProtection="1">
      <alignment horizontal="center"/>
      <protection locked="0"/>
    </xf>
    <xf numFmtId="166" fontId="87" fillId="0" borderId="0" xfId="752" applyNumberFormat="1" applyFont="1" applyBorder="1" applyProtection="1"/>
    <xf numFmtId="0" fontId="109" fillId="0" borderId="0" xfId="0" applyFont="1" applyBorder="1" applyAlignment="1" applyProtection="1">
      <alignment horizontal="center"/>
    </xf>
    <xf numFmtId="0" fontId="87" fillId="0" borderId="0" xfId="0" applyFont="1" applyBorder="1" applyAlignment="1" applyProtection="1">
      <alignment horizontal="center"/>
    </xf>
    <xf numFmtId="0" fontId="87" fillId="0" borderId="0" xfId="0" applyFont="1" applyAlignment="1" applyProtection="1">
      <alignment horizontal="center"/>
    </xf>
    <xf numFmtId="17" fontId="77" fillId="37" borderId="41" xfId="0" applyNumberFormat="1" applyFont="1" applyFill="1" applyBorder="1" applyAlignment="1" applyProtection="1">
      <alignment horizontal="center"/>
      <protection locked="0"/>
    </xf>
    <xf numFmtId="43" fontId="77" fillId="37" borderId="41" xfId="31" applyFont="1" applyFill="1" applyBorder="1" applyAlignment="1" applyProtection="1">
      <alignment horizontal="center"/>
      <protection locked="0"/>
    </xf>
    <xf numFmtId="193" fontId="89" fillId="38" borderId="41" xfId="0" applyNumberFormat="1" applyFont="1" applyFill="1" applyBorder="1" applyAlignment="1" applyProtection="1">
      <alignment horizontal="centerContinuous"/>
      <protection locked="0"/>
    </xf>
    <xf numFmtId="17" fontId="89" fillId="38" borderId="41" xfId="0" applyNumberFormat="1" applyFont="1" applyFill="1" applyBorder="1" applyAlignment="1" applyProtection="1">
      <alignment horizontal="centerContinuous"/>
      <protection locked="0"/>
    </xf>
    <xf numFmtId="0" fontId="88" fillId="38" borderId="61" xfId="0" applyFont="1" applyFill="1" applyBorder="1" applyAlignment="1" applyProtection="1"/>
    <xf numFmtId="0" fontId="76" fillId="38" borderId="41" xfId="0" applyFont="1" applyFill="1" applyBorder="1" applyAlignment="1" applyProtection="1"/>
    <xf numFmtId="0" fontId="88" fillId="38" borderId="41" xfId="0" applyFont="1" applyFill="1" applyBorder="1" applyAlignment="1" applyProtection="1"/>
    <xf numFmtId="181" fontId="76" fillId="38" borderId="41" xfId="0" applyNumberFormat="1" applyFont="1" applyFill="1" applyBorder="1" applyAlignment="1" applyProtection="1">
      <alignment horizontal="center"/>
    </xf>
    <xf numFmtId="166" fontId="76" fillId="38" borderId="41" xfId="0" applyNumberFormat="1" applyFont="1" applyFill="1" applyBorder="1" applyAlignment="1" applyProtection="1">
      <alignment horizontal="center"/>
    </xf>
    <xf numFmtId="0" fontId="102" fillId="38" borderId="41" xfId="2" applyFont="1" applyFill="1" applyBorder="1" applyProtection="1"/>
    <xf numFmtId="0" fontId="102" fillId="38" borderId="41" xfId="2" applyFont="1" applyFill="1" applyBorder="1" applyAlignment="1" applyProtection="1">
      <alignment horizontal="center" wrapText="1"/>
    </xf>
    <xf numFmtId="0" fontId="102" fillId="38" borderId="41" xfId="2" applyFont="1" applyFill="1" applyBorder="1" applyAlignment="1" applyProtection="1">
      <alignment horizontal="center"/>
    </xf>
    <xf numFmtId="0" fontId="102" fillId="38" borderId="41" xfId="2" applyFont="1" applyFill="1" applyBorder="1" applyAlignment="1" applyProtection="1">
      <alignment wrapText="1"/>
    </xf>
    <xf numFmtId="3" fontId="90" fillId="38" borderId="61" xfId="33" applyNumberFormat="1" applyFont="1" applyFill="1" applyBorder="1" applyAlignment="1" applyProtection="1">
      <alignment wrapText="1"/>
    </xf>
    <xf numFmtId="3" fontId="97" fillId="38" borderId="61" xfId="33" applyNumberFormat="1" applyFont="1" applyFill="1" applyBorder="1" applyAlignment="1" applyProtection="1">
      <alignment wrapText="1"/>
    </xf>
    <xf numFmtId="3" fontId="97" fillId="38" borderId="41" xfId="33" applyNumberFormat="1" applyFont="1" applyFill="1" applyBorder="1" applyAlignment="1" applyProtection="1">
      <alignment horizontal="center" wrapText="1"/>
    </xf>
    <xf numFmtId="0" fontId="89" fillId="38" borderId="41" xfId="2" applyFont="1" applyFill="1" applyBorder="1" applyAlignment="1" applyProtection="1">
      <alignment horizontal="center"/>
    </xf>
    <xf numFmtId="3" fontId="97" fillId="38" borderId="41" xfId="33" applyNumberFormat="1" applyFont="1" applyFill="1" applyBorder="1" applyAlignment="1" applyProtection="1">
      <alignment wrapText="1"/>
    </xf>
    <xf numFmtId="193" fontId="89" fillId="38" borderId="0" xfId="0" applyNumberFormat="1" applyFont="1" applyFill="1" applyBorder="1" applyAlignment="1" applyProtection="1">
      <alignment horizontal="center"/>
      <protection locked="0"/>
    </xf>
    <xf numFmtId="0" fontId="76" fillId="0" borderId="70" xfId="0" applyFont="1" applyBorder="1" applyAlignment="1" applyProtection="1">
      <alignment horizontal="left" vertical="top"/>
    </xf>
    <xf numFmtId="0" fontId="76" fillId="0" borderId="0" xfId="0" applyFont="1" applyBorder="1" applyAlignment="1" applyProtection="1">
      <alignment horizontal="left" vertical="top"/>
    </xf>
    <xf numFmtId="0" fontId="76" fillId="0" borderId="71" xfId="0" applyFont="1" applyFill="1" applyBorder="1" applyProtection="1"/>
    <xf numFmtId="0" fontId="76" fillId="0" borderId="71" xfId="0" applyFont="1" applyBorder="1" applyAlignment="1" applyProtection="1">
      <alignment horizontal="left" vertical="top"/>
    </xf>
    <xf numFmtId="9" fontId="76" fillId="0" borderId="0" xfId="752" applyFont="1" applyBorder="1" applyProtection="1"/>
    <xf numFmtId="0" fontId="99" fillId="36" borderId="41" xfId="0" applyFont="1" applyFill="1" applyBorder="1" applyProtection="1"/>
    <xf numFmtId="166" fontId="76" fillId="37" borderId="41" xfId="753" applyNumberFormat="1" applyFont="1" applyFill="1" applyBorder="1" applyAlignment="1" applyProtection="1">
      <alignment horizontal="right"/>
      <protection locked="0"/>
    </xf>
    <xf numFmtId="37" fontId="77" fillId="0" borderId="0" xfId="31" applyNumberFormat="1" applyFont="1" applyFill="1" applyBorder="1" applyAlignment="1" applyProtection="1">
      <alignment horizontal="center"/>
    </xf>
    <xf numFmtId="193" fontId="89" fillId="38" borderId="41" xfId="0" applyNumberFormat="1" applyFont="1" applyFill="1" applyBorder="1" applyAlignment="1" applyProtection="1">
      <alignment horizontal="center"/>
      <protection locked="0"/>
    </xf>
    <xf numFmtId="0" fontId="76" fillId="0" borderId="0" xfId="404" applyFont="1"/>
    <xf numFmtId="0" fontId="77" fillId="0" borderId="0" xfId="404" applyFont="1"/>
    <xf numFmtId="37" fontId="110" fillId="0" borderId="0" xfId="404" applyNumberFormat="1" applyFont="1"/>
    <xf numFmtId="9" fontId="76" fillId="0" borderId="0" xfId="404" applyNumberFormat="1" applyFont="1"/>
    <xf numFmtId="0" fontId="76" fillId="0" borderId="70" xfId="404" applyFont="1" applyBorder="1"/>
    <xf numFmtId="37" fontId="76" fillId="0" borderId="0" xfId="404" applyNumberFormat="1" applyFont="1"/>
    <xf numFmtId="10" fontId="110" fillId="0" borderId="0" xfId="404" applyNumberFormat="1" applyFont="1"/>
    <xf numFmtId="166" fontId="76" fillId="0" borderId="0" xfId="404" applyNumberFormat="1" applyFont="1"/>
    <xf numFmtId="0" fontId="76" fillId="0" borderId="0" xfId="404" applyFont="1" applyBorder="1"/>
    <xf numFmtId="10" fontId="110" fillId="0" borderId="0" xfId="404" applyNumberFormat="1" applyFont="1" applyBorder="1"/>
    <xf numFmtId="166" fontId="76" fillId="0" borderId="0" xfId="404" applyNumberFormat="1" applyFont="1" applyBorder="1"/>
    <xf numFmtId="0" fontId="76" fillId="0" borderId="71" xfId="404" applyFont="1" applyBorder="1"/>
    <xf numFmtId="10" fontId="110" fillId="0" borderId="71" xfId="404" applyNumberFormat="1" applyFont="1" applyBorder="1"/>
    <xf numFmtId="166" fontId="76" fillId="0" borderId="71" xfId="404" applyNumberFormat="1" applyFont="1" applyBorder="1"/>
    <xf numFmtId="0" fontId="87" fillId="0" borderId="0" xfId="404" applyFont="1"/>
    <xf numFmtId="37" fontId="76" fillId="0" borderId="0" xfId="404" applyNumberFormat="1" applyFont="1" applyBorder="1"/>
    <xf numFmtId="181" fontId="76" fillId="0" borderId="0" xfId="404" applyNumberFormat="1" applyFont="1"/>
    <xf numFmtId="37" fontId="76" fillId="0" borderId="71" xfId="404" applyNumberFormat="1" applyFont="1" applyBorder="1"/>
    <xf numFmtId="181" fontId="76" fillId="0" borderId="71" xfId="404" applyNumberFormat="1" applyFont="1" applyBorder="1"/>
    <xf numFmtId="164" fontId="76" fillId="0" borderId="0" xfId="31" applyNumberFormat="1" applyFont="1"/>
    <xf numFmtId="172" fontId="76" fillId="0" borderId="0" xfId="404" applyNumberFormat="1" applyFont="1"/>
    <xf numFmtId="9" fontId="76" fillId="0" borderId="71" xfId="404" applyNumberFormat="1" applyFont="1" applyBorder="1"/>
    <xf numFmtId="172" fontId="76" fillId="0" borderId="71" xfId="404" applyNumberFormat="1" applyFont="1" applyBorder="1"/>
    <xf numFmtId="0" fontId="76" fillId="0" borderId="70" xfId="0" applyFont="1" applyBorder="1" applyProtection="1">
      <protection locked="0"/>
    </xf>
    <xf numFmtId="0" fontId="76" fillId="0" borderId="0" xfId="402" applyFont="1" applyBorder="1"/>
    <xf numFmtId="165" fontId="76" fillId="37" borderId="41" xfId="33" applyNumberFormat="1" applyFont="1" applyFill="1" applyBorder="1" applyAlignment="1" applyProtection="1">
      <alignment horizontal="center"/>
    </xf>
    <xf numFmtId="1" fontId="76" fillId="0" borderId="41" xfId="33" applyNumberFormat="1" applyFont="1" applyFill="1" applyBorder="1" applyAlignment="1" applyProtection="1">
      <alignment horizontal="center"/>
    </xf>
    <xf numFmtId="180" fontId="76" fillId="0" borderId="0" xfId="0" applyNumberFormat="1" applyFont="1"/>
    <xf numFmtId="10" fontId="76" fillId="0" borderId="0" xfId="0" applyNumberFormat="1" applyFont="1"/>
    <xf numFmtId="3" fontId="76" fillId="0" borderId="0" xfId="0" applyNumberFormat="1" applyFont="1"/>
    <xf numFmtId="166" fontId="76" fillId="0" borderId="0" xfId="0" applyNumberFormat="1" applyFont="1"/>
    <xf numFmtId="0" fontId="76" fillId="0" borderId="0" xfId="402" applyFont="1" applyBorder="1" applyAlignment="1">
      <alignment horizontal="center"/>
    </xf>
    <xf numFmtId="0" fontId="76" fillId="0" borderId="0" xfId="402" applyNumberFormat="1" applyFont="1" applyBorder="1"/>
    <xf numFmtId="165" fontId="76" fillId="37" borderId="41" xfId="33" applyNumberFormat="1" applyFont="1" applyFill="1" applyBorder="1" applyAlignment="1" applyProtection="1">
      <alignment horizontal="center" wrapText="1"/>
    </xf>
    <xf numFmtId="0" fontId="90" fillId="0" borderId="0" xfId="404" applyFont="1"/>
    <xf numFmtId="0" fontId="79" fillId="0" borderId="0" xfId="404" applyFont="1"/>
    <xf numFmtId="0" fontId="97" fillId="44" borderId="0" xfId="0" applyFont="1" applyFill="1" applyBorder="1" applyProtection="1"/>
    <xf numFmtId="0" fontId="97" fillId="44" borderId="0" xfId="0" applyFont="1" applyFill="1" applyBorder="1" applyAlignment="1" applyProtection="1">
      <alignment horizontal="center"/>
    </xf>
    <xf numFmtId="16" fontId="97" fillId="44" borderId="0" xfId="0" quotePrefix="1" applyNumberFormat="1" applyFont="1" applyFill="1" applyBorder="1" applyAlignment="1" applyProtection="1">
      <alignment horizontal="center"/>
    </xf>
    <xf numFmtId="0" fontId="90" fillId="36" borderId="0" xfId="0" applyFont="1" applyFill="1" applyProtection="1"/>
    <xf numFmtId="186" fontId="111" fillId="36" borderId="0" xfId="31" applyNumberFormat="1" applyFont="1" applyFill="1" applyBorder="1" applyAlignment="1" applyProtection="1">
      <alignment wrapText="1"/>
    </xf>
    <xf numFmtId="186" fontId="112" fillId="39" borderId="0" xfId="31" applyNumberFormat="1" applyFont="1" applyFill="1" applyBorder="1" applyAlignment="1" applyProtection="1">
      <alignment wrapText="1"/>
    </xf>
    <xf numFmtId="0" fontId="79" fillId="36" borderId="0" xfId="0" applyFont="1" applyFill="1" applyAlignment="1" applyProtection="1">
      <alignment horizontal="left" indent="1"/>
    </xf>
    <xf numFmtId="186" fontId="111" fillId="37" borderId="0" xfId="31" applyNumberFormat="1" applyFont="1" applyFill="1" applyBorder="1" applyAlignment="1" applyProtection="1">
      <alignment wrapText="1"/>
    </xf>
    <xf numFmtId="186" fontId="112" fillId="37" borderId="0" xfId="31" applyNumberFormat="1" applyFont="1" applyFill="1" applyBorder="1" applyAlignment="1" applyProtection="1">
      <alignment wrapText="1"/>
    </xf>
    <xf numFmtId="0" fontId="79" fillId="36" borderId="0" xfId="0" applyFont="1" applyFill="1" applyProtection="1"/>
    <xf numFmtId="37" fontId="111" fillId="37" borderId="0" xfId="31" applyNumberFormat="1" applyFont="1" applyFill="1" applyBorder="1" applyAlignment="1" applyProtection="1">
      <alignment wrapText="1"/>
    </xf>
    <xf numFmtId="0" fontId="90" fillId="39" borderId="71" xfId="0" applyFont="1" applyFill="1" applyBorder="1" applyProtection="1"/>
    <xf numFmtId="186" fontId="112" fillId="39" borderId="71" xfId="31" applyNumberFormat="1" applyFont="1" applyFill="1" applyBorder="1" applyAlignment="1" applyProtection="1">
      <alignment wrapText="1"/>
    </xf>
    <xf numFmtId="0" fontId="97" fillId="38" borderId="0" xfId="0" applyFont="1" applyFill="1" applyBorder="1" applyAlignment="1" applyProtection="1">
      <alignment horizontal="left"/>
    </xf>
    <xf numFmtId="0" fontId="97" fillId="38" borderId="0" xfId="0" applyFont="1" applyFill="1" applyBorder="1" applyAlignment="1" applyProtection="1">
      <alignment horizontal="center" wrapText="1"/>
    </xf>
    <xf numFmtId="0" fontId="105" fillId="0" borderId="0" xfId="404" applyFont="1"/>
    <xf numFmtId="166" fontId="79" fillId="0" borderId="0" xfId="752" applyNumberFormat="1" applyFont="1" applyFill="1" applyBorder="1" applyProtection="1">
      <protection locked="0"/>
    </xf>
    <xf numFmtId="194" fontId="79" fillId="0" borderId="0" xfId="37" applyNumberFormat="1" applyFont="1" applyFill="1" applyBorder="1" applyProtection="1">
      <protection locked="0"/>
    </xf>
    <xf numFmtId="0" fontId="79" fillId="0" borderId="0" xfId="404" applyFont="1" applyBorder="1"/>
    <xf numFmtId="194" fontId="79" fillId="0" borderId="70" xfId="37" applyNumberFormat="1" applyFont="1" applyFill="1" applyBorder="1" applyProtection="1">
      <protection locked="0"/>
    </xf>
    <xf numFmtId="166" fontId="79" fillId="0" borderId="71" xfId="752" applyNumberFormat="1" applyFont="1" applyFill="1" applyBorder="1" applyProtection="1">
      <protection locked="0"/>
    </xf>
    <xf numFmtId="0" fontId="113" fillId="38" borderId="0" xfId="0" applyFont="1" applyFill="1" applyBorder="1" applyAlignment="1" applyProtection="1">
      <alignment horizontal="centerContinuous" wrapText="1"/>
    </xf>
    <xf numFmtId="194" fontId="79" fillId="0" borderId="84" xfId="37" applyNumberFormat="1" applyFont="1" applyFill="1" applyBorder="1" applyProtection="1">
      <protection locked="0"/>
    </xf>
    <xf numFmtId="166" fontId="79" fillId="0" borderId="78" xfId="752" applyNumberFormat="1" applyFont="1" applyFill="1" applyBorder="1" applyProtection="1">
      <protection locked="0"/>
    </xf>
    <xf numFmtId="194" fontId="79" fillId="0" borderId="78" xfId="37" applyNumberFormat="1" applyFont="1" applyFill="1" applyBorder="1" applyProtection="1">
      <protection locked="0"/>
    </xf>
    <xf numFmtId="166" fontId="79" fillId="0" borderId="83" xfId="752" applyNumberFormat="1" applyFont="1" applyFill="1" applyBorder="1" applyProtection="1">
      <protection locked="0"/>
    </xf>
    <xf numFmtId="194" fontId="79" fillId="0" borderId="80" xfId="37" applyNumberFormat="1" applyFont="1" applyFill="1" applyBorder="1" applyProtection="1">
      <protection locked="0"/>
    </xf>
    <xf numFmtId="166" fontId="79" fillId="0" borderId="79" xfId="752" applyNumberFormat="1" applyFont="1" applyFill="1" applyBorder="1" applyProtection="1">
      <protection locked="0"/>
    </xf>
    <xf numFmtId="194" fontId="79" fillId="0" borderId="79" xfId="37" applyNumberFormat="1" applyFont="1" applyFill="1" applyBorder="1" applyProtection="1">
      <protection locked="0"/>
    </xf>
    <xf numFmtId="166" fontId="79" fillId="0" borderId="69" xfId="752" applyNumberFormat="1" applyFont="1" applyFill="1" applyBorder="1" applyProtection="1">
      <protection locked="0"/>
    </xf>
    <xf numFmtId="1" fontId="95" fillId="0" borderId="0" xfId="2" applyNumberFormat="1" applyFont="1" applyBorder="1" applyProtection="1"/>
    <xf numFmtId="0" fontId="91" fillId="0" borderId="13" xfId="0" applyFont="1" applyFill="1" applyBorder="1" applyAlignment="1" applyProtection="1">
      <alignment horizontal="left"/>
      <protection locked="0"/>
    </xf>
    <xf numFmtId="0" fontId="79" fillId="0" borderId="41" xfId="402" applyFont="1" applyFill="1" applyBorder="1"/>
    <xf numFmtId="164" fontId="79" fillId="0" borderId="73" xfId="33" applyNumberFormat="1" applyFont="1" applyFill="1" applyBorder="1" applyProtection="1">
      <protection locked="0"/>
    </xf>
    <xf numFmtId="180" fontId="76" fillId="0" borderId="0" xfId="0" applyNumberFormat="1" applyFont="1" applyFill="1"/>
    <xf numFmtId="0" fontId="84" fillId="0" borderId="0" xfId="0" applyFont="1" applyFill="1" applyBorder="1" applyAlignment="1" applyProtection="1">
      <alignment horizontal="center"/>
      <protection locked="0"/>
    </xf>
    <xf numFmtId="0" fontId="114" fillId="0" borderId="0" xfId="177" applyFont="1"/>
    <xf numFmtId="0" fontId="115" fillId="0" borderId="0" xfId="0" applyFont="1" applyAlignment="1" applyProtection="1">
      <alignment horizontal="center"/>
      <protection locked="0"/>
    </xf>
    <xf numFmtId="164" fontId="115" fillId="0" borderId="0" xfId="0" applyNumberFormat="1" applyFont="1" applyProtection="1">
      <protection locked="0"/>
    </xf>
    <xf numFmtId="43" fontId="76" fillId="0" borderId="0" xfId="0" applyNumberFormat="1" applyFont="1" applyFill="1" applyBorder="1" applyAlignment="1" applyProtection="1">
      <alignment horizontal="left"/>
      <protection locked="0"/>
    </xf>
    <xf numFmtId="172" fontId="76" fillId="0" borderId="0" xfId="34" applyNumberFormat="1" applyFont="1" applyFill="1" applyBorder="1" applyProtection="1"/>
    <xf numFmtId="172" fontId="76" fillId="0" borderId="0" xfId="0" applyNumberFormat="1" applyFont="1" applyProtection="1"/>
    <xf numFmtId="166" fontId="76" fillId="46" borderId="0" xfId="0" applyNumberFormat="1" applyFont="1" applyFill="1" applyBorder="1" applyAlignment="1" applyProtection="1">
      <alignment horizontal="right"/>
    </xf>
    <xf numFmtId="0" fontId="76" fillId="46" borderId="0" xfId="0" applyFont="1" applyFill="1" applyProtection="1"/>
    <xf numFmtId="166" fontId="76" fillId="46" borderId="0" xfId="752" applyNumberFormat="1" applyFont="1" applyFill="1" applyBorder="1" applyAlignment="1" applyProtection="1">
      <alignment horizontal="right"/>
    </xf>
    <xf numFmtId="0" fontId="77" fillId="46" borderId="0" xfId="0" applyFont="1" applyFill="1" applyBorder="1" applyAlignment="1" applyProtection="1">
      <alignment horizontal="left" vertical="top"/>
    </xf>
    <xf numFmtId="0" fontId="76" fillId="46" borderId="0" xfId="0" applyFont="1" applyFill="1" applyAlignment="1" applyProtection="1">
      <alignment horizontal="center"/>
    </xf>
    <xf numFmtId="0" fontId="76" fillId="0" borderId="0" xfId="0" applyFont="1" applyFill="1" applyBorder="1" applyAlignment="1" applyProtection="1">
      <alignment horizontal="left" vertical="top"/>
    </xf>
    <xf numFmtId="166" fontId="76" fillId="0" borderId="0" xfId="0" applyNumberFormat="1" applyFont="1" applyFill="1" applyBorder="1" applyAlignment="1" applyProtection="1">
      <alignment horizontal="right"/>
      <protection locked="0"/>
    </xf>
    <xf numFmtId="0" fontId="0" fillId="46" borderId="0" xfId="0" applyFill="1" applyProtection="1"/>
    <xf numFmtId="164" fontId="76" fillId="0" borderId="0" xfId="0" applyNumberFormat="1" applyFont="1" applyProtection="1"/>
    <xf numFmtId="37" fontId="77" fillId="0" borderId="0" xfId="752" applyNumberFormat="1" applyFont="1" applyProtection="1"/>
    <xf numFmtId="0" fontId="115" fillId="0" borderId="0" xfId="0" applyFont="1" applyAlignment="1" applyProtection="1">
      <alignment horizontal="centerContinuous"/>
    </xf>
    <xf numFmtId="37" fontId="76" fillId="37" borderId="41" xfId="31" applyNumberFormat="1" applyFont="1" applyFill="1" applyBorder="1" applyAlignment="1" applyProtection="1">
      <alignment horizontal="right"/>
      <protection locked="0"/>
    </xf>
    <xf numFmtId="172" fontId="76" fillId="0" borderId="0" xfId="0" applyNumberFormat="1" applyFont="1" applyFill="1" applyBorder="1" applyAlignment="1" applyProtection="1">
      <alignment horizontal="right"/>
    </xf>
    <xf numFmtId="0" fontId="76" fillId="0" borderId="0" xfId="0" applyFont="1" applyFill="1" applyAlignment="1" applyProtection="1">
      <alignment horizontal="center"/>
    </xf>
    <xf numFmtId="0" fontId="76" fillId="0" borderId="0" xfId="2" applyFont="1" applyFill="1" applyBorder="1" applyAlignment="1" applyProtection="1">
      <alignment horizontal="left" indent="1"/>
    </xf>
    <xf numFmtId="0" fontId="76" fillId="0" borderId="0" xfId="2" applyFont="1" applyFill="1" applyBorder="1" applyAlignment="1" applyProtection="1">
      <alignment horizontal="left"/>
    </xf>
    <xf numFmtId="0" fontId="76" fillId="0" borderId="71" xfId="2" applyFont="1" applyFill="1" applyBorder="1" applyAlignment="1" applyProtection="1">
      <alignment horizontal="left"/>
    </xf>
    <xf numFmtId="172" fontId="76" fillId="0" borderId="0" xfId="34" applyNumberFormat="1" applyFont="1" applyFill="1" applyBorder="1" applyAlignment="1" applyProtection="1">
      <alignment horizontal="right"/>
    </xf>
    <xf numFmtId="164" fontId="76" fillId="0" borderId="71" xfId="34" applyNumberFormat="1" applyFont="1" applyFill="1" applyBorder="1" applyAlignment="1" applyProtection="1">
      <alignment horizontal="right"/>
    </xf>
    <xf numFmtId="164" fontId="76" fillId="0" borderId="71" xfId="34" applyNumberFormat="1" applyFont="1" applyFill="1" applyBorder="1" applyAlignment="1" applyProtection="1">
      <alignment horizontal="right"/>
      <protection locked="0"/>
    </xf>
    <xf numFmtId="172" fontId="76" fillId="37" borderId="0" xfId="34" applyNumberFormat="1" applyFont="1" applyFill="1" applyBorder="1" applyAlignment="1" applyProtection="1">
      <alignment horizontal="right"/>
      <protection locked="0"/>
    </xf>
    <xf numFmtId="164" fontId="76" fillId="37" borderId="0" xfId="34" applyNumberFormat="1" applyFont="1" applyFill="1" applyBorder="1" applyAlignment="1" applyProtection="1">
      <alignment horizontal="right"/>
      <protection locked="0"/>
    </xf>
    <xf numFmtId="164" fontId="76" fillId="0" borderId="0" xfId="34" applyNumberFormat="1" applyFont="1" applyFill="1" applyBorder="1" applyAlignment="1" applyProtection="1">
      <alignment horizontal="right"/>
      <protection locked="0"/>
    </xf>
    <xf numFmtId="164" fontId="76" fillId="37" borderId="71" xfId="34" applyNumberFormat="1" applyFont="1" applyFill="1" applyBorder="1" applyAlignment="1" applyProtection="1">
      <alignment horizontal="right"/>
      <protection locked="0"/>
    </xf>
    <xf numFmtId="172" fontId="76" fillId="0" borderId="0" xfId="34" applyNumberFormat="1" applyFont="1" applyFill="1" applyBorder="1" applyAlignment="1" applyProtection="1">
      <alignment horizontal="right"/>
      <protection locked="0"/>
    </xf>
    <xf numFmtId="0" fontId="76" fillId="0" borderId="0" xfId="34" applyNumberFormat="1" applyFont="1" applyFill="1" applyBorder="1" applyProtection="1"/>
    <xf numFmtId="0" fontId="87" fillId="42" borderId="0" xfId="0" applyFont="1" applyFill="1" applyProtection="1"/>
    <xf numFmtId="0" fontId="77" fillId="42" borderId="0" xfId="0" applyFont="1" applyFill="1" applyBorder="1" applyProtection="1"/>
    <xf numFmtId="1" fontId="88" fillId="42" borderId="0" xfId="0" applyNumberFormat="1" applyFont="1" applyFill="1" applyAlignment="1" applyProtection="1">
      <alignment horizontal="right"/>
    </xf>
    <xf numFmtId="164" fontId="76" fillId="0" borderId="41" xfId="31" applyNumberFormat="1" applyFont="1" applyFill="1" applyBorder="1" applyAlignment="1" applyProtection="1">
      <alignment horizontal="center"/>
      <protection locked="0"/>
    </xf>
    <xf numFmtId="0" fontId="76" fillId="0" borderId="71" xfId="0" applyNumberFormat="1" applyFont="1" applyBorder="1" applyAlignment="1" applyProtection="1">
      <alignment horizontal="right"/>
    </xf>
    <xf numFmtId="0" fontId="76" fillId="0" borderId="13" xfId="404" applyFont="1" applyBorder="1"/>
    <xf numFmtId="37" fontId="87" fillId="0" borderId="13" xfId="404" applyNumberFormat="1" applyFont="1" applyBorder="1"/>
    <xf numFmtId="166" fontId="76" fillId="0" borderId="13" xfId="404" applyNumberFormat="1" applyFont="1" applyBorder="1"/>
    <xf numFmtId="0" fontId="115" fillId="47" borderId="0" xfId="2" applyFont="1" applyFill="1" applyBorder="1" applyAlignment="1" applyProtection="1">
      <alignment horizontal="left" wrapText="1" indent="1"/>
    </xf>
    <xf numFmtId="1" fontId="116" fillId="0" borderId="0" xfId="0" applyNumberFormat="1" applyFont="1" applyBorder="1" applyAlignment="1" applyProtection="1">
      <alignment horizontal="left"/>
    </xf>
    <xf numFmtId="164" fontId="76" fillId="0" borderId="0" xfId="31" applyNumberFormat="1" applyFont="1" applyProtection="1">
      <protection locked="0"/>
    </xf>
    <xf numFmtId="43" fontId="76" fillId="0" borderId="0" xfId="0" applyNumberFormat="1" applyFont="1" applyProtection="1">
      <protection locked="0"/>
    </xf>
    <xf numFmtId="43" fontId="76" fillId="0" borderId="0" xfId="0" applyNumberFormat="1" applyFont="1" applyFill="1" applyBorder="1" applyAlignment="1" applyProtection="1">
      <protection locked="0"/>
    </xf>
    <xf numFmtId="0" fontId="96" fillId="0" borderId="0" xfId="0" applyFont="1"/>
    <xf numFmtId="43" fontId="96" fillId="0" borderId="0" xfId="0" applyNumberFormat="1" applyFont="1"/>
    <xf numFmtId="0" fontId="73" fillId="45" borderId="41" xfId="177" applyFont="1" applyFill="1" applyBorder="1" applyAlignment="1">
      <alignment horizontal="center"/>
    </xf>
    <xf numFmtId="0" fontId="73" fillId="45" borderId="73" xfId="177" applyFont="1" applyFill="1" applyBorder="1" applyAlignment="1">
      <alignment horizontal="center"/>
    </xf>
    <xf numFmtId="164" fontId="76" fillId="37" borderId="41" xfId="31" applyNumberFormat="1" applyFont="1" applyFill="1" applyBorder="1" applyAlignment="1" applyProtection="1">
      <alignment horizontal="right"/>
      <protection locked="0"/>
    </xf>
    <xf numFmtId="166" fontId="79" fillId="0" borderId="41" xfId="752" applyNumberFormat="1" applyFont="1" applyFill="1" applyBorder="1" applyAlignment="1">
      <alignment horizontal="center" vertical="center"/>
    </xf>
    <xf numFmtId="9" fontId="79" fillId="37" borderId="69" xfId="402" applyNumberFormat="1" applyFont="1" applyFill="1" applyBorder="1" applyAlignment="1">
      <alignment horizontal="center"/>
    </xf>
    <xf numFmtId="168" fontId="73" fillId="0" borderId="0" xfId="31" applyNumberFormat="1" applyFont="1"/>
    <xf numFmtId="164" fontId="73" fillId="0" borderId="0" xfId="31" applyNumberFormat="1" applyFont="1"/>
    <xf numFmtId="0" fontId="74" fillId="0" borderId="72" xfId="177" applyFont="1" applyFill="1" applyBorder="1" applyAlignment="1">
      <alignment horizontal="center"/>
    </xf>
    <xf numFmtId="166" fontId="73" fillId="0" borderId="41" xfId="752" applyNumberFormat="1" applyFont="1" applyFill="1" applyBorder="1" applyAlignment="1">
      <alignment horizontal="center"/>
    </xf>
    <xf numFmtId="6" fontId="73" fillId="0" borderId="0" xfId="177" applyNumberFormat="1" applyFont="1"/>
    <xf numFmtId="10" fontId="73" fillId="0" borderId="0" xfId="177" applyNumberFormat="1" applyFont="1"/>
    <xf numFmtId="164" fontId="73" fillId="45" borderId="41" xfId="31" applyNumberFormat="1" applyFont="1" applyFill="1" applyBorder="1" applyAlignment="1">
      <alignment horizontal="center"/>
    </xf>
    <xf numFmtId="177" fontId="114" fillId="0" borderId="0" xfId="177" applyNumberFormat="1" applyFont="1"/>
    <xf numFmtId="172" fontId="76" fillId="0" borderId="41" xfId="31" applyNumberFormat="1" applyFont="1" applyBorder="1" applyProtection="1">
      <protection locked="0"/>
    </xf>
    <xf numFmtId="172" fontId="76" fillId="0" borderId="0" xfId="0" applyNumberFormat="1" applyFont="1" applyBorder="1" applyProtection="1"/>
    <xf numFmtId="196" fontId="76" fillId="0" borderId="0" xfId="31" applyNumberFormat="1" applyFont="1" applyBorder="1" applyAlignment="1" applyProtection="1">
      <alignment horizontal="right"/>
    </xf>
    <xf numFmtId="164" fontId="76" fillId="0" borderId="71" xfId="31" applyNumberFormat="1" applyFont="1" applyBorder="1" applyAlignment="1" applyProtection="1">
      <alignment horizontal="right"/>
    </xf>
    <xf numFmtId="193" fontId="89" fillId="38" borderId="41" xfId="0" applyNumberFormat="1" applyFont="1" applyFill="1" applyBorder="1" applyAlignment="1" applyProtection="1">
      <alignment horizontal="center"/>
      <protection locked="0"/>
    </xf>
    <xf numFmtId="193" fontId="89" fillId="38" borderId="41" xfId="0" applyNumberFormat="1" applyFont="1" applyFill="1" applyBorder="1" applyAlignment="1" applyProtection="1">
      <alignment horizontal="center"/>
      <protection locked="0"/>
    </xf>
    <xf numFmtId="0" fontId="117" fillId="0" borderId="0" xfId="0" applyFont="1"/>
    <xf numFmtId="17" fontId="0" fillId="0" borderId="0" xfId="0" applyNumberFormat="1"/>
    <xf numFmtId="14" fontId="0" fillId="0" borderId="0" xfId="0" applyNumberFormat="1"/>
    <xf numFmtId="196" fontId="0" fillId="0" borderId="0" xfId="0" applyNumberFormat="1"/>
    <xf numFmtId="0" fontId="0" fillId="0" borderId="0" xfId="0" applyNumberFormat="1"/>
    <xf numFmtId="0" fontId="0" fillId="48" borderId="0" xfId="0" applyNumberFormat="1" applyFill="1"/>
    <xf numFmtId="0" fontId="0" fillId="0" borderId="0" xfId="0" applyAlignment="1">
      <alignment horizontal="right"/>
    </xf>
    <xf numFmtId="0" fontId="0" fillId="48" borderId="0" xfId="0" applyFill="1"/>
    <xf numFmtId="0" fontId="0" fillId="0" borderId="0" xfId="0" applyFill="1"/>
    <xf numFmtId="0" fontId="0" fillId="49" borderId="0" xfId="0" applyFill="1"/>
    <xf numFmtId="196" fontId="0" fillId="49" borderId="0" xfId="0" applyNumberFormat="1" applyFill="1"/>
    <xf numFmtId="196" fontId="0" fillId="0" borderId="0" xfId="36" applyNumberFormat="1" applyFont="1" applyAlignment="1">
      <alignment horizontal="right"/>
    </xf>
    <xf numFmtId="14" fontId="117" fillId="0" borderId="0" xfId="0" applyNumberFormat="1" applyFont="1"/>
    <xf numFmtId="165" fontId="24" fillId="0" borderId="0" xfId="0" applyNumberFormat="1" applyFont="1" applyFill="1" applyBorder="1" applyAlignment="1" applyProtection="1"/>
    <xf numFmtId="17" fontId="97" fillId="50" borderId="86" xfId="0" applyNumberFormat="1" applyFont="1" applyFill="1" applyBorder="1" applyAlignment="1">
      <alignment horizontal="center"/>
    </xf>
    <xf numFmtId="17" fontId="97" fillId="50" borderId="87" xfId="0" applyNumberFormat="1" applyFont="1" applyFill="1" applyBorder="1" applyAlignment="1">
      <alignment horizontal="center"/>
    </xf>
    <xf numFmtId="17" fontId="97" fillId="50" borderId="74" xfId="0" applyNumberFormat="1" applyFont="1" applyFill="1" applyBorder="1" applyAlignment="1">
      <alignment horizontal="center"/>
    </xf>
    <xf numFmtId="1" fontId="0" fillId="0" borderId="0" xfId="0" applyNumberFormat="1"/>
    <xf numFmtId="0" fontId="118" fillId="0" borderId="88" xfId="0" applyFont="1" applyBorder="1"/>
    <xf numFmtId="0" fontId="105" fillId="0" borderId="41" xfId="0" applyFont="1" applyBorder="1"/>
    <xf numFmtId="0" fontId="0" fillId="0" borderId="41" xfId="0" applyBorder="1"/>
    <xf numFmtId="0" fontId="76" fillId="37" borderId="66" xfId="0" applyFont="1" applyFill="1" applyBorder="1" applyProtection="1">
      <protection locked="0"/>
    </xf>
    <xf numFmtId="164" fontId="0" fillId="0" borderId="73" xfId="36" applyNumberFormat="1" applyFont="1" applyBorder="1" applyAlignment="1">
      <alignment horizontal="center"/>
    </xf>
    <xf numFmtId="0" fontId="76" fillId="0" borderId="66" xfId="0" applyFont="1" applyFill="1" applyBorder="1" applyProtection="1">
      <protection locked="0"/>
    </xf>
    <xf numFmtId="164" fontId="119" fillId="0" borderId="89" xfId="36" applyNumberFormat="1" applyFont="1" applyBorder="1" applyAlignment="1">
      <alignment horizontal="right"/>
    </xf>
    <xf numFmtId="164" fontId="119" fillId="0" borderId="59" xfId="36" applyNumberFormat="1" applyFont="1" applyBorder="1" applyAlignment="1">
      <alignment horizontal="right"/>
    </xf>
    <xf numFmtId="164" fontId="119" fillId="0" borderId="60" xfId="36" applyNumberFormat="1" applyFont="1" applyBorder="1" applyAlignment="1">
      <alignment horizontal="right"/>
    </xf>
    <xf numFmtId="0" fontId="76" fillId="0" borderId="74" xfId="0" applyFont="1" applyFill="1" applyBorder="1" applyAlignment="1" applyProtection="1">
      <alignment horizontal="left"/>
      <protection locked="0"/>
    </xf>
    <xf numFmtId="164" fontId="119" fillId="0" borderId="90" xfId="36" applyNumberFormat="1" applyFont="1" applyBorder="1" applyAlignment="1">
      <alignment horizontal="right"/>
    </xf>
    <xf numFmtId="164" fontId="119" fillId="0" borderId="91" xfId="36" applyNumberFormat="1" applyFont="1" applyBorder="1" applyAlignment="1">
      <alignment horizontal="right"/>
    </xf>
    <xf numFmtId="164" fontId="119" fillId="0" borderId="92" xfId="36" applyNumberFormat="1" applyFont="1" applyBorder="1" applyAlignment="1">
      <alignment horizontal="right"/>
    </xf>
    <xf numFmtId="2" fontId="0" fillId="0" borderId="0" xfId="0" applyNumberFormat="1"/>
    <xf numFmtId="0" fontId="0" fillId="37" borderId="85" xfId="0" applyFill="1" applyBorder="1"/>
    <xf numFmtId="0" fontId="76" fillId="37" borderId="67" xfId="0" applyFont="1" applyFill="1" applyBorder="1" applyAlignment="1" applyProtection="1">
      <alignment horizontal="left"/>
      <protection locked="0"/>
    </xf>
    <xf numFmtId="0" fontId="0" fillId="0" borderId="0" xfId="0" applyFont="1"/>
    <xf numFmtId="0" fontId="76" fillId="37" borderId="66" xfId="0" applyFont="1" applyFill="1" applyBorder="1" applyAlignment="1" applyProtection="1">
      <alignment horizontal="left"/>
      <protection locked="0"/>
    </xf>
    <xf numFmtId="0" fontId="5" fillId="45" borderId="66" xfId="0" applyFont="1" applyFill="1" applyBorder="1" applyProtection="1"/>
    <xf numFmtId="0" fontId="120" fillId="37" borderId="85" xfId="0" applyFont="1" applyFill="1" applyBorder="1" applyAlignment="1">
      <alignment horizontal="left" indent="3"/>
    </xf>
    <xf numFmtId="0" fontId="5" fillId="45" borderId="67" xfId="0" applyFont="1" applyFill="1" applyBorder="1" applyProtection="1"/>
    <xf numFmtId="164" fontId="76" fillId="37" borderId="67" xfId="33" applyNumberFormat="1" applyFont="1" applyFill="1" applyBorder="1" applyAlignment="1" applyProtection="1">
      <alignment horizontal="left"/>
      <protection locked="0"/>
    </xf>
    <xf numFmtId="164" fontId="77" fillId="0" borderId="67" xfId="33" applyNumberFormat="1" applyFont="1" applyFill="1" applyBorder="1" applyAlignment="1" applyProtection="1">
      <alignment horizontal="left"/>
      <protection locked="0"/>
    </xf>
    <xf numFmtId="164" fontId="77" fillId="30" borderId="67" xfId="33" applyNumberFormat="1" applyFont="1" applyFill="1" applyBorder="1" applyProtection="1">
      <protection locked="0"/>
    </xf>
    <xf numFmtId="164" fontId="77" fillId="30" borderId="73" xfId="33" applyNumberFormat="1" applyFont="1" applyFill="1" applyBorder="1" applyAlignment="1" applyProtection="1">
      <alignment horizontal="right"/>
      <protection locked="0"/>
    </xf>
    <xf numFmtId="0" fontId="4" fillId="45" borderId="67" xfId="0" applyFont="1" applyFill="1" applyBorder="1" applyProtection="1"/>
    <xf numFmtId="164" fontId="84" fillId="0" borderId="67" xfId="33" applyNumberFormat="1" applyFont="1" applyFill="1" applyBorder="1" applyAlignment="1" applyProtection="1">
      <alignment horizontal="left"/>
      <protection locked="0"/>
    </xf>
    <xf numFmtId="9" fontId="121" fillId="0" borderId="73" xfId="36" applyNumberFormat="1" applyFont="1" applyBorder="1" applyAlignment="1">
      <alignment horizontal="right"/>
    </xf>
    <xf numFmtId="164" fontId="77" fillId="0" borderId="67" xfId="33" applyNumberFormat="1" applyFont="1" applyFill="1" applyBorder="1" applyProtection="1">
      <protection locked="0"/>
    </xf>
    <xf numFmtId="164" fontId="119" fillId="0" borderId="73" xfId="36" applyNumberFormat="1" applyFont="1" applyBorder="1" applyAlignment="1">
      <alignment horizontal="right"/>
    </xf>
    <xf numFmtId="164" fontId="76" fillId="37" borderId="68" xfId="33" applyNumberFormat="1" applyFont="1" applyFill="1" applyBorder="1" applyAlignment="1" applyProtection="1">
      <alignment horizontal="left"/>
      <protection locked="0"/>
    </xf>
    <xf numFmtId="0" fontId="5" fillId="45" borderId="68" xfId="0" applyFont="1" applyFill="1" applyBorder="1" applyProtection="1"/>
    <xf numFmtId="0" fontId="76" fillId="37" borderId="67" xfId="0" applyFont="1" applyFill="1" applyBorder="1" applyProtection="1">
      <protection locked="0"/>
    </xf>
    <xf numFmtId="0" fontId="118" fillId="39" borderId="85" xfId="0" applyFont="1" applyFill="1" applyBorder="1"/>
    <xf numFmtId="164" fontId="118" fillId="39" borderId="41" xfId="36" applyNumberFormat="1" applyFont="1" applyFill="1" applyBorder="1" applyAlignment="1">
      <alignment horizontal="center"/>
    </xf>
    <xf numFmtId="0" fontId="0" fillId="0" borderId="85" xfId="0" applyBorder="1"/>
    <xf numFmtId="0" fontId="0" fillId="0" borderId="41" xfId="0" applyBorder="1" applyAlignment="1">
      <alignment horizontal="center"/>
    </xf>
    <xf numFmtId="0" fontId="118" fillId="0" borderId="85" xfId="0" applyFont="1" applyBorder="1"/>
    <xf numFmtId="164" fontId="86" fillId="0" borderId="67" xfId="33" applyNumberFormat="1" applyFont="1" applyFill="1" applyBorder="1" applyProtection="1">
      <protection locked="0"/>
    </xf>
    <xf numFmtId="164" fontId="76" fillId="0" borderId="67" xfId="33" applyNumberFormat="1" applyFont="1" applyFill="1" applyBorder="1" applyAlignment="1" applyProtection="1">
      <alignment horizontal="left"/>
      <protection locked="0"/>
    </xf>
    <xf numFmtId="164" fontId="76" fillId="37" borderId="67" xfId="33" applyNumberFormat="1" applyFont="1" applyFill="1" applyBorder="1" applyProtection="1">
      <protection locked="0"/>
    </xf>
    <xf numFmtId="164" fontId="77" fillId="30" borderId="68" xfId="33" applyNumberFormat="1" applyFont="1" applyFill="1" applyBorder="1" applyProtection="1">
      <protection locked="0"/>
    </xf>
    <xf numFmtId="164" fontId="77" fillId="30" borderId="93" xfId="33" applyNumberFormat="1" applyFont="1" applyFill="1" applyBorder="1" applyAlignment="1" applyProtection="1">
      <alignment horizontal="right"/>
      <protection locked="0"/>
    </xf>
    <xf numFmtId="0" fontId="77" fillId="0" borderId="67" xfId="0" applyFont="1" applyFill="1" applyBorder="1" applyProtection="1">
      <protection locked="0"/>
    </xf>
    <xf numFmtId="0" fontId="120" fillId="37" borderId="85" xfId="0" applyFont="1" applyFill="1" applyBorder="1" applyAlignment="1">
      <alignment horizontal="left" indent="5"/>
    </xf>
    <xf numFmtId="14" fontId="120" fillId="37" borderId="85" xfId="0" applyNumberFormat="1" applyFont="1" applyFill="1" applyBorder="1" applyAlignment="1">
      <alignment horizontal="left" indent="5"/>
    </xf>
    <xf numFmtId="164" fontId="84" fillId="0" borderId="67" xfId="33" applyNumberFormat="1" applyFont="1" applyFill="1" applyBorder="1" applyProtection="1">
      <protection locked="0"/>
    </xf>
    <xf numFmtId="0" fontId="117" fillId="39" borderId="85" xfId="0" applyFont="1" applyFill="1" applyBorder="1"/>
    <xf numFmtId="164" fontId="117" fillId="39" borderId="41" xfId="36" applyNumberFormat="1" applyFont="1" applyFill="1" applyBorder="1" applyAlignment="1">
      <alignment horizontal="center"/>
    </xf>
    <xf numFmtId="0" fontId="117" fillId="0" borderId="85" xfId="0" applyFont="1" applyBorder="1"/>
    <xf numFmtId="164" fontId="0" fillId="0" borderId="41" xfId="36" applyNumberFormat="1" applyFont="1" applyBorder="1" applyAlignment="1">
      <alignment horizontal="center"/>
    </xf>
    <xf numFmtId="9" fontId="84" fillId="0" borderId="41" xfId="33" applyNumberFormat="1" applyFont="1" applyFill="1" applyBorder="1" applyAlignment="1" applyProtection="1">
      <alignment horizontal="right"/>
      <protection locked="0"/>
    </xf>
    <xf numFmtId="164" fontId="117" fillId="0" borderId="0" xfId="36" applyNumberFormat="1" applyFont="1" applyFill="1" applyBorder="1" applyAlignment="1">
      <alignment horizontal="center"/>
    </xf>
    <xf numFmtId="9" fontId="84" fillId="0" borderId="73" xfId="33" applyNumberFormat="1" applyFont="1" applyFill="1" applyBorder="1" applyAlignment="1" applyProtection="1">
      <alignment horizontal="right"/>
      <protection locked="0"/>
    </xf>
    <xf numFmtId="0" fontId="118" fillId="39" borderId="94" xfId="0" applyFont="1" applyFill="1" applyBorder="1"/>
    <xf numFmtId="164" fontId="118" fillId="39" borderId="57" xfId="36" applyNumberFormat="1" applyFont="1" applyFill="1" applyBorder="1" applyAlignment="1">
      <alignment horizontal="center"/>
    </xf>
    <xf numFmtId="164" fontId="118" fillId="0" borderId="0" xfId="36" applyNumberFormat="1" applyFont="1" applyFill="1" applyBorder="1" applyAlignment="1">
      <alignment horizontal="center"/>
    </xf>
    <xf numFmtId="164" fontId="0" fillId="0" borderId="0" xfId="0" applyNumberFormat="1"/>
    <xf numFmtId="38" fontId="0" fillId="0" borderId="0" xfId="0" applyNumberFormat="1"/>
    <xf numFmtId="164" fontId="84" fillId="0" borderId="68" xfId="33" applyNumberFormat="1" applyFont="1" applyFill="1" applyBorder="1" applyProtection="1">
      <protection locked="0"/>
    </xf>
    <xf numFmtId="9" fontId="121" fillId="0" borderId="93" xfId="36" applyNumberFormat="1" applyFont="1" applyBorder="1" applyAlignment="1">
      <alignment horizontal="right"/>
    </xf>
    <xf numFmtId="164" fontId="84" fillId="0" borderId="0" xfId="33" applyNumberFormat="1" applyFont="1" applyFill="1" applyBorder="1" applyProtection="1">
      <protection locked="0"/>
    </xf>
    <xf numFmtId="9" fontId="121" fillId="0" borderId="0" xfId="36" applyNumberFormat="1" applyFont="1" applyBorder="1" applyAlignment="1">
      <alignment horizontal="right"/>
    </xf>
    <xf numFmtId="3" fontId="0" fillId="0" borderId="0" xfId="0" applyNumberFormat="1"/>
    <xf numFmtId="0" fontId="0" fillId="0" borderId="0" xfId="0" applyNumberFormat="1" applyFill="1"/>
    <xf numFmtId="43" fontId="72" fillId="0" borderId="0" xfId="36" applyFont="1"/>
    <xf numFmtId="196" fontId="0" fillId="0" borderId="0" xfId="36" applyNumberFormat="1" applyFont="1" applyFill="1"/>
    <xf numFmtId="197" fontId="72" fillId="0" borderId="0" xfId="36" applyNumberFormat="1" applyFont="1"/>
    <xf numFmtId="17" fontId="122" fillId="51" borderId="78" xfId="0" applyNumberFormat="1" applyFont="1" applyFill="1" applyBorder="1" applyAlignment="1" applyProtection="1">
      <alignment horizontal="center"/>
    </xf>
    <xf numFmtId="0" fontId="123" fillId="51" borderId="0" xfId="0" applyFont="1" applyFill="1" applyBorder="1" applyProtection="1"/>
    <xf numFmtId="14" fontId="0" fillId="0" borderId="0" xfId="0" applyNumberFormat="1" applyFont="1"/>
    <xf numFmtId="0" fontId="124" fillId="0" borderId="71" xfId="0" applyFont="1" applyBorder="1" applyProtection="1"/>
    <xf numFmtId="0" fontId="125" fillId="0" borderId="61" xfId="0" applyFont="1" applyBorder="1" applyAlignment="1" applyProtection="1">
      <alignment horizontal="center"/>
    </xf>
    <xf numFmtId="14" fontId="125" fillId="42" borderId="0" xfId="0" applyNumberFormat="1" applyFont="1" applyFill="1" applyBorder="1" applyProtection="1"/>
    <xf numFmtId="165" fontId="124" fillId="42" borderId="76" xfId="0" applyNumberFormat="1" applyFont="1" applyFill="1" applyBorder="1" applyProtection="1">
      <protection locked="0"/>
    </xf>
    <xf numFmtId="0" fontId="68" fillId="0" borderId="0" xfId="0" applyFont="1" applyProtection="1"/>
    <xf numFmtId="195" fontId="124" fillId="0" borderId="76" xfId="0" applyNumberFormat="1" applyFont="1" applyBorder="1" applyAlignment="1" applyProtection="1">
      <alignment horizontal="center"/>
    </xf>
    <xf numFmtId="0" fontId="122" fillId="51" borderId="0" xfId="0" applyFont="1" applyFill="1" applyProtection="1"/>
    <xf numFmtId="195" fontId="122" fillId="51" borderId="76" xfId="0" applyNumberFormat="1" applyFont="1" applyFill="1" applyBorder="1" applyAlignment="1" applyProtection="1">
      <alignment horizontal="center"/>
    </xf>
    <xf numFmtId="0" fontId="122" fillId="51" borderId="0" xfId="0" applyFont="1" applyFill="1" applyBorder="1" applyProtection="1"/>
    <xf numFmtId="195" fontId="122" fillId="51" borderId="78" xfId="0" applyNumberFormat="1" applyFont="1" applyFill="1" applyBorder="1" applyAlignment="1" applyProtection="1">
      <alignment horizontal="center"/>
    </xf>
    <xf numFmtId="0" fontId="125" fillId="0" borderId="71" xfId="0" applyFont="1" applyBorder="1" applyProtection="1"/>
    <xf numFmtId="0" fontId="124" fillId="0" borderId="61" xfId="0" applyFont="1" applyBorder="1" applyProtection="1">
      <protection locked="0"/>
    </xf>
    <xf numFmtId="0" fontId="66" fillId="0" borderId="0" xfId="0" applyFont="1" applyProtection="1"/>
    <xf numFmtId="195" fontId="124" fillId="52" borderId="76" xfId="0" applyNumberFormat="1" applyFont="1" applyFill="1" applyBorder="1" applyAlignment="1" applyProtection="1">
      <alignment horizontal="center"/>
      <protection locked="0"/>
    </xf>
    <xf numFmtId="0" fontId="66" fillId="0" borderId="0" xfId="0" applyFont="1" applyFill="1" applyProtection="1"/>
    <xf numFmtId="0" fontId="66" fillId="0" borderId="0" xfId="0" applyFont="1" applyFill="1" applyBorder="1" applyAlignment="1" applyProtection="1">
      <alignment horizontal="left"/>
    </xf>
    <xf numFmtId="195" fontId="124" fillId="52" borderId="78" xfId="0" applyNumberFormat="1" applyFont="1" applyFill="1" applyBorder="1" applyAlignment="1" applyProtection="1">
      <alignment horizontal="center"/>
      <protection locked="0"/>
    </xf>
    <xf numFmtId="0" fontId="70" fillId="0" borderId="0" xfId="0" applyFont="1" applyProtection="1"/>
    <xf numFmtId="195" fontId="124" fillId="36" borderId="78" xfId="0" applyNumberFormat="1" applyFont="1" applyFill="1" applyBorder="1" applyAlignment="1" applyProtection="1">
      <alignment horizontal="center"/>
      <protection locked="0"/>
    </xf>
    <xf numFmtId="0" fontId="125" fillId="0" borderId="0" xfId="0" applyFont="1" applyProtection="1"/>
    <xf numFmtId="0" fontId="124" fillId="0" borderId="76" xfId="0" applyFont="1" applyBorder="1" applyProtection="1">
      <protection locked="0"/>
    </xf>
    <xf numFmtId="0" fontId="66" fillId="0" borderId="0" xfId="0" applyFont="1" applyFill="1" applyBorder="1" applyAlignment="1" applyProtection="1"/>
    <xf numFmtId="0" fontId="69" fillId="0" borderId="0" xfId="0" applyFont="1" applyAlignment="1" applyProtection="1">
      <alignment horizontal="left" indent="1"/>
    </xf>
    <xf numFmtId="0" fontId="0" fillId="52" borderId="0" xfId="0" applyFill="1"/>
    <xf numFmtId="195" fontId="124" fillId="36" borderId="76" xfId="0" applyNumberFormat="1" applyFont="1" applyFill="1" applyBorder="1" applyAlignment="1" applyProtection="1">
      <alignment horizontal="center"/>
    </xf>
    <xf numFmtId="195" fontId="124" fillId="0" borderId="76" xfId="0" applyNumberFormat="1" applyFont="1" applyFill="1" applyBorder="1" applyAlignment="1" applyProtection="1">
      <alignment horizontal="center"/>
    </xf>
    <xf numFmtId="0" fontId="67" fillId="0" borderId="0" xfId="0" applyFont="1" applyAlignment="1" applyProtection="1">
      <alignment horizontal="left" indent="1"/>
    </xf>
    <xf numFmtId="0" fontId="124" fillId="0" borderId="0" xfId="0" applyFont="1" applyFill="1" applyBorder="1" applyProtection="1"/>
    <xf numFmtId="0" fontId="68" fillId="42" borderId="0" xfId="0" applyFont="1" applyFill="1" applyProtection="1"/>
    <xf numFmtId="195" fontId="125" fillId="42" borderId="76" xfId="0" applyNumberFormat="1" applyFont="1" applyFill="1" applyBorder="1" applyAlignment="1" applyProtection="1">
      <alignment horizontal="center"/>
    </xf>
    <xf numFmtId="0" fontId="69" fillId="0" borderId="0" xfId="0" applyFont="1" applyProtection="1"/>
    <xf numFmtId="0" fontId="67" fillId="0" borderId="0" xfId="0" applyFont="1" applyFill="1" applyAlignment="1" applyProtection="1">
      <alignment horizontal="left" indent="1"/>
    </xf>
    <xf numFmtId="0" fontId="67" fillId="0" borderId="0" xfId="0" applyFont="1" applyProtection="1"/>
    <xf numFmtId="166" fontId="124" fillId="0" borderId="76" xfId="0" applyNumberFormat="1" applyFont="1" applyBorder="1" applyAlignment="1" applyProtection="1">
      <alignment horizontal="center"/>
    </xf>
    <xf numFmtId="0" fontId="124" fillId="0" borderId="0" xfId="0" applyFont="1" applyProtection="1"/>
    <xf numFmtId="195" fontId="124" fillId="0" borderId="76" xfId="0" applyNumberFormat="1" applyFont="1" applyBorder="1" applyAlignment="1" applyProtection="1">
      <alignment horizontal="center"/>
      <protection locked="0"/>
    </xf>
    <xf numFmtId="195" fontId="125" fillId="0" borderId="76" xfId="0" applyNumberFormat="1" applyFont="1" applyBorder="1" applyAlignment="1" applyProtection="1">
      <alignment horizontal="center"/>
    </xf>
    <xf numFmtId="0" fontId="126" fillId="0" borderId="0" xfId="0" applyFont="1" applyFill="1" applyProtection="1"/>
    <xf numFmtId="0" fontId="125" fillId="42" borderId="0" xfId="0" applyFont="1" applyFill="1" applyProtection="1"/>
    <xf numFmtId="0" fontId="124" fillId="0" borderId="0" xfId="0" applyFont="1" applyFill="1" applyProtection="1"/>
    <xf numFmtId="0" fontId="127" fillId="0" borderId="0" xfId="0" applyFont="1" applyFill="1" applyProtection="1"/>
    <xf numFmtId="0" fontId="126" fillId="0" borderId="0" xfId="0" applyFont="1" applyProtection="1"/>
    <xf numFmtId="0" fontId="68" fillId="0" borderId="71" xfId="0" applyFont="1" applyBorder="1" applyProtection="1"/>
    <xf numFmtId="195" fontId="124" fillId="0" borderId="61" xfId="0" applyNumberFormat="1" applyFont="1" applyBorder="1" applyAlignment="1" applyProtection="1">
      <alignment horizontal="center"/>
      <protection locked="0"/>
    </xf>
    <xf numFmtId="0" fontId="127" fillId="0" borderId="0" xfId="0" applyFont="1" applyProtection="1"/>
    <xf numFmtId="0" fontId="124" fillId="0" borderId="0" xfId="0" applyFont="1" applyAlignment="1" applyProtection="1">
      <alignment horizontal="left" indent="1"/>
    </xf>
    <xf numFmtId="0" fontId="67" fillId="0" borderId="0" xfId="0" applyFont="1" applyFill="1" applyProtection="1"/>
    <xf numFmtId="0" fontId="124" fillId="0" borderId="78" xfId="0" applyFont="1" applyBorder="1" applyProtection="1"/>
    <xf numFmtId="0" fontId="71" fillId="0" borderId="0" xfId="0" applyFont="1" applyFill="1" applyProtection="1"/>
    <xf numFmtId="195" fontId="125" fillId="0" borderId="76" xfId="0" applyNumberFormat="1" applyFont="1" applyFill="1" applyBorder="1" applyAlignment="1" applyProtection="1">
      <alignment horizontal="center"/>
    </xf>
    <xf numFmtId="195" fontId="124" fillId="42" borderId="76" xfId="0" applyNumberFormat="1" applyFont="1" applyFill="1" applyBorder="1" applyAlignment="1" applyProtection="1">
      <alignment horizontal="center"/>
    </xf>
    <xf numFmtId="195" fontId="124" fillId="42" borderId="76" xfId="0" applyNumberFormat="1" applyFont="1" applyFill="1" applyBorder="1" applyAlignment="1" applyProtection="1">
      <alignment horizontal="center"/>
      <protection locked="0"/>
    </xf>
    <xf numFmtId="0" fontId="0" fillId="47" borderId="0" xfId="0" applyFill="1"/>
    <xf numFmtId="0" fontId="126" fillId="0" borderId="0" xfId="0" applyFont="1" applyBorder="1" applyProtection="1"/>
    <xf numFmtId="166" fontId="124" fillId="0" borderId="78" xfId="0" applyNumberFormat="1" applyFont="1" applyBorder="1" applyAlignment="1" applyProtection="1">
      <alignment horizontal="center"/>
    </xf>
    <xf numFmtId="0" fontId="124" fillId="0" borderId="0" xfId="0" applyFont="1" applyBorder="1" applyProtection="1"/>
    <xf numFmtId="195" fontId="124" fillId="0" borderId="78" xfId="0" applyNumberFormat="1" applyFont="1" applyBorder="1" applyAlignment="1" applyProtection="1">
      <alignment horizontal="center"/>
    </xf>
    <xf numFmtId="0" fontId="67" fillId="0" borderId="0" xfId="0" quotePrefix="1" applyFont="1" applyAlignment="1" applyProtection="1">
      <alignment horizontal="left" indent="3"/>
    </xf>
    <xf numFmtId="0" fontId="67" fillId="0" borderId="0" xfId="0" applyFont="1" applyAlignment="1" applyProtection="1">
      <alignment horizontal="left" indent="3"/>
    </xf>
    <xf numFmtId="0" fontId="67" fillId="0" borderId="0" xfId="0" quotePrefix="1" applyFont="1" applyFill="1" applyAlignment="1" applyProtection="1">
      <alignment horizontal="left" indent="3"/>
    </xf>
    <xf numFmtId="0" fontId="67" fillId="0" borderId="0" xfId="0" applyFont="1" applyFill="1" applyAlignment="1" applyProtection="1">
      <alignment horizontal="left" indent="3"/>
    </xf>
    <xf numFmtId="0" fontId="126" fillId="0" borderId="0" xfId="0" applyFont="1" applyAlignment="1" applyProtection="1">
      <alignment horizontal="left" indent="1"/>
    </xf>
    <xf numFmtId="195" fontId="125" fillId="0" borderId="76" xfId="0" applyNumberFormat="1" applyFont="1" applyBorder="1" applyAlignment="1" applyProtection="1">
      <alignment horizontal="center"/>
      <protection locked="0"/>
    </xf>
    <xf numFmtId="0" fontId="66" fillId="0" borderId="0" xfId="0" applyFont="1" applyAlignment="1" applyProtection="1">
      <alignment horizontal="left"/>
    </xf>
    <xf numFmtId="0" fontId="4" fillId="45" borderId="66" xfId="0" applyFont="1" applyFill="1" applyBorder="1" applyProtection="1"/>
    <xf numFmtId="196" fontId="0" fillId="0" borderId="0" xfId="0" applyNumberFormat="1" applyFill="1"/>
    <xf numFmtId="14" fontId="76" fillId="0" borderId="0" xfId="0" applyNumberFormat="1" applyFont="1" applyProtection="1">
      <protection locked="0"/>
    </xf>
    <xf numFmtId="0" fontId="76" fillId="0" borderId="0" xfId="0" applyNumberFormat="1" applyFont="1" applyProtection="1">
      <protection locked="0"/>
    </xf>
    <xf numFmtId="193" fontId="88" fillId="38" borderId="41" xfId="0" applyNumberFormat="1" applyFont="1" applyFill="1" applyBorder="1" applyAlignment="1" applyProtection="1">
      <alignment horizontal="center"/>
      <protection locked="0"/>
    </xf>
    <xf numFmtId="14" fontId="87" fillId="0" borderId="0" xfId="0" applyNumberFormat="1" applyFont="1" applyProtection="1">
      <protection locked="0"/>
    </xf>
    <xf numFmtId="0" fontId="87" fillId="0" borderId="120" xfId="0" applyFont="1" applyBorder="1" applyProtection="1">
      <protection locked="0"/>
    </xf>
    <xf numFmtId="0" fontId="128" fillId="37" borderId="12" xfId="0" applyFont="1" applyFill="1" applyBorder="1" applyAlignment="1" applyProtection="1">
      <alignment vertical="center"/>
      <protection locked="0"/>
    </xf>
    <xf numFmtId="0" fontId="128" fillId="37" borderId="14" xfId="0" applyFont="1" applyFill="1" applyBorder="1" applyAlignment="1" applyProtection="1">
      <alignment vertical="center"/>
      <protection locked="0"/>
    </xf>
    <xf numFmtId="193" fontId="89" fillId="38" borderId="41" xfId="0" applyNumberFormat="1" applyFont="1" applyFill="1" applyBorder="1" applyAlignment="1" applyProtection="1">
      <alignment horizontal="center"/>
      <protection locked="0"/>
    </xf>
    <xf numFmtId="196" fontId="131" fillId="49" borderId="0" xfId="36" applyNumberFormat="1" applyFont="1" applyFill="1"/>
    <xf numFmtId="164" fontId="89" fillId="38" borderId="41" xfId="0" applyNumberFormat="1" applyFont="1" applyFill="1" applyBorder="1" applyAlignment="1" applyProtection="1">
      <alignment horizontal="center"/>
      <protection locked="0"/>
    </xf>
    <xf numFmtId="0" fontId="76" fillId="36" borderId="41" xfId="2" applyFont="1" applyFill="1" applyBorder="1" applyAlignment="1" applyProtection="1">
      <alignment horizontal="left" indent="1"/>
      <protection locked="0"/>
    </xf>
    <xf numFmtId="0" fontId="1" fillId="39" borderId="121" xfId="776" applyFill="1" applyBorder="1" applyAlignment="1">
      <alignment horizontal="centerContinuous"/>
    </xf>
    <xf numFmtId="0" fontId="1" fillId="41" borderId="0" xfId="776" applyFill="1" applyAlignment="1">
      <alignment horizontal="center"/>
    </xf>
    <xf numFmtId="0" fontId="1" fillId="0" borderId="121" xfId="776" applyBorder="1"/>
    <xf numFmtId="0" fontId="1" fillId="0" borderId="121" xfId="776" applyBorder="1" applyAlignment="1">
      <alignment horizontal="right"/>
    </xf>
    <xf numFmtId="0" fontId="1" fillId="36" borderId="0" xfId="776" applyFill="1"/>
    <xf numFmtId="0" fontId="1" fillId="36" borderId="0" xfId="776" applyFill="1" applyAlignment="1">
      <alignment horizontal="center"/>
    </xf>
    <xf numFmtId="0" fontId="1" fillId="36" borderId="0" xfId="776" applyFill="1" applyBorder="1"/>
    <xf numFmtId="0" fontId="96" fillId="37" borderId="63" xfId="0" applyNumberFormat="1" applyFont="1" applyFill="1" applyBorder="1" applyProtection="1">
      <protection locked="0"/>
    </xf>
    <xf numFmtId="0" fontId="117" fillId="37" borderId="0" xfId="0" applyFont="1" applyFill="1"/>
    <xf numFmtId="164" fontId="90" fillId="46" borderId="0" xfId="0" applyNumberFormat="1" applyFont="1" applyFill="1" applyBorder="1" applyAlignment="1">
      <alignment horizontal="center" vertical="center"/>
    </xf>
    <xf numFmtId="17" fontId="0" fillId="46" borderId="0" xfId="0" applyNumberFormat="1" applyFill="1" applyAlignment="1"/>
    <xf numFmtId="164" fontId="90" fillId="0" borderId="0" xfId="0" applyNumberFormat="1" applyFont="1" applyFill="1" applyBorder="1" applyAlignment="1">
      <alignment horizontal="center" vertical="center"/>
    </xf>
    <xf numFmtId="17" fontId="0" fillId="0" borderId="0" xfId="0" applyNumberFormat="1" applyAlignment="1"/>
    <xf numFmtId="0" fontId="0" fillId="0" borderId="0" xfId="0" applyAlignment="1"/>
    <xf numFmtId="164" fontId="97" fillId="0" borderId="0" xfId="0" applyNumberFormat="1" applyFont="1" applyFill="1" applyBorder="1" applyAlignment="1">
      <alignment horizontal="center" vertical="center"/>
    </xf>
    <xf numFmtId="0" fontId="117" fillId="37" borderId="0" xfId="0" applyFont="1" applyFill="1" applyAlignment="1"/>
    <xf numFmtId="0" fontId="97" fillId="51" borderId="81" xfId="0" applyFont="1" applyFill="1" applyBorder="1" applyAlignment="1">
      <alignment horizontal="center" vertical="center"/>
    </xf>
    <xf numFmtId="0" fontId="97" fillId="51" borderId="0" xfId="0" applyFont="1" applyFill="1" applyBorder="1" applyAlignment="1">
      <alignment horizontal="center" vertical="center"/>
    </xf>
    <xf numFmtId="164" fontId="97" fillId="51" borderId="83" xfId="0" applyNumberFormat="1" applyFont="1" applyFill="1" applyBorder="1" applyAlignment="1">
      <alignment horizontal="center" vertical="center"/>
    </xf>
    <xf numFmtId="38" fontId="0" fillId="0" borderId="0" xfId="0" applyNumberFormat="1" applyAlignment="1"/>
    <xf numFmtId="164" fontId="97" fillId="51" borderId="81" xfId="0" applyNumberFormat="1" applyFont="1" applyFill="1" applyBorder="1" applyAlignment="1">
      <alignment horizontal="center" vertical="center"/>
    </xf>
    <xf numFmtId="0" fontId="97" fillId="53" borderId="81" xfId="0" applyFont="1" applyFill="1" applyBorder="1" applyAlignment="1">
      <alignment horizontal="center" vertical="center"/>
    </xf>
    <xf numFmtId="0" fontId="97" fillId="53" borderId="78" xfId="0" applyFont="1" applyFill="1" applyBorder="1" applyAlignment="1">
      <alignment horizontal="center" vertical="center"/>
    </xf>
    <xf numFmtId="0" fontId="117" fillId="37" borderId="0" xfId="0" applyFont="1" applyFill="1" applyBorder="1" applyAlignment="1"/>
    <xf numFmtId="38" fontId="0" fillId="0" borderId="0" xfId="0" applyNumberFormat="1" applyAlignment="1">
      <alignment wrapText="1"/>
    </xf>
    <xf numFmtId="0" fontId="0" fillId="0" borderId="0" xfId="0" applyNumberFormat="1" applyAlignment="1"/>
    <xf numFmtId="0" fontId="74" fillId="0" borderId="96" xfId="177" applyFont="1" applyFill="1" applyBorder="1" applyAlignment="1">
      <alignment horizontal="center"/>
    </xf>
    <xf numFmtId="0" fontId="0" fillId="0" borderId="93" xfId="0" applyBorder="1"/>
    <xf numFmtId="17" fontId="73" fillId="41" borderId="41" xfId="177" quotePrefix="1" applyNumberFormat="1" applyFont="1" applyFill="1" applyBorder="1" applyAlignment="1">
      <alignment horizontal="center"/>
    </xf>
    <xf numFmtId="17" fontId="73" fillId="41" borderId="41" xfId="177" applyNumberFormat="1" applyFont="1" applyFill="1" applyBorder="1" applyAlignment="1">
      <alignment horizontal="center"/>
    </xf>
    <xf numFmtId="0" fontId="73" fillId="41" borderId="41" xfId="177" applyFont="1" applyFill="1" applyBorder="1" applyAlignment="1">
      <alignment horizontal="center"/>
    </xf>
    <xf numFmtId="0" fontId="73" fillId="0" borderId="41" xfId="177" applyFont="1" applyBorder="1" applyAlignment="1">
      <alignment horizontal="center"/>
    </xf>
    <xf numFmtId="164" fontId="73" fillId="0" borderId="41" xfId="31" applyNumberFormat="1" applyFont="1" applyBorder="1" applyAlignment="1">
      <alignment horizontal="center"/>
    </xf>
    <xf numFmtId="0" fontId="73" fillId="45" borderId="41" xfId="177" applyFont="1" applyFill="1" applyBorder="1" applyAlignment="1">
      <alignment horizontal="center"/>
    </xf>
    <xf numFmtId="0" fontId="74" fillId="0" borderId="81" xfId="177" applyFont="1" applyFill="1" applyBorder="1" applyAlignment="1">
      <alignment horizontal="center"/>
    </xf>
    <xf numFmtId="0" fontId="74" fillId="0" borderId="13" xfId="177" applyFont="1" applyFill="1" applyBorder="1" applyAlignment="1">
      <alignment horizontal="center"/>
    </xf>
    <xf numFmtId="0" fontId="74" fillId="0" borderId="73" xfId="177" applyFont="1" applyFill="1" applyBorder="1" applyAlignment="1">
      <alignment horizontal="center"/>
    </xf>
    <xf numFmtId="10" fontId="73" fillId="45" borderId="41" xfId="177" applyNumberFormat="1" applyFont="1" applyFill="1" applyBorder="1" applyAlignment="1">
      <alignment horizontal="center"/>
    </xf>
    <xf numFmtId="0" fontId="74" fillId="0" borderId="81" xfId="177" applyFont="1" applyBorder="1" applyAlignment="1">
      <alignment horizontal="left"/>
    </xf>
    <xf numFmtId="0" fontId="74" fillId="0" borderId="73" xfId="177" applyFont="1" applyBorder="1" applyAlignment="1">
      <alignment horizontal="left"/>
    </xf>
    <xf numFmtId="164" fontId="73" fillId="45" borderId="97" xfId="31" applyNumberFormat="1" applyFont="1" applyFill="1" applyBorder="1" applyAlignment="1">
      <alignment horizontal="center"/>
    </xf>
    <xf numFmtId="0" fontId="0" fillId="0" borderId="89" xfId="0" applyBorder="1"/>
    <xf numFmtId="0" fontId="73" fillId="36" borderId="81" xfId="177" applyFont="1" applyFill="1" applyBorder="1" applyAlignment="1">
      <alignment horizontal="center"/>
    </xf>
    <xf numFmtId="0" fontId="73" fillId="36" borderId="13" xfId="177" applyFont="1" applyFill="1" applyBorder="1" applyAlignment="1">
      <alignment horizontal="center"/>
    </xf>
    <xf numFmtId="0" fontId="73" fillId="36" borderId="73" xfId="177" applyFont="1" applyFill="1" applyBorder="1" applyAlignment="1">
      <alignment horizontal="center"/>
    </xf>
    <xf numFmtId="6" fontId="73" fillId="45" borderId="41" xfId="177" applyNumberFormat="1" applyFont="1" applyFill="1" applyBorder="1" applyAlignment="1">
      <alignment horizontal="center"/>
    </xf>
    <xf numFmtId="0" fontId="130" fillId="38" borderId="41" xfId="177" applyFont="1" applyFill="1" applyBorder="1" applyAlignment="1">
      <alignment horizontal="center"/>
    </xf>
    <xf numFmtId="164" fontId="73" fillId="45" borderId="81" xfId="31" applyNumberFormat="1" applyFont="1" applyFill="1" applyBorder="1" applyAlignment="1">
      <alignment horizontal="center"/>
    </xf>
    <xf numFmtId="0" fontId="0" fillId="0" borderId="73" xfId="0" applyBorder="1"/>
    <xf numFmtId="0" fontId="74" fillId="0" borderId="84" xfId="177" applyFont="1" applyBorder="1" applyAlignment="1">
      <alignment horizontal="left"/>
    </xf>
    <xf numFmtId="0" fontId="74" fillId="0" borderId="70" xfId="177" applyFont="1" applyBorder="1" applyAlignment="1">
      <alignment horizontal="left"/>
    </xf>
    <xf numFmtId="0" fontId="74" fillId="0" borderId="80" xfId="177" applyFont="1" applyBorder="1" applyAlignment="1">
      <alignment horizontal="left"/>
    </xf>
    <xf numFmtId="0" fontId="74" fillId="0" borderId="96" xfId="177" applyFont="1" applyBorder="1" applyAlignment="1">
      <alignment horizontal="center"/>
    </xf>
    <xf numFmtId="0" fontId="74" fillId="0" borderId="93" xfId="177" applyFont="1" applyBorder="1" applyAlignment="1">
      <alignment horizontal="center"/>
    </xf>
    <xf numFmtId="0" fontId="73" fillId="45" borderId="97" xfId="177" applyFont="1" applyFill="1" applyBorder="1" applyAlignment="1">
      <alignment horizontal="center"/>
    </xf>
    <xf numFmtId="0" fontId="73" fillId="45" borderId="89" xfId="177" applyFont="1" applyFill="1" applyBorder="1" applyAlignment="1">
      <alignment horizontal="center"/>
    </xf>
    <xf numFmtId="0" fontId="73" fillId="45" borderId="81" xfId="177" applyFont="1" applyFill="1" applyBorder="1" applyAlignment="1">
      <alignment horizontal="center"/>
    </xf>
    <xf numFmtId="0" fontId="73" fillId="45" borderId="73" xfId="177" applyFont="1" applyFill="1" applyBorder="1" applyAlignment="1">
      <alignment horizontal="center"/>
    </xf>
    <xf numFmtId="0" fontId="74" fillId="0" borderId="81" xfId="177" applyFont="1" applyBorder="1" applyAlignment="1">
      <alignment horizontal="center"/>
    </xf>
    <xf numFmtId="0" fontId="74" fillId="0" borderId="95" xfId="177" applyFont="1" applyBorder="1" applyAlignment="1">
      <alignment horizontal="center"/>
    </xf>
    <xf numFmtId="0" fontId="74" fillId="45" borderId="72" xfId="177" applyFont="1" applyFill="1" applyBorder="1" applyAlignment="1">
      <alignment horizontal="left" vertical="top"/>
    </xf>
    <xf numFmtId="0" fontId="74" fillId="45" borderId="76" xfId="177" applyFont="1" applyFill="1" applyBorder="1" applyAlignment="1">
      <alignment horizontal="left" vertical="top"/>
    </xf>
    <xf numFmtId="0" fontId="74" fillId="45" borderId="61" xfId="177" applyFont="1" applyFill="1" applyBorder="1" applyAlignment="1">
      <alignment horizontal="left" vertical="top"/>
    </xf>
    <xf numFmtId="0" fontId="74" fillId="0" borderId="73" xfId="177" applyFont="1" applyBorder="1" applyAlignment="1">
      <alignment horizontal="center"/>
    </xf>
    <xf numFmtId="2" fontId="73" fillId="36" borderId="41" xfId="177" applyNumberFormat="1" applyFont="1" applyFill="1" applyBorder="1" applyAlignment="1">
      <alignment horizontal="center"/>
    </xf>
    <xf numFmtId="0" fontId="73" fillId="36" borderId="41" xfId="177" applyFont="1" applyFill="1" applyBorder="1" applyAlignment="1">
      <alignment horizontal="center"/>
    </xf>
    <xf numFmtId="166" fontId="73" fillId="45" borderId="81" xfId="752" applyNumberFormat="1" applyFont="1" applyFill="1" applyBorder="1" applyAlignment="1">
      <alignment horizontal="center"/>
    </xf>
    <xf numFmtId="166" fontId="73" fillId="45" borderId="73" xfId="752" applyNumberFormat="1" applyFont="1" applyFill="1" applyBorder="1" applyAlignment="1">
      <alignment horizontal="center"/>
    </xf>
    <xf numFmtId="166" fontId="73" fillId="45" borderId="81" xfId="177" applyNumberFormat="1" applyFont="1" applyFill="1" applyBorder="1" applyAlignment="1">
      <alignment horizontal="center" wrapText="1"/>
    </xf>
    <xf numFmtId="166" fontId="73" fillId="45" borderId="13" xfId="177" applyNumberFormat="1" applyFont="1" applyFill="1" applyBorder="1" applyAlignment="1">
      <alignment horizontal="center" wrapText="1"/>
    </xf>
    <xf numFmtId="166" fontId="73" fillId="45" borderId="73" xfId="177" applyNumberFormat="1" applyFont="1" applyFill="1" applyBorder="1" applyAlignment="1">
      <alignment horizontal="center" wrapText="1"/>
    </xf>
    <xf numFmtId="166" fontId="73" fillId="45" borderId="41" xfId="177" applyNumberFormat="1" applyFont="1" applyFill="1" applyBorder="1" applyAlignment="1">
      <alignment horizontal="center" wrapText="1"/>
    </xf>
    <xf numFmtId="166" fontId="73" fillId="45" borderId="41" xfId="177" applyNumberFormat="1" applyFont="1" applyFill="1" applyBorder="1" applyAlignment="1">
      <alignment horizontal="center"/>
    </xf>
    <xf numFmtId="37" fontId="73" fillId="36" borderId="81" xfId="31" applyNumberFormat="1" applyFont="1" applyFill="1" applyBorder="1" applyAlignment="1">
      <alignment horizontal="center"/>
    </xf>
    <xf numFmtId="37" fontId="73" fillId="36" borderId="73" xfId="31" applyNumberFormat="1" applyFont="1" applyFill="1" applyBorder="1" applyAlignment="1">
      <alignment horizontal="center"/>
    </xf>
    <xf numFmtId="0" fontId="130" fillId="38" borderId="81" xfId="177" applyFont="1" applyFill="1" applyBorder="1" applyAlignment="1">
      <alignment horizontal="center"/>
    </xf>
    <xf numFmtId="0" fontId="130" fillId="38" borderId="13" xfId="177" applyFont="1" applyFill="1" applyBorder="1" applyAlignment="1">
      <alignment horizontal="center"/>
    </xf>
    <xf numFmtId="0" fontId="130" fillId="38" borderId="73" xfId="177" applyFont="1" applyFill="1" applyBorder="1" applyAlignment="1">
      <alignment horizontal="center"/>
    </xf>
    <xf numFmtId="0" fontId="73" fillId="41" borderId="61" xfId="177" applyFont="1" applyFill="1" applyBorder="1" applyAlignment="1">
      <alignment horizontal="center"/>
    </xf>
    <xf numFmtId="0" fontId="74" fillId="0" borderId="84" xfId="177" applyFont="1" applyFill="1" applyBorder="1" applyAlignment="1">
      <alignment horizontal="center"/>
    </xf>
    <xf numFmtId="0" fontId="74" fillId="0" borderId="80" xfId="177" applyFont="1" applyFill="1" applyBorder="1" applyAlignment="1">
      <alignment horizontal="center"/>
    </xf>
    <xf numFmtId="0" fontId="73" fillId="41" borderId="81" xfId="177" applyFont="1" applyFill="1" applyBorder="1" applyAlignment="1">
      <alignment horizontal="center"/>
    </xf>
    <xf numFmtId="0" fontId="73" fillId="41" borderId="13" xfId="177" applyFont="1" applyFill="1" applyBorder="1" applyAlignment="1">
      <alignment horizontal="center"/>
    </xf>
    <xf numFmtId="0" fontId="73" fillId="41" borderId="73" xfId="177" applyFont="1" applyFill="1" applyBorder="1" applyAlignment="1">
      <alignment horizontal="center"/>
    </xf>
    <xf numFmtId="0" fontId="74" fillId="0" borderId="84" xfId="177" applyFont="1" applyFill="1" applyBorder="1" applyAlignment="1">
      <alignment horizontal="left"/>
    </xf>
    <xf numFmtId="0" fontId="74" fillId="0" borderId="70" xfId="177" applyFont="1" applyFill="1" applyBorder="1" applyAlignment="1">
      <alignment horizontal="left"/>
    </xf>
    <xf numFmtId="0" fontId="74" fillId="0" borderId="80" xfId="177" applyFont="1" applyFill="1" applyBorder="1" applyAlignment="1">
      <alignment horizontal="left"/>
    </xf>
    <xf numFmtId="0" fontId="129" fillId="38" borderId="81" xfId="177" applyFont="1" applyFill="1" applyBorder="1" applyAlignment="1">
      <alignment horizontal="center" vertical="center"/>
    </xf>
    <xf numFmtId="0" fontId="129" fillId="38" borderId="13" xfId="177" applyFont="1" applyFill="1" applyBorder="1" applyAlignment="1">
      <alignment horizontal="center" vertical="center"/>
    </xf>
    <xf numFmtId="0" fontId="129" fillId="38" borderId="73" xfId="177" applyFont="1" applyFill="1" applyBorder="1" applyAlignment="1">
      <alignment horizontal="center" vertical="center"/>
    </xf>
    <xf numFmtId="9" fontId="73" fillId="0" borderId="41" xfId="177" applyNumberFormat="1" applyFont="1" applyFill="1" applyBorder="1" applyAlignment="1">
      <alignment horizontal="center"/>
    </xf>
    <xf numFmtId="0" fontId="73" fillId="0" borderId="41" xfId="177" applyFont="1" applyFill="1" applyBorder="1" applyAlignment="1">
      <alignment horizontal="center"/>
    </xf>
    <xf numFmtId="193" fontId="89" fillId="38" borderId="41" xfId="0" applyNumberFormat="1" applyFont="1" applyFill="1" applyBorder="1" applyAlignment="1" applyProtection="1">
      <alignment horizontal="center"/>
      <protection locked="0"/>
    </xf>
    <xf numFmtId="0" fontId="89" fillId="38" borderId="41" xfId="0" applyNumberFormat="1" applyFont="1" applyFill="1" applyBorder="1" applyAlignment="1" applyProtection="1">
      <alignment horizontal="center"/>
      <protection locked="0"/>
    </xf>
    <xf numFmtId="0" fontId="96" fillId="37" borderId="75" xfId="0" applyFont="1" applyFill="1" applyBorder="1" applyAlignment="1" applyProtection="1">
      <alignment horizontal="center"/>
      <protection locked="0"/>
    </xf>
    <xf numFmtId="0" fontId="96" fillId="37" borderId="15" xfId="0" applyFont="1" applyFill="1" applyBorder="1" applyAlignment="1" applyProtection="1">
      <alignment horizontal="center"/>
      <protection locked="0"/>
    </xf>
    <xf numFmtId="1" fontId="13" fillId="27" borderId="90" xfId="0" applyNumberFormat="1" applyFont="1" applyFill="1" applyBorder="1" applyAlignment="1" applyProtection="1">
      <alignment horizontal="center" vertical="center"/>
      <protection hidden="1"/>
    </xf>
    <xf numFmtId="1" fontId="0" fillId="27" borderId="79" xfId="0" applyNumberFormat="1" applyFill="1" applyBorder="1" applyAlignment="1" applyProtection="1">
      <alignment horizontal="center" vertical="center"/>
      <protection hidden="1"/>
    </xf>
    <xf numFmtId="1" fontId="0" fillId="27" borderId="116" xfId="0" applyNumberFormat="1" applyFill="1" applyBorder="1" applyAlignment="1" applyProtection="1">
      <alignment horizontal="center" vertical="center"/>
      <protection hidden="1"/>
    </xf>
    <xf numFmtId="1" fontId="13" fillId="0" borderId="90" xfId="0" applyNumberFormat="1" applyFont="1" applyBorder="1" applyAlignment="1" applyProtection="1">
      <alignment horizontal="center" vertical="center"/>
      <protection hidden="1"/>
    </xf>
    <xf numFmtId="1" fontId="0" fillId="0" borderId="79" xfId="0" applyNumberFormat="1" applyBorder="1" applyAlignment="1" applyProtection="1">
      <alignment vertical="center"/>
      <protection hidden="1"/>
    </xf>
    <xf numFmtId="1" fontId="0" fillId="0" borderId="116" xfId="0" applyNumberFormat="1" applyBorder="1" applyAlignment="1" applyProtection="1">
      <alignment vertical="center"/>
      <protection hidden="1"/>
    </xf>
    <xf numFmtId="0" fontId="12" fillId="38" borderId="100" xfId="0" applyNumberFormat="1" applyFont="1" applyFill="1" applyBorder="1" applyAlignment="1" applyProtection="1">
      <alignment horizontal="center" vertical="center" wrapText="1"/>
      <protection hidden="1"/>
    </xf>
    <xf numFmtId="0" fontId="12" fillId="38" borderId="98" xfId="0" applyNumberFormat="1" applyFont="1" applyFill="1" applyBorder="1" applyAlignment="1" applyProtection="1">
      <alignment horizontal="center" vertical="center" wrapText="1"/>
      <protection hidden="1"/>
    </xf>
    <xf numFmtId="0" fontId="17" fillId="38" borderId="99" xfId="0" applyFont="1" applyFill="1" applyBorder="1" applyAlignment="1" applyProtection="1">
      <alignment horizontal="center" vertical="center" wrapText="1"/>
      <protection hidden="1"/>
    </xf>
    <xf numFmtId="1" fontId="13" fillId="25" borderId="80" xfId="0" applyNumberFormat="1" applyFont="1" applyFill="1" applyBorder="1" applyAlignment="1" applyProtection="1">
      <alignment horizontal="center" vertical="center"/>
      <protection hidden="1"/>
    </xf>
    <xf numFmtId="1" fontId="13" fillId="25" borderId="79" xfId="0" applyNumberFormat="1" applyFont="1" applyFill="1" applyBorder="1" applyAlignment="1" applyProtection="1">
      <alignment horizontal="center" vertical="center"/>
      <protection hidden="1"/>
    </xf>
    <xf numFmtId="1" fontId="13" fillId="25" borderId="116" xfId="0" applyNumberFormat="1" applyFont="1" applyFill="1" applyBorder="1" applyAlignment="1" applyProtection="1">
      <alignment horizontal="center" vertical="center"/>
      <protection hidden="1"/>
    </xf>
    <xf numFmtId="1" fontId="13" fillId="27" borderId="79" xfId="0" applyNumberFormat="1" applyFont="1" applyFill="1" applyBorder="1" applyAlignment="1" applyProtection="1">
      <alignment horizontal="center" vertical="center"/>
      <protection hidden="1"/>
    </xf>
    <xf numFmtId="1" fontId="13" fillId="27" borderId="116" xfId="0" applyNumberFormat="1" applyFont="1" applyFill="1" applyBorder="1" applyAlignment="1" applyProtection="1">
      <alignment horizontal="center" vertical="center"/>
      <protection hidden="1"/>
    </xf>
    <xf numFmtId="0" fontId="12" fillId="38" borderId="99" xfId="0" applyNumberFormat="1" applyFont="1" applyFill="1" applyBorder="1" applyAlignment="1" applyProtection="1">
      <alignment horizontal="center" vertical="center" wrapText="1"/>
      <protection hidden="1"/>
    </xf>
    <xf numFmtId="0" fontId="11" fillId="0" borderId="0" xfId="0" applyFont="1" applyBorder="1" applyAlignment="1" applyProtection="1">
      <alignment vertical="center"/>
      <protection hidden="1"/>
    </xf>
    <xf numFmtId="0" fontId="0" fillId="0" borderId="0" xfId="0" applyAlignment="1" applyProtection="1">
      <alignment vertical="center"/>
      <protection hidden="1"/>
    </xf>
    <xf numFmtId="0" fontId="10" fillId="27" borderId="75" xfId="0" applyFont="1" applyFill="1" applyBorder="1" applyAlignment="1" applyProtection="1">
      <alignment horizontal="center" vertical="center"/>
      <protection hidden="1"/>
    </xf>
    <xf numFmtId="0" fontId="10" fillId="27" borderId="15" xfId="0" applyFont="1" applyFill="1" applyBorder="1" applyAlignment="1" applyProtection="1">
      <alignment horizontal="center" vertical="center"/>
      <protection hidden="1"/>
    </xf>
    <xf numFmtId="0" fontId="0" fillId="38" borderId="98" xfId="0" applyFill="1" applyBorder="1" applyAlignment="1" applyProtection="1">
      <alignment horizontal="center" vertical="center" wrapText="1"/>
      <protection hidden="1"/>
    </xf>
    <xf numFmtId="0" fontId="0" fillId="38" borderId="99" xfId="0" applyFill="1" applyBorder="1" applyAlignment="1" applyProtection="1">
      <alignment horizontal="center" vertical="center" wrapText="1"/>
      <protection hidden="1"/>
    </xf>
    <xf numFmtId="9" fontId="3" fillId="25" borderId="101" xfId="0" applyNumberFormat="1" applyFont="1" applyFill="1" applyBorder="1" applyAlignment="1" applyProtection="1">
      <alignment horizontal="center" vertical="center" wrapText="1"/>
      <protection hidden="1"/>
    </xf>
    <xf numFmtId="0" fontId="0" fillId="0" borderId="102" xfId="0" applyBorder="1" applyAlignment="1" applyProtection="1">
      <alignment horizontal="center" vertical="center" wrapText="1"/>
      <protection hidden="1"/>
    </xf>
    <xf numFmtId="0" fontId="0" fillId="0" borderId="103" xfId="0" applyBorder="1" applyAlignment="1" applyProtection="1">
      <alignment horizontal="center" vertical="center" wrapText="1"/>
      <protection hidden="1"/>
    </xf>
    <xf numFmtId="0" fontId="12" fillId="35" borderId="111" xfId="0" applyNumberFormat="1" applyFont="1" applyFill="1" applyBorder="1" applyAlignment="1" applyProtection="1">
      <alignment horizontal="center" vertical="center" wrapText="1"/>
      <protection hidden="1"/>
    </xf>
    <xf numFmtId="0" fontId="12" fillId="35" borderId="112" xfId="0" applyNumberFormat="1" applyFont="1" applyFill="1" applyBorder="1" applyAlignment="1" applyProtection="1">
      <alignment horizontal="center" vertical="center" wrapText="1"/>
      <protection hidden="1"/>
    </xf>
    <xf numFmtId="0" fontId="0" fillId="0" borderId="113" xfId="0" applyBorder="1" applyAlignment="1" applyProtection="1">
      <alignment horizontal="center" vertical="center" wrapText="1"/>
      <protection hidden="1"/>
    </xf>
    <xf numFmtId="9" fontId="3" fillId="25" borderId="114" xfId="0" applyNumberFormat="1" applyFont="1" applyFill="1" applyBorder="1" applyAlignment="1" applyProtection="1">
      <alignment horizontal="center" vertical="center" wrapText="1"/>
      <protection hidden="1"/>
    </xf>
    <xf numFmtId="0" fontId="17" fillId="25" borderId="102" xfId="0" applyFont="1" applyFill="1" applyBorder="1" applyAlignment="1" applyProtection="1">
      <alignment horizontal="center" vertical="center" wrapText="1"/>
      <protection hidden="1"/>
    </xf>
    <xf numFmtId="0" fontId="17" fillId="25" borderId="103" xfId="0" applyFont="1" applyFill="1" applyBorder="1" applyAlignment="1" applyProtection="1">
      <alignment horizontal="center" vertical="center" wrapText="1"/>
      <protection hidden="1"/>
    </xf>
    <xf numFmtId="0" fontId="0" fillId="0" borderId="115" xfId="0" applyBorder="1" applyAlignment="1" applyProtection="1">
      <alignment horizontal="center" vertical="center" wrapText="1"/>
      <protection hidden="1"/>
    </xf>
    <xf numFmtId="0" fontId="25" fillId="0" borderId="86" xfId="0" applyFont="1" applyBorder="1" applyAlignment="1" applyProtection="1">
      <alignment vertical="center" wrapText="1"/>
      <protection hidden="1"/>
    </xf>
    <xf numFmtId="0" fontId="25" fillId="0" borderId="104" xfId="0" applyFont="1" applyBorder="1" applyAlignment="1" applyProtection="1">
      <alignment vertical="center" wrapText="1"/>
      <protection hidden="1"/>
    </xf>
    <xf numFmtId="0" fontId="25" fillId="0" borderId="105" xfId="0" applyFont="1" applyBorder="1" applyAlignment="1" applyProtection="1">
      <alignment vertical="center" wrapText="1"/>
      <protection hidden="1"/>
    </xf>
    <xf numFmtId="0" fontId="25" fillId="0" borderId="106" xfId="0" applyFont="1" applyBorder="1" applyAlignment="1" applyProtection="1">
      <alignment vertical="center" wrapText="1"/>
      <protection hidden="1"/>
    </xf>
    <xf numFmtId="0" fontId="25" fillId="0" borderId="107" xfId="0" applyFont="1" applyBorder="1" applyAlignment="1" applyProtection="1">
      <alignment vertical="center" wrapText="1"/>
      <protection hidden="1"/>
    </xf>
    <xf numFmtId="0" fontId="25" fillId="0" borderId="108" xfId="0" applyFont="1" applyBorder="1" applyAlignment="1" applyProtection="1">
      <alignment vertical="center" wrapText="1"/>
      <protection hidden="1"/>
    </xf>
    <xf numFmtId="0" fontId="25" fillId="0" borderId="74" xfId="0" applyFont="1" applyBorder="1" applyAlignment="1" applyProtection="1">
      <alignment vertical="center" wrapText="1"/>
      <protection hidden="1"/>
    </xf>
    <xf numFmtId="0" fontId="24" fillId="0" borderId="77" xfId="0" applyFont="1" applyBorder="1" applyAlignment="1" applyProtection="1">
      <alignment vertical="center" wrapText="1"/>
      <protection hidden="1"/>
    </xf>
    <xf numFmtId="0" fontId="24" fillId="0" borderId="63" xfId="0" applyFont="1" applyBorder="1" applyAlignment="1" applyProtection="1">
      <alignment vertical="center" wrapText="1"/>
      <protection hidden="1"/>
    </xf>
    <xf numFmtId="0" fontId="3" fillId="27" borderId="109" xfId="0" applyFont="1" applyFill="1" applyBorder="1" applyAlignment="1" applyProtection="1">
      <alignment horizontal="center" vertical="center" wrapText="1"/>
      <protection hidden="1"/>
    </xf>
    <xf numFmtId="0" fontId="10" fillId="27" borderId="110" xfId="0" applyFont="1" applyFill="1" applyBorder="1" applyAlignment="1" applyProtection="1">
      <alignment horizontal="center" vertical="center" wrapText="1"/>
      <protection hidden="1"/>
    </xf>
    <xf numFmtId="0" fontId="3" fillId="27" borderId="12" xfId="0" applyFont="1" applyFill="1" applyBorder="1" applyAlignment="1" applyProtection="1">
      <alignment horizontal="center" vertical="center" wrapText="1"/>
      <protection hidden="1"/>
    </xf>
    <xf numFmtId="0" fontId="17" fillId="27" borderId="15" xfId="0" applyFont="1" applyFill="1" applyBorder="1" applyAlignment="1" applyProtection="1">
      <alignment horizontal="center" vertical="center" wrapText="1"/>
      <protection hidden="1"/>
    </xf>
    <xf numFmtId="0" fontId="17" fillId="38" borderId="98" xfId="0" applyFont="1" applyFill="1" applyBorder="1" applyAlignment="1" applyProtection="1">
      <alignment horizontal="center" vertical="center" wrapText="1"/>
      <protection hidden="1"/>
    </xf>
  </cellXfs>
  <cellStyles count="777">
    <cellStyle name="=C:\WINNT35\SYSTEM32\COMMAND.COM" xfId="1"/>
    <cellStyle name="1" xfId="2"/>
    <cellStyle name="20% - Accent1" xfId="3"/>
    <cellStyle name="20% - Accent2" xfId="4"/>
    <cellStyle name="20% - Accent3" xfId="5"/>
    <cellStyle name="20% - Accent4" xfId="6"/>
    <cellStyle name="20% - Accent5" xfId="7"/>
    <cellStyle name="20% - Accent6" xfId="8"/>
    <cellStyle name="40% - Accent1" xfId="9"/>
    <cellStyle name="40% - Accent2" xfId="10"/>
    <cellStyle name="40% - Accent3" xfId="11"/>
    <cellStyle name="40% - Accent4" xfId="12"/>
    <cellStyle name="40% - Accent5" xfId="13"/>
    <cellStyle name="40% - Accent6" xfId="14"/>
    <cellStyle name="60% - Accent1" xfId="15"/>
    <cellStyle name="60% - Accent2" xfId="16"/>
    <cellStyle name="60% - Accent3" xfId="17"/>
    <cellStyle name="60% - Accent4" xfId="18"/>
    <cellStyle name="60% - Accent5" xfId="19"/>
    <cellStyle name="60% - Accent6" xfId="20"/>
    <cellStyle name="Accent1" xfId="21"/>
    <cellStyle name="Accent2" xfId="22"/>
    <cellStyle name="Accent3" xfId="23"/>
    <cellStyle name="Accent4" xfId="24"/>
    <cellStyle name="Accent5" xfId="25"/>
    <cellStyle name="Accent6" xfId="26"/>
    <cellStyle name="Bad" xfId="27"/>
    <cellStyle name="Calculation" xfId="28"/>
    <cellStyle name="Cancel" xfId="29"/>
    <cellStyle name="Check Cell" xfId="30"/>
    <cellStyle name="Comma" xfId="31" builtinId="3"/>
    <cellStyle name="Comma 2" xfId="32"/>
    <cellStyle name="Comma 3" xfId="33"/>
    <cellStyle name="Comma 4" xfId="34"/>
    <cellStyle name="Comma 5" xfId="35"/>
    <cellStyle name="Comma 6" xfId="36"/>
    <cellStyle name="Currency" xfId="37" builtinId="4"/>
    <cellStyle name="Currency 2" xfId="38"/>
    <cellStyle name="Explanatory Text" xfId="39"/>
    <cellStyle name="Good" xfId="40"/>
    <cellStyle name="Heading 1" xfId="41"/>
    <cellStyle name="Heading 2" xfId="42"/>
    <cellStyle name="Heading 3" xfId="43"/>
    <cellStyle name="Heading 4" xfId="44"/>
    <cellStyle name="Hyperlink" xfId="45" builtinId="8"/>
    <cellStyle name="Input" xfId="46"/>
    <cellStyle name="Level2Def" xfId="47"/>
    <cellStyle name="Linked Cell" xfId="48"/>
    <cellStyle name="Migliaia 2" xfId="49"/>
    <cellStyle name="Migliaia 3" xfId="50"/>
    <cellStyle name="Migliaia 4" xfId="51"/>
    <cellStyle name="Migliaia 4 2" xfId="52"/>
    <cellStyle name="Migliaia 5" xfId="53"/>
    <cellStyle name="Migliaia 6" xfId="54"/>
    <cellStyle name="Millares 10" xfId="55"/>
    <cellStyle name="Millares 10 4" xfId="56"/>
    <cellStyle name="Millares 11" xfId="57"/>
    <cellStyle name="Millares 12" xfId="58"/>
    <cellStyle name="Millares 13" xfId="59"/>
    <cellStyle name="Millares 14" xfId="60"/>
    <cellStyle name="Millares 15" xfId="61"/>
    <cellStyle name="Millares 16" xfId="62"/>
    <cellStyle name="Millares 17" xfId="63"/>
    <cellStyle name="Millares 18" xfId="64"/>
    <cellStyle name="Millares 19" xfId="65"/>
    <cellStyle name="Millares 2" xfId="66"/>
    <cellStyle name="Millares 2 10" xfId="67"/>
    <cellStyle name="Millares 2 11" xfId="68"/>
    <cellStyle name="Millares 2 12" xfId="69"/>
    <cellStyle name="Millares 2 13" xfId="70"/>
    <cellStyle name="Millares 2 14" xfId="71"/>
    <cellStyle name="Millares 2 15" xfId="72"/>
    <cellStyle name="Millares 2 16" xfId="73"/>
    <cellStyle name="Millares 2 17" xfId="74"/>
    <cellStyle name="Millares 2 18" xfId="75"/>
    <cellStyle name="Millares 2 19" xfId="76"/>
    <cellStyle name="Millares 2 2" xfId="77"/>
    <cellStyle name="Millares 2 2 2" xfId="78"/>
    <cellStyle name="Millares 2 20" xfId="79"/>
    <cellStyle name="Millares 2 21" xfId="80"/>
    <cellStyle name="Millares 2 22" xfId="81"/>
    <cellStyle name="Millares 2 23" xfId="82"/>
    <cellStyle name="Millares 2 24" xfId="83"/>
    <cellStyle name="Millares 2 25" xfId="84"/>
    <cellStyle name="Millares 2 26" xfId="85"/>
    <cellStyle name="Millares 2 27" xfId="86"/>
    <cellStyle name="Millares 2 28" xfId="87"/>
    <cellStyle name="Millares 2 29" xfId="88"/>
    <cellStyle name="Millares 2 3" xfId="89"/>
    <cellStyle name="Millares 2 3 2" xfId="90"/>
    <cellStyle name="Millares 2 30" xfId="91"/>
    <cellStyle name="Millares 2 31" xfId="92"/>
    <cellStyle name="Millares 2 32" xfId="93"/>
    <cellStyle name="Millares 2 33" xfId="94"/>
    <cellStyle name="Millares 2 34" xfId="95"/>
    <cellStyle name="Millares 2 4" xfId="96"/>
    <cellStyle name="Millares 2 5" xfId="97"/>
    <cellStyle name="Millares 2 6" xfId="98"/>
    <cellStyle name="Millares 2 7" xfId="99"/>
    <cellStyle name="Millares 2 8" xfId="100"/>
    <cellStyle name="Millares 2 9" xfId="101"/>
    <cellStyle name="Millares 20" xfId="102"/>
    <cellStyle name="Millares 21" xfId="103"/>
    <cellStyle name="Millares 22" xfId="104"/>
    <cellStyle name="Millares 23" xfId="105"/>
    <cellStyle name="Millares 24" xfId="106"/>
    <cellStyle name="Millares 25" xfId="107"/>
    <cellStyle name="Millares 26" xfId="108"/>
    <cellStyle name="Millares 27" xfId="109"/>
    <cellStyle name="Millares 28" xfId="110"/>
    <cellStyle name="Millares 29" xfId="111"/>
    <cellStyle name="Millares 3" xfId="112"/>
    <cellStyle name="Millares 3 2" xfId="113"/>
    <cellStyle name="Millares 3 2 2" xfId="114"/>
    <cellStyle name="Millares 3 3" xfId="115"/>
    <cellStyle name="Millares 3 3 2" xfId="116"/>
    <cellStyle name="Millares 3 3 3" xfId="117"/>
    <cellStyle name="Millares 3 3 4" xfId="118"/>
    <cellStyle name="Millares 3 3 5" xfId="119"/>
    <cellStyle name="Millares 3 3 6" xfId="120"/>
    <cellStyle name="Millares 3 4" xfId="121"/>
    <cellStyle name="Millares 3 5" xfId="122"/>
    <cellStyle name="Millares 31" xfId="123"/>
    <cellStyle name="Millares 4" xfId="124"/>
    <cellStyle name="Millares 4 2" xfId="125"/>
    <cellStyle name="Millares 4 3" xfId="126"/>
    <cellStyle name="Millares 5" xfId="127"/>
    <cellStyle name="Millares 5 2" xfId="128"/>
    <cellStyle name="Millares 6" xfId="129"/>
    <cellStyle name="Millares 6 2" xfId="130"/>
    <cellStyle name="Millares 7" xfId="131"/>
    <cellStyle name="Millares 7 2" xfId="132"/>
    <cellStyle name="Millares 8" xfId="133"/>
    <cellStyle name="Millares 8 2" xfId="134"/>
    <cellStyle name="Millares 9" xfId="135"/>
    <cellStyle name="Moneda 2" xfId="136"/>
    <cellStyle name="Moneda 2 2" xfId="137"/>
    <cellStyle name="Moneda 3" xfId="138"/>
    <cellStyle name="Moneda 3 2" xfId="139"/>
    <cellStyle name="Normal" xfId="0" builtinId="0"/>
    <cellStyle name="Normal 10" xfId="140"/>
    <cellStyle name="Normal 10 10" xfId="141"/>
    <cellStyle name="Normal 10 2" xfId="142"/>
    <cellStyle name="Normal 10 3" xfId="143"/>
    <cellStyle name="Normal 10 4" xfId="144"/>
    <cellStyle name="Normal 10 5" xfId="145"/>
    <cellStyle name="Normal 10 6" xfId="146"/>
    <cellStyle name="Normal 10 7" xfId="147"/>
    <cellStyle name="Normal 10 8" xfId="148"/>
    <cellStyle name="Normal 11" xfId="149"/>
    <cellStyle name="Normal 11 2" xfId="150"/>
    <cellStyle name="Normal 11 3" xfId="151"/>
    <cellStyle name="Normal 11 4" xfId="152"/>
    <cellStyle name="Normal 11 5" xfId="153"/>
    <cellStyle name="Normal 11 6" xfId="154"/>
    <cellStyle name="Normal 11 7" xfId="155"/>
    <cellStyle name="Normal 11 8" xfId="156"/>
    <cellStyle name="Normal 12" xfId="157"/>
    <cellStyle name="Normal 12 2" xfId="158"/>
    <cellStyle name="Normal 12 3" xfId="159"/>
    <cellStyle name="Normal 12 4" xfId="160"/>
    <cellStyle name="Normal 12 5" xfId="161"/>
    <cellStyle name="Normal 12 6" xfId="162"/>
    <cellStyle name="Normal 12 7" xfId="163"/>
    <cellStyle name="Normal 12 8" xfId="164"/>
    <cellStyle name="Normal 12_julio_26 proyecciones_doctor-correc" xfId="165"/>
    <cellStyle name="Normal 13" xfId="166"/>
    <cellStyle name="Normal 14" xfId="167"/>
    <cellStyle name="Normal 15" xfId="168"/>
    <cellStyle name="Normal 16" xfId="169"/>
    <cellStyle name="Normal 17" xfId="170"/>
    <cellStyle name="Normal 17 2" xfId="171"/>
    <cellStyle name="Normal 17 3" xfId="172"/>
    <cellStyle name="Normal 18" xfId="173"/>
    <cellStyle name="Normal 19" xfId="174"/>
    <cellStyle name="Normal 19 2" xfId="175"/>
    <cellStyle name="Normal 19 3" xfId="176"/>
    <cellStyle name="Normal 2" xfId="177"/>
    <cellStyle name="Normal 2 2" xfId="178"/>
    <cellStyle name="Normal 2 3" xfId="179"/>
    <cellStyle name="Normal 2 4" xfId="180"/>
    <cellStyle name="Normal 2 5" xfId="181"/>
    <cellStyle name="Normal 2 6" xfId="182"/>
    <cellStyle name="Normal 2 7" xfId="183"/>
    <cellStyle name="Normal 2 8" xfId="184"/>
    <cellStyle name="Normal 2_EDO.RESULTADOS" xfId="185"/>
    <cellStyle name="Normal 20" xfId="186"/>
    <cellStyle name="Normal 20 2" xfId="187"/>
    <cellStyle name="Normal 20 3" xfId="188"/>
    <cellStyle name="Normal 21" xfId="189"/>
    <cellStyle name="Normal 22" xfId="190"/>
    <cellStyle name="Normal 22 2" xfId="191"/>
    <cellStyle name="Normal 22 3" xfId="192"/>
    <cellStyle name="Normal 23" xfId="193"/>
    <cellStyle name="Normal 23 2" xfId="194"/>
    <cellStyle name="Normal 23 3" xfId="195"/>
    <cellStyle name="Normal 23 4" xfId="196"/>
    <cellStyle name="Normal 23 5" xfId="197"/>
    <cellStyle name="Normal 23 6" xfId="198"/>
    <cellStyle name="Normal 23 7" xfId="199"/>
    <cellStyle name="Normal 23 8" xfId="200"/>
    <cellStyle name="Normal 23 9" xfId="201"/>
    <cellStyle name="Normal 24" xfId="202"/>
    <cellStyle name="Normal 24 2" xfId="203"/>
    <cellStyle name="Normal 25" xfId="204"/>
    <cellStyle name="Normal 25 2" xfId="205"/>
    <cellStyle name="Normal 26" xfId="206"/>
    <cellStyle name="Normal 26 2" xfId="207"/>
    <cellStyle name="Normal 27" xfId="208"/>
    <cellStyle name="Normal 27 2" xfId="209"/>
    <cellStyle name="Normal 27 3" xfId="210"/>
    <cellStyle name="Normal 28" xfId="211"/>
    <cellStyle name="Normal 28 2" xfId="212"/>
    <cellStyle name="Normal 28 3" xfId="213"/>
    <cellStyle name="Normal 29" xfId="214"/>
    <cellStyle name="Normal 29 2" xfId="215"/>
    <cellStyle name="Normal 29 3" xfId="216"/>
    <cellStyle name="Normal 3" xfId="217"/>
    <cellStyle name="Normal 3 2" xfId="218"/>
    <cellStyle name="Normal 3 3" xfId="219"/>
    <cellStyle name="Normal 3 4" xfId="220"/>
    <cellStyle name="Normal 3_ PROY FIN  2009 CONSERV." xfId="221"/>
    <cellStyle name="Normal 30" xfId="222"/>
    <cellStyle name="Normal 30 2" xfId="223"/>
    <cellStyle name="Normal 30 3" xfId="224"/>
    <cellStyle name="Normal 31" xfId="225"/>
    <cellStyle name="Normal 31 2" xfId="226"/>
    <cellStyle name="Normal 31 3" xfId="227"/>
    <cellStyle name="Normal 32" xfId="228"/>
    <cellStyle name="Normal 32 2" xfId="229"/>
    <cellStyle name="Normal 32 3" xfId="230"/>
    <cellStyle name="Normal 33" xfId="231"/>
    <cellStyle name="Normal 33 2" xfId="232"/>
    <cellStyle name="Normal 33 3" xfId="233"/>
    <cellStyle name="Normal 33 4" xfId="234"/>
    <cellStyle name="Normal 33_julio_26 proyecciones_doctor-correc" xfId="235"/>
    <cellStyle name="Normal 34" xfId="236"/>
    <cellStyle name="Normal 34 2" xfId="237"/>
    <cellStyle name="Normal 35" xfId="238"/>
    <cellStyle name="Normal 35 2" xfId="239"/>
    <cellStyle name="Normal 36" xfId="240"/>
    <cellStyle name="Normal 36 2" xfId="241"/>
    <cellStyle name="Normal 37" xfId="242"/>
    <cellStyle name="Normal 37 2" xfId="243"/>
    <cellStyle name="Normal 38" xfId="244"/>
    <cellStyle name="Normal 38 2" xfId="245"/>
    <cellStyle name="Normal 39" xfId="246"/>
    <cellStyle name="Normal 39 2" xfId="247"/>
    <cellStyle name="Normal 39 3" xfId="248"/>
    <cellStyle name="Normal 39 4" xfId="249"/>
    <cellStyle name="Normal 4" xfId="250"/>
    <cellStyle name="Normal 4 2" xfId="251"/>
    <cellStyle name="Normal 4 3" xfId="252"/>
    <cellStyle name="Normal 40" xfId="253"/>
    <cellStyle name="Normal 40 2" xfId="254"/>
    <cellStyle name="Normal 40 3" xfId="255"/>
    <cellStyle name="Normal 40 4" xfId="256"/>
    <cellStyle name="Normal 41" xfId="257"/>
    <cellStyle name="Normal 41 2" xfId="258"/>
    <cellStyle name="Normal 41 3" xfId="259"/>
    <cellStyle name="Normal 41 4" xfId="260"/>
    <cellStyle name="Normal 42" xfId="261"/>
    <cellStyle name="Normal 42 2" xfId="262"/>
    <cellStyle name="Normal 43" xfId="263"/>
    <cellStyle name="Normal 43 2" xfId="264"/>
    <cellStyle name="Normal 43 3" xfId="265"/>
    <cellStyle name="Normal 43 4" xfId="266"/>
    <cellStyle name="Normal 44" xfId="267"/>
    <cellStyle name="Normal 44 2" xfId="268"/>
    <cellStyle name="Normal 44 3" xfId="269"/>
    <cellStyle name="Normal 44 4" xfId="270"/>
    <cellStyle name="Normal 45" xfId="271"/>
    <cellStyle name="Normal 45 2" xfId="272"/>
    <cellStyle name="Normal 45 3" xfId="273"/>
    <cellStyle name="Normal 46" xfId="274"/>
    <cellStyle name="Normal 46 2" xfId="275"/>
    <cellStyle name="Normal 46 3" xfId="276"/>
    <cellStyle name="Normal 47" xfId="277"/>
    <cellStyle name="Normal 47 2" xfId="278"/>
    <cellStyle name="Normal 47_julio_26 proyecciones_doctor-correc" xfId="279"/>
    <cellStyle name="Normal 48" xfId="280"/>
    <cellStyle name="Normal 48 2" xfId="281"/>
    <cellStyle name="Normal 48 3" xfId="282"/>
    <cellStyle name="Normal 49" xfId="283"/>
    <cellStyle name="Normal 49 2" xfId="284"/>
    <cellStyle name="Normal 49 3" xfId="285"/>
    <cellStyle name="Normal 5" xfId="286"/>
    <cellStyle name="Normal 5 2" xfId="287"/>
    <cellStyle name="Normal 5 3" xfId="288"/>
    <cellStyle name="Normal 50" xfId="289"/>
    <cellStyle name="Normal 50 2" xfId="290"/>
    <cellStyle name="Normal 50 3" xfId="291"/>
    <cellStyle name="Normal 51" xfId="292"/>
    <cellStyle name="Normal 51 2" xfId="293"/>
    <cellStyle name="Normal 51 3" xfId="294"/>
    <cellStyle name="Normal 51 4" xfId="295"/>
    <cellStyle name="Normal 52" xfId="296"/>
    <cellStyle name="Normal 52 2" xfId="297"/>
    <cellStyle name="Normal 52 3" xfId="298"/>
    <cellStyle name="Normal 52 4" xfId="299"/>
    <cellStyle name="Normal 53" xfId="300"/>
    <cellStyle name="Normal 53 2" xfId="301"/>
    <cellStyle name="Normal 53 3" xfId="302"/>
    <cellStyle name="Normal 53 4" xfId="303"/>
    <cellStyle name="Normal 54" xfId="304"/>
    <cellStyle name="Normal 54 2" xfId="305"/>
    <cellStyle name="Normal 54 3" xfId="306"/>
    <cellStyle name="Normal 54 4" xfId="307"/>
    <cellStyle name="Normal 55" xfId="308"/>
    <cellStyle name="Normal 55 2" xfId="309"/>
    <cellStyle name="Normal 55 3" xfId="310"/>
    <cellStyle name="Normal 55 4" xfId="311"/>
    <cellStyle name="Normal 56" xfId="312"/>
    <cellStyle name="Normal 56 2" xfId="313"/>
    <cellStyle name="Normal 56 3" xfId="314"/>
    <cellStyle name="Normal 57" xfId="315"/>
    <cellStyle name="Normal 57 2" xfId="316"/>
    <cellStyle name="Normal 57 3" xfId="317"/>
    <cellStyle name="Normal 58" xfId="318"/>
    <cellStyle name="Normal 58 2" xfId="319"/>
    <cellStyle name="Normal 58 3" xfId="320"/>
    <cellStyle name="Normal 59" xfId="321"/>
    <cellStyle name="Normal 59 2" xfId="322"/>
    <cellStyle name="Normal 59 3" xfId="323"/>
    <cellStyle name="Normal 6" xfId="324"/>
    <cellStyle name="Normal 6 2" xfId="325"/>
    <cellStyle name="Normal 6 3" xfId="326"/>
    <cellStyle name="Normal 6 4" xfId="327"/>
    <cellStyle name="Normal 6 5" xfId="328"/>
    <cellStyle name="Normal 6 6" xfId="329"/>
    <cellStyle name="Normal 6 7" xfId="330"/>
    <cellStyle name="Normal 6 8" xfId="331"/>
    <cellStyle name="Normal 60" xfId="332"/>
    <cellStyle name="Normal 60 2" xfId="333"/>
    <cellStyle name="Normal 60 3" xfId="334"/>
    <cellStyle name="Normal 61" xfId="335"/>
    <cellStyle name="Normal 61 2" xfId="336"/>
    <cellStyle name="Normal 62" xfId="337"/>
    <cellStyle name="Normal 62 2" xfId="338"/>
    <cellStyle name="Normal 62 3" xfId="339"/>
    <cellStyle name="Normal 63" xfId="340"/>
    <cellStyle name="Normal 63 2" xfId="341"/>
    <cellStyle name="Normal 63 3" xfId="342"/>
    <cellStyle name="Normal 64" xfId="343"/>
    <cellStyle name="Normal 64 2" xfId="344"/>
    <cellStyle name="Normal 64 3" xfId="345"/>
    <cellStyle name="Normal 65" xfId="346"/>
    <cellStyle name="Normal 65 2" xfId="347"/>
    <cellStyle name="Normal 65 3" xfId="348"/>
    <cellStyle name="Normal 66" xfId="349"/>
    <cellStyle name="Normal 66 2" xfId="350"/>
    <cellStyle name="Normal 66 3" xfId="351"/>
    <cellStyle name="Normal 67" xfId="352"/>
    <cellStyle name="Normal 67 2" xfId="353"/>
    <cellStyle name="Normal 68" xfId="354"/>
    <cellStyle name="Normal 68 2" xfId="355"/>
    <cellStyle name="Normal 69" xfId="356"/>
    <cellStyle name="Normal 69 2" xfId="357"/>
    <cellStyle name="Normal 7" xfId="358"/>
    <cellStyle name="Normal 7 2" xfId="359"/>
    <cellStyle name="Normal 7 3" xfId="360"/>
    <cellStyle name="Normal 70" xfId="361"/>
    <cellStyle name="Normal 70 2" xfId="362"/>
    <cellStyle name="Normal 71" xfId="363"/>
    <cellStyle name="Normal 72" xfId="364"/>
    <cellStyle name="Normal 73" xfId="365"/>
    <cellStyle name="Normal 74" xfId="366"/>
    <cellStyle name="Normal 75" xfId="367"/>
    <cellStyle name="Normal 76" xfId="368"/>
    <cellStyle name="Normal 77" xfId="369"/>
    <cellStyle name="Normal 78" xfId="370"/>
    <cellStyle name="Normal 79" xfId="371"/>
    <cellStyle name="Normal 79 2" xfId="372"/>
    <cellStyle name="Normal 8" xfId="373"/>
    <cellStyle name="Normal 8 2" xfId="374"/>
    <cellStyle name="Normal 8 3" xfId="375"/>
    <cellStyle name="Normal 8 4" xfId="376"/>
    <cellStyle name="Normal 80" xfId="377"/>
    <cellStyle name="Normal 80 2" xfId="378"/>
    <cellStyle name="Normal 81" xfId="379"/>
    <cellStyle name="Normal 81 2" xfId="380"/>
    <cellStyle name="Normal 82" xfId="381"/>
    <cellStyle name="Normal 83" xfId="382"/>
    <cellStyle name="Normal 84" xfId="383"/>
    <cellStyle name="Normal 85" xfId="384"/>
    <cellStyle name="Normal 86" xfId="385"/>
    <cellStyle name="Normal 87" xfId="386"/>
    <cellStyle name="Normal 88" xfId="387"/>
    <cellStyle name="Normal 89" xfId="388"/>
    <cellStyle name="Normal 9" xfId="389"/>
    <cellStyle name="Normal 9 2" xfId="390"/>
    <cellStyle name="Normal 9 3" xfId="391"/>
    <cellStyle name="Normal 9 4" xfId="392"/>
    <cellStyle name="Normal 9 5" xfId="393"/>
    <cellStyle name="Normal 9 6" xfId="394"/>
    <cellStyle name="Normal 9 7" xfId="395"/>
    <cellStyle name="Normal 9 8" xfId="396"/>
    <cellStyle name="Normal 90" xfId="397"/>
    <cellStyle name="Normal 91" xfId="398"/>
    <cellStyle name="Normal 92" xfId="399"/>
    <cellStyle name="Normal 93" xfId="400"/>
    <cellStyle name="Normal 94" xfId="401"/>
    <cellStyle name="Normal 95" xfId="402"/>
    <cellStyle name="Normal 96" xfId="776"/>
    <cellStyle name="Normal_Definition sheet" xfId="403"/>
    <cellStyle name="Normal_FINALSNSReporting_Huancayo_English Version v4 (2)" xfId="404"/>
    <cellStyle name="Normale 2" xfId="405"/>
    <cellStyle name="Normale 3" xfId="406"/>
    <cellStyle name="Normale 4" xfId="407"/>
    <cellStyle name="Normale 5" xfId="408"/>
    <cellStyle name="Normale 6" xfId="409"/>
    <cellStyle name="Notas 10" xfId="410"/>
    <cellStyle name="Notas 10 2" xfId="411"/>
    <cellStyle name="Notas 10 3" xfId="412"/>
    <cellStyle name="Notas 10 4" xfId="413"/>
    <cellStyle name="Notas 10 5" xfId="414"/>
    <cellStyle name="Notas 10 6" xfId="415"/>
    <cellStyle name="Notas 10 7" xfId="416"/>
    <cellStyle name="Notas 10 8" xfId="417"/>
    <cellStyle name="Notas 11" xfId="418"/>
    <cellStyle name="Notas 11 2" xfId="419"/>
    <cellStyle name="Notas 11 3" xfId="420"/>
    <cellStyle name="Notas 11 4" xfId="421"/>
    <cellStyle name="Notas 11 5" xfId="422"/>
    <cellStyle name="Notas 11 6" xfId="423"/>
    <cellStyle name="Notas 11 7" xfId="424"/>
    <cellStyle name="Notas 11 8" xfId="425"/>
    <cellStyle name="Notas 12" xfId="426"/>
    <cellStyle name="Notas 13" xfId="427"/>
    <cellStyle name="Notas 14" xfId="428"/>
    <cellStyle name="Notas 15" xfId="429"/>
    <cellStyle name="Notas 16" xfId="430"/>
    <cellStyle name="Notas 17" xfId="431"/>
    <cellStyle name="Notas 18" xfId="432"/>
    <cellStyle name="Notas 19" xfId="433"/>
    <cellStyle name="Notas 2" xfId="434"/>
    <cellStyle name="Notas 2 2" xfId="435"/>
    <cellStyle name="Notas 2 3" xfId="436"/>
    <cellStyle name="Notas 2 4" xfId="437"/>
    <cellStyle name="Notas 2 5" xfId="438"/>
    <cellStyle name="Notas 2 6" xfId="439"/>
    <cellStyle name="Notas 2 7" xfId="440"/>
    <cellStyle name="Notas 2 8" xfId="441"/>
    <cellStyle name="Notas 20" xfId="442"/>
    <cellStyle name="Notas 21" xfId="443"/>
    <cellStyle name="Notas 22" xfId="444"/>
    <cellStyle name="Notas 22 2" xfId="445"/>
    <cellStyle name="Notas 22 3" xfId="446"/>
    <cellStyle name="Notas 22 4" xfId="447"/>
    <cellStyle name="Notas 22 5" xfId="448"/>
    <cellStyle name="Notas 22 6" xfId="449"/>
    <cellStyle name="Notas 23" xfId="450"/>
    <cellStyle name="Notas 23 2" xfId="451"/>
    <cellStyle name="Notas 23 3" xfId="452"/>
    <cellStyle name="Notas 23 4" xfId="453"/>
    <cellStyle name="Notas 23 5" xfId="454"/>
    <cellStyle name="Notas 23 6" xfId="455"/>
    <cellStyle name="Notas 24" xfId="456"/>
    <cellStyle name="Notas 24 2" xfId="457"/>
    <cellStyle name="Notas 24 3" xfId="458"/>
    <cellStyle name="Notas 24 4" xfId="459"/>
    <cellStyle name="Notas 24 5" xfId="460"/>
    <cellStyle name="Notas 24 6" xfId="461"/>
    <cellStyle name="Notas 25" xfId="462"/>
    <cellStyle name="Notas 25 2" xfId="463"/>
    <cellStyle name="Notas 25 3" xfId="464"/>
    <cellStyle name="Notas 25 4" xfId="465"/>
    <cellStyle name="Notas 25 5" xfId="466"/>
    <cellStyle name="Notas 25 6" xfId="467"/>
    <cellStyle name="Notas 26" xfId="468"/>
    <cellStyle name="Notas 26 2" xfId="469"/>
    <cellStyle name="Notas 26 3" xfId="470"/>
    <cellStyle name="Notas 26 4" xfId="471"/>
    <cellStyle name="Notas 26 5" xfId="472"/>
    <cellStyle name="Notas 26 6" xfId="473"/>
    <cellStyle name="Notas 27" xfId="474"/>
    <cellStyle name="Notas 27 2" xfId="475"/>
    <cellStyle name="Notas 27 3" xfId="476"/>
    <cellStyle name="Notas 27 4" xfId="477"/>
    <cellStyle name="Notas 27 5" xfId="478"/>
    <cellStyle name="Notas 27 6" xfId="479"/>
    <cellStyle name="Notas 28" xfId="480"/>
    <cellStyle name="Notas 28 2" xfId="481"/>
    <cellStyle name="Notas 28 3" xfId="482"/>
    <cellStyle name="Notas 28 4" xfId="483"/>
    <cellStyle name="Notas 28 5" xfId="484"/>
    <cellStyle name="Notas 28 6" xfId="485"/>
    <cellStyle name="Notas 29" xfId="486"/>
    <cellStyle name="Notas 29 2" xfId="487"/>
    <cellStyle name="Notas 29 3" xfId="488"/>
    <cellStyle name="Notas 29 4" xfId="489"/>
    <cellStyle name="Notas 29 5" xfId="490"/>
    <cellStyle name="Notas 29 6" xfId="491"/>
    <cellStyle name="Notas 3" xfId="492"/>
    <cellStyle name="Notas 3 2" xfId="493"/>
    <cellStyle name="Notas 3 3" xfId="494"/>
    <cellStyle name="Notas 3 4" xfId="495"/>
    <cellStyle name="Notas 3 5" xfId="496"/>
    <cellStyle name="Notas 3 6" xfId="497"/>
    <cellStyle name="Notas 3 7" xfId="498"/>
    <cellStyle name="Notas 3 8" xfId="499"/>
    <cellStyle name="Notas 30" xfId="500"/>
    <cellStyle name="Notas 30 2" xfId="501"/>
    <cellStyle name="Notas 30 3" xfId="502"/>
    <cellStyle name="Notas 30 4" xfId="503"/>
    <cellStyle name="Notas 30 5" xfId="504"/>
    <cellStyle name="Notas 31" xfId="505"/>
    <cellStyle name="Notas 31 2" xfId="506"/>
    <cellStyle name="Notas 31 3" xfId="507"/>
    <cellStyle name="Notas 31 4" xfId="508"/>
    <cellStyle name="Notas 31 5" xfId="509"/>
    <cellStyle name="Notas 32" xfId="510"/>
    <cellStyle name="Notas 32 2" xfId="511"/>
    <cellStyle name="Notas 32 3" xfId="512"/>
    <cellStyle name="Notas 32 4" xfId="513"/>
    <cellStyle name="Notas 32 5" xfId="514"/>
    <cellStyle name="Notas 33" xfId="515"/>
    <cellStyle name="Notas 33 2" xfId="516"/>
    <cellStyle name="Notas 33 3" xfId="517"/>
    <cellStyle name="Notas 33 4" xfId="518"/>
    <cellStyle name="Notas 33 5" xfId="519"/>
    <cellStyle name="Notas 34" xfId="520"/>
    <cellStyle name="Notas 34 2" xfId="521"/>
    <cellStyle name="Notas 34 3" xfId="522"/>
    <cellStyle name="Notas 34 4" xfId="523"/>
    <cellStyle name="Notas 34 5" xfId="524"/>
    <cellStyle name="Notas 35" xfId="525"/>
    <cellStyle name="Notas 35 2" xfId="526"/>
    <cellStyle name="Notas 35 3" xfId="527"/>
    <cellStyle name="Notas 35 4" xfId="528"/>
    <cellStyle name="Notas 35 5" xfId="529"/>
    <cellStyle name="Notas 36" xfId="530"/>
    <cellStyle name="Notas 36 2" xfId="531"/>
    <cellStyle name="Notas 36 3" xfId="532"/>
    <cellStyle name="Notas 36 4" xfId="533"/>
    <cellStyle name="Notas 36 5" xfId="534"/>
    <cellStyle name="Notas 37" xfId="535"/>
    <cellStyle name="Notas 37 2" xfId="536"/>
    <cellStyle name="Notas 37 3" xfId="537"/>
    <cellStyle name="Notas 37 4" xfId="538"/>
    <cellStyle name="Notas 37 5" xfId="539"/>
    <cellStyle name="Notas 38" xfId="540"/>
    <cellStyle name="Notas 38 2" xfId="541"/>
    <cellStyle name="Notas 38 3" xfId="542"/>
    <cellStyle name="Notas 38 4" xfId="543"/>
    <cellStyle name="Notas 38 5" xfId="544"/>
    <cellStyle name="Notas 39" xfId="545"/>
    <cellStyle name="Notas 39 2" xfId="546"/>
    <cellStyle name="Notas 39 3" xfId="547"/>
    <cellStyle name="Notas 39 4" xfId="548"/>
    <cellStyle name="Notas 39 5" xfId="549"/>
    <cellStyle name="Notas 4" xfId="550"/>
    <cellStyle name="Notas 4 2" xfId="551"/>
    <cellStyle name="Notas 4 3" xfId="552"/>
    <cellStyle name="Notas 4 4" xfId="553"/>
    <cellStyle name="Notas 4 5" xfId="554"/>
    <cellStyle name="Notas 4 6" xfId="555"/>
    <cellStyle name="Notas 4 7" xfId="556"/>
    <cellStyle name="Notas 4 8" xfId="557"/>
    <cellStyle name="Notas 40" xfId="558"/>
    <cellStyle name="Notas 40 2" xfId="559"/>
    <cellStyle name="Notas 40 3" xfId="560"/>
    <cellStyle name="Notas 40 4" xfId="561"/>
    <cellStyle name="Notas 40 5" xfId="562"/>
    <cellStyle name="Notas 41" xfId="563"/>
    <cellStyle name="Notas 41 2" xfId="564"/>
    <cellStyle name="Notas 41 3" xfId="565"/>
    <cellStyle name="Notas 41 4" xfId="566"/>
    <cellStyle name="Notas 41 5" xfId="567"/>
    <cellStyle name="Notas 42" xfId="568"/>
    <cellStyle name="Notas 42 2" xfId="569"/>
    <cellStyle name="Notas 42 3" xfId="570"/>
    <cellStyle name="Notas 42 4" xfId="571"/>
    <cellStyle name="Notas 42 5" xfId="572"/>
    <cellStyle name="Notas 43" xfId="573"/>
    <cellStyle name="Notas 43 2" xfId="574"/>
    <cellStyle name="Notas 43 3" xfId="575"/>
    <cellStyle name="Notas 43 4" xfId="576"/>
    <cellStyle name="Notas 43 5" xfId="577"/>
    <cellStyle name="Notas 44" xfId="578"/>
    <cellStyle name="Notas 44 2" xfId="579"/>
    <cellStyle name="Notas 44 3" xfId="580"/>
    <cellStyle name="Notas 44 4" xfId="581"/>
    <cellStyle name="Notas 44 5" xfId="582"/>
    <cellStyle name="Notas 45" xfId="583"/>
    <cellStyle name="Notas 45 2" xfId="584"/>
    <cellStyle name="Notas 45 3" xfId="585"/>
    <cellStyle name="Notas 45 4" xfId="586"/>
    <cellStyle name="Notas 45 5" xfId="587"/>
    <cellStyle name="Notas 46" xfId="588"/>
    <cellStyle name="Notas 46 2" xfId="589"/>
    <cellStyle name="Notas 46 3" xfId="590"/>
    <cellStyle name="Notas 46 4" xfId="591"/>
    <cellStyle name="Notas 46 5" xfId="592"/>
    <cellStyle name="Notas 47" xfId="593"/>
    <cellStyle name="Notas 47 2" xfId="594"/>
    <cellStyle name="Notas 47 3" xfId="595"/>
    <cellStyle name="Notas 47 4" xfId="596"/>
    <cellStyle name="Notas 48" xfId="597"/>
    <cellStyle name="Notas 48 2" xfId="598"/>
    <cellStyle name="Notas 48 3" xfId="599"/>
    <cellStyle name="Notas 48 4" xfId="600"/>
    <cellStyle name="Notas 49" xfId="601"/>
    <cellStyle name="Notas 49 2" xfId="602"/>
    <cellStyle name="Notas 49 3" xfId="603"/>
    <cellStyle name="Notas 49 4" xfId="604"/>
    <cellStyle name="Notas 5" xfId="605"/>
    <cellStyle name="Notas 5 2" xfId="606"/>
    <cellStyle name="Notas 5 3" xfId="607"/>
    <cellStyle name="Notas 5 4" xfId="608"/>
    <cellStyle name="Notas 5 5" xfId="609"/>
    <cellStyle name="Notas 5 6" xfId="610"/>
    <cellStyle name="Notas 5 7" xfId="611"/>
    <cellStyle name="Notas 5 8" xfId="612"/>
    <cellStyle name="Notas 50" xfId="613"/>
    <cellStyle name="Notas 50 2" xfId="614"/>
    <cellStyle name="Notas 50 3" xfId="615"/>
    <cellStyle name="Notas 50 4" xfId="616"/>
    <cellStyle name="Notas 51" xfId="617"/>
    <cellStyle name="Notas 51 2" xfId="618"/>
    <cellStyle name="Notas 51 3" xfId="619"/>
    <cellStyle name="Notas 51 4" xfId="620"/>
    <cellStyle name="Notas 52" xfId="621"/>
    <cellStyle name="Notas 52 2" xfId="622"/>
    <cellStyle name="Notas 52 3" xfId="623"/>
    <cellStyle name="Notas 52 4" xfId="624"/>
    <cellStyle name="Notas 53" xfId="625"/>
    <cellStyle name="Notas 53 2" xfId="626"/>
    <cellStyle name="Notas 53 3" xfId="627"/>
    <cellStyle name="Notas 53 4" xfId="628"/>
    <cellStyle name="Notas 54" xfId="629"/>
    <cellStyle name="Notas 54 2" xfId="630"/>
    <cellStyle name="Notas 54 3" xfId="631"/>
    <cellStyle name="Notas 54 4" xfId="632"/>
    <cellStyle name="Notas 55" xfId="633"/>
    <cellStyle name="Notas 55 2" xfId="634"/>
    <cellStyle name="Notas 55 3" xfId="635"/>
    <cellStyle name="Notas 55 4" xfId="636"/>
    <cellStyle name="Notas 56" xfId="637"/>
    <cellStyle name="Notas 56 2" xfId="638"/>
    <cellStyle name="Notas 56 3" xfId="639"/>
    <cellStyle name="Notas 56 4" xfId="640"/>
    <cellStyle name="Notas 57" xfId="641"/>
    <cellStyle name="Notas 57 2" xfId="642"/>
    <cellStyle name="Notas 57 3" xfId="643"/>
    <cellStyle name="Notas 58" xfId="644"/>
    <cellStyle name="Notas 58 2" xfId="645"/>
    <cellStyle name="Notas 58 3" xfId="646"/>
    <cellStyle name="Notas 59" xfId="647"/>
    <cellStyle name="Notas 59 2" xfId="648"/>
    <cellStyle name="Notas 59 3" xfId="649"/>
    <cellStyle name="Notas 6" xfId="650"/>
    <cellStyle name="Notas 6 2" xfId="651"/>
    <cellStyle name="Notas 6 3" xfId="652"/>
    <cellStyle name="Notas 6 4" xfId="653"/>
    <cellStyle name="Notas 6 5" xfId="654"/>
    <cellStyle name="Notas 6 6" xfId="655"/>
    <cellStyle name="Notas 6 7" xfId="656"/>
    <cellStyle name="Notas 6 8" xfId="657"/>
    <cellStyle name="Notas 60" xfId="658"/>
    <cellStyle name="Notas 60 2" xfId="659"/>
    <cellStyle name="Notas 60 3" xfId="660"/>
    <cellStyle name="Notas 61" xfId="661"/>
    <cellStyle name="Notas 61 2" xfId="662"/>
    <cellStyle name="Notas 61 3" xfId="663"/>
    <cellStyle name="Notas 62" xfId="664"/>
    <cellStyle name="Notas 62 2" xfId="665"/>
    <cellStyle name="Notas 62 3" xfId="666"/>
    <cellStyle name="Notas 63" xfId="667"/>
    <cellStyle name="Notas 63 2" xfId="668"/>
    <cellStyle name="Notas 63 3" xfId="669"/>
    <cellStyle name="Notas 64" xfId="670"/>
    <cellStyle name="Notas 64 2" xfId="671"/>
    <cellStyle name="Notas 64 3" xfId="672"/>
    <cellStyle name="Notas 65" xfId="673"/>
    <cellStyle name="Notas 65 2" xfId="674"/>
    <cellStyle name="Notas 65 3" xfId="675"/>
    <cellStyle name="Notas 66" xfId="676"/>
    <cellStyle name="Notas 66 2" xfId="677"/>
    <cellStyle name="Notas 66 3" xfId="678"/>
    <cellStyle name="Notas 67" xfId="679"/>
    <cellStyle name="Notas 67 2" xfId="680"/>
    <cellStyle name="Notas 67 3" xfId="681"/>
    <cellStyle name="Notas 68" xfId="682"/>
    <cellStyle name="Notas 68 2" xfId="683"/>
    <cellStyle name="Notas 69" xfId="684"/>
    <cellStyle name="Notas 69 2" xfId="685"/>
    <cellStyle name="Notas 7" xfId="686"/>
    <cellStyle name="Notas 7 2" xfId="687"/>
    <cellStyle name="Notas 7 3" xfId="688"/>
    <cellStyle name="Notas 7 4" xfId="689"/>
    <cellStyle name="Notas 7 5" xfId="690"/>
    <cellStyle name="Notas 7 6" xfId="691"/>
    <cellStyle name="Notas 7 7" xfId="692"/>
    <cellStyle name="Notas 7 8" xfId="693"/>
    <cellStyle name="Notas 70" xfId="694"/>
    <cellStyle name="Notas 70 2" xfId="695"/>
    <cellStyle name="Notas 71" xfId="696"/>
    <cellStyle name="Notas 71 2" xfId="697"/>
    <cellStyle name="Notas 72" xfId="698"/>
    <cellStyle name="Notas 72 2" xfId="699"/>
    <cellStyle name="Notas 73" xfId="700"/>
    <cellStyle name="Notas 73 2" xfId="701"/>
    <cellStyle name="Notas 74" xfId="702"/>
    <cellStyle name="Notas 74 2" xfId="703"/>
    <cellStyle name="Notas 75" xfId="704"/>
    <cellStyle name="Notas 75 2" xfId="705"/>
    <cellStyle name="Notas 76" xfId="706"/>
    <cellStyle name="Notas 76 2" xfId="707"/>
    <cellStyle name="Notas 77" xfId="708"/>
    <cellStyle name="Notas 77 2" xfId="709"/>
    <cellStyle name="Notas 78" xfId="710"/>
    <cellStyle name="Notas 78 2" xfId="711"/>
    <cellStyle name="Notas 79" xfId="712"/>
    <cellStyle name="Notas 79 2" xfId="713"/>
    <cellStyle name="Notas 8" xfId="714"/>
    <cellStyle name="Notas 8 2" xfId="715"/>
    <cellStyle name="Notas 8 3" xfId="716"/>
    <cellStyle name="Notas 8 4" xfId="717"/>
    <cellStyle name="Notas 8 5" xfId="718"/>
    <cellStyle name="Notas 8 6" xfId="719"/>
    <cellStyle name="Notas 8 7" xfId="720"/>
    <cellStyle name="Notas 8 8" xfId="721"/>
    <cellStyle name="Notas 80" xfId="722"/>
    <cellStyle name="Notas 80 2" xfId="723"/>
    <cellStyle name="Notas 81" xfId="724"/>
    <cellStyle name="Notas 81 2" xfId="725"/>
    <cellStyle name="Notas 82" xfId="726"/>
    <cellStyle name="Notas 82 2" xfId="727"/>
    <cellStyle name="Notas 83" xfId="728"/>
    <cellStyle name="Notas 83 2" xfId="729"/>
    <cellStyle name="Notas 84" xfId="730"/>
    <cellStyle name="Notas 84 2" xfId="731"/>
    <cellStyle name="Notas 85" xfId="732"/>
    <cellStyle name="Notas 86" xfId="733"/>
    <cellStyle name="Notas 87" xfId="734"/>
    <cellStyle name="Notas 88" xfId="735"/>
    <cellStyle name="Notas 89" xfId="736"/>
    <cellStyle name="Notas 9" xfId="737"/>
    <cellStyle name="Notas 9 2" xfId="738"/>
    <cellStyle name="Notas 9 3" xfId="739"/>
    <cellStyle name="Notas 9 4" xfId="740"/>
    <cellStyle name="Notas 9 5" xfId="741"/>
    <cellStyle name="Notas 9 6" xfId="742"/>
    <cellStyle name="Notas 9 7" xfId="743"/>
    <cellStyle name="Notas 9 8" xfId="744"/>
    <cellStyle name="Notas 90" xfId="745"/>
    <cellStyle name="Notas 91" xfId="746"/>
    <cellStyle name="Notas 92" xfId="747"/>
    <cellStyle name="Note" xfId="748"/>
    <cellStyle name="Note 2" xfId="749"/>
    <cellStyle name="Note 3" xfId="750"/>
    <cellStyle name="Output" xfId="751"/>
    <cellStyle name="Percent" xfId="752" builtinId="5"/>
    <cellStyle name="Percent 2" xfId="753"/>
    <cellStyle name="Percent 3" xfId="754"/>
    <cellStyle name="Percentuale 2" xfId="755"/>
    <cellStyle name="Percentuale 3" xfId="756"/>
    <cellStyle name="Percentuale 4" xfId="757"/>
    <cellStyle name="Percentuale 5" xfId="758"/>
    <cellStyle name="Percentuale 6" xfId="759"/>
    <cellStyle name="Porcentual 2" xfId="760"/>
    <cellStyle name="Porcentual 3" xfId="761"/>
    <cellStyle name="Product_name" xfId="762"/>
    <cellStyle name="Standaard_Kopie van Social Performance Report" xfId="763"/>
    <cellStyle name="Step" xfId="764"/>
    <cellStyle name="Stile 1" xfId="765"/>
    <cellStyle name="Title" xfId="766"/>
    <cellStyle name="Total" xfId="767"/>
    <cellStyle name="Total 2" xfId="768"/>
    <cellStyle name="Total 3" xfId="769"/>
    <cellStyle name="Valuta 2" xfId="770"/>
    <cellStyle name="Valuta 3" xfId="771"/>
    <cellStyle name="Valuta 4" xfId="772"/>
    <cellStyle name="Valuta 5" xfId="773"/>
    <cellStyle name="Valuta 6" xfId="774"/>
    <cellStyle name="Warning Text" xfId="775"/>
  </cellStyles>
  <dxfs count="27">
    <dxf>
      <font>
        <color theme="0"/>
      </font>
    </dxf>
    <dxf>
      <font>
        <condense val="0"/>
        <extend val="0"/>
        <color rgb="FF9C0006"/>
      </font>
      <fill>
        <patternFill>
          <bgColor rgb="FFFFC7CE"/>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lor theme="0"/>
      </font>
      <fill>
        <patternFill patternType="none">
          <bgColor indexed="65"/>
        </patternFill>
      </fill>
    </dxf>
    <dxf>
      <font>
        <color theme="0"/>
      </font>
      <fill>
        <patternFill>
          <bgColor theme="0"/>
        </patternFill>
      </fill>
    </dxf>
    <dxf>
      <font>
        <condense val="0"/>
        <extend val="0"/>
        <color rgb="FF9C0006"/>
      </font>
      <fill>
        <patternFill>
          <bgColor rgb="FFFFC7CE"/>
        </patternFill>
      </fill>
    </dxf>
    <dxf>
      <font>
        <color theme="0"/>
      </font>
      <fill>
        <patternFill>
          <bgColor theme="0"/>
        </patternFill>
      </fill>
    </dxf>
    <dxf>
      <font>
        <condense val="0"/>
        <extend val="0"/>
        <color rgb="FF9C0006"/>
      </font>
      <fill>
        <patternFill>
          <bgColor rgb="FFFFC7CE"/>
        </patternFill>
      </fill>
    </dxf>
    <dxf>
      <font>
        <color theme="0"/>
      </font>
      <fill>
        <patternFill>
          <bgColor theme="0"/>
        </patternFill>
      </fill>
    </dxf>
    <dxf>
      <font>
        <condense val="0"/>
        <extend val="0"/>
        <color rgb="FF9C0006"/>
      </font>
      <fill>
        <patternFill>
          <bgColor rgb="FFFFC7CE"/>
        </patternFill>
      </fill>
    </dxf>
    <dxf>
      <font>
        <color theme="0"/>
      </font>
    </dxf>
    <dxf>
      <font>
        <condense val="0"/>
        <extend val="0"/>
        <color rgb="FF9C0006"/>
      </font>
      <fill>
        <patternFill>
          <bgColor rgb="FFFFC7CE"/>
        </patternFill>
      </fill>
    </dxf>
    <dxf>
      <font>
        <b val="0"/>
        <i/>
        <strike val="0"/>
        <color theme="8" tint="-0.499984740745262"/>
      </font>
      <fill>
        <patternFill>
          <bgColor theme="8" tint="0.79998168889431442"/>
        </patternFill>
      </fill>
    </dxf>
    <dxf>
      <font>
        <b val="0"/>
        <i/>
        <strike val="0"/>
        <color theme="8" tint="-0.499984740745262"/>
      </font>
      <fill>
        <patternFill>
          <bgColor theme="8"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0828921360232989"/>
          <c:y val="0.12642198539097121"/>
          <c:w val="0.57614469275563374"/>
          <c:h val="0.6965486468343749"/>
        </c:manualLayout>
      </c:layout>
      <c:barChart>
        <c:barDir val="col"/>
        <c:grouping val="stacked"/>
        <c:ser>
          <c:idx val="0"/>
          <c:order val="0"/>
          <c:tx>
            <c:strRef>
              <c:f>Amort!$A$10</c:f>
              <c:strCache>
                <c:ptCount val="1"/>
                <c:pt idx="0">
                  <c:v>0</c:v>
                </c:pt>
              </c:strCache>
            </c:strRef>
          </c:tx>
          <c:cat>
            <c:numRef>
              <c:f>Amort!$B$9:$N$9</c:f>
              <c:numCache>
                <c:formatCode>mmm\-yy</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cat>
          <c:val>
            <c:numRef>
              <c:f>Amort!$B$10:$W$10</c:f>
              <c:numCache>
                <c:formatCode>_(* #,##0_);_(* \(#,##0\);_(* "-"??_);_(@_)</c:formatCode>
                <c:ptCount val="22"/>
              </c:numCache>
            </c:numRef>
          </c:val>
        </c:ser>
        <c:ser>
          <c:idx val="1"/>
          <c:order val="1"/>
          <c:tx>
            <c:strRef>
              <c:f>Amort!$A$11</c:f>
              <c:strCache>
                <c:ptCount val="1"/>
                <c:pt idx="0">
                  <c:v>0</c:v>
                </c:pt>
              </c:strCache>
            </c:strRef>
          </c:tx>
          <c:cat>
            <c:numRef>
              <c:f>Amort!$B$9:$N$9</c:f>
              <c:numCache>
                <c:formatCode>mmm\-yy</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cat>
          <c:val>
            <c:numRef>
              <c:f>Amort!$B$11:$W$11</c:f>
              <c:numCache>
                <c:formatCode>_(* #,##0_);_(* \(#,##0\);_(* "-"??_);_(@_)</c:formatCode>
                <c:ptCount val="22"/>
              </c:numCache>
            </c:numRef>
          </c:val>
        </c:ser>
        <c:ser>
          <c:idx val="2"/>
          <c:order val="2"/>
          <c:tx>
            <c:strRef>
              <c:f>Amort!$A$12</c:f>
              <c:strCache>
                <c:ptCount val="1"/>
                <c:pt idx="0">
                  <c:v>0</c:v>
                </c:pt>
              </c:strCache>
            </c:strRef>
          </c:tx>
          <c:cat>
            <c:numRef>
              <c:f>Amort!$B$9:$N$9</c:f>
              <c:numCache>
                <c:formatCode>mmm\-yy</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cat>
          <c:val>
            <c:numRef>
              <c:f>Amort!$B$12:$W$12</c:f>
              <c:numCache>
                <c:formatCode>_(* #,##0_);_(* \(#,##0\);_(* "-"??_);_(@_)</c:formatCode>
                <c:ptCount val="22"/>
              </c:numCache>
            </c:numRef>
          </c:val>
        </c:ser>
        <c:ser>
          <c:idx val="3"/>
          <c:order val="3"/>
          <c:tx>
            <c:strRef>
              <c:f>Amort!$A$13</c:f>
              <c:strCache>
                <c:ptCount val="1"/>
                <c:pt idx="0">
                  <c:v>0</c:v>
                </c:pt>
              </c:strCache>
            </c:strRef>
          </c:tx>
          <c:cat>
            <c:strRef>
              <c:f>Amort!$B$8:$N$9</c:f>
              <c:strCach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strCache>
            </c:strRef>
          </c:cat>
          <c:val>
            <c:numRef>
              <c:f>Amort!$B$13:$W$13</c:f>
              <c:numCache>
                <c:formatCode>_(* #,##0_);_(* \(#,##0\);_(* "-"??_);_(@_)</c:formatCode>
                <c:ptCount val="22"/>
              </c:numCache>
            </c:numRef>
          </c:val>
        </c:ser>
        <c:ser>
          <c:idx val="4"/>
          <c:order val="4"/>
          <c:tx>
            <c:strRef>
              <c:f>Amort!$A$14</c:f>
              <c:strCache>
                <c:ptCount val="1"/>
                <c:pt idx="0">
                  <c:v>0</c:v>
                </c:pt>
              </c:strCache>
            </c:strRef>
          </c:tx>
          <c:cat>
            <c:numRef>
              <c:f>Amort!$B$9:$N$9</c:f>
              <c:numCache>
                <c:formatCode>mmm\-yy</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cat>
          <c:val>
            <c:numRef>
              <c:f>Amort!$B$14:$W$14</c:f>
              <c:numCache>
                <c:formatCode>_(* #,##0_);_(* \(#,##0\);_(* "-"??_);_(@_)</c:formatCode>
                <c:ptCount val="22"/>
              </c:numCache>
            </c:numRef>
          </c:val>
        </c:ser>
        <c:ser>
          <c:idx val="5"/>
          <c:order val="5"/>
          <c:tx>
            <c:strRef>
              <c:f>Amort!$A$15</c:f>
              <c:strCache>
                <c:ptCount val="1"/>
                <c:pt idx="0">
                  <c:v>0</c:v>
                </c:pt>
              </c:strCache>
            </c:strRef>
          </c:tx>
          <c:cat>
            <c:numRef>
              <c:f>Amort!$B$9:$N$9</c:f>
              <c:numCache>
                <c:formatCode>mmm\-yy</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cat>
          <c:val>
            <c:numRef>
              <c:f>Amort!$B$15:$W$15</c:f>
              <c:numCache>
                <c:formatCode>_(* #,##0_);_(* \(#,##0\);_(* "-"??_);_(@_)</c:formatCode>
                <c:ptCount val="22"/>
              </c:numCache>
            </c:numRef>
          </c:val>
        </c:ser>
        <c:ser>
          <c:idx val="19"/>
          <c:order val="6"/>
          <c:tx>
            <c:strRef>
              <c:f>Amort!$A$16</c:f>
              <c:strCache>
                <c:ptCount val="1"/>
                <c:pt idx="0">
                  <c:v>#REF!</c:v>
                </c:pt>
              </c:strCache>
            </c:strRef>
          </c:tx>
          <c:cat>
            <c:numRef>
              <c:f>Amort!$B$9:$W$9</c:f>
              <c:numCache>
                <c:formatCode>mmm\-yy</c:formatCode>
                <c:ptCount val="2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numCache>
            </c:numRef>
          </c:cat>
          <c:val>
            <c:numRef>
              <c:f>Amort!$B$16:$W$16</c:f>
            </c:numRef>
          </c:val>
        </c:ser>
        <c:ser>
          <c:idx val="20"/>
          <c:order val="7"/>
          <c:tx>
            <c:strRef>
              <c:f>Amort!$A$17</c:f>
              <c:strCache>
                <c:ptCount val="1"/>
                <c:pt idx="0">
                  <c:v>#REF!</c:v>
                </c:pt>
              </c:strCache>
            </c:strRef>
          </c:tx>
          <c:cat>
            <c:numRef>
              <c:f>Amort!$B$9:$W$9</c:f>
              <c:numCache>
                <c:formatCode>mmm\-yy</c:formatCode>
                <c:ptCount val="2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numCache>
            </c:numRef>
          </c:cat>
          <c:val>
            <c:numRef>
              <c:f>Amort!$B$17:$W$17</c:f>
            </c:numRef>
          </c:val>
        </c:ser>
        <c:overlap val="100"/>
        <c:axId val="167098624"/>
        <c:axId val="61129472"/>
      </c:barChart>
      <c:catAx>
        <c:axId val="167098624"/>
        <c:scaling>
          <c:orientation val="minMax"/>
        </c:scaling>
        <c:axPos val="b"/>
        <c:numFmt formatCode="mmm\-yy" sourceLinked="0"/>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61129472"/>
        <c:crosses val="autoZero"/>
        <c:auto val="1"/>
        <c:lblAlgn val="ctr"/>
        <c:lblOffset val="100"/>
      </c:catAx>
      <c:valAx>
        <c:axId val="61129472"/>
        <c:scaling>
          <c:orientation val="minMax"/>
        </c:scaling>
        <c:axPos val="l"/>
        <c:majorGridlines/>
        <c:title>
          <c:tx>
            <c:strRef>
              <c:f>Amort!$A$8</c:f>
              <c:strCache>
                <c:ptCount val="1"/>
                <c:pt idx="0">
                  <c:v>0</c:v>
                </c:pt>
              </c:strCache>
            </c:strRef>
          </c:tx>
          <c:layout>
            <c:manualLayout>
              <c:xMode val="edge"/>
              <c:yMode val="edge"/>
              <c:x val="5.6997398867742424E-2"/>
              <c:y val="3.1445660925850452E-2"/>
            </c:manualLayout>
          </c:layout>
          <c:txPr>
            <a:bodyPr rot="0" vert="horz"/>
            <a:lstStyle/>
            <a:p>
              <a:pPr algn="ctr">
                <a:defRPr sz="1000" b="0" i="0" u="none" strike="noStrike" baseline="0">
                  <a:solidFill>
                    <a:srgbClr val="000000"/>
                  </a:solidFill>
                  <a:latin typeface="Calibri"/>
                  <a:ea typeface="Calibri"/>
                  <a:cs typeface="Calibri"/>
                </a:defRPr>
              </a:pPr>
              <a:endParaRPr lang="en-US"/>
            </a:p>
          </c:txPr>
        </c:title>
        <c:numFmt formatCode="_(* #,##0_);_(* \(#,##0\);_(* &quot;-&quot;??_);_(@_)"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7098624"/>
        <c:crosses val="autoZero"/>
        <c:crossBetween val="between"/>
      </c:valAx>
    </c:plotArea>
    <c:legend>
      <c:legendPos val="r"/>
      <c:layout>
        <c:manualLayout>
          <c:xMode val="edge"/>
          <c:yMode val="edge"/>
          <c:x val="0.7022064898838315"/>
          <c:y val="0.31026236262300011"/>
          <c:w val="0.27803137836470032"/>
          <c:h val="0.31015110163022452"/>
        </c:manualLayout>
      </c:layout>
      <c:txPr>
        <a:bodyPr/>
        <a:lstStyle/>
        <a:p>
          <a:pPr>
            <a:defRPr sz="92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3"/>
  <c:chart>
    <c:plotArea>
      <c:layout>
        <c:manualLayout>
          <c:layoutTarget val="inner"/>
          <c:xMode val="edge"/>
          <c:yMode val="edge"/>
          <c:x val="8.6342295383554035E-2"/>
          <c:y val="8.6495940464795723E-2"/>
          <c:w val="0.84576456738719175"/>
          <c:h val="0.67276573533110451"/>
        </c:manualLayout>
      </c:layout>
      <c:barChart>
        <c:barDir val="col"/>
        <c:grouping val="stacked"/>
        <c:ser>
          <c:idx val="2"/>
          <c:order val="0"/>
          <c:tx>
            <c:strRef>
              <c:f>'Graphs &amp; Tables'!$A$68</c:f>
              <c:strCache>
                <c:ptCount val="1"/>
                <c:pt idx="0">
                  <c:v>Financial Exp. Ratio</c:v>
                </c:pt>
              </c:strCache>
            </c:strRef>
          </c:tx>
          <c:cat>
            <c:numRef>
              <c:f>'Graphs &amp; Tables'!$D$66:$G$66</c:f>
              <c:numCache>
                <c:formatCode>yyyy</c:formatCode>
                <c:ptCount val="4"/>
                <c:pt idx="0">
                  <c:v>693232</c:v>
                </c:pt>
                <c:pt idx="1">
                  <c:v>693597</c:v>
                </c:pt>
                <c:pt idx="2">
                  <c:v>693962</c:v>
                </c:pt>
                <c:pt idx="3" formatCode="mmm\-yy">
                  <c:v>#N/A</c:v>
                </c:pt>
              </c:numCache>
            </c:numRef>
          </c:cat>
          <c:val>
            <c:numRef>
              <c:f>'Graphs &amp; Tables'!$D$68:$G$68</c:f>
              <c:numCache>
                <c:formatCode>0.0%</c:formatCode>
                <c:ptCount val="4"/>
                <c:pt idx="0">
                  <c:v>0</c:v>
                </c:pt>
                <c:pt idx="1">
                  <c:v>0</c:v>
                </c:pt>
                <c:pt idx="2">
                  <c:v>0</c:v>
                </c:pt>
                <c:pt idx="3">
                  <c:v>#N/A</c:v>
                </c:pt>
              </c:numCache>
            </c:numRef>
          </c:val>
        </c:ser>
        <c:ser>
          <c:idx val="3"/>
          <c:order val="1"/>
          <c:tx>
            <c:strRef>
              <c:f>'Graphs &amp; Tables'!$A$69</c:f>
              <c:strCache>
                <c:ptCount val="1"/>
                <c:pt idx="0">
                  <c:v>Provision Exp. Ratio</c:v>
                </c:pt>
              </c:strCache>
            </c:strRef>
          </c:tx>
          <c:cat>
            <c:numRef>
              <c:f>'Graphs &amp; Tables'!$D$66:$G$66</c:f>
              <c:numCache>
                <c:formatCode>yyyy</c:formatCode>
                <c:ptCount val="4"/>
                <c:pt idx="0">
                  <c:v>693232</c:v>
                </c:pt>
                <c:pt idx="1">
                  <c:v>693597</c:v>
                </c:pt>
                <c:pt idx="2">
                  <c:v>693962</c:v>
                </c:pt>
                <c:pt idx="3" formatCode="mmm\-yy">
                  <c:v>#N/A</c:v>
                </c:pt>
              </c:numCache>
            </c:numRef>
          </c:cat>
          <c:val>
            <c:numRef>
              <c:f>'Graphs &amp; Tables'!$D$69:$G$69</c:f>
              <c:numCache>
                <c:formatCode>0.0%</c:formatCode>
                <c:ptCount val="4"/>
                <c:pt idx="0">
                  <c:v>0</c:v>
                </c:pt>
                <c:pt idx="1">
                  <c:v>0</c:v>
                </c:pt>
                <c:pt idx="2">
                  <c:v>0</c:v>
                </c:pt>
                <c:pt idx="3">
                  <c:v>#N/A</c:v>
                </c:pt>
              </c:numCache>
            </c:numRef>
          </c:val>
        </c:ser>
        <c:ser>
          <c:idx val="0"/>
          <c:order val="2"/>
          <c:tx>
            <c:strRef>
              <c:f>'Graphs &amp; Tables'!$A$70</c:f>
              <c:strCache>
                <c:ptCount val="1"/>
                <c:pt idx="0">
                  <c:v>OpEx Ratio</c:v>
                </c:pt>
              </c:strCache>
            </c:strRef>
          </c:tx>
          <c:cat>
            <c:numRef>
              <c:f>'Graphs &amp; Tables'!$D$66:$G$66</c:f>
              <c:numCache>
                <c:formatCode>yyyy</c:formatCode>
                <c:ptCount val="4"/>
                <c:pt idx="0">
                  <c:v>693232</c:v>
                </c:pt>
                <c:pt idx="1">
                  <c:v>693597</c:v>
                </c:pt>
                <c:pt idx="2">
                  <c:v>693962</c:v>
                </c:pt>
                <c:pt idx="3" formatCode="mmm\-yy">
                  <c:v>#N/A</c:v>
                </c:pt>
              </c:numCache>
            </c:numRef>
          </c:cat>
          <c:val>
            <c:numRef>
              <c:f>'Graphs &amp; Tables'!$D$70:$G$70</c:f>
              <c:numCache>
                <c:formatCode>0.0%</c:formatCode>
                <c:ptCount val="4"/>
                <c:pt idx="0">
                  <c:v>0</c:v>
                </c:pt>
                <c:pt idx="1">
                  <c:v>0</c:v>
                </c:pt>
                <c:pt idx="2">
                  <c:v>0</c:v>
                </c:pt>
                <c:pt idx="3">
                  <c:v>#N/A</c:v>
                </c:pt>
              </c:numCache>
            </c:numRef>
          </c:val>
        </c:ser>
        <c:overlap val="100"/>
        <c:axId val="108693760"/>
        <c:axId val="108703744"/>
      </c:barChart>
      <c:lineChart>
        <c:grouping val="standard"/>
        <c:ser>
          <c:idx val="1"/>
          <c:order val="3"/>
          <c:tx>
            <c:strRef>
              <c:f>'Graphs &amp; Tables'!$A$67</c:f>
              <c:strCache>
                <c:ptCount val="1"/>
                <c:pt idx="0">
                  <c:v>Portfolio Yield</c:v>
                </c:pt>
              </c:strCache>
            </c:strRef>
          </c:tx>
          <c:marker>
            <c:symbol val="none"/>
          </c:marker>
          <c:cat>
            <c:numRef>
              <c:f>'Graphs &amp; Tables'!$D$66:$G$66</c:f>
              <c:numCache>
                <c:formatCode>yyyy</c:formatCode>
                <c:ptCount val="4"/>
                <c:pt idx="0">
                  <c:v>693232</c:v>
                </c:pt>
                <c:pt idx="1">
                  <c:v>693597</c:v>
                </c:pt>
                <c:pt idx="2">
                  <c:v>693962</c:v>
                </c:pt>
                <c:pt idx="3" formatCode="mmm\-yy">
                  <c:v>#N/A</c:v>
                </c:pt>
              </c:numCache>
            </c:numRef>
          </c:cat>
          <c:val>
            <c:numRef>
              <c:f>'Graphs &amp; Tables'!$D$67:$G$67</c:f>
              <c:numCache>
                <c:formatCode>0.0%</c:formatCode>
                <c:ptCount val="4"/>
                <c:pt idx="0">
                  <c:v>0</c:v>
                </c:pt>
                <c:pt idx="1">
                  <c:v>0</c:v>
                </c:pt>
                <c:pt idx="2">
                  <c:v>0</c:v>
                </c:pt>
                <c:pt idx="3">
                  <c:v>#N/A</c:v>
                </c:pt>
              </c:numCache>
            </c:numRef>
          </c:val>
        </c:ser>
        <c:marker val="1"/>
        <c:axId val="108693760"/>
        <c:axId val="108703744"/>
      </c:lineChart>
      <c:catAx>
        <c:axId val="108693760"/>
        <c:scaling>
          <c:orientation val="minMax"/>
        </c:scaling>
        <c:axPos val="b"/>
        <c:numFmt formatCode="yyyy"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8703744"/>
        <c:crosses val="autoZero"/>
        <c:lblAlgn val="ctr"/>
        <c:lblOffset val="100"/>
        <c:tickLblSkip val="1"/>
        <c:tickMarkSkip val="1"/>
      </c:catAx>
      <c:valAx>
        <c:axId val="108703744"/>
        <c:scaling>
          <c:orientation val="minMax"/>
        </c:scaling>
        <c:axPos val="l"/>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8693760"/>
        <c:crosses val="autoZero"/>
        <c:crossBetween val="between"/>
      </c:valAx>
    </c:plotArea>
    <c:legend>
      <c:legendPos val="b"/>
      <c:layout>
        <c:manualLayout>
          <c:xMode val="edge"/>
          <c:yMode val="edge"/>
          <c:x val="5.7003702351775563E-2"/>
          <c:y val="0.87468301156233064"/>
          <c:w val="0.89999982618066865"/>
          <c:h val="7.7520105905129283E-2"/>
        </c:manualLayout>
      </c:layout>
      <c:txPr>
        <a:bodyPr/>
        <a:lstStyle/>
        <a:p>
          <a:pPr>
            <a:defRPr sz="92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278" r="0.75000000000000278"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3"/>
  <c:chart>
    <c:plotArea>
      <c:layout>
        <c:manualLayout>
          <c:layoutTarget val="inner"/>
          <c:xMode val="edge"/>
          <c:yMode val="edge"/>
          <c:x val="9.4098883572568223E-2"/>
          <c:y val="9.8901098901099826E-2"/>
          <c:w val="0.84051036682615332"/>
          <c:h val="0.67032967032967683"/>
        </c:manualLayout>
      </c:layout>
      <c:barChart>
        <c:barDir val="col"/>
        <c:grouping val="percentStacked"/>
        <c:ser>
          <c:idx val="1"/>
          <c:order val="0"/>
          <c:tx>
            <c:strRef>
              <c:f>'Graphs &amp; Tables'!$A$99:$A$99</c:f>
              <c:strCache>
                <c:ptCount val="1"/>
                <c:pt idx="0">
                  <c:v>Savings</c:v>
                </c:pt>
              </c:strCache>
            </c:strRef>
          </c:tx>
          <c:cat>
            <c:numRef>
              <c:f>'Graphs &amp; Tables'!$C$98:$L$98</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Tables'!$C$99:$L$99</c:f>
              <c:numCache>
                <c:formatCode>#,##0_);\(#,##0\);\-\ \ </c:formatCode>
                <c:ptCount val="10"/>
                <c:pt idx="0">
                  <c:v>0</c:v>
                </c:pt>
                <c:pt idx="1">
                  <c:v>0</c:v>
                </c:pt>
                <c:pt idx="2">
                  <c:v>0</c:v>
                </c:pt>
                <c:pt idx="3">
                  <c:v>0</c:v>
                </c:pt>
                <c:pt idx="4">
                  <c:v>#N/A</c:v>
                </c:pt>
                <c:pt idx="5">
                  <c:v>0</c:v>
                </c:pt>
                <c:pt idx="6">
                  <c:v>0</c:v>
                </c:pt>
                <c:pt idx="7">
                  <c:v>0</c:v>
                </c:pt>
                <c:pt idx="8">
                  <c:v>0</c:v>
                </c:pt>
                <c:pt idx="9">
                  <c:v>0</c:v>
                </c:pt>
              </c:numCache>
            </c:numRef>
          </c:val>
        </c:ser>
        <c:ser>
          <c:idx val="0"/>
          <c:order val="1"/>
          <c:tx>
            <c:strRef>
              <c:f>'Graphs &amp; Tables'!$A$100:$A$100</c:f>
              <c:strCache>
                <c:ptCount val="1"/>
                <c:pt idx="0">
                  <c:v>Borrowings</c:v>
                </c:pt>
              </c:strCache>
            </c:strRef>
          </c:tx>
          <c:cat>
            <c:numRef>
              <c:f>'Graphs &amp; Tables'!$C$98:$L$98</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Tables'!$C$100:$L$100</c:f>
              <c:numCache>
                <c:formatCode>#,##0_);\(#,##0\);\-\ \ </c:formatCode>
                <c:ptCount val="10"/>
                <c:pt idx="0">
                  <c:v>0</c:v>
                </c:pt>
                <c:pt idx="1">
                  <c:v>0</c:v>
                </c:pt>
                <c:pt idx="2">
                  <c:v>0</c:v>
                </c:pt>
                <c:pt idx="3">
                  <c:v>0</c:v>
                </c:pt>
                <c:pt idx="4">
                  <c:v>#N/A</c:v>
                </c:pt>
                <c:pt idx="5">
                  <c:v>0</c:v>
                </c:pt>
                <c:pt idx="6">
                  <c:v>0</c:v>
                </c:pt>
                <c:pt idx="7">
                  <c:v>0</c:v>
                </c:pt>
                <c:pt idx="8">
                  <c:v>0</c:v>
                </c:pt>
                <c:pt idx="9">
                  <c:v>0</c:v>
                </c:pt>
              </c:numCache>
            </c:numRef>
          </c:val>
        </c:ser>
        <c:ser>
          <c:idx val="2"/>
          <c:order val="2"/>
          <c:tx>
            <c:strRef>
              <c:f>'Graphs &amp; Tables'!$A$101:$A$101</c:f>
              <c:strCache>
                <c:ptCount val="1"/>
                <c:pt idx="0">
                  <c:v>Equity/Donations</c:v>
                </c:pt>
              </c:strCache>
            </c:strRef>
          </c:tx>
          <c:cat>
            <c:numRef>
              <c:f>'Graphs &amp; Tables'!$C$98:$L$98</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Tables'!$C$101:$L$101</c:f>
              <c:numCache>
                <c:formatCode>#,##0_);\(#,##0\);\-\ \ </c:formatCode>
                <c:ptCount val="10"/>
                <c:pt idx="0">
                  <c:v>0</c:v>
                </c:pt>
                <c:pt idx="1">
                  <c:v>0</c:v>
                </c:pt>
                <c:pt idx="2">
                  <c:v>0</c:v>
                </c:pt>
                <c:pt idx="3">
                  <c:v>0</c:v>
                </c:pt>
                <c:pt idx="4">
                  <c:v>#N/A</c:v>
                </c:pt>
                <c:pt idx="5">
                  <c:v>0</c:v>
                </c:pt>
                <c:pt idx="6">
                  <c:v>0</c:v>
                </c:pt>
                <c:pt idx="7">
                  <c:v>0</c:v>
                </c:pt>
                <c:pt idx="8">
                  <c:v>0</c:v>
                </c:pt>
                <c:pt idx="9">
                  <c:v>0</c:v>
                </c:pt>
              </c:numCache>
            </c:numRef>
          </c:val>
        </c:ser>
        <c:overlap val="100"/>
        <c:axId val="108720896"/>
        <c:axId val="108722432"/>
      </c:barChart>
      <c:catAx>
        <c:axId val="108720896"/>
        <c:scaling>
          <c:orientation val="minMax"/>
        </c:scaling>
        <c:axPos val="b"/>
        <c:numFmt formatCode="yyyy"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8722432"/>
        <c:crosses val="autoZero"/>
        <c:lblAlgn val="ctr"/>
        <c:lblOffset val="100"/>
        <c:tickLblSkip val="1"/>
        <c:tickMarkSkip val="1"/>
      </c:catAx>
      <c:valAx>
        <c:axId val="108722432"/>
        <c:scaling>
          <c:orientation val="minMax"/>
        </c:scaling>
        <c:axPos val="l"/>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8720896"/>
        <c:crosses val="autoZero"/>
        <c:crossBetween val="between"/>
      </c:valAx>
    </c:plotArea>
    <c:legend>
      <c:legendPos val="b"/>
      <c:txPr>
        <a:bodyPr/>
        <a:lstStyle/>
        <a:p>
          <a:pPr>
            <a:defRPr sz="650" b="0" i="0" u="none" strike="noStrike" baseline="0">
              <a:solidFill>
                <a:srgbClr val="000000"/>
              </a:solidFill>
              <a:latin typeface="Calibri"/>
              <a:ea typeface="Calibri"/>
              <a:cs typeface="Calibri"/>
            </a:defRPr>
          </a:pPr>
          <a:endParaRPr lang="en-US"/>
        </a:p>
      </c:txPr>
    </c:legend>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278" r="0.75000000000000278"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0745341614906846E-2"/>
          <c:y val="7.4380165289256214E-2"/>
          <c:w val="0.67546583850932074"/>
          <c:h val="0.79338842975206203"/>
        </c:manualLayout>
      </c:layout>
      <c:barChart>
        <c:barDir val="col"/>
        <c:grouping val="percentStacked"/>
        <c:ser>
          <c:idx val="0"/>
          <c:order val="0"/>
          <c:tx>
            <c:strRef>
              <c:f>'Graphs &amp; Tables'!$A$129</c:f>
              <c:strCache>
                <c:ptCount val="1"/>
                <c:pt idx="0">
                  <c:v>PAR (1-30 days)</c:v>
                </c:pt>
              </c:strCache>
            </c:strRef>
          </c:tx>
          <c:cat>
            <c:numRef>
              <c:f>'Graphs &amp; Tables'!$C$128:$L$128</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Tables'!$C$129:$L$129</c:f>
              <c:numCache>
                <c:formatCode>_(* #,##0_);_(* \(#,##0\);_(* "-"??_);_(@_)</c:formatCode>
                <c:ptCount val="10"/>
                <c:pt idx="0">
                  <c:v>0</c:v>
                </c:pt>
                <c:pt idx="1">
                  <c:v>0</c:v>
                </c:pt>
                <c:pt idx="2">
                  <c:v>0</c:v>
                </c:pt>
                <c:pt idx="3">
                  <c:v>0</c:v>
                </c:pt>
                <c:pt idx="4">
                  <c:v>#N/A</c:v>
                </c:pt>
                <c:pt idx="5">
                  <c:v>0</c:v>
                </c:pt>
                <c:pt idx="6">
                  <c:v>0</c:v>
                </c:pt>
                <c:pt idx="7">
                  <c:v>0</c:v>
                </c:pt>
                <c:pt idx="8">
                  <c:v>0</c:v>
                </c:pt>
                <c:pt idx="9">
                  <c:v>0</c:v>
                </c:pt>
              </c:numCache>
            </c:numRef>
          </c:val>
        </c:ser>
        <c:ser>
          <c:idx val="1"/>
          <c:order val="1"/>
          <c:tx>
            <c:strRef>
              <c:f>'Graphs &amp; Tables'!$A$130</c:f>
              <c:strCache>
                <c:ptCount val="1"/>
                <c:pt idx="0">
                  <c:v>PAR (30-60 days)</c:v>
                </c:pt>
              </c:strCache>
            </c:strRef>
          </c:tx>
          <c:spPr>
            <a:solidFill>
              <a:schemeClr val="accent5">
                <a:lumMod val="60000"/>
                <a:lumOff val="40000"/>
              </a:schemeClr>
            </a:solidFill>
          </c:spPr>
          <c:cat>
            <c:numRef>
              <c:f>'Graphs &amp; Tables'!$C$128:$L$128</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Tables'!$C$130:$L$130</c:f>
              <c:numCache>
                <c:formatCode>_(* #,##0_);_(* \(#,##0\);_(* "-"??_);_(@_)</c:formatCode>
                <c:ptCount val="10"/>
                <c:pt idx="0">
                  <c:v>0</c:v>
                </c:pt>
                <c:pt idx="1">
                  <c:v>0</c:v>
                </c:pt>
                <c:pt idx="2">
                  <c:v>0</c:v>
                </c:pt>
                <c:pt idx="3">
                  <c:v>0</c:v>
                </c:pt>
                <c:pt idx="4">
                  <c:v>#N/A</c:v>
                </c:pt>
                <c:pt idx="5">
                  <c:v>0</c:v>
                </c:pt>
                <c:pt idx="6">
                  <c:v>0</c:v>
                </c:pt>
                <c:pt idx="7">
                  <c:v>0</c:v>
                </c:pt>
                <c:pt idx="8">
                  <c:v>0</c:v>
                </c:pt>
                <c:pt idx="9">
                  <c:v>0</c:v>
                </c:pt>
              </c:numCache>
            </c:numRef>
          </c:val>
        </c:ser>
        <c:ser>
          <c:idx val="2"/>
          <c:order val="2"/>
          <c:tx>
            <c:strRef>
              <c:f>'Graphs &amp; Tables'!$A$131</c:f>
              <c:strCache>
                <c:ptCount val="1"/>
                <c:pt idx="0">
                  <c:v>PAR (60-90 days)</c:v>
                </c:pt>
              </c:strCache>
            </c:strRef>
          </c:tx>
          <c:spPr>
            <a:solidFill>
              <a:schemeClr val="tx2">
                <a:lumMod val="75000"/>
              </a:schemeClr>
            </a:solidFill>
          </c:spPr>
          <c:cat>
            <c:numRef>
              <c:f>'Graphs &amp; Tables'!$C$128:$L$128</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Tables'!$C$131:$L$131</c:f>
              <c:numCache>
                <c:formatCode>_(* #,##0_);_(* \(#,##0\);_(* "-"??_);_(@_)</c:formatCode>
                <c:ptCount val="10"/>
                <c:pt idx="0">
                  <c:v>0</c:v>
                </c:pt>
                <c:pt idx="1">
                  <c:v>0</c:v>
                </c:pt>
                <c:pt idx="2">
                  <c:v>0</c:v>
                </c:pt>
                <c:pt idx="3">
                  <c:v>0</c:v>
                </c:pt>
                <c:pt idx="4">
                  <c:v>#N/A</c:v>
                </c:pt>
                <c:pt idx="5">
                  <c:v>0</c:v>
                </c:pt>
                <c:pt idx="6">
                  <c:v>0</c:v>
                </c:pt>
                <c:pt idx="7">
                  <c:v>0</c:v>
                </c:pt>
                <c:pt idx="8">
                  <c:v>0</c:v>
                </c:pt>
                <c:pt idx="9">
                  <c:v>0</c:v>
                </c:pt>
              </c:numCache>
            </c:numRef>
          </c:val>
        </c:ser>
        <c:ser>
          <c:idx val="3"/>
          <c:order val="3"/>
          <c:tx>
            <c:strRef>
              <c:f>'Graphs &amp; Tables'!$A$132</c:f>
              <c:strCache>
                <c:ptCount val="1"/>
                <c:pt idx="0">
                  <c:v>PAR (90-180 days)</c:v>
                </c:pt>
              </c:strCache>
            </c:strRef>
          </c:tx>
          <c:spPr>
            <a:solidFill>
              <a:schemeClr val="accent1">
                <a:lumMod val="40000"/>
                <a:lumOff val="60000"/>
              </a:schemeClr>
            </a:solidFill>
          </c:spPr>
          <c:cat>
            <c:numRef>
              <c:f>'Graphs &amp; Tables'!$C$128:$L$128</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Tables'!$C$132:$L$132</c:f>
              <c:numCache>
                <c:formatCode>_(* #,##0_);_(* \(#,##0\);_(* "-"??_);_(@_)</c:formatCode>
                <c:ptCount val="10"/>
                <c:pt idx="0">
                  <c:v>0</c:v>
                </c:pt>
                <c:pt idx="1">
                  <c:v>0</c:v>
                </c:pt>
                <c:pt idx="2">
                  <c:v>0</c:v>
                </c:pt>
                <c:pt idx="3">
                  <c:v>0</c:v>
                </c:pt>
                <c:pt idx="4">
                  <c:v>#N/A</c:v>
                </c:pt>
                <c:pt idx="5">
                  <c:v>0</c:v>
                </c:pt>
                <c:pt idx="6">
                  <c:v>0</c:v>
                </c:pt>
                <c:pt idx="7">
                  <c:v>0</c:v>
                </c:pt>
                <c:pt idx="8">
                  <c:v>0</c:v>
                </c:pt>
                <c:pt idx="9">
                  <c:v>0</c:v>
                </c:pt>
              </c:numCache>
            </c:numRef>
          </c:val>
        </c:ser>
        <c:ser>
          <c:idx val="4"/>
          <c:order val="4"/>
          <c:tx>
            <c:strRef>
              <c:f>'Graphs &amp; Tables'!$A$133</c:f>
              <c:strCache>
                <c:ptCount val="1"/>
                <c:pt idx="0">
                  <c:v>PAR (&gt;180 days)</c:v>
                </c:pt>
              </c:strCache>
            </c:strRef>
          </c:tx>
          <c:cat>
            <c:numRef>
              <c:f>'Graphs &amp; Tables'!$C$128:$L$128</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Tables'!$C$133:$L$133</c:f>
              <c:numCache>
                <c:formatCode>_(* #,##0_);_(* \(#,##0\);_(* "-"??_);_(@_)</c:formatCode>
                <c:ptCount val="10"/>
                <c:pt idx="0">
                  <c:v>0</c:v>
                </c:pt>
                <c:pt idx="1">
                  <c:v>0</c:v>
                </c:pt>
                <c:pt idx="2">
                  <c:v>0</c:v>
                </c:pt>
                <c:pt idx="3">
                  <c:v>0</c:v>
                </c:pt>
                <c:pt idx="4">
                  <c:v>#N/A</c:v>
                </c:pt>
                <c:pt idx="5">
                  <c:v>0</c:v>
                </c:pt>
                <c:pt idx="6">
                  <c:v>0</c:v>
                </c:pt>
                <c:pt idx="7">
                  <c:v>0</c:v>
                </c:pt>
                <c:pt idx="8">
                  <c:v>0</c:v>
                </c:pt>
                <c:pt idx="9">
                  <c:v>0</c:v>
                </c:pt>
              </c:numCache>
            </c:numRef>
          </c:val>
        </c:ser>
        <c:gapWidth val="120"/>
        <c:overlap val="100"/>
        <c:axId val="109418752"/>
        <c:axId val="109445120"/>
      </c:barChart>
      <c:lineChart>
        <c:grouping val="standard"/>
        <c:ser>
          <c:idx val="5"/>
          <c:order val="5"/>
          <c:tx>
            <c:strRef>
              <c:f>'Graphs &amp; Tables'!$A$134</c:f>
              <c:strCache>
                <c:ptCount val="1"/>
                <c:pt idx="0">
                  <c:v>Risk Coverage Ratio</c:v>
                </c:pt>
              </c:strCache>
            </c:strRef>
          </c:tx>
          <c:spPr>
            <a:ln>
              <a:solidFill>
                <a:schemeClr val="bg1">
                  <a:lumMod val="50000"/>
                </a:schemeClr>
              </a:solidFill>
            </a:ln>
          </c:spPr>
          <c:marker>
            <c:symbol val="none"/>
          </c:marker>
          <c:dLbls>
            <c:txPr>
              <a:bodyPr/>
              <a:lstStyle/>
              <a:p>
                <a:pPr>
                  <a:defRPr sz="1000" b="0" i="0" u="none" strike="noStrike" baseline="0">
                    <a:solidFill>
                      <a:srgbClr val="000000"/>
                    </a:solidFill>
                    <a:latin typeface="Calibri"/>
                    <a:ea typeface="Calibri"/>
                    <a:cs typeface="Calibri"/>
                  </a:defRPr>
                </a:pPr>
                <a:endParaRPr lang="en-US"/>
              </a:p>
            </c:txPr>
            <c:showVal val="1"/>
          </c:dLbls>
          <c:cat>
            <c:numRef>
              <c:f>'Graphs &amp; Tables'!$C$128:$L$128</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Tables'!$C$134:$G$134</c:f>
              <c:numCache>
                <c:formatCode>#,##0.0%_);\(#,##0.0%\)</c:formatCode>
                <c:ptCount val="5"/>
                <c:pt idx="0">
                  <c:v>0</c:v>
                </c:pt>
                <c:pt idx="1">
                  <c:v>0</c:v>
                </c:pt>
                <c:pt idx="2">
                  <c:v>0</c:v>
                </c:pt>
                <c:pt idx="3">
                  <c:v>0</c:v>
                </c:pt>
                <c:pt idx="4">
                  <c:v>#N/A</c:v>
                </c:pt>
              </c:numCache>
            </c:numRef>
          </c:val>
        </c:ser>
        <c:marker val="1"/>
        <c:axId val="109418752"/>
        <c:axId val="109445120"/>
      </c:lineChart>
      <c:catAx>
        <c:axId val="109418752"/>
        <c:scaling>
          <c:orientation val="minMax"/>
        </c:scaling>
        <c:axPos val="b"/>
        <c:numFmt formatCode="yyyy" sourceLinked="1"/>
        <c:majorTickMark val="cross"/>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9445120"/>
        <c:crosses val="autoZero"/>
        <c:lblAlgn val="ctr"/>
        <c:lblOffset val="100"/>
        <c:tickLblSkip val="1"/>
      </c:catAx>
      <c:valAx>
        <c:axId val="109445120"/>
        <c:scaling>
          <c:orientation val="minMax"/>
        </c:scaling>
        <c:axPos val="l"/>
        <c:numFmt formatCode="0%" sourceLinked="1"/>
        <c:majorTickMark val="cross"/>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9418752"/>
        <c:crosses val="autoZero"/>
        <c:crossBetween val="between"/>
      </c:valAx>
    </c:plotArea>
    <c:legend>
      <c:legendPos val="r"/>
      <c:txPr>
        <a:bodyPr/>
        <a:lstStyle/>
        <a:p>
          <a:pPr>
            <a:defRPr sz="59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style val="3"/>
  <c:chart>
    <c:plotArea>
      <c:layout>
        <c:manualLayout>
          <c:layoutTarget val="inner"/>
          <c:xMode val="edge"/>
          <c:yMode val="edge"/>
          <c:x val="0.1436361955521272"/>
          <c:y val="0.12679435340852671"/>
          <c:w val="0.76415172452601265"/>
          <c:h val="0.45744995389089882"/>
        </c:manualLayout>
      </c:layout>
      <c:barChart>
        <c:barDir val="col"/>
        <c:grouping val="clustered"/>
        <c:ser>
          <c:idx val="0"/>
          <c:order val="0"/>
          <c:tx>
            <c:strRef>
              <c:f>'Graphs &amp; Tables'!$B$162</c:f>
              <c:strCache>
                <c:ptCount val="1"/>
                <c:pt idx="0">
                  <c:v>Loan Portfolio in 0</c:v>
                </c:pt>
              </c:strCache>
            </c:strRef>
          </c:tx>
          <c:spPr>
            <a:solidFill>
              <a:schemeClr val="tx2">
                <a:lumMod val="75000"/>
              </a:schemeClr>
            </a:solidFill>
          </c:spPr>
          <c:cat>
            <c:strRef>
              <c:f>'Graphs &amp; Tables'!$A$163:$A$172</c:f>
              <c:strCache>
                <c:ptCount val="10"/>
                <c:pt idx="0">
                  <c:v>[$&gt;0 &amp; &lt;=500]</c:v>
                </c:pt>
                <c:pt idx="1">
                  <c:v>[$&gt;500 &amp; &lt;=1000]</c:v>
                </c:pt>
                <c:pt idx="2">
                  <c:v>[$ &gt;1000 &amp; &lt;=1500]</c:v>
                </c:pt>
                <c:pt idx="3">
                  <c:v>[$&gt;1500 &amp; &lt;=2000]</c:v>
                </c:pt>
                <c:pt idx="4">
                  <c:v>[$&gt;2500 &amp; &lt;=3000]</c:v>
                </c:pt>
                <c:pt idx="5">
                  <c:v>[$&gt;3000]</c:v>
                </c:pt>
                <c:pt idx="6">
                  <c:v>#REF!</c:v>
                </c:pt>
                <c:pt idx="7">
                  <c:v>#REF!</c:v>
                </c:pt>
                <c:pt idx="8">
                  <c:v>#REF!</c:v>
                </c:pt>
                <c:pt idx="9">
                  <c:v>#REF!</c:v>
                </c:pt>
              </c:strCache>
            </c:strRef>
          </c:cat>
          <c:val>
            <c:numRef>
              <c:f>'Graphs &amp; Tables'!$B$163:$B$168</c:f>
              <c:numCache>
                <c:formatCode>_(* #,##0_);_(* \(#,##0\);_(* "-"??_);_(@_)</c:formatCode>
                <c:ptCount val="6"/>
                <c:pt idx="0">
                  <c:v>0</c:v>
                </c:pt>
                <c:pt idx="1">
                  <c:v>0</c:v>
                </c:pt>
                <c:pt idx="2">
                  <c:v>0</c:v>
                </c:pt>
                <c:pt idx="3">
                  <c:v>0</c:v>
                </c:pt>
                <c:pt idx="4">
                  <c:v>0</c:v>
                </c:pt>
                <c:pt idx="5">
                  <c:v>0</c:v>
                </c:pt>
              </c:numCache>
            </c:numRef>
          </c:val>
        </c:ser>
        <c:axId val="109483136"/>
        <c:axId val="109484672"/>
      </c:barChart>
      <c:lineChart>
        <c:grouping val="standard"/>
        <c:ser>
          <c:idx val="1"/>
          <c:order val="1"/>
          <c:tx>
            <c:strRef>
              <c:f>'Graphs &amp; Tables'!$C$162</c:f>
              <c:strCache>
                <c:ptCount val="1"/>
                <c:pt idx="0">
                  <c:v>PAR&gt;30 Days (%)</c:v>
                </c:pt>
              </c:strCache>
            </c:strRef>
          </c:tx>
          <c:cat>
            <c:strRef>
              <c:f>'Graphs &amp; Tables'!$A$163:$A$172</c:f>
              <c:strCache>
                <c:ptCount val="10"/>
                <c:pt idx="0">
                  <c:v>[$&gt;0 &amp; &lt;=500]</c:v>
                </c:pt>
                <c:pt idx="1">
                  <c:v>[$&gt;500 &amp; &lt;=1000]</c:v>
                </c:pt>
                <c:pt idx="2">
                  <c:v>[$ &gt;1000 &amp; &lt;=1500]</c:v>
                </c:pt>
                <c:pt idx="3">
                  <c:v>[$&gt;1500 &amp; &lt;=2000]</c:v>
                </c:pt>
                <c:pt idx="4">
                  <c:v>[$&gt;2500 &amp; &lt;=3000]</c:v>
                </c:pt>
                <c:pt idx="5">
                  <c:v>[$&gt;3000]</c:v>
                </c:pt>
                <c:pt idx="6">
                  <c:v>#REF!</c:v>
                </c:pt>
                <c:pt idx="7">
                  <c:v>#REF!</c:v>
                </c:pt>
                <c:pt idx="8">
                  <c:v>#REF!</c:v>
                </c:pt>
                <c:pt idx="9">
                  <c:v>#REF!</c:v>
                </c:pt>
              </c:strCache>
            </c:strRef>
          </c:cat>
          <c:val>
            <c:numRef>
              <c:f>'Graphs &amp; Tables'!$C$163:$C$168</c:f>
              <c:numCache>
                <c:formatCode>0.0%</c:formatCode>
                <c:ptCount val="6"/>
                <c:pt idx="0">
                  <c:v>0</c:v>
                </c:pt>
                <c:pt idx="1">
                  <c:v>0</c:v>
                </c:pt>
                <c:pt idx="2">
                  <c:v>0</c:v>
                </c:pt>
                <c:pt idx="3">
                  <c:v>0</c:v>
                </c:pt>
                <c:pt idx="4">
                  <c:v>0</c:v>
                </c:pt>
                <c:pt idx="5">
                  <c:v>0</c:v>
                </c:pt>
              </c:numCache>
            </c:numRef>
          </c:val>
        </c:ser>
        <c:marker val="1"/>
        <c:axId val="109486848"/>
        <c:axId val="109488384"/>
      </c:lineChart>
      <c:catAx>
        <c:axId val="109483136"/>
        <c:scaling>
          <c:orientation val="minMax"/>
        </c:scaling>
        <c:axPos val="b"/>
        <c:numFmt formatCode="General" sourceLinked="1"/>
        <c:tickLblPos val="nextTo"/>
        <c:txPr>
          <a:bodyPr rot="-5400000" vert="horz"/>
          <a:lstStyle/>
          <a:p>
            <a:pPr>
              <a:defRPr sz="1200" b="0" i="0" u="none" strike="noStrike" baseline="0">
                <a:solidFill>
                  <a:srgbClr val="000000"/>
                </a:solidFill>
                <a:latin typeface="Calibri"/>
                <a:ea typeface="Calibri"/>
                <a:cs typeface="Calibri"/>
              </a:defRPr>
            </a:pPr>
            <a:endParaRPr lang="en-US"/>
          </a:p>
        </c:txPr>
        <c:crossAx val="109484672"/>
        <c:crosses val="autoZero"/>
        <c:auto val="1"/>
        <c:lblAlgn val="ctr"/>
        <c:lblOffset val="100"/>
      </c:catAx>
      <c:valAx>
        <c:axId val="109484672"/>
        <c:scaling>
          <c:orientation val="minMax"/>
        </c:scaling>
        <c:axPos val="l"/>
        <c:title>
          <c:tx>
            <c:rich>
              <a:bodyPr rot="0" vert="horz"/>
              <a:lstStyle/>
              <a:p>
                <a:pPr algn="ctr">
                  <a:defRPr sz="1000" b="0" i="0" u="none" strike="noStrike" baseline="0">
                    <a:solidFill>
                      <a:srgbClr val="000000"/>
                    </a:solidFill>
                    <a:latin typeface="Calibri"/>
                    <a:ea typeface="Calibri"/>
                    <a:cs typeface="Calibri"/>
                  </a:defRPr>
                </a:pPr>
                <a:r>
                  <a:rPr lang="en-US"/>
                  <a:t>Loan Portfolio</a:t>
                </a:r>
              </a:p>
            </c:rich>
          </c:tx>
          <c:layout>
            <c:manualLayout>
              <c:xMode val="edge"/>
              <c:yMode val="edge"/>
              <c:x val="1.8376753831696964E-2"/>
              <c:y val="3.2627372765739647E-2"/>
            </c:manualLayout>
          </c:layout>
        </c:title>
        <c:numFmt formatCode="_(* #,##0_);_(* \(#,##0\);_(* &quot;-&quot;??_);_(@_)"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9483136"/>
        <c:crosses val="autoZero"/>
        <c:crossBetween val="between"/>
      </c:valAx>
      <c:catAx>
        <c:axId val="109486848"/>
        <c:scaling>
          <c:orientation val="minMax"/>
        </c:scaling>
        <c:delete val="1"/>
        <c:axPos val="b"/>
        <c:tickLblPos val="none"/>
        <c:crossAx val="109488384"/>
        <c:crosses val="autoZero"/>
        <c:auto val="1"/>
        <c:lblAlgn val="ctr"/>
        <c:lblOffset val="100"/>
      </c:catAx>
      <c:valAx>
        <c:axId val="109488384"/>
        <c:scaling>
          <c:orientation val="minMax"/>
        </c:scaling>
        <c:axPos val="r"/>
        <c:title>
          <c:tx>
            <c:rich>
              <a:bodyPr rot="0" vert="horz"/>
              <a:lstStyle/>
              <a:p>
                <a:pPr algn="ctr">
                  <a:defRPr sz="1000" b="0" i="0" u="none" strike="noStrike" baseline="0">
                    <a:solidFill>
                      <a:srgbClr val="000000"/>
                    </a:solidFill>
                    <a:latin typeface="Calibri"/>
                    <a:ea typeface="Calibri"/>
                    <a:cs typeface="Calibri"/>
                  </a:defRPr>
                </a:pPr>
                <a:r>
                  <a:rPr lang="en-US"/>
                  <a:t>PAR&gt;30</a:t>
                </a:r>
              </a:p>
            </c:rich>
          </c:tx>
          <c:layout>
            <c:manualLayout>
              <c:xMode val="edge"/>
              <c:yMode val="edge"/>
              <c:x val="0.89847882440620852"/>
              <c:y val="3.2627372765739647E-2"/>
            </c:manualLayout>
          </c:layout>
        </c:title>
        <c:numFmt formatCode="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9486848"/>
        <c:crosses val="max"/>
        <c:crossBetween val="between"/>
      </c:valAx>
    </c:plotArea>
    <c:legend>
      <c:legendPos val="t"/>
      <c:layout>
        <c:manualLayout>
          <c:xMode val="edge"/>
          <c:yMode val="edge"/>
          <c:x val="0.23053514144065326"/>
          <c:y val="3.6036260638924331E-2"/>
          <c:w val="0.62293477204238656"/>
          <c:h val="6.5163609166268482E-2"/>
        </c:manualLayout>
      </c:layout>
      <c:txPr>
        <a:bodyPr/>
        <a:lstStyle/>
        <a:p>
          <a:pPr>
            <a:defRPr sz="92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392771916004098"/>
          <c:y val="0.18012456901345719"/>
          <c:w val="0.74960629921260002"/>
          <c:h val="0.58074622225928985"/>
        </c:manualLayout>
      </c:layout>
      <c:barChart>
        <c:barDir val="col"/>
        <c:grouping val="clustered"/>
        <c:ser>
          <c:idx val="1"/>
          <c:order val="0"/>
          <c:tx>
            <c:strRef>
              <c:f>'Graphs &amp; Tables'!$A$9</c:f>
              <c:strCache>
                <c:ptCount val="1"/>
                <c:pt idx="0">
                  <c:v>GLP (y-o-y growth)</c:v>
                </c:pt>
              </c:strCache>
            </c:strRef>
          </c:tx>
          <c:spPr>
            <a:solidFill>
              <a:srgbClr val="003366"/>
            </a:solidFill>
            <a:ln w="25400">
              <a:noFill/>
            </a:ln>
          </c:spPr>
          <c:cat>
            <c:numRef>
              <c:f>'Graphs &amp; Tables'!$E$8:$G$8</c:f>
              <c:numCache>
                <c:formatCode>yyyy</c:formatCode>
                <c:ptCount val="3"/>
                <c:pt idx="0">
                  <c:v>693597</c:v>
                </c:pt>
                <c:pt idx="1">
                  <c:v>693962</c:v>
                </c:pt>
                <c:pt idx="2" formatCode="mmm\-yy">
                  <c:v>#N/A</c:v>
                </c:pt>
              </c:numCache>
            </c:numRef>
          </c:cat>
          <c:val>
            <c:numRef>
              <c:f>'Graphs &amp; Tables'!$E$9:$G$9</c:f>
              <c:numCache>
                <c:formatCode>0%</c:formatCode>
                <c:ptCount val="3"/>
                <c:pt idx="0">
                  <c:v>0</c:v>
                </c:pt>
                <c:pt idx="1">
                  <c:v>0</c:v>
                </c:pt>
                <c:pt idx="2">
                  <c:v>#N/A</c:v>
                </c:pt>
              </c:numCache>
            </c:numRef>
          </c:val>
        </c:ser>
        <c:axId val="144179968"/>
        <c:axId val="108164224"/>
      </c:barChart>
      <c:lineChart>
        <c:grouping val="standard"/>
        <c:ser>
          <c:idx val="0"/>
          <c:order val="1"/>
          <c:tx>
            <c:strRef>
              <c:f>'Graphs &amp; Tables'!$A$10</c:f>
              <c:strCache>
                <c:ptCount val="1"/>
                <c:pt idx="0">
                  <c:v>Borrowers (y-o-y growth)</c:v>
                </c:pt>
              </c:strCache>
            </c:strRef>
          </c:tx>
          <c:spPr>
            <a:ln w="25400">
              <a:solidFill>
                <a:srgbClr val="9999FF"/>
              </a:solidFill>
              <a:prstDash val="solid"/>
            </a:ln>
          </c:spPr>
          <c:marker>
            <c:symbol val="none"/>
          </c:marker>
          <c:cat>
            <c:numRef>
              <c:f>'Graphs &amp; Tables'!$E$8:$G$8</c:f>
              <c:numCache>
                <c:formatCode>yyyy</c:formatCode>
                <c:ptCount val="3"/>
                <c:pt idx="0">
                  <c:v>693597</c:v>
                </c:pt>
                <c:pt idx="1">
                  <c:v>693962</c:v>
                </c:pt>
                <c:pt idx="2" formatCode="mmm\-yy">
                  <c:v>#N/A</c:v>
                </c:pt>
              </c:numCache>
            </c:numRef>
          </c:cat>
          <c:val>
            <c:numRef>
              <c:f>'Graphs &amp; Tables'!$E$10:$G$10</c:f>
              <c:numCache>
                <c:formatCode>0%</c:formatCode>
                <c:ptCount val="3"/>
                <c:pt idx="0">
                  <c:v>0</c:v>
                </c:pt>
                <c:pt idx="1">
                  <c:v>0</c:v>
                </c:pt>
                <c:pt idx="2">
                  <c:v>#N/A</c:v>
                </c:pt>
              </c:numCache>
            </c:numRef>
          </c:val>
        </c:ser>
        <c:marker val="1"/>
        <c:axId val="108166144"/>
        <c:axId val="108167936"/>
      </c:lineChart>
      <c:catAx>
        <c:axId val="144179968"/>
        <c:scaling>
          <c:orientation val="minMax"/>
        </c:scaling>
        <c:axPos val="b"/>
        <c:numFmt formatCode="yyyy"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08164224"/>
        <c:crosses val="autoZero"/>
        <c:lblAlgn val="ctr"/>
        <c:lblOffset val="100"/>
        <c:tickLblSkip val="1"/>
        <c:tickMarkSkip val="1"/>
      </c:catAx>
      <c:valAx>
        <c:axId val="108164224"/>
        <c:scaling>
          <c:orientation val="minMax"/>
        </c:scaling>
        <c:axPos val="l"/>
        <c:title>
          <c:tx>
            <c:rich>
              <a:bodyPr rot="0" vert="horz"/>
              <a:lstStyle/>
              <a:p>
                <a:pPr algn="ctr">
                  <a:defRPr sz="1100" b="0" i="0" u="none" strike="noStrike" baseline="0">
                    <a:solidFill>
                      <a:srgbClr val="000000"/>
                    </a:solidFill>
                    <a:latin typeface="Calibri"/>
                    <a:ea typeface="Calibri"/>
                    <a:cs typeface="Calibri"/>
                  </a:defRPr>
                </a:pPr>
                <a:r>
                  <a:rPr lang="en-US"/>
                  <a:t>GLP</a:t>
                </a:r>
              </a:p>
            </c:rich>
          </c:tx>
          <c:layout>
            <c:manualLayout>
              <c:xMode val="edge"/>
              <c:yMode val="edge"/>
              <c:x val="6.1417322834646085E-2"/>
              <c:y val="6.8322759655043114E-2"/>
            </c:manualLayout>
          </c:layout>
          <c:spPr>
            <a:noFill/>
            <a:ln w="25400">
              <a:noFill/>
            </a:ln>
          </c:spPr>
        </c:title>
        <c:numFmt formatCode="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44179968"/>
        <c:crosses val="autoZero"/>
        <c:crossBetween val="between"/>
      </c:valAx>
      <c:catAx>
        <c:axId val="108166144"/>
        <c:scaling>
          <c:orientation val="minMax"/>
        </c:scaling>
        <c:delete val="1"/>
        <c:axPos val="b"/>
        <c:numFmt formatCode="yyyy" sourceLinked="1"/>
        <c:tickLblPos val="none"/>
        <c:crossAx val="108167936"/>
        <c:crosses val="autoZero"/>
        <c:lblAlgn val="ctr"/>
        <c:lblOffset val="100"/>
      </c:catAx>
      <c:valAx>
        <c:axId val="108167936"/>
        <c:scaling>
          <c:orientation val="minMax"/>
        </c:scaling>
        <c:axPos val="r"/>
        <c:title>
          <c:tx>
            <c:rich>
              <a:bodyPr rot="0" vert="horz"/>
              <a:lstStyle/>
              <a:p>
                <a:pPr algn="ctr">
                  <a:defRPr sz="1100" b="0" i="0" u="none" strike="noStrike" baseline="0">
                    <a:solidFill>
                      <a:srgbClr val="000000"/>
                    </a:solidFill>
                    <a:latin typeface="Calibri"/>
                    <a:ea typeface="Calibri"/>
                    <a:cs typeface="Calibri"/>
                  </a:defRPr>
                </a:pPr>
                <a:r>
                  <a:rPr lang="en-US"/>
                  <a:t>Borrowers</a:t>
                </a:r>
              </a:p>
            </c:rich>
          </c:tx>
          <c:layout>
            <c:manualLayout>
              <c:xMode val="edge"/>
              <c:yMode val="edge"/>
              <c:x val="0.81259842519685044"/>
              <c:y val="8.2193025871766023E-2"/>
            </c:manualLayout>
          </c:layout>
          <c:spPr>
            <a:noFill/>
            <a:ln w="25400">
              <a:noFill/>
            </a:ln>
          </c:spPr>
        </c:title>
        <c:numFmt formatCode="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08166144"/>
        <c:crosses val="max"/>
        <c:crossBetween val="between"/>
      </c:valAx>
      <c:spPr>
        <a:solidFill>
          <a:srgbClr val="FFFFFF"/>
        </a:solidFill>
        <a:ln w="25400">
          <a:noFill/>
        </a:ln>
      </c:spPr>
    </c:plotArea>
    <c:legend>
      <c:legendPos val="b"/>
      <c:txPr>
        <a:bodyPr/>
        <a:lstStyle/>
        <a:p>
          <a:pPr>
            <a:defRPr sz="1010" b="0" i="0" u="none" strike="noStrike" baseline="0">
              <a:solidFill>
                <a:srgbClr val="000000"/>
              </a:solidFill>
              <a:latin typeface="Calibri"/>
              <a:ea typeface="Calibri"/>
              <a:cs typeface="Calibri"/>
            </a:defRPr>
          </a:pPr>
          <a:endParaRPr lang="en-US"/>
        </a:p>
      </c:txPr>
    </c:legend>
    <c:plotVisOnly val="1"/>
    <c:dispBlanksAs val="gap"/>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oddHeader>&amp;A</c:oddHeader>
      <c:oddFooter>Page &amp;P</c:oddFooter>
    </c:headerFooter>
    <c:pageMargins b="1" l="0.75000000000000278" r="0.75000000000000278" t="1" header="0.5" footer="0.5"/>
    <c:pageSetup orientation="landscape" horizontalDpi="-3"/>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Arial"/>
                <a:ea typeface="Arial"/>
                <a:cs typeface="Arial"/>
              </a:defRPr>
            </a:pPr>
            <a:r>
              <a:rPr lang="en-US"/>
              <a:t>Net Income and ROE</a:t>
            </a:r>
          </a:p>
        </c:rich>
      </c:tx>
      <c:spPr>
        <a:noFill/>
        <a:ln w="25400">
          <a:noFill/>
        </a:ln>
      </c:spPr>
    </c:title>
    <c:plotArea>
      <c:layout/>
      <c:barChart>
        <c:barDir val="col"/>
        <c:grouping val="clustered"/>
        <c:ser>
          <c:idx val="1"/>
          <c:order val="0"/>
          <c:tx>
            <c:strRef>
              <c:f>'Graphs &amp; Tables'!#REF!</c:f>
              <c:strCache>
                <c:ptCount val="1"/>
                <c:pt idx="0">
                  <c:v>#REF!</c:v>
                </c:pt>
              </c:strCache>
            </c:strRef>
          </c:tx>
          <c:spPr>
            <a:solidFill>
              <a:srgbClr val="99CCFF"/>
            </a:solidFill>
            <a:ln w="25400">
              <a:noFill/>
            </a:ln>
          </c:spPr>
          <c:cat>
            <c:numRef>
              <c:f>'Graphs &amp; Tables'!#REF!</c:f>
              <c:numCache>
                <c:formatCode>General</c:formatCode>
                <c:ptCount val="1"/>
                <c:pt idx="0">
                  <c:v>1</c:v>
                </c:pt>
              </c:numCache>
            </c:numRef>
          </c:cat>
          <c:val>
            <c:numRef>
              <c:f>'Graphs &amp; Tables'!#REF!</c:f>
              <c:numCache>
                <c:formatCode>General</c:formatCode>
                <c:ptCount val="1"/>
                <c:pt idx="0">
                  <c:v>1</c:v>
                </c:pt>
              </c:numCache>
            </c:numRef>
          </c:val>
        </c:ser>
        <c:axId val="108205952"/>
        <c:axId val="108224512"/>
      </c:barChart>
      <c:lineChart>
        <c:grouping val="standard"/>
        <c:ser>
          <c:idx val="0"/>
          <c:order val="1"/>
          <c:tx>
            <c:strRef>
              <c:f>'Graphs &amp; Tables'!#REF!</c:f>
              <c:strCache>
                <c:ptCount val="1"/>
                <c:pt idx="0">
                  <c:v>#REF!</c:v>
                </c:pt>
              </c:strCache>
            </c:strRef>
          </c:tx>
          <c:spPr>
            <a:ln w="12700">
              <a:solidFill>
                <a:srgbClr val="00FF00"/>
              </a:solidFill>
              <a:prstDash val="solid"/>
            </a:ln>
          </c:spPr>
          <c:marker>
            <c:symbol val="diamond"/>
            <c:size val="5"/>
            <c:spPr>
              <a:solidFill>
                <a:srgbClr val="00FF00"/>
              </a:solidFill>
              <a:ln>
                <a:solidFill>
                  <a:srgbClr val="00FF00"/>
                </a:solidFill>
                <a:prstDash val="solid"/>
              </a:ln>
            </c:spPr>
          </c:marker>
          <c:cat>
            <c:numRef>
              <c:f>'Graphs &amp; Tables'!#REF!</c:f>
              <c:numCache>
                <c:formatCode>General</c:formatCode>
                <c:ptCount val="1"/>
                <c:pt idx="0">
                  <c:v>1</c:v>
                </c:pt>
              </c:numCache>
            </c:numRef>
          </c:cat>
          <c:val>
            <c:numRef>
              <c:f>'Graphs &amp; Tables'!#REF!</c:f>
              <c:numCache>
                <c:formatCode>General</c:formatCode>
                <c:ptCount val="1"/>
                <c:pt idx="0">
                  <c:v>1</c:v>
                </c:pt>
              </c:numCache>
            </c:numRef>
          </c:val>
        </c:ser>
        <c:marker val="1"/>
        <c:axId val="108226048"/>
        <c:axId val="108227584"/>
      </c:lineChart>
      <c:catAx>
        <c:axId val="108205952"/>
        <c:scaling>
          <c:orientation val="minMax"/>
        </c:scaling>
        <c:axPos val="b"/>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224512"/>
        <c:crosses val="autoZero"/>
        <c:lblAlgn val="ctr"/>
        <c:lblOffset val="100"/>
        <c:tickLblSkip val="1"/>
        <c:tickMarkSkip val="1"/>
      </c:catAx>
      <c:valAx>
        <c:axId val="108224512"/>
        <c:scaling>
          <c:orientation val="minMax"/>
          <c:max val="5"/>
        </c:scaling>
        <c:axPos val="l"/>
        <c:numFmt formatCode="[=5]\$#.0;0.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205952"/>
        <c:crosses val="autoZero"/>
        <c:crossBetween val="between"/>
      </c:valAx>
      <c:catAx>
        <c:axId val="108226048"/>
        <c:scaling>
          <c:orientation val="minMax"/>
        </c:scaling>
        <c:delete val="1"/>
        <c:axPos val="b"/>
        <c:numFmt formatCode="General" sourceLinked="1"/>
        <c:tickLblPos val="none"/>
        <c:crossAx val="108227584"/>
        <c:crosses val="autoZero"/>
        <c:lblAlgn val="ctr"/>
        <c:lblOffset val="100"/>
      </c:catAx>
      <c:valAx>
        <c:axId val="108227584"/>
        <c:scaling>
          <c:orientation val="minMax"/>
        </c:scaling>
        <c:axPos val="r"/>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226048"/>
        <c:crosses val="max"/>
        <c:crossBetween val="between"/>
      </c:valAx>
      <c:spPr>
        <a:solidFill>
          <a:srgbClr val="FFFFFF"/>
        </a:solidFill>
        <a:ln w="25400">
          <a:noFill/>
        </a:ln>
      </c:spPr>
    </c:plotArea>
    <c:legend>
      <c:legendPos val="r"/>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1"/>
          <c:order val="0"/>
          <c:tx>
            <c:strRef>
              <c:f>'Graphs &amp; Tables'!#REF!</c:f>
              <c:strCache>
                <c:ptCount val="1"/>
                <c:pt idx="0">
                  <c:v>#REF!</c:v>
                </c:pt>
              </c:strCache>
            </c:strRef>
          </c:tx>
          <c:spPr>
            <a:solidFill>
              <a:srgbClr val="99CCFF"/>
            </a:solidFill>
            <a:ln w="25400">
              <a:noFill/>
            </a:ln>
          </c:spPr>
          <c:cat>
            <c:numRef>
              <c:f>'Graphs &amp; Tables'!#REF!</c:f>
              <c:numCache>
                <c:formatCode>General</c:formatCode>
                <c:ptCount val="1"/>
                <c:pt idx="0">
                  <c:v>1</c:v>
                </c:pt>
              </c:numCache>
            </c:numRef>
          </c:cat>
          <c:val>
            <c:numRef>
              <c:f>'Graphs &amp; Tables'!#REF!</c:f>
              <c:numCache>
                <c:formatCode>General</c:formatCode>
                <c:ptCount val="1"/>
                <c:pt idx="0">
                  <c:v>1</c:v>
                </c:pt>
              </c:numCache>
            </c:numRef>
          </c:val>
        </c:ser>
        <c:axId val="108258432"/>
        <c:axId val="108259968"/>
      </c:barChart>
      <c:lineChart>
        <c:grouping val="standard"/>
        <c:ser>
          <c:idx val="0"/>
          <c:order val="1"/>
          <c:tx>
            <c:strRef>
              <c:f>'Graphs &amp; Tables'!#REF!</c:f>
              <c:strCache>
                <c:ptCount val="1"/>
                <c:pt idx="0">
                  <c:v>#REF!</c:v>
                </c:pt>
              </c:strCache>
            </c:strRef>
          </c:tx>
          <c:spPr>
            <a:ln w="12700">
              <a:solidFill>
                <a:srgbClr val="00FF00"/>
              </a:solidFill>
              <a:prstDash val="solid"/>
            </a:ln>
          </c:spPr>
          <c:marker>
            <c:symbol val="diamond"/>
            <c:size val="5"/>
            <c:spPr>
              <a:solidFill>
                <a:srgbClr val="00FF00"/>
              </a:solidFill>
              <a:ln>
                <a:solidFill>
                  <a:srgbClr val="00FF00"/>
                </a:solidFill>
                <a:prstDash val="solid"/>
              </a:ln>
            </c:spPr>
          </c:marker>
          <c:dLbls>
            <c:spPr>
              <a:noFill/>
              <a:ln w="25400">
                <a:noFill/>
              </a:ln>
            </c:spPr>
            <c:txPr>
              <a:bodyPr/>
              <a:lstStyle/>
              <a:p>
                <a:pPr>
                  <a:defRPr sz="1000" b="0" i="0" u="none" strike="noStrike" baseline="0">
                    <a:solidFill>
                      <a:srgbClr val="000000"/>
                    </a:solidFill>
                    <a:latin typeface="Arial"/>
                    <a:ea typeface="Arial"/>
                    <a:cs typeface="Arial"/>
                  </a:defRPr>
                </a:pPr>
                <a:endParaRPr lang="en-US"/>
              </a:p>
            </c:txPr>
            <c:showVal val="1"/>
          </c:dLbls>
          <c:cat>
            <c:numRef>
              <c:f>'Graphs &amp; Tables'!#REF!</c:f>
              <c:numCache>
                <c:formatCode>General</c:formatCode>
                <c:ptCount val="1"/>
                <c:pt idx="0">
                  <c:v>1</c:v>
                </c:pt>
              </c:numCache>
            </c:numRef>
          </c:cat>
          <c:val>
            <c:numRef>
              <c:f>'Graphs &amp; Tables'!#REF!</c:f>
              <c:numCache>
                <c:formatCode>General</c:formatCode>
                <c:ptCount val="1"/>
                <c:pt idx="0">
                  <c:v>1</c:v>
                </c:pt>
              </c:numCache>
            </c:numRef>
          </c:val>
        </c:ser>
        <c:marker val="1"/>
        <c:axId val="108261760"/>
        <c:axId val="108263296"/>
      </c:lineChart>
      <c:catAx>
        <c:axId val="108258432"/>
        <c:scaling>
          <c:orientation val="minMax"/>
        </c:scaling>
        <c:axPos val="b"/>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259968"/>
        <c:crosses val="autoZero"/>
        <c:lblAlgn val="ctr"/>
        <c:lblOffset val="100"/>
        <c:tickLblSkip val="1"/>
        <c:tickMarkSkip val="1"/>
      </c:catAx>
      <c:valAx>
        <c:axId val="108259968"/>
        <c:scaling>
          <c:orientation val="minMax"/>
          <c:max val="15"/>
          <c:min val="0"/>
        </c:scaling>
        <c:axPos val="l"/>
        <c:numFmt formatCode="[=15]\$#.0;0.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258432"/>
        <c:crosses val="autoZero"/>
        <c:crossBetween val="between"/>
        <c:majorUnit val="3"/>
      </c:valAx>
      <c:catAx>
        <c:axId val="108261760"/>
        <c:scaling>
          <c:orientation val="minMax"/>
        </c:scaling>
        <c:delete val="1"/>
        <c:axPos val="b"/>
        <c:numFmt formatCode="General" sourceLinked="1"/>
        <c:tickLblPos val="none"/>
        <c:crossAx val="108263296"/>
        <c:crosses val="autoZero"/>
        <c:lblAlgn val="ctr"/>
        <c:lblOffset val="100"/>
      </c:catAx>
      <c:valAx>
        <c:axId val="108263296"/>
        <c:scaling>
          <c:orientation val="minMax"/>
          <c:max val="1"/>
          <c:min val="0.2"/>
        </c:scaling>
        <c:axPos val="r"/>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261760"/>
        <c:crosses val="max"/>
        <c:crossBetween val="between"/>
        <c:majorUnit val="0.2"/>
      </c:valAx>
      <c:spPr>
        <a:solidFill>
          <a:srgbClr val="FFFFFF"/>
        </a:solidFill>
        <a:ln w="25400">
          <a:noFill/>
        </a:ln>
      </c:spPr>
    </c:plotArea>
    <c:legend>
      <c:legendPos val="r"/>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orientation="landscape" horizontalDpi="-3"/>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spPr>
        <a:noFill/>
        <a:ln w="25400">
          <a:noFill/>
        </a:ln>
      </c:spPr>
      <c:txPr>
        <a:bodyPr/>
        <a:lstStyle/>
        <a:p>
          <a:pPr>
            <a:defRPr sz="1000" b="1" i="0" u="none" strike="noStrike" baseline="0">
              <a:solidFill>
                <a:srgbClr val="000000"/>
              </a:solidFill>
              <a:latin typeface="Arial"/>
              <a:ea typeface="Arial"/>
              <a:cs typeface="Arial"/>
            </a:defRPr>
          </a:pPr>
          <a:endParaRPr lang="en-US"/>
        </a:p>
      </c:txPr>
    </c:title>
    <c:plotArea>
      <c:layout/>
      <c:lineChart>
        <c:grouping val="standard"/>
        <c:ser>
          <c:idx val="1"/>
          <c:order val="0"/>
          <c:tx>
            <c:strRef>
              <c:f>'Graphs &amp; Tables'!#REF!</c:f>
              <c:strCache>
                <c:ptCount val="1"/>
                <c:pt idx="0">
                  <c:v>#REF!</c:v>
                </c:pt>
              </c:strCache>
            </c:strRef>
          </c:tx>
          <c:spPr>
            <a:ln w="12700">
              <a:solidFill>
                <a:srgbClr val="00FF00"/>
              </a:solidFill>
              <a:prstDash val="solid"/>
            </a:ln>
          </c:spPr>
          <c:marker>
            <c:symbol val="diamond"/>
            <c:size val="5"/>
            <c:spPr>
              <a:solidFill>
                <a:srgbClr val="00FF00"/>
              </a:solidFill>
              <a:ln>
                <a:solidFill>
                  <a:srgbClr val="00FF00"/>
                </a:solidFill>
                <a:prstDash val="solid"/>
              </a:ln>
            </c:spPr>
          </c:marker>
          <c:dLbls>
            <c:spPr>
              <a:noFill/>
              <a:ln w="25400">
                <a:noFill/>
              </a:ln>
            </c:spPr>
            <c:txPr>
              <a:bodyPr/>
              <a:lstStyle/>
              <a:p>
                <a:pPr>
                  <a:defRPr sz="1000" b="0" i="0" u="none" strike="noStrike" baseline="0">
                    <a:solidFill>
                      <a:srgbClr val="000000"/>
                    </a:solidFill>
                    <a:latin typeface="Arial"/>
                    <a:ea typeface="Arial"/>
                    <a:cs typeface="Arial"/>
                  </a:defRPr>
                </a:pPr>
                <a:endParaRPr lang="en-US"/>
              </a:p>
            </c:txPr>
            <c:showVal val="1"/>
          </c:dLbls>
          <c:cat>
            <c:numRef>
              <c:f>'Graphs &amp; Tables'!#REF!</c:f>
              <c:numCache>
                <c:formatCode>General</c:formatCode>
                <c:ptCount val="1"/>
                <c:pt idx="0">
                  <c:v>1</c:v>
                </c:pt>
              </c:numCache>
            </c:numRef>
          </c:cat>
          <c:val>
            <c:numRef>
              <c:f>'Graphs &amp; Tables'!#REF!</c:f>
              <c:numCache>
                <c:formatCode>General</c:formatCode>
                <c:ptCount val="1"/>
                <c:pt idx="0">
                  <c:v>1</c:v>
                </c:pt>
              </c:numCache>
            </c:numRef>
          </c:val>
        </c:ser>
        <c:marker val="1"/>
        <c:axId val="108271104"/>
        <c:axId val="108272640"/>
      </c:lineChart>
      <c:catAx>
        <c:axId val="1082711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272640"/>
        <c:crosses val="autoZero"/>
        <c:lblAlgn val="ctr"/>
        <c:lblOffset val="100"/>
        <c:tickLblSkip val="1"/>
        <c:tickMarkSkip val="1"/>
      </c:catAx>
      <c:valAx>
        <c:axId val="108272640"/>
        <c:scaling>
          <c:orientation val="minMax"/>
          <c:max val="9.0000000000000024E-2"/>
          <c:min val="0"/>
        </c:scaling>
        <c:axPos val="l"/>
        <c:numFmt formatCode="[=0.09]#.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271104"/>
        <c:crosses val="autoZero"/>
        <c:crossBetween val="between"/>
      </c:valAx>
      <c:spPr>
        <a:solidFill>
          <a:srgbClr val="FFFFFF"/>
        </a:solidFill>
        <a:ln w="25400">
          <a:noFill/>
        </a:ln>
      </c:spPr>
    </c:plotArea>
    <c:legend>
      <c:legendPos val="r"/>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Arial"/>
                <a:ea typeface="Arial"/>
                <a:cs typeface="Arial"/>
              </a:defRPr>
            </a:pPr>
            <a:r>
              <a:rPr lang="en-US"/>
              <a:t>Productivity of Staff</a:t>
            </a:r>
          </a:p>
        </c:rich>
      </c:tx>
      <c:spPr>
        <a:noFill/>
        <a:ln w="25400">
          <a:noFill/>
        </a:ln>
      </c:spPr>
    </c:title>
    <c:plotArea>
      <c:layout/>
      <c:barChart>
        <c:barDir val="col"/>
        <c:grouping val="clustered"/>
        <c:ser>
          <c:idx val="1"/>
          <c:order val="0"/>
          <c:tx>
            <c:strRef>
              <c:f>'Graphs &amp; Tables'!#REF!</c:f>
              <c:strCache>
                <c:ptCount val="1"/>
                <c:pt idx="0">
                  <c:v>#REF!</c:v>
                </c:pt>
              </c:strCache>
            </c:strRef>
          </c:tx>
          <c:spPr>
            <a:solidFill>
              <a:srgbClr val="99CCFF"/>
            </a:solidFill>
            <a:ln w="25400">
              <a:noFill/>
            </a:ln>
          </c:spPr>
          <c:dLbls>
            <c:numFmt formatCode="0_);\(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Val val="1"/>
          </c:dLbls>
          <c:cat>
            <c:numRef>
              <c:f>'Graphs &amp; Tables'!#REF!</c:f>
              <c:numCache>
                <c:formatCode>General</c:formatCode>
                <c:ptCount val="1"/>
                <c:pt idx="0">
                  <c:v>1</c:v>
                </c:pt>
              </c:numCache>
            </c:numRef>
          </c:cat>
          <c:val>
            <c:numRef>
              <c:f>'Graphs &amp; Tables'!#REF!</c:f>
              <c:numCache>
                <c:formatCode>General</c:formatCode>
                <c:ptCount val="1"/>
                <c:pt idx="0">
                  <c:v>1</c:v>
                </c:pt>
              </c:numCache>
            </c:numRef>
          </c:val>
        </c:ser>
        <c:axId val="108465152"/>
        <c:axId val="108466944"/>
      </c:barChart>
      <c:catAx>
        <c:axId val="108465152"/>
        <c:scaling>
          <c:orientation val="minMax"/>
        </c:scaling>
        <c:axPos val="b"/>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466944"/>
        <c:crosses val="autoZero"/>
        <c:lblAlgn val="ctr"/>
        <c:lblOffset val="100"/>
        <c:tickLblSkip val="1"/>
        <c:tickMarkSkip val="1"/>
      </c:catAx>
      <c:valAx>
        <c:axId val="108466944"/>
        <c:scaling>
          <c:orientation val="minMax"/>
        </c:scaling>
        <c:axPos val="l"/>
        <c:title>
          <c:tx>
            <c:rich>
              <a:bodyPr/>
              <a:lstStyle/>
              <a:p>
                <a:pPr>
                  <a:defRPr sz="1000" b="1" i="0" u="none" strike="noStrike" baseline="0">
                    <a:solidFill>
                      <a:srgbClr val="000000"/>
                    </a:solidFill>
                    <a:latin typeface="Arial"/>
                    <a:ea typeface="Arial"/>
                    <a:cs typeface="Arial"/>
                  </a:defRPr>
                </a:pPr>
                <a:r>
                  <a:rPr lang="en-US"/>
                  <a:t># of Loans per staff member</a:t>
                </a:r>
              </a:p>
            </c:rich>
          </c:tx>
          <c:spPr>
            <a:noFill/>
            <a:ln w="25400">
              <a:noFill/>
            </a:ln>
          </c:spPr>
        </c:title>
        <c:numFmt formatCode="#,##0_);\(#,##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465152"/>
        <c:crosses val="autoZero"/>
        <c:crossBetween val="between"/>
      </c:valAx>
      <c:spPr>
        <a:solidFill>
          <a:srgbClr val="FFFFFF"/>
        </a:solidFill>
        <a:ln w="25400">
          <a:noFill/>
        </a:ln>
      </c:spPr>
    </c:plotArea>
    <c:plotVisOnly val="1"/>
    <c:dispBlanksAs val="gap"/>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1"/>
          <c:order val="0"/>
          <c:tx>
            <c:strRef>
              <c:f>'Graphs &amp; Tables'!#REF!</c:f>
              <c:strCache>
                <c:ptCount val="1"/>
                <c:pt idx="0">
                  <c:v>#REF!</c:v>
                </c:pt>
              </c:strCache>
            </c:strRef>
          </c:tx>
          <c:spPr>
            <a:solidFill>
              <a:srgbClr val="99CCFF"/>
            </a:solidFill>
            <a:ln w="25400">
              <a:noFill/>
            </a:ln>
          </c:spPr>
          <c:cat>
            <c:numRef>
              <c:f>'Graphs &amp; Tables'!#REF!</c:f>
              <c:numCache>
                <c:formatCode>General</c:formatCode>
                <c:ptCount val="1"/>
                <c:pt idx="0">
                  <c:v>1</c:v>
                </c:pt>
              </c:numCache>
            </c:numRef>
          </c:cat>
          <c:val>
            <c:numRef>
              <c:f>'Graphs &amp; Tables'!#REF!</c:f>
              <c:numCache>
                <c:formatCode>General</c:formatCode>
                <c:ptCount val="1"/>
                <c:pt idx="0">
                  <c:v>1</c:v>
                </c:pt>
              </c:numCache>
            </c:numRef>
          </c:val>
        </c:ser>
        <c:axId val="108504960"/>
        <c:axId val="108511232"/>
      </c:barChart>
      <c:lineChart>
        <c:grouping val="standard"/>
        <c:ser>
          <c:idx val="0"/>
          <c:order val="1"/>
          <c:tx>
            <c:strRef>
              <c:f>'Graphs &amp; Tables'!#REF!</c:f>
              <c:strCache>
                <c:ptCount val="1"/>
                <c:pt idx="0">
                  <c:v>#REF!</c:v>
                </c:pt>
              </c:strCache>
            </c:strRef>
          </c:tx>
          <c:spPr>
            <a:ln w="12700">
              <a:solidFill>
                <a:srgbClr val="00FF00"/>
              </a:solidFill>
              <a:prstDash val="solid"/>
            </a:ln>
          </c:spPr>
          <c:marker>
            <c:symbol val="diamond"/>
            <c:size val="5"/>
            <c:spPr>
              <a:solidFill>
                <a:srgbClr val="00FF00"/>
              </a:solidFill>
              <a:ln>
                <a:solidFill>
                  <a:srgbClr val="00FF00"/>
                </a:solidFill>
                <a:prstDash val="solid"/>
              </a:ln>
            </c:spPr>
          </c:marker>
          <c:cat>
            <c:numRef>
              <c:f>'Graphs &amp; Tables'!#REF!</c:f>
              <c:numCache>
                <c:formatCode>General</c:formatCode>
                <c:ptCount val="1"/>
                <c:pt idx="0">
                  <c:v>1</c:v>
                </c:pt>
              </c:numCache>
            </c:numRef>
          </c:cat>
          <c:val>
            <c:numRef>
              <c:f>'Graphs &amp; Tables'!#REF!</c:f>
              <c:numCache>
                <c:formatCode>General</c:formatCode>
                <c:ptCount val="1"/>
                <c:pt idx="0">
                  <c:v>1</c:v>
                </c:pt>
              </c:numCache>
            </c:numRef>
          </c:val>
        </c:ser>
        <c:marker val="1"/>
        <c:axId val="108512768"/>
        <c:axId val="108514304"/>
      </c:lineChart>
      <c:catAx>
        <c:axId val="108504960"/>
        <c:scaling>
          <c:orientation val="minMax"/>
        </c:scaling>
        <c:axPos val="b"/>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511232"/>
        <c:crosses val="autoZero"/>
        <c:lblAlgn val="ctr"/>
        <c:lblOffset val="100"/>
        <c:tickLblSkip val="1"/>
        <c:tickMarkSkip val="1"/>
      </c:catAx>
      <c:valAx>
        <c:axId val="108511232"/>
        <c:scaling>
          <c:orientation val="minMax"/>
          <c:max val="100"/>
          <c:min val="0"/>
        </c:scaling>
        <c:axPos val="l"/>
        <c:numFmt formatCode="[=100]\$#;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504960"/>
        <c:crosses val="autoZero"/>
        <c:crossBetween val="between"/>
      </c:valAx>
      <c:catAx>
        <c:axId val="108512768"/>
        <c:scaling>
          <c:orientation val="minMax"/>
        </c:scaling>
        <c:delete val="1"/>
        <c:axPos val="b"/>
        <c:numFmt formatCode="General" sourceLinked="1"/>
        <c:tickLblPos val="none"/>
        <c:crossAx val="108514304"/>
        <c:crosses val="autoZero"/>
        <c:lblAlgn val="ctr"/>
        <c:lblOffset val="100"/>
      </c:catAx>
      <c:valAx>
        <c:axId val="108514304"/>
        <c:scaling>
          <c:orientation val="minMax"/>
          <c:max val="8.0000000000000043E-2"/>
          <c:min val="4.0000000000000022E-2"/>
        </c:scaling>
        <c:axPos val="r"/>
        <c:numFmt formatCode="0.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512768"/>
        <c:crosses val="max"/>
        <c:crossBetween val="between"/>
      </c:valAx>
      <c:spPr>
        <a:solidFill>
          <a:srgbClr val="FFFFFF"/>
        </a:solidFill>
        <a:ln w="25400">
          <a:noFill/>
        </a:ln>
      </c:spPr>
    </c:plotArea>
    <c:legend>
      <c:legendPos val="r"/>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orientation="landscape" horizontalDpi="-3"/>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Arial"/>
                <a:ea typeface="Arial"/>
                <a:cs typeface="Arial"/>
              </a:defRPr>
            </a:pPr>
            <a:r>
              <a:rPr lang="en-US"/>
              <a:t>Risk Coverage Ratio and Operational Self Sufficiency</a:t>
            </a:r>
          </a:p>
        </c:rich>
      </c:tx>
      <c:spPr>
        <a:noFill/>
        <a:ln w="25400">
          <a:noFill/>
        </a:ln>
      </c:spPr>
    </c:title>
    <c:plotArea>
      <c:layout/>
      <c:lineChart>
        <c:grouping val="standard"/>
        <c:ser>
          <c:idx val="1"/>
          <c:order val="0"/>
          <c:tx>
            <c:strRef>
              <c:f>'Graphs &amp; Tables'!#REF!</c:f>
              <c:strCache>
                <c:ptCount val="1"/>
                <c:pt idx="0">
                  <c:v>#REF!</c:v>
                </c:pt>
              </c:strCache>
            </c:strRef>
          </c:tx>
          <c:spPr>
            <a:ln w="12700">
              <a:solidFill>
                <a:srgbClr val="00FF00"/>
              </a:solidFill>
              <a:prstDash val="solid"/>
            </a:ln>
          </c:spPr>
          <c:marker>
            <c:symbol val="diamond"/>
            <c:size val="5"/>
            <c:spPr>
              <a:solidFill>
                <a:srgbClr val="00FF00"/>
              </a:solidFill>
              <a:ln>
                <a:solidFill>
                  <a:srgbClr val="00FF00"/>
                </a:solidFill>
                <a:prstDash val="solid"/>
              </a:ln>
            </c:spPr>
          </c:marker>
          <c:dLbls>
            <c:spPr>
              <a:noFill/>
              <a:ln w="25400">
                <a:noFill/>
              </a:ln>
            </c:spPr>
            <c:txPr>
              <a:bodyPr/>
              <a:lstStyle/>
              <a:p>
                <a:pPr>
                  <a:defRPr sz="1000" b="0" i="0" u="none" strike="noStrike" baseline="0">
                    <a:solidFill>
                      <a:srgbClr val="000000"/>
                    </a:solidFill>
                    <a:latin typeface="Arial"/>
                    <a:ea typeface="Arial"/>
                    <a:cs typeface="Arial"/>
                  </a:defRPr>
                </a:pPr>
                <a:endParaRPr lang="en-US"/>
              </a:p>
            </c:txPr>
            <c:showVal val="1"/>
          </c:dLbls>
          <c:cat>
            <c:numRef>
              <c:f>'Graphs &amp; Tables'!#REF!</c:f>
              <c:numCache>
                <c:formatCode>General</c:formatCode>
                <c:ptCount val="1"/>
                <c:pt idx="0">
                  <c:v>1</c:v>
                </c:pt>
              </c:numCache>
            </c:numRef>
          </c:cat>
          <c:val>
            <c:numRef>
              <c:f>'Graphs &amp; Tables'!#REF!</c:f>
              <c:numCache>
                <c:formatCode>General</c:formatCode>
                <c:ptCount val="1"/>
                <c:pt idx="0">
                  <c:v>1</c:v>
                </c:pt>
              </c:numCache>
            </c:numRef>
          </c:val>
        </c:ser>
        <c:ser>
          <c:idx val="0"/>
          <c:order val="1"/>
          <c:tx>
            <c:strRef>
              <c:f>'Graphs &amp; Tables'!#REF!</c:f>
              <c:strCache>
                <c:ptCount val="1"/>
                <c:pt idx="0">
                  <c:v>#REF!</c:v>
                </c:pt>
              </c:strCache>
            </c:strRef>
          </c:tx>
          <c:spPr>
            <a:ln w="12700">
              <a:solidFill>
                <a:srgbClr val="99CCFF"/>
              </a:solidFill>
              <a:prstDash val="solid"/>
            </a:ln>
          </c:spPr>
          <c:marker>
            <c:symbol val="diamond"/>
            <c:size val="5"/>
            <c:spPr>
              <a:solidFill>
                <a:srgbClr val="99CCFF"/>
              </a:solidFill>
              <a:ln>
                <a:solidFill>
                  <a:srgbClr val="99CCFF"/>
                </a:solidFill>
                <a:prstDash val="solid"/>
              </a:ln>
            </c:spPr>
          </c:marker>
          <c:dLbls>
            <c:spPr>
              <a:noFill/>
              <a:ln w="25400">
                <a:noFill/>
              </a:ln>
            </c:spPr>
            <c:txPr>
              <a:bodyPr/>
              <a:lstStyle/>
              <a:p>
                <a:pPr>
                  <a:defRPr sz="1000" b="0" i="0" u="none" strike="noStrike" baseline="0">
                    <a:solidFill>
                      <a:srgbClr val="000000"/>
                    </a:solidFill>
                    <a:latin typeface="Arial"/>
                    <a:ea typeface="Arial"/>
                    <a:cs typeface="Arial"/>
                  </a:defRPr>
                </a:pPr>
                <a:endParaRPr lang="en-US"/>
              </a:p>
            </c:txPr>
            <c:showVal val="1"/>
          </c:dLbls>
          <c:cat>
            <c:numRef>
              <c:f>'Graphs &amp; Tables'!#REF!</c:f>
              <c:numCache>
                <c:formatCode>General</c:formatCode>
                <c:ptCount val="1"/>
                <c:pt idx="0">
                  <c:v>1</c:v>
                </c:pt>
              </c:numCache>
            </c:numRef>
          </c:cat>
          <c:val>
            <c:numRef>
              <c:f>'Graphs &amp; Tables'!#REF!</c:f>
              <c:numCache>
                <c:formatCode>General</c:formatCode>
                <c:ptCount val="1"/>
                <c:pt idx="0">
                  <c:v>1</c:v>
                </c:pt>
              </c:numCache>
            </c:numRef>
          </c:val>
        </c:ser>
        <c:marker val="1"/>
        <c:axId val="108543360"/>
        <c:axId val="108549248"/>
      </c:lineChart>
      <c:catAx>
        <c:axId val="10854336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549248"/>
        <c:crosses val="autoZero"/>
        <c:lblAlgn val="ctr"/>
        <c:lblOffset val="100"/>
        <c:tickLblSkip val="1"/>
        <c:tickMarkSkip val="1"/>
      </c:catAx>
      <c:valAx>
        <c:axId val="108549248"/>
        <c:scaling>
          <c:orientation val="minMax"/>
          <c:min val="0"/>
        </c:scaling>
        <c:axPos val="l"/>
        <c:numFmt formatCode="[=1.8]#%;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8543360"/>
        <c:crosses val="autoZero"/>
        <c:crossBetween val="between"/>
      </c:valAx>
      <c:spPr>
        <a:solidFill>
          <a:srgbClr val="FFFFFF"/>
        </a:solidFill>
        <a:ln w="25400">
          <a:noFill/>
        </a:ln>
      </c:spPr>
    </c:plotArea>
    <c:legend>
      <c:legendPos val="r"/>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4776331007404594"/>
          <c:y val="0.11705529887380883"/>
          <c:w val="0.79535555488081755"/>
          <c:h val="0.62062169538311673"/>
        </c:manualLayout>
      </c:layout>
      <c:barChart>
        <c:barDir val="col"/>
        <c:grouping val="clustered"/>
        <c:ser>
          <c:idx val="1"/>
          <c:order val="0"/>
          <c:tx>
            <c:strRef>
              <c:f>'Graphs &amp; Tables'!$A$38:$A$38</c:f>
              <c:strCache>
                <c:ptCount val="1"/>
                <c:pt idx="0">
                  <c:v>GLP in </c:v>
                </c:pt>
              </c:strCache>
            </c:strRef>
          </c:tx>
          <c:spPr>
            <a:solidFill>
              <a:srgbClr val="003366"/>
            </a:solidFill>
            <a:ln w="25400">
              <a:noFill/>
            </a:ln>
          </c:spPr>
          <c:cat>
            <c:numRef>
              <c:f>'Graphs &amp; Tables'!$C$37:$L$37</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Tables'!$C$38:$L$38</c:f>
              <c:numCache>
                <c:formatCode>#,##0_);\(#,##0\)</c:formatCode>
                <c:ptCount val="10"/>
                <c:pt idx="0">
                  <c:v>0</c:v>
                </c:pt>
                <c:pt idx="1">
                  <c:v>0</c:v>
                </c:pt>
                <c:pt idx="2">
                  <c:v>0</c:v>
                </c:pt>
                <c:pt idx="3">
                  <c:v>0</c:v>
                </c:pt>
                <c:pt idx="4">
                  <c:v>#N/A</c:v>
                </c:pt>
                <c:pt idx="5">
                  <c:v>0</c:v>
                </c:pt>
                <c:pt idx="6">
                  <c:v>0</c:v>
                </c:pt>
                <c:pt idx="7">
                  <c:v>0</c:v>
                </c:pt>
                <c:pt idx="8">
                  <c:v>0</c:v>
                </c:pt>
                <c:pt idx="9">
                  <c:v>0</c:v>
                </c:pt>
              </c:numCache>
            </c:numRef>
          </c:val>
        </c:ser>
        <c:axId val="108575360"/>
        <c:axId val="108589440"/>
      </c:barChart>
      <c:lineChart>
        <c:grouping val="standard"/>
        <c:ser>
          <c:idx val="0"/>
          <c:order val="1"/>
          <c:tx>
            <c:strRef>
              <c:f>'Graphs &amp; Tables'!$A$39:$A$39</c:f>
              <c:strCache>
                <c:ptCount val="1"/>
                <c:pt idx="0">
                  <c:v>PAR (&gt;30 days)</c:v>
                </c:pt>
              </c:strCache>
            </c:strRef>
          </c:tx>
          <c:spPr>
            <a:ln w="25400">
              <a:solidFill>
                <a:srgbClr val="9999FF"/>
              </a:solidFill>
              <a:prstDash val="solid"/>
            </a:ln>
          </c:spPr>
          <c:marker>
            <c:symbol val="none"/>
          </c:marker>
          <c:cat>
            <c:numRef>
              <c:f>'Graphs &amp; Tables'!$C$37:$L$37</c:f>
              <c:numCache>
                <c:formatCode>yyyy</c:formatCode>
                <c:ptCount val="10"/>
                <c:pt idx="0">
                  <c:v>692867</c:v>
                </c:pt>
                <c:pt idx="1">
                  <c:v>693232</c:v>
                </c:pt>
                <c:pt idx="2">
                  <c:v>693597</c:v>
                </c:pt>
                <c:pt idx="3">
                  <c:v>693962</c:v>
                </c:pt>
                <c:pt idx="4" formatCode="mmm\-yy">
                  <c:v>#N/A</c:v>
                </c:pt>
                <c:pt idx="5">
                  <c:v>694327</c:v>
                </c:pt>
                <c:pt idx="6">
                  <c:v>694692</c:v>
                </c:pt>
                <c:pt idx="7">
                  <c:v>695057</c:v>
                </c:pt>
                <c:pt idx="8">
                  <c:v>695422</c:v>
                </c:pt>
                <c:pt idx="9">
                  <c:v>695787</c:v>
                </c:pt>
              </c:numCache>
            </c:numRef>
          </c:cat>
          <c:val>
            <c:numRef>
              <c:f>'Graphs &amp; Tables'!$C$39:$L$39</c:f>
              <c:numCache>
                <c:formatCode>0.0%</c:formatCode>
                <c:ptCount val="10"/>
                <c:pt idx="0">
                  <c:v>0</c:v>
                </c:pt>
                <c:pt idx="1">
                  <c:v>0</c:v>
                </c:pt>
                <c:pt idx="2">
                  <c:v>0</c:v>
                </c:pt>
                <c:pt idx="3">
                  <c:v>0</c:v>
                </c:pt>
                <c:pt idx="4">
                  <c:v>#N/A</c:v>
                </c:pt>
                <c:pt idx="5">
                  <c:v>0</c:v>
                </c:pt>
                <c:pt idx="6">
                  <c:v>0</c:v>
                </c:pt>
                <c:pt idx="7">
                  <c:v>0</c:v>
                </c:pt>
                <c:pt idx="8">
                  <c:v>0</c:v>
                </c:pt>
                <c:pt idx="9">
                  <c:v>0</c:v>
                </c:pt>
              </c:numCache>
            </c:numRef>
          </c:val>
        </c:ser>
        <c:marker val="1"/>
        <c:axId val="108591360"/>
        <c:axId val="108658688"/>
      </c:lineChart>
      <c:catAx>
        <c:axId val="108575360"/>
        <c:scaling>
          <c:orientation val="minMax"/>
        </c:scaling>
        <c:axPos val="b"/>
        <c:numFmt formatCode="yyyy"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08589440"/>
        <c:crosses val="autoZero"/>
        <c:lblAlgn val="ctr"/>
        <c:lblOffset val="100"/>
        <c:tickLblSkip val="1"/>
        <c:tickMarkSkip val="1"/>
      </c:catAx>
      <c:valAx>
        <c:axId val="108589440"/>
        <c:scaling>
          <c:orientation val="minMax"/>
        </c:scaling>
        <c:axPos val="l"/>
        <c:title>
          <c:tx>
            <c:rich>
              <a:bodyPr rot="0" vert="horz"/>
              <a:lstStyle/>
              <a:p>
                <a:pPr algn="ctr">
                  <a:defRPr sz="1000" b="0" i="0" u="none" strike="noStrike" baseline="0">
                    <a:solidFill>
                      <a:srgbClr val="000000"/>
                    </a:solidFill>
                    <a:latin typeface="Calibri"/>
                    <a:ea typeface="Calibri"/>
                    <a:cs typeface="Calibri"/>
                  </a:defRPr>
                </a:pPr>
                <a:r>
                  <a:rPr lang="en-US"/>
                  <a:t>GLP</a:t>
                </a:r>
              </a:p>
            </c:rich>
          </c:tx>
          <c:layout>
            <c:manualLayout>
              <c:xMode val="edge"/>
              <c:yMode val="edge"/>
              <c:x val="0.10803588405938422"/>
              <c:y val="3.3700469259524378E-2"/>
            </c:manualLayout>
          </c:layout>
          <c:spPr>
            <a:noFill/>
            <a:ln w="25400">
              <a:noFill/>
            </a:ln>
          </c:spPr>
        </c:title>
        <c:numFmt formatCode="#,##0_);\(#,##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08575360"/>
        <c:crosses val="autoZero"/>
        <c:crossBetween val="between"/>
      </c:valAx>
      <c:catAx>
        <c:axId val="108591360"/>
        <c:scaling>
          <c:orientation val="minMax"/>
        </c:scaling>
        <c:delete val="1"/>
        <c:axPos val="b"/>
        <c:numFmt formatCode="yyyy" sourceLinked="1"/>
        <c:tickLblPos val="none"/>
        <c:crossAx val="108658688"/>
        <c:crosses val="autoZero"/>
        <c:lblAlgn val="ctr"/>
        <c:lblOffset val="100"/>
      </c:catAx>
      <c:valAx>
        <c:axId val="108658688"/>
        <c:scaling>
          <c:orientation val="minMax"/>
        </c:scaling>
        <c:axPos val="r"/>
        <c:title>
          <c:tx>
            <c:rich>
              <a:bodyPr rot="0" vert="horz"/>
              <a:lstStyle/>
              <a:p>
                <a:pPr algn="ctr">
                  <a:defRPr sz="1000" b="0" i="0" u="none" strike="noStrike" baseline="0">
                    <a:solidFill>
                      <a:srgbClr val="000000"/>
                    </a:solidFill>
                    <a:latin typeface="Calibri"/>
                    <a:ea typeface="Calibri"/>
                    <a:cs typeface="Calibri"/>
                  </a:defRPr>
                </a:pPr>
                <a:r>
                  <a:rPr lang="en-US"/>
                  <a:t>PAR (&gt;30 days)</a:t>
                </a:r>
              </a:p>
            </c:rich>
          </c:tx>
          <c:layout>
            <c:manualLayout>
              <c:xMode val="edge"/>
              <c:yMode val="edge"/>
              <c:x val="0.83716194144462597"/>
              <c:y val="3.2865664519207832E-2"/>
            </c:manualLayout>
          </c:layout>
          <c:spPr>
            <a:noFill/>
            <a:ln w="25400">
              <a:noFill/>
            </a:ln>
          </c:spPr>
        </c:title>
        <c:numFmt formatCode="0.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08591360"/>
        <c:crosses val="max"/>
        <c:crossBetween val="between"/>
      </c:valAx>
      <c:spPr>
        <a:solidFill>
          <a:srgbClr val="FFFFFF"/>
        </a:solidFill>
        <a:ln w="25400">
          <a:noFill/>
        </a:ln>
      </c:spPr>
    </c:plotArea>
    <c:legend>
      <c:legendPos val="b"/>
      <c:txPr>
        <a:bodyPr/>
        <a:lstStyle/>
        <a:p>
          <a:pPr>
            <a:defRPr sz="650" b="0" i="0" u="none" strike="noStrike" baseline="0">
              <a:solidFill>
                <a:srgbClr val="000000"/>
              </a:solidFill>
              <a:latin typeface="Calibri"/>
              <a:ea typeface="Calibri"/>
              <a:cs typeface="Calibri"/>
            </a:defRPr>
          </a:pPr>
          <a:endParaRPr lang="en-US"/>
        </a:p>
      </c:txPr>
    </c:legend>
    <c:plotVisOnly val="1"/>
    <c:dispBlanksAs val="gap"/>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278" r="0.75000000000000278"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dwmarkets.com/" TargetMode="External"/></Relationships>
</file>

<file path=xl/drawings/_rels/vmlDrawing9.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409575</xdr:colOff>
      <xdr:row>20</xdr:row>
      <xdr:rowOff>9525</xdr:rowOff>
    </xdr:from>
    <xdr:to>
      <xdr:col>8</xdr:col>
      <xdr:colOff>133350</xdr:colOff>
      <xdr:row>49</xdr:row>
      <xdr:rowOff>95250</xdr:rowOff>
    </xdr:to>
    <xdr:graphicFrame macro="">
      <xdr:nvGraphicFramePr>
        <xdr:cNvPr id="599684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11</xdr:row>
      <xdr:rowOff>19050</xdr:rowOff>
    </xdr:from>
    <xdr:to>
      <xdr:col>10</xdr:col>
      <xdr:colOff>847725</xdr:colOff>
      <xdr:row>31</xdr:row>
      <xdr:rowOff>114300</xdr:rowOff>
    </xdr:to>
    <xdr:graphicFrame macro="">
      <xdr:nvGraphicFramePr>
        <xdr:cNvPr id="998002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94</xdr:row>
      <xdr:rowOff>0</xdr:rowOff>
    </xdr:from>
    <xdr:to>
      <xdr:col>6</xdr:col>
      <xdr:colOff>104775</xdr:colOff>
      <xdr:row>94</xdr:row>
      <xdr:rowOff>0</xdr:rowOff>
    </xdr:to>
    <xdr:graphicFrame macro="">
      <xdr:nvGraphicFramePr>
        <xdr:cNvPr id="998002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94</xdr:row>
      <xdr:rowOff>0</xdr:rowOff>
    </xdr:from>
    <xdr:to>
      <xdr:col>7</xdr:col>
      <xdr:colOff>142875</xdr:colOff>
      <xdr:row>94</xdr:row>
      <xdr:rowOff>0</xdr:rowOff>
    </xdr:to>
    <xdr:graphicFrame macro="">
      <xdr:nvGraphicFramePr>
        <xdr:cNvPr id="998002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94</xdr:row>
      <xdr:rowOff>0</xdr:rowOff>
    </xdr:from>
    <xdr:to>
      <xdr:col>8</xdr:col>
      <xdr:colOff>152400</xdr:colOff>
      <xdr:row>94</xdr:row>
      <xdr:rowOff>0</xdr:rowOff>
    </xdr:to>
    <xdr:graphicFrame macro="">
      <xdr:nvGraphicFramePr>
        <xdr:cNvPr id="998002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94</xdr:row>
      <xdr:rowOff>0</xdr:rowOff>
    </xdr:from>
    <xdr:to>
      <xdr:col>7</xdr:col>
      <xdr:colOff>857250</xdr:colOff>
      <xdr:row>94</xdr:row>
      <xdr:rowOff>0</xdr:rowOff>
    </xdr:to>
    <xdr:graphicFrame macro="">
      <xdr:nvGraphicFramePr>
        <xdr:cNvPr id="9980030"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9525</xdr:colOff>
      <xdr:row>121</xdr:row>
      <xdr:rowOff>0</xdr:rowOff>
    </xdr:from>
    <xdr:to>
      <xdr:col>8</xdr:col>
      <xdr:colOff>161925</xdr:colOff>
      <xdr:row>121</xdr:row>
      <xdr:rowOff>0</xdr:rowOff>
    </xdr:to>
    <xdr:graphicFrame macro="">
      <xdr:nvGraphicFramePr>
        <xdr:cNvPr id="9980031"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121</xdr:row>
      <xdr:rowOff>0</xdr:rowOff>
    </xdr:from>
    <xdr:to>
      <xdr:col>7</xdr:col>
      <xdr:colOff>161925</xdr:colOff>
      <xdr:row>121</xdr:row>
      <xdr:rowOff>0</xdr:rowOff>
    </xdr:to>
    <xdr:graphicFrame macro="">
      <xdr:nvGraphicFramePr>
        <xdr:cNvPr id="998003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30</xdr:row>
      <xdr:rowOff>28575</xdr:rowOff>
    </xdr:from>
    <xdr:to>
      <xdr:col>5</xdr:col>
      <xdr:colOff>523875</xdr:colOff>
      <xdr:row>49</xdr:row>
      <xdr:rowOff>95250</xdr:rowOff>
    </xdr:to>
    <xdr:graphicFrame macro="">
      <xdr:nvGraphicFramePr>
        <xdr:cNvPr id="998003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76200</xdr:colOff>
      <xdr:row>59</xdr:row>
      <xdr:rowOff>152400</xdr:rowOff>
    </xdr:from>
    <xdr:to>
      <xdr:col>7</xdr:col>
      <xdr:colOff>809625</xdr:colOff>
      <xdr:row>80</xdr:row>
      <xdr:rowOff>19050</xdr:rowOff>
    </xdr:to>
    <xdr:graphicFrame macro="">
      <xdr:nvGraphicFramePr>
        <xdr:cNvPr id="998003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161925</xdr:colOff>
      <xdr:row>101</xdr:row>
      <xdr:rowOff>152400</xdr:rowOff>
    </xdr:from>
    <xdr:to>
      <xdr:col>5</xdr:col>
      <xdr:colOff>504825</xdr:colOff>
      <xdr:row>123</xdr:row>
      <xdr:rowOff>57150</xdr:rowOff>
    </xdr:to>
    <xdr:graphicFrame macro="">
      <xdr:nvGraphicFramePr>
        <xdr:cNvPr id="9980035"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95250</xdr:colOff>
      <xdr:row>134</xdr:row>
      <xdr:rowOff>38100</xdr:rowOff>
    </xdr:from>
    <xdr:to>
      <xdr:col>8</xdr:col>
      <xdr:colOff>47625</xdr:colOff>
      <xdr:row>155</xdr:row>
      <xdr:rowOff>95250</xdr:rowOff>
    </xdr:to>
    <xdr:graphicFrame macro="">
      <xdr:nvGraphicFramePr>
        <xdr:cNvPr id="9980036"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342900</xdr:colOff>
      <xdr:row>156</xdr:row>
      <xdr:rowOff>47625</xdr:rowOff>
    </xdr:from>
    <xdr:to>
      <xdr:col>9</xdr:col>
      <xdr:colOff>419100</xdr:colOff>
      <xdr:row>175</xdr:row>
      <xdr:rowOff>133350</xdr:rowOff>
    </xdr:to>
    <xdr:graphicFrame macro="">
      <xdr:nvGraphicFramePr>
        <xdr:cNvPr id="9980037"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11205</xdr:colOff>
      <xdr:row>226</xdr:row>
      <xdr:rowOff>89647</xdr:rowOff>
    </xdr:from>
    <xdr:to>
      <xdr:col>4</xdr:col>
      <xdr:colOff>302558</xdr:colOff>
      <xdr:row>228</xdr:row>
      <xdr:rowOff>81243</xdr:rowOff>
    </xdr:to>
    <xdr:sp macro="[0]!Sensitivity" textlink="">
      <xdr:nvSpPr>
        <xdr:cNvPr id="14" name="Rectangle 13"/>
        <xdr:cNvSpPr/>
      </xdr:nvSpPr>
      <xdr:spPr>
        <a:xfrm>
          <a:off x="2700617" y="37102676"/>
          <a:ext cx="2151529" cy="372596"/>
        </a:xfrm>
        <a:prstGeom prst="rect">
          <a:avLst/>
        </a:prstGeom>
        <a:solidFill>
          <a:schemeClr val="tx2">
            <a:lumMod val="20000"/>
            <a:lumOff val="80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baseline="0">
              <a:solidFill>
                <a:sysClr val="windowText" lastClr="000000"/>
              </a:solidFill>
              <a:latin typeface="+mn-lt"/>
            </a:rPr>
            <a:t>Update Sensitivity Analysis</a:t>
          </a:r>
          <a:endParaRPr lang="en-US" sz="1200" b="1">
            <a:solidFill>
              <a:sysClr val="windowText" lastClr="000000"/>
            </a:solidFill>
            <a:latin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3657600</xdr:colOff>
      <xdr:row>0</xdr:row>
      <xdr:rowOff>95250</xdr:rowOff>
    </xdr:from>
    <xdr:to>
      <xdr:col>2</xdr:col>
      <xdr:colOff>5981700</xdr:colOff>
      <xdr:row>6</xdr:row>
      <xdr:rowOff>76200</xdr:rowOff>
    </xdr:to>
    <xdr:pic>
      <xdr:nvPicPr>
        <xdr:cNvPr id="2128509" name="Picture 1" descr="Developing World Market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191000" y="95250"/>
          <a:ext cx="2324100" cy="9525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rren/Desktop/Analysi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nalysis%20Template%20v7_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B_LOAD"/>
      <sheetName val="DATA_FORMATTING"/>
      <sheetName val="Config"/>
      <sheetName val="Balance Sheet"/>
      <sheetName val="Income Statement"/>
      <sheetName val="Portfolio Quality"/>
      <sheetName val="Organizational Data"/>
      <sheetName val="Ratios &amp; Trend Analysis"/>
      <sheetName val="Risk Assessment"/>
      <sheetName val="Equity Monitoring Report"/>
      <sheetName val="Refi-Annual Review"/>
      <sheetName val="MFI Home"/>
    </sheetNames>
    <sheetDataSet>
      <sheetData sheetId="0" refreshError="1"/>
      <sheetData sheetId="1" refreshError="1"/>
      <sheetData sheetId="2" refreshError="1"/>
      <sheetData sheetId="3">
        <row r="9">
          <cell r="D9">
            <v>40209</v>
          </cell>
          <cell r="H9" t="str">
            <v/>
          </cell>
          <cell r="I9" t="str">
            <v/>
          </cell>
          <cell r="J9" t="str">
            <v/>
          </cell>
          <cell r="K9" t="str">
            <v/>
          </cell>
          <cell r="L9" t="str">
            <v/>
          </cell>
          <cell r="M9" t="str">
            <v/>
          </cell>
          <cell r="N9" t="str">
            <v/>
          </cell>
          <cell r="O9" t="str">
            <v/>
          </cell>
          <cell r="P9" t="str">
            <v/>
          </cell>
          <cell r="Q9" t="str">
            <v/>
          </cell>
          <cell r="R9" t="str">
            <v/>
          </cell>
          <cell r="S9" t="str">
            <v/>
          </cell>
          <cell r="T9" t="str">
            <v/>
          </cell>
          <cell r="U9" t="str">
            <v/>
          </cell>
          <cell r="V9" t="str">
            <v/>
          </cell>
          <cell r="W9" t="str">
            <v/>
          </cell>
          <cell r="X9" t="str">
            <v/>
          </cell>
          <cell r="Y9" t="str">
            <v/>
          </cell>
          <cell r="Z9" t="str">
            <v/>
          </cell>
          <cell r="AA9" t="str">
            <v/>
          </cell>
          <cell r="AB9" t="str">
            <v/>
          </cell>
          <cell r="AC9" t="str">
            <v/>
          </cell>
          <cell r="AD9" t="str">
            <v/>
          </cell>
          <cell r="AE9" t="str">
            <v/>
          </cell>
          <cell r="AF9" t="str">
            <v/>
          </cell>
          <cell r="AG9" t="str">
            <v/>
          </cell>
          <cell r="AH9" t="str">
            <v/>
          </cell>
          <cell r="AI9" t="str">
            <v/>
          </cell>
          <cell r="AJ9" t="str">
            <v/>
          </cell>
          <cell r="AK9" t="str">
            <v/>
          </cell>
          <cell r="AL9" t="str">
            <v/>
          </cell>
          <cell r="AM9" t="str">
            <v/>
          </cell>
          <cell r="AN9" t="str">
            <v/>
          </cell>
          <cell r="AO9" t="str">
            <v/>
          </cell>
          <cell r="AP9" t="str">
            <v/>
          </cell>
          <cell r="AQ9">
            <v>0</v>
          </cell>
        </row>
        <row r="10">
          <cell r="H10" t="e">
            <v>#VALUE!</v>
          </cell>
          <cell r="I10" t="e">
            <v>#VALUE!</v>
          </cell>
          <cell r="J10" t="e">
            <v>#VALUE!</v>
          </cell>
          <cell r="K10" t="e">
            <v>#VALUE!</v>
          </cell>
          <cell r="L10" t="e">
            <v>#VALUE!</v>
          </cell>
          <cell r="M10" t="e">
            <v>#VALUE!</v>
          </cell>
          <cell r="N10" t="e">
            <v>#VALUE!</v>
          </cell>
          <cell r="O10" t="e">
            <v>#VALUE!</v>
          </cell>
          <cell r="P10" t="e">
            <v>#VALUE!</v>
          </cell>
          <cell r="Q10" t="e">
            <v>#VALUE!</v>
          </cell>
          <cell r="R10" t="e">
            <v>#VALUE!</v>
          </cell>
          <cell r="S10" t="e">
            <v>#VALUE!</v>
          </cell>
          <cell r="T10" t="e">
            <v>#VALUE!</v>
          </cell>
          <cell r="U10" t="e">
            <v>#VALUE!</v>
          </cell>
          <cell r="V10" t="e">
            <v>#VALUE!</v>
          </cell>
          <cell r="W10" t="e">
            <v>#VALUE!</v>
          </cell>
          <cell r="X10" t="e">
            <v>#VALUE!</v>
          </cell>
          <cell r="Y10" t="e">
            <v>#VALUE!</v>
          </cell>
          <cell r="Z10" t="e">
            <v>#VALUE!</v>
          </cell>
          <cell r="AA10" t="e">
            <v>#VALUE!</v>
          </cell>
          <cell r="AB10" t="e">
            <v>#VALUE!</v>
          </cell>
          <cell r="AC10" t="e">
            <v>#VALUE!</v>
          </cell>
          <cell r="AD10" t="e">
            <v>#VALUE!</v>
          </cell>
          <cell r="AE10" t="e">
            <v>#VALUE!</v>
          </cell>
          <cell r="AF10" t="e">
            <v>#VALUE!</v>
          </cell>
          <cell r="AG10" t="e">
            <v>#VALUE!</v>
          </cell>
          <cell r="AH10" t="e">
            <v>#VALUE!</v>
          </cell>
          <cell r="AI10" t="e">
            <v>#VALUE!</v>
          </cell>
          <cell r="AJ10" t="e">
            <v>#VALUE!</v>
          </cell>
          <cell r="AK10" t="e">
            <v>#VALUE!</v>
          </cell>
          <cell r="AL10" t="e">
            <v>#VALUE!</v>
          </cell>
          <cell r="AM10" t="e">
            <v>#VALUE!</v>
          </cell>
          <cell r="AN10" t="e">
            <v>#VALUE!</v>
          </cell>
          <cell r="AO10" t="e">
            <v>#VALUE!</v>
          </cell>
          <cell r="AP10" t="e">
            <v>#VALUE!</v>
          </cell>
          <cell r="AQ10" t="str">
            <v/>
          </cell>
        </row>
        <row r="11">
          <cell r="H11" t="e">
            <v>#VALUE!</v>
          </cell>
          <cell r="I11" t="e">
            <v>#VALUE!</v>
          </cell>
          <cell r="J11" t="e">
            <v>#VALUE!</v>
          </cell>
          <cell r="K11" t="e">
            <v>#VALUE!</v>
          </cell>
          <cell r="L11" t="e">
            <v>#VALUE!</v>
          </cell>
          <cell r="M11" t="e">
            <v>#VALUE!</v>
          </cell>
          <cell r="N11" t="e">
            <v>#VALUE!</v>
          </cell>
          <cell r="O11" t="e">
            <v>#VALUE!</v>
          </cell>
          <cell r="P11" t="e">
            <v>#VALUE!</v>
          </cell>
          <cell r="Q11" t="e">
            <v>#VALUE!</v>
          </cell>
          <cell r="R11" t="e">
            <v>#VALUE!</v>
          </cell>
          <cell r="S11" t="e">
            <v>#VALUE!</v>
          </cell>
          <cell r="T11" t="e">
            <v>#VALUE!</v>
          </cell>
          <cell r="U11" t="e">
            <v>#VALUE!</v>
          </cell>
          <cell r="V11" t="e">
            <v>#VALUE!</v>
          </cell>
          <cell r="W11" t="e">
            <v>#VALUE!</v>
          </cell>
          <cell r="X11" t="e">
            <v>#VALUE!</v>
          </cell>
          <cell r="Y11" t="e">
            <v>#VALUE!</v>
          </cell>
          <cell r="Z11" t="e">
            <v>#VALUE!</v>
          </cell>
          <cell r="AA11" t="e">
            <v>#VALUE!</v>
          </cell>
          <cell r="AB11" t="e">
            <v>#VALUE!</v>
          </cell>
          <cell r="AC11" t="e">
            <v>#VALUE!</v>
          </cell>
          <cell r="AD11" t="e">
            <v>#VALUE!</v>
          </cell>
          <cell r="AE11" t="e">
            <v>#VALUE!</v>
          </cell>
          <cell r="AF11" t="e">
            <v>#VALUE!</v>
          </cell>
          <cell r="AG11" t="e">
            <v>#VALUE!</v>
          </cell>
          <cell r="AH11" t="e">
            <v>#VALUE!</v>
          </cell>
          <cell r="AI11" t="e">
            <v>#VALUE!</v>
          </cell>
          <cell r="AJ11" t="e">
            <v>#VALUE!</v>
          </cell>
          <cell r="AK11" t="e">
            <v>#VALUE!</v>
          </cell>
          <cell r="AL11" t="e">
            <v>#VALUE!</v>
          </cell>
          <cell r="AM11" t="e">
            <v>#VALUE!</v>
          </cell>
          <cell r="AN11" t="e">
            <v>#VALUE!</v>
          </cell>
          <cell r="AO11" t="e">
            <v>#VALUE!</v>
          </cell>
          <cell r="AP11" t="e">
            <v>#VALUE!</v>
          </cell>
          <cell r="AQ11">
            <v>0</v>
          </cell>
        </row>
        <row r="12">
          <cell r="H12" t="e">
            <v>#VALUE!</v>
          </cell>
          <cell r="I12" t="e">
            <v>#VALUE!</v>
          </cell>
          <cell r="J12" t="e">
            <v>#VALUE!</v>
          </cell>
          <cell r="K12" t="e">
            <v>#VALUE!</v>
          </cell>
          <cell r="L12" t="e">
            <v>#VALUE!</v>
          </cell>
          <cell r="M12" t="e">
            <v>#VALUE!</v>
          </cell>
          <cell r="N12" t="e">
            <v>#VALUE!</v>
          </cell>
          <cell r="O12" t="e">
            <v>#VALUE!</v>
          </cell>
          <cell r="P12" t="e">
            <v>#VALUE!</v>
          </cell>
          <cell r="Q12" t="e">
            <v>#VALUE!</v>
          </cell>
          <cell r="R12" t="e">
            <v>#VALUE!</v>
          </cell>
          <cell r="S12" t="e">
            <v>#VALUE!</v>
          </cell>
          <cell r="T12" t="e">
            <v>#VALUE!</v>
          </cell>
          <cell r="U12" t="e">
            <v>#VALUE!</v>
          </cell>
          <cell r="V12" t="e">
            <v>#VALUE!</v>
          </cell>
          <cell r="W12" t="e">
            <v>#VALUE!</v>
          </cell>
          <cell r="X12" t="e">
            <v>#VALUE!</v>
          </cell>
          <cell r="Y12" t="e">
            <v>#VALUE!</v>
          </cell>
          <cell r="Z12" t="e">
            <v>#VALUE!</v>
          </cell>
          <cell r="AA12" t="e">
            <v>#VALUE!</v>
          </cell>
          <cell r="AB12" t="e">
            <v>#VALUE!</v>
          </cell>
          <cell r="AC12" t="e">
            <v>#VALUE!</v>
          </cell>
          <cell r="AD12" t="e">
            <v>#VALUE!</v>
          </cell>
          <cell r="AE12" t="e">
            <v>#VALUE!</v>
          </cell>
          <cell r="AF12" t="e">
            <v>#VALUE!</v>
          </cell>
          <cell r="AG12" t="e">
            <v>#VALUE!</v>
          </cell>
          <cell r="AH12" t="e">
            <v>#VALUE!</v>
          </cell>
          <cell r="AI12" t="e">
            <v>#VALUE!</v>
          </cell>
          <cell r="AJ12" t="e">
            <v>#VALUE!</v>
          </cell>
          <cell r="AK12" t="e">
            <v>#VALUE!</v>
          </cell>
          <cell r="AL12" t="e">
            <v>#VALUE!</v>
          </cell>
          <cell r="AM12" t="e">
            <v>#VALUE!</v>
          </cell>
          <cell r="AN12" t="e">
            <v>#VALUE!</v>
          </cell>
          <cell r="AO12" t="e">
            <v>#VALUE!</v>
          </cell>
          <cell r="AP12" t="e">
            <v>#VALUE!</v>
          </cell>
          <cell r="AQ12">
            <v>0</v>
          </cell>
        </row>
        <row r="13">
          <cell r="H13" t="e">
            <v>#VALUE!</v>
          </cell>
          <cell r="I13" t="e">
            <v>#VALUE!</v>
          </cell>
          <cell r="J13" t="e">
            <v>#VALUE!</v>
          </cell>
          <cell r="K13" t="e">
            <v>#VALUE!</v>
          </cell>
          <cell r="L13" t="e">
            <v>#VALUE!</v>
          </cell>
          <cell r="M13" t="e">
            <v>#VALUE!</v>
          </cell>
          <cell r="N13" t="e">
            <v>#VALUE!</v>
          </cell>
          <cell r="O13" t="e">
            <v>#VALUE!</v>
          </cell>
          <cell r="P13" t="e">
            <v>#VALUE!</v>
          </cell>
          <cell r="Q13" t="e">
            <v>#VALUE!</v>
          </cell>
          <cell r="R13" t="e">
            <v>#VALUE!</v>
          </cell>
          <cell r="S13" t="e">
            <v>#VALUE!</v>
          </cell>
          <cell r="T13" t="e">
            <v>#VALUE!</v>
          </cell>
          <cell r="U13" t="e">
            <v>#VALUE!</v>
          </cell>
          <cell r="V13" t="e">
            <v>#VALUE!</v>
          </cell>
          <cell r="W13" t="e">
            <v>#VALUE!</v>
          </cell>
          <cell r="X13" t="e">
            <v>#VALUE!</v>
          </cell>
          <cell r="Y13" t="e">
            <v>#VALUE!</v>
          </cell>
          <cell r="Z13" t="e">
            <v>#VALUE!</v>
          </cell>
          <cell r="AA13" t="e">
            <v>#VALUE!</v>
          </cell>
          <cell r="AB13" t="e">
            <v>#VALUE!</v>
          </cell>
          <cell r="AC13" t="e">
            <v>#VALUE!</v>
          </cell>
          <cell r="AD13" t="e">
            <v>#VALUE!</v>
          </cell>
          <cell r="AE13" t="e">
            <v>#VALUE!</v>
          </cell>
          <cell r="AF13" t="e">
            <v>#VALUE!</v>
          </cell>
          <cell r="AG13" t="e">
            <v>#VALUE!</v>
          </cell>
          <cell r="AH13" t="e">
            <v>#VALUE!</v>
          </cell>
          <cell r="AI13" t="e">
            <v>#VALUE!</v>
          </cell>
          <cell r="AJ13" t="e">
            <v>#VALUE!</v>
          </cell>
          <cell r="AK13" t="e">
            <v>#VALUE!</v>
          </cell>
          <cell r="AL13" t="e">
            <v>#VALUE!</v>
          </cell>
          <cell r="AM13" t="e">
            <v>#VALUE!</v>
          </cell>
          <cell r="AN13" t="e">
            <v>#VALUE!</v>
          </cell>
          <cell r="AO13" t="e">
            <v>#VALUE!</v>
          </cell>
          <cell r="AP13" t="e">
            <v>#VALUE!</v>
          </cell>
          <cell r="AQ13">
            <v>0</v>
          </cell>
        </row>
        <row r="14">
          <cell r="H14" t="e">
            <v>#VALUE!</v>
          </cell>
          <cell r="I14" t="e">
            <v>#VALUE!</v>
          </cell>
          <cell r="J14" t="e">
            <v>#VALUE!</v>
          </cell>
          <cell r="K14" t="e">
            <v>#VALUE!</v>
          </cell>
          <cell r="L14" t="e">
            <v>#VALUE!</v>
          </cell>
          <cell r="M14" t="e">
            <v>#VALUE!</v>
          </cell>
          <cell r="N14" t="e">
            <v>#VALUE!</v>
          </cell>
          <cell r="O14" t="e">
            <v>#VALUE!</v>
          </cell>
          <cell r="P14" t="e">
            <v>#VALUE!</v>
          </cell>
          <cell r="Q14" t="e">
            <v>#VALUE!</v>
          </cell>
          <cell r="R14" t="e">
            <v>#VALUE!</v>
          </cell>
          <cell r="S14" t="e">
            <v>#VALUE!</v>
          </cell>
          <cell r="T14" t="e">
            <v>#VALUE!</v>
          </cell>
          <cell r="U14" t="e">
            <v>#VALUE!</v>
          </cell>
          <cell r="V14" t="e">
            <v>#VALUE!</v>
          </cell>
          <cell r="W14" t="e">
            <v>#VALUE!</v>
          </cell>
          <cell r="X14" t="e">
            <v>#VALUE!</v>
          </cell>
          <cell r="Y14" t="e">
            <v>#VALUE!</v>
          </cell>
          <cell r="Z14" t="e">
            <v>#VALUE!</v>
          </cell>
          <cell r="AA14" t="e">
            <v>#VALUE!</v>
          </cell>
          <cell r="AB14" t="e">
            <v>#VALUE!</v>
          </cell>
          <cell r="AC14" t="e">
            <v>#VALUE!</v>
          </cell>
          <cell r="AD14" t="e">
            <v>#VALUE!</v>
          </cell>
          <cell r="AE14" t="e">
            <v>#VALUE!</v>
          </cell>
          <cell r="AF14" t="e">
            <v>#VALUE!</v>
          </cell>
          <cell r="AG14" t="e">
            <v>#VALUE!</v>
          </cell>
          <cell r="AH14" t="e">
            <v>#VALUE!</v>
          </cell>
          <cell r="AI14" t="e">
            <v>#VALUE!</v>
          </cell>
          <cell r="AJ14" t="e">
            <v>#VALUE!</v>
          </cell>
          <cell r="AK14" t="e">
            <v>#VALUE!</v>
          </cell>
          <cell r="AL14" t="e">
            <v>#VALUE!</v>
          </cell>
          <cell r="AM14" t="e">
            <v>#VALUE!</v>
          </cell>
          <cell r="AN14" t="e">
            <v>#VALUE!</v>
          </cell>
          <cell r="AO14" t="e">
            <v>#VALUE!</v>
          </cell>
          <cell r="AP14" t="e">
            <v>#VALUE!</v>
          </cell>
          <cell r="AQ14">
            <v>0</v>
          </cell>
        </row>
        <row r="15">
          <cell r="H15" t="e">
            <v>#VALUE!</v>
          </cell>
          <cell r="I15" t="e">
            <v>#VALUE!</v>
          </cell>
          <cell r="J15" t="e">
            <v>#VALUE!</v>
          </cell>
          <cell r="K15" t="e">
            <v>#VALUE!</v>
          </cell>
          <cell r="L15" t="e">
            <v>#VALUE!</v>
          </cell>
          <cell r="M15" t="e">
            <v>#VALUE!</v>
          </cell>
          <cell r="N15" t="e">
            <v>#VALUE!</v>
          </cell>
          <cell r="O15" t="e">
            <v>#VALUE!</v>
          </cell>
          <cell r="P15" t="e">
            <v>#VALUE!</v>
          </cell>
          <cell r="Q15" t="e">
            <v>#VALUE!</v>
          </cell>
          <cell r="R15" t="e">
            <v>#VALUE!</v>
          </cell>
          <cell r="S15" t="e">
            <v>#VALUE!</v>
          </cell>
          <cell r="T15" t="e">
            <v>#VALUE!</v>
          </cell>
          <cell r="U15" t="e">
            <v>#VALUE!</v>
          </cell>
          <cell r="V15" t="e">
            <v>#VALUE!</v>
          </cell>
          <cell r="W15" t="e">
            <v>#VALUE!</v>
          </cell>
          <cell r="X15" t="e">
            <v>#VALUE!</v>
          </cell>
          <cell r="Y15" t="e">
            <v>#VALUE!</v>
          </cell>
          <cell r="Z15" t="e">
            <v>#VALUE!</v>
          </cell>
          <cell r="AA15" t="e">
            <v>#VALUE!</v>
          </cell>
          <cell r="AB15" t="e">
            <v>#VALUE!</v>
          </cell>
          <cell r="AC15" t="e">
            <v>#VALUE!</v>
          </cell>
          <cell r="AD15" t="e">
            <v>#VALUE!</v>
          </cell>
          <cell r="AE15" t="e">
            <v>#VALUE!</v>
          </cell>
          <cell r="AF15" t="e">
            <v>#VALUE!</v>
          </cell>
          <cell r="AG15" t="e">
            <v>#VALUE!</v>
          </cell>
          <cell r="AH15" t="e">
            <v>#VALUE!</v>
          </cell>
          <cell r="AI15" t="e">
            <v>#VALUE!</v>
          </cell>
          <cell r="AJ15" t="e">
            <v>#VALUE!</v>
          </cell>
          <cell r="AK15" t="e">
            <v>#VALUE!</v>
          </cell>
          <cell r="AL15" t="e">
            <v>#VALUE!</v>
          </cell>
          <cell r="AM15" t="e">
            <v>#VALUE!</v>
          </cell>
          <cell r="AN15" t="e">
            <v>#VALUE!</v>
          </cell>
          <cell r="AO15" t="e">
            <v>#VALUE!</v>
          </cell>
          <cell r="AP15" t="e">
            <v>#VALUE!</v>
          </cell>
          <cell r="AQ15">
            <v>0</v>
          </cell>
        </row>
        <row r="16">
          <cell r="H16" t="e">
            <v>#VALUE!</v>
          </cell>
          <cell r="I16" t="e">
            <v>#VALUE!</v>
          </cell>
          <cell r="J16" t="e">
            <v>#VALUE!</v>
          </cell>
          <cell r="K16" t="e">
            <v>#VALUE!</v>
          </cell>
          <cell r="L16" t="e">
            <v>#VALUE!</v>
          </cell>
          <cell r="M16" t="e">
            <v>#VALUE!</v>
          </cell>
          <cell r="N16" t="e">
            <v>#VALUE!</v>
          </cell>
          <cell r="O16" t="e">
            <v>#VALUE!</v>
          </cell>
          <cell r="P16" t="e">
            <v>#VALUE!</v>
          </cell>
          <cell r="Q16" t="e">
            <v>#VALUE!</v>
          </cell>
          <cell r="R16" t="e">
            <v>#VALUE!</v>
          </cell>
          <cell r="S16" t="e">
            <v>#VALUE!</v>
          </cell>
          <cell r="T16" t="e">
            <v>#VALUE!</v>
          </cell>
          <cell r="U16" t="e">
            <v>#VALUE!</v>
          </cell>
          <cell r="V16" t="e">
            <v>#VALUE!</v>
          </cell>
          <cell r="W16" t="e">
            <v>#VALUE!</v>
          </cell>
          <cell r="X16" t="e">
            <v>#VALUE!</v>
          </cell>
          <cell r="Y16" t="e">
            <v>#VALUE!</v>
          </cell>
          <cell r="Z16" t="e">
            <v>#VALUE!</v>
          </cell>
          <cell r="AA16" t="e">
            <v>#VALUE!</v>
          </cell>
          <cell r="AB16" t="e">
            <v>#VALUE!</v>
          </cell>
          <cell r="AC16" t="e">
            <v>#VALUE!</v>
          </cell>
          <cell r="AD16" t="e">
            <v>#VALUE!</v>
          </cell>
          <cell r="AE16" t="e">
            <v>#VALUE!</v>
          </cell>
          <cell r="AF16" t="e">
            <v>#VALUE!</v>
          </cell>
          <cell r="AG16" t="e">
            <v>#VALUE!</v>
          </cell>
          <cell r="AH16" t="e">
            <v>#VALUE!</v>
          </cell>
          <cell r="AI16" t="e">
            <v>#VALUE!</v>
          </cell>
          <cell r="AJ16" t="e">
            <v>#VALUE!</v>
          </cell>
          <cell r="AK16" t="e">
            <v>#VALUE!</v>
          </cell>
          <cell r="AL16" t="e">
            <v>#VALUE!</v>
          </cell>
          <cell r="AM16" t="e">
            <v>#VALUE!</v>
          </cell>
          <cell r="AN16" t="e">
            <v>#VALUE!</v>
          </cell>
          <cell r="AO16" t="e">
            <v>#VALUE!</v>
          </cell>
          <cell r="AP16" t="e">
            <v>#VALUE!</v>
          </cell>
          <cell r="AQ16">
            <v>0</v>
          </cell>
        </row>
        <row r="17">
          <cell r="H17" t="e">
            <v>#VALUE!</v>
          </cell>
          <cell r="I17" t="e">
            <v>#VALUE!</v>
          </cell>
          <cell r="J17" t="e">
            <v>#VALUE!</v>
          </cell>
          <cell r="K17" t="e">
            <v>#VALUE!</v>
          </cell>
          <cell r="L17" t="e">
            <v>#VALUE!</v>
          </cell>
          <cell r="M17" t="e">
            <v>#VALUE!</v>
          </cell>
          <cell r="N17" t="e">
            <v>#VALUE!</v>
          </cell>
          <cell r="O17" t="e">
            <v>#VALUE!</v>
          </cell>
          <cell r="P17" t="e">
            <v>#VALUE!</v>
          </cell>
          <cell r="Q17" t="e">
            <v>#VALUE!</v>
          </cell>
          <cell r="R17" t="e">
            <v>#VALUE!</v>
          </cell>
          <cell r="S17" t="e">
            <v>#VALUE!</v>
          </cell>
          <cell r="T17" t="e">
            <v>#VALUE!</v>
          </cell>
          <cell r="U17" t="e">
            <v>#VALUE!</v>
          </cell>
          <cell r="V17" t="e">
            <v>#VALUE!</v>
          </cell>
          <cell r="W17" t="e">
            <v>#VALUE!</v>
          </cell>
          <cell r="X17" t="e">
            <v>#VALUE!</v>
          </cell>
          <cell r="Y17" t="e">
            <v>#VALUE!</v>
          </cell>
          <cell r="Z17" t="e">
            <v>#VALUE!</v>
          </cell>
          <cell r="AA17" t="e">
            <v>#VALUE!</v>
          </cell>
          <cell r="AB17" t="e">
            <v>#VALUE!</v>
          </cell>
          <cell r="AC17" t="e">
            <v>#VALUE!</v>
          </cell>
          <cell r="AD17" t="e">
            <v>#VALUE!</v>
          </cell>
          <cell r="AE17" t="e">
            <v>#VALUE!</v>
          </cell>
          <cell r="AF17" t="e">
            <v>#VALUE!</v>
          </cell>
          <cell r="AG17" t="e">
            <v>#VALUE!</v>
          </cell>
          <cell r="AH17" t="e">
            <v>#VALUE!</v>
          </cell>
          <cell r="AI17" t="e">
            <v>#VALUE!</v>
          </cell>
          <cell r="AJ17" t="e">
            <v>#VALUE!</v>
          </cell>
          <cell r="AK17" t="e">
            <v>#VALUE!</v>
          </cell>
          <cell r="AL17" t="e">
            <v>#VALUE!</v>
          </cell>
          <cell r="AM17" t="e">
            <v>#VALUE!</v>
          </cell>
          <cell r="AN17" t="e">
            <v>#VALUE!</v>
          </cell>
          <cell r="AO17" t="e">
            <v>#VALUE!</v>
          </cell>
          <cell r="AP17" t="e">
            <v>#VALUE!</v>
          </cell>
          <cell r="AQ17">
            <v>0</v>
          </cell>
        </row>
        <row r="18">
          <cell r="H18" t="e">
            <v>#VALUE!</v>
          </cell>
          <cell r="I18" t="e">
            <v>#VALUE!</v>
          </cell>
          <cell r="J18" t="e">
            <v>#VALUE!</v>
          </cell>
          <cell r="K18" t="e">
            <v>#VALUE!</v>
          </cell>
          <cell r="L18" t="e">
            <v>#VALUE!</v>
          </cell>
          <cell r="M18" t="e">
            <v>#VALUE!</v>
          </cell>
          <cell r="N18" t="e">
            <v>#VALUE!</v>
          </cell>
          <cell r="O18" t="e">
            <v>#VALUE!</v>
          </cell>
          <cell r="P18" t="e">
            <v>#VALUE!</v>
          </cell>
          <cell r="Q18" t="e">
            <v>#VALUE!</v>
          </cell>
          <cell r="R18" t="e">
            <v>#VALUE!</v>
          </cell>
          <cell r="S18" t="e">
            <v>#VALUE!</v>
          </cell>
          <cell r="T18" t="e">
            <v>#VALUE!</v>
          </cell>
          <cell r="U18" t="e">
            <v>#VALUE!</v>
          </cell>
          <cell r="V18" t="e">
            <v>#VALUE!</v>
          </cell>
          <cell r="W18" t="e">
            <v>#VALUE!</v>
          </cell>
          <cell r="X18" t="e">
            <v>#VALUE!</v>
          </cell>
          <cell r="Y18" t="e">
            <v>#VALUE!</v>
          </cell>
          <cell r="Z18" t="e">
            <v>#VALUE!</v>
          </cell>
          <cell r="AA18" t="e">
            <v>#VALUE!</v>
          </cell>
          <cell r="AB18" t="e">
            <v>#VALUE!</v>
          </cell>
          <cell r="AC18" t="e">
            <v>#VALUE!</v>
          </cell>
          <cell r="AD18" t="e">
            <v>#VALUE!</v>
          </cell>
          <cell r="AE18" t="e">
            <v>#VALUE!</v>
          </cell>
          <cell r="AF18" t="e">
            <v>#VALUE!</v>
          </cell>
          <cell r="AG18" t="e">
            <v>#VALUE!</v>
          </cell>
          <cell r="AH18" t="e">
            <v>#VALUE!</v>
          </cell>
          <cell r="AI18" t="e">
            <v>#VALUE!</v>
          </cell>
          <cell r="AJ18" t="e">
            <v>#VALUE!</v>
          </cell>
          <cell r="AK18" t="e">
            <v>#VALUE!</v>
          </cell>
          <cell r="AL18" t="e">
            <v>#VALUE!</v>
          </cell>
          <cell r="AM18" t="e">
            <v>#VALUE!</v>
          </cell>
          <cell r="AN18" t="e">
            <v>#VALUE!</v>
          </cell>
          <cell r="AO18" t="e">
            <v>#VALUE!</v>
          </cell>
          <cell r="AP18" t="e">
            <v>#VALUE!</v>
          </cell>
          <cell r="AQ18">
            <v>0</v>
          </cell>
        </row>
        <row r="19">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row>
        <row r="20">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row>
        <row r="21">
          <cell r="H21" t="e">
            <v>#VALUE!</v>
          </cell>
          <cell r="I21" t="e">
            <v>#VALUE!</v>
          </cell>
          <cell r="J21" t="e">
            <v>#VALUE!</v>
          </cell>
          <cell r="K21" t="e">
            <v>#VALUE!</v>
          </cell>
          <cell r="L21" t="e">
            <v>#VALUE!</v>
          </cell>
          <cell r="M21" t="e">
            <v>#VALUE!</v>
          </cell>
          <cell r="N21" t="e">
            <v>#VALUE!</v>
          </cell>
          <cell r="O21" t="e">
            <v>#VALUE!</v>
          </cell>
          <cell r="P21" t="e">
            <v>#VALUE!</v>
          </cell>
          <cell r="Q21" t="e">
            <v>#VALUE!</v>
          </cell>
          <cell r="R21" t="e">
            <v>#VALUE!</v>
          </cell>
          <cell r="S21" t="e">
            <v>#VALUE!</v>
          </cell>
          <cell r="T21" t="e">
            <v>#VALUE!</v>
          </cell>
          <cell r="U21" t="e">
            <v>#VALUE!</v>
          </cell>
          <cell r="V21" t="e">
            <v>#VALUE!</v>
          </cell>
          <cell r="W21" t="e">
            <v>#VALUE!</v>
          </cell>
          <cell r="X21" t="e">
            <v>#VALUE!</v>
          </cell>
          <cell r="Y21" t="e">
            <v>#VALUE!</v>
          </cell>
          <cell r="Z21" t="e">
            <v>#VALUE!</v>
          </cell>
          <cell r="AA21" t="e">
            <v>#VALUE!</v>
          </cell>
          <cell r="AB21" t="e">
            <v>#VALUE!</v>
          </cell>
          <cell r="AC21" t="e">
            <v>#VALUE!</v>
          </cell>
          <cell r="AD21" t="e">
            <v>#VALUE!</v>
          </cell>
          <cell r="AE21" t="e">
            <v>#VALUE!</v>
          </cell>
          <cell r="AF21" t="e">
            <v>#VALUE!</v>
          </cell>
          <cell r="AG21" t="e">
            <v>#VALUE!</v>
          </cell>
          <cell r="AH21" t="e">
            <v>#VALUE!</v>
          </cell>
          <cell r="AI21" t="e">
            <v>#VALUE!</v>
          </cell>
          <cell r="AJ21" t="e">
            <v>#VALUE!</v>
          </cell>
          <cell r="AK21" t="e">
            <v>#VALUE!</v>
          </cell>
          <cell r="AL21" t="e">
            <v>#VALUE!</v>
          </cell>
          <cell r="AM21" t="e">
            <v>#VALUE!</v>
          </cell>
          <cell r="AN21" t="e">
            <v>#VALUE!</v>
          </cell>
          <cell r="AO21" t="e">
            <v>#VALUE!</v>
          </cell>
          <cell r="AP21" t="e">
            <v>#VALUE!</v>
          </cell>
          <cell r="AQ21">
            <v>0</v>
          </cell>
        </row>
        <row r="22">
          <cell r="H22" t="e">
            <v>#VALUE!</v>
          </cell>
          <cell r="I22" t="e">
            <v>#VALUE!</v>
          </cell>
          <cell r="J22" t="e">
            <v>#VALUE!</v>
          </cell>
          <cell r="K22" t="e">
            <v>#VALUE!</v>
          </cell>
          <cell r="L22" t="e">
            <v>#VALUE!</v>
          </cell>
          <cell r="M22" t="e">
            <v>#VALUE!</v>
          </cell>
          <cell r="N22" t="e">
            <v>#VALUE!</v>
          </cell>
          <cell r="O22" t="e">
            <v>#VALUE!</v>
          </cell>
          <cell r="P22" t="e">
            <v>#VALUE!</v>
          </cell>
          <cell r="Q22" t="e">
            <v>#VALUE!</v>
          </cell>
          <cell r="R22" t="e">
            <v>#VALUE!</v>
          </cell>
          <cell r="S22" t="e">
            <v>#VALUE!</v>
          </cell>
          <cell r="T22" t="e">
            <v>#VALUE!</v>
          </cell>
          <cell r="U22" t="e">
            <v>#VALUE!</v>
          </cell>
          <cell r="V22" t="e">
            <v>#VALUE!</v>
          </cell>
          <cell r="W22" t="e">
            <v>#VALUE!</v>
          </cell>
          <cell r="X22" t="e">
            <v>#VALUE!</v>
          </cell>
          <cell r="Y22" t="e">
            <v>#VALUE!</v>
          </cell>
          <cell r="Z22" t="e">
            <v>#VALUE!</v>
          </cell>
          <cell r="AA22" t="e">
            <v>#VALUE!</v>
          </cell>
          <cell r="AB22" t="e">
            <v>#VALUE!</v>
          </cell>
          <cell r="AC22" t="e">
            <v>#VALUE!</v>
          </cell>
          <cell r="AD22" t="e">
            <v>#VALUE!</v>
          </cell>
          <cell r="AE22" t="e">
            <v>#VALUE!</v>
          </cell>
          <cell r="AF22" t="e">
            <v>#VALUE!</v>
          </cell>
          <cell r="AG22" t="e">
            <v>#VALUE!</v>
          </cell>
          <cell r="AH22" t="e">
            <v>#VALUE!</v>
          </cell>
          <cell r="AI22" t="e">
            <v>#VALUE!</v>
          </cell>
          <cell r="AJ22" t="e">
            <v>#VALUE!</v>
          </cell>
          <cell r="AK22" t="e">
            <v>#VALUE!</v>
          </cell>
          <cell r="AL22" t="e">
            <v>#VALUE!</v>
          </cell>
          <cell r="AM22" t="e">
            <v>#VALUE!</v>
          </cell>
          <cell r="AN22" t="e">
            <v>#VALUE!</v>
          </cell>
          <cell r="AO22" t="e">
            <v>#VALUE!</v>
          </cell>
          <cell r="AP22" t="e">
            <v>#VALUE!</v>
          </cell>
          <cell r="AQ22">
            <v>0</v>
          </cell>
        </row>
        <row r="23">
          <cell r="H23" t="e">
            <v>#VALUE!</v>
          </cell>
          <cell r="I23" t="e">
            <v>#VALUE!</v>
          </cell>
          <cell r="J23" t="e">
            <v>#VALUE!</v>
          </cell>
          <cell r="K23" t="e">
            <v>#VALUE!</v>
          </cell>
          <cell r="L23" t="e">
            <v>#VALUE!</v>
          </cell>
          <cell r="M23" t="e">
            <v>#VALUE!</v>
          </cell>
          <cell r="N23" t="e">
            <v>#VALUE!</v>
          </cell>
          <cell r="O23" t="e">
            <v>#VALUE!</v>
          </cell>
          <cell r="P23" t="e">
            <v>#VALUE!</v>
          </cell>
          <cell r="Q23" t="e">
            <v>#VALUE!</v>
          </cell>
          <cell r="R23" t="e">
            <v>#VALUE!</v>
          </cell>
          <cell r="S23" t="e">
            <v>#VALUE!</v>
          </cell>
          <cell r="T23" t="e">
            <v>#VALUE!</v>
          </cell>
          <cell r="U23" t="e">
            <v>#VALUE!</v>
          </cell>
          <cell r="V23" t="e">
            <v>#VALUE!</v>
          </cell>
          <cell r="W23" t="e">
            <v>#VALUE!</v>
          </cell>
          <cell r="X23" t="e">
            <v>#VALUE!</v>
          </cell>
          <cell r="Y23" t="e">
            <v>#VALUE!</v>
          </cell>
          <cell r="Z23" t="e">
            <v>#VALUE!</v>
          </cell>
          <cell r="AA23" t="e">
            <v>#VALUE!</v>
          </cell>
          <cell r="AB23" t="e">
            <v>#VALUE!</v>
          </cell>
          <cell r="AC23" t="e">
            <v>#VALUE!</v>
          </cell>
          <cell r="AD23" t="e">
            <v>#VALUE!</v>
          </cell>
          <cell r="AE23" t="e">
            <v>#VALUE!</v>
          </cell>
          <cell r="AF23" t="e">
            <v>#VALUE!</v>
          </cell>
          <cell r="AG23" t="e">
            <v>#VALUE!</v>
          </cell>
          <cell r="AH23" t="e">
            <v>#VALUE!</v>
          </cell>
          <cell r="AI23" t="e">
            <v>#VALUE!</v>
          </cell>
          <cell r="AJ23" t="e">
            <v>#VALUE!</v>
          </cell>
          <cell r="AK23" t="e">
            <v>#VALUE!</v>
          </cell>
          <cell r="AL23" t="e">
            <v>#VALUE!</v>
          </cell>
          <cell r="AM23" t="e">
            <v>#VALUE!</v>
          </cell>
          <cell r="AN23" t="e">
            <v>#VALUE!</v>
          </cell>
          <cell r="AO23" t="e">
            <v>#VALUE!</v>
          </cell>
          <cell r="AP23" t="e">
            <v>#VALUE!</v>
          </cell>
          <cell r="AQ23">
            <v>0</v>
          </cell>
        </row>
        <row r="24">
          <cell r="H24" t="e">
            <v>#VALUE!</v>
          </cell>
          <cell r="I24" t="e">
            <v>#VALUE!</v>
          </cell>
          <cell r="J24" t="e">
            <v>#VALUE!</v>
          </cell>
          <cell r="K24" t="e">
            <v>#VALUE!</v>
          </cell>
          <cell r="L24" t="e">
            <v>#VALUE!</v>
          </cell>
          <cell r="M24" t="e">
            <v>#VALUE!</v>
          </cell>
          <cell r="N24" t="e">
            <v>#VALUE!</v>
          </cell>
          <cell r="O24" t="e">
            <v>#VALUE!</v>
          </cell>
          <cell r="P24" t="e">
            <v>#VALUE!</v>
          </cell>
          <cell r="Q24" t="e">
            <v>#VALUE!</v>
          </cell>
          <cell r="R24" t="e">
            <v>#VALUE!</v>
          </cell>
          <cell r="S24" t="e">
            <v>#VALUE!</v>
          </cell>
          <cell r="T24" t="e">
            <v>#VALUE!</v>
          </cell>
          <cell r="U24" t="e">
            <v>#VALUE!</v>
          </cell>
          <cell r="V24" t="e">
            <v>#VALUE!</v>
          </cell>
          <cell r="W24" t="e">
            <v>#VALUE!</v>
          </cell>
          <cell r="X24" t="e">
            <v>#VALUE!</v>
          </cell>
          <cell r="Y24" t="e">
            <v>#VALUE!</v>
          </cell>
          <cell r="Z24" t="e">
            <v>#VALUE!</v>
          </cell>
          <cell r="AA24" t="e">
            <v>#VALUE!</v>
          </cell>
          <cell r="AB24" t="e">
            <v>#VALUE!</v>
          </cell>
          <cell r="AC24" t="e">
            <v>#VALUE!</v>
          </cell>
          <cell r="AD24" t="e">
            <v>#VALUE!</v>
          </cell>
          <cell r="AE24" t="e">
            <v>#VALUE!</v>
          </cell>
          <cell r="AF24" t="e">
            <v>#VALUE!</v>
          </cell>
          <cell r="AG24" t="e">
            <v>#VALUE!</v>
          </cell>
          <cell r="AH24" t="e">
            <v>#VALUE!</v>
          </cell>
          <cell r="AI24" t="e">
            <v>#VALUE!</v>
          </cell>
          <cell r="AJ24" t="e">
            <v>#VALUE!</v>
          </cell>
          <cell r="AK24" t="e">
            <v>#VALUE!</v>
          </cell>
          <cell r="AL24" t="e">
            <v>#VALUE!</v>
          </cell>
          <cell r="AM24" t="e">
            <v>#VALUE!</v>
          </cell>
          <cell r="AN24" t="e">
            <v>#VALUE!</v>
          </cell>
          <cell r="AO24" t="e">
            <v>#VALUE!</v>
          </cell>
          <cell r="AP24" t="e">
            <v>#VALUE!</v>
          </cell>
          <cell r="AQ24">
            <v>0</v>
          </cell>
        </row>
        <row r="25">
          <cell r="H25" t="e">
            <v>#VALUE!</v>
          </cell>
          <cell r="I25" t="e">
            <v>#VALUE!</v>
          </cell>
          <cell r="J25" t="e">
            <v>#VALUE!</v>
          </cell>
          <cell r="K25" t="e">
            <v>#VALUE!</v>
          </cell>
          <cell r="L25" t="e">
            <v>#VALUE!</v>
          </cell>
          <cell r="M25" t="e">
            <v>#VALUE!</v>
          </cell>
          <cell r="N25" t="e">
            <v>#VALUE!</v>
          </cell>
          <cell r="O25" t="e">
            <v>#VALUE!</v>
          </cell>
          <cell r="P25" t="e">
            <v>#VALUE!</v>
          </cell>
          <cell r="Q25" t="e">
            <v>#VALUE!</v>
          </cell>
          <cell r="R25" t="e">
            <v>#VALUE!</v>
          </cell>
          <cell r="S25" t="e">
            <v>#VALUE!</v>
          </cell>
          <cell r="T25" t="e">
            <v>#VALUE!</v>
          </cell>
          <cell r="U25" t="e">
            <v>#VALUE!</v>
          </cell>
          <cell r="V25" t="e">
            <v>#VALUE!</v>
          </cell>
          <cell r="W25" t="e">
            <v>#VALUE!</v>
          </cell>
          <cell r="X25" t="e">
            <v>#VALUE!</v>
          </cell>
          <cell r="Y25" t="e">
            <v>#VALUE!</v>
          </cell>
          <cell r="Z25" t="e">
            <v>#VALUE!</v>
          </cell>
          <cell r="AA25" t="e">
            <v>#VALUE!</v>
          </cell>
          <cell r="AB25" t="e">
            <v>#VALUE!</v>
          </cell>
          <cell r="AC25" t="e">
            <v>#VALUE!</v>
          </cell>
          <cell r="AD25" t="e">
            <v>#VALUE!</v>
          </cell>
          <cell r="AE25" t="e">
            <v>#VALUE!</v>
          </cell>
          <cell r="AF25" t="e">
            <v>#VALUE!</v>
          </cell>
          <cell r="AG25" t="e">
            <v>#VALUE!</v>
          </cell>
          <cell r="AH25" t="e">
            <v>#VALUE!</v>
          </cell>
          <cell r="AI25" t="e">
            <v>#VALUE!</v>
          </cell>
          <cell r="AJ25" t="e">
            <v>#VALUE!</v>
          </cell>
          <cell r="AK25" t="e">
            <v>#VALUE!</v>
          </cell>
          <cell r="AL25" t="e">
            <v>#VALUE!</v>
          </cell>
          <cell r="AM25" t="e">
            <v>#VALUE!</v>
          </cell>
          <cell r="AN25" t="e">
            <v>#VALUE!</v>
          </cell>
          <cell r="AO25" t="e">
            <v>#VALUE!</v>
          </cell>
          <cell r="AP25" t="e">
            <v>#VALUE!</v>
          </cell>
          <cell r="AQ25">
            <v>0</v>
          </cell>
        </row>
        <row r="26">
          <cell r="H26" t="e">
            <v>#VALUE!</v>
          </cell>
          <cell r="I26" t="e">
            <v>#VALUE!</v>
          </cell>
          <cell r="J26" t="e">
            <v>#VALUE!</v>
          </cell>
          <cell r="K26" t="e">
            <v>#VALUE!</v>
          </cell>
          <cell r="L26" t="e">
            <v>#VALUE!</v>
          </cell>
          <cell r="M26" t="e">
            <v>#VALUE!</v>
          </cell>
          <cell r="N26" t="e">
            <v>#VALUE!</v>
          </cell>
          <cell r="O26" t="e">
            <v>#VALUE!</v>
          </cell>
          <cell r="P26" t="e">
            <v>#VALUE!</v>
          </cell>
          <cell r="Q26" t="e">
            <v>#VALUE!</v>
          </cell>
          <cell r="R26" t="e">
            <v>#VALUE!</v>
          </cell>
          <cell r="S26" t="e">
            <v>#VALUE!</v>
          </cell>
          <cell r="T26" t="e">
            <v>#VALUE!</v>
          </cell>
          <cell r="U26" t="e">
            <v>#VALUE!</v>
          </cell>
          <cell r="V26" t="e">
            <v>#VALUE!</v>
          </cell>
          <cell r="W26" t="e">
            <v>#VALUE!</v>
          </cell>
          <cell r="X26" t="e">
            <v>#VALUE!</v>
          </cell>
          <cell r="Y26" t="e">
            <v>#VALUE!</v>
          </cell>
          <cell r="Z26" t="e">
            <v>#VALUE!</v>
          </cell>
          <cell r="AA26" t="e">
            <v>#VALUE!</v>
          </cell>
          <cell r="AB26" t="e">
            <v>#VALUE!</v>
          </cell>
          <cell r="AC26" t="e">
            <v>#VALUE!</v>
          </cell>
          <cell r="AD26" t="e">
            <v>#VALUE!</v>
          </cell>
          <cell r="AE26" t="e">
            <v>#VALUE!</v>
          </cell>
          <cell r="AF26" t="e">
            <v>#VALUE!</v>
          </cell>
          <cell r="AG26" t="e">
            <v>#VALUE!</v>
          </cell>
          <cell r="AH26" t="e">
            <v>#VALUE!</v>
          </cell>
          <cell r="AI26" t="e">
            <v>#VALUE!</v>
          </cell>
          <cell r="AJ26" t="e">
            <v>#VALUE!</v>
          </cell>
          <cell r="AK26" t="e">
            <v>#VALUE!</v>
          </cell>
          <cell r="AL26" t="e">
            <v>#VALUE!</v>
          </cell>
          <cell r="AM26" t="e">
            <v>#VALUE!</v>
          </cell>
          <cell r="AN26" t="e">
            <v>#VALUE!</v>
          </cell>
          <cell r="AO26" t="e">
            <v>#VALUE!</v>
          </cell>
          <cell r="AP26" t="e">
            <v>#VALUE!</v>
          </cell>
          <cell r="AQ26">
            <v>0</v>
          </cell>
        </row>
        <row r="27">
          <cell r="H27" t="e">
            <v>#VALUE!</v>
          </cell>
          <cell r="I27" t="e">
            <v>#VALUE!</v>
          </cell>
          <cell r="J27" t="e">
            <v>#VALUE!</v>
          </cell>
          <cell r="K27" t="e">
            <v>#VALUE!</v>
          </cell>
          <cell r="L27" t="e">
            <v>#VALUE!</v>
          </cell>
          <cell r="M27" t="e">
            <v>#VALUE!</v>
          </cell>
          <cell r="N27" t="e">
            <v>#VALUE!</v>
          </cell>
          <cell r="O27" t="e">
            <v>#VALUE!</v>
          </cell>
          <cell r="P27" t="e">
            <v>#VALUE!</v>
          </cell>
          <cell r="Q27" t="e">
            <v>#VALUE!</v>
          </cell>
          <cell r="R27" t="e">
            <v>#VALUE!</v>
          </cell>
          <cell r="S27" t="e">
            <v>#VALUE!</v>
          </cell>
          <cell r="T27" t="e">
            <v>#VALUE!</v>
          </cell>
          <cell r="U27" t="e">
            <v>#VALUE!</v>
          </cell>
          <cell r="V27" t="e">
            <v>#VALUE!</v>
          </cell>
          <cell r="W27" t="e">
            <v>#VALUE!</v>
          </cell>
          <cell r="X27" t="e">
            <v>#VALUE!</v>
          </cell>
          <cell r="Y27" t="e">
            <v>#VALUE!</v>
          </cell>
          <cell r="Z27" t="e">
            <v>#VALUE!</v>
          </cell>
          <cell r="AA27" t="e">
            <v>#VALUE!</v>
          </cell>
          <cell r="AB27" t="e">
            <v>#VALUE!</v>
          </cell>
          <cell r="AC27" t="e">
            <v>#VALUE!</v>
          </cell>
          <cell r="AD27" t="e">
            <v>#VALUE!</v>
          </cell>
          <cell r="AE27" t="e">
            <v>#VALUE!</v>
          </cell>
          <cell r="AF27" t="e">
            <v>#VALUE!</v>
          </cell>
          <cell r="AG27" t="e">
            <v>#VALUE!</v>
          </cell>
          <cell r="AH27" t="e">
            <v>#VALUE!</v>
          </cell>
          <cell r="AI27" t="e">
            <v>#VALUE!</v>
          </cell>
          <cell r="AJ27" t="e">
            <v>#VALUE!</v>
          </cell>
          <cell r="AK27" t="e">
            <v>#VALUE!</v>
          </cell>
          <cell r="AL27" t="e">
            <v>#VALUE!</v>
          </cell>
          <cell r="AM27" t="e">
            <v>#VALUE!</v>
          </cell>
          <cell r="AN27" t="e">
            <v>#VALUE!</v>
          </cell>
          <cell r="AO27" t="e">
            <v>#VALUE!</v>
          </cell>
          <cell r="AP27" t="e">
            <v>#VALUE!</v>
          </cell>
          <cell r="AQ27">
            <v>0</v>
          </cell>
        </row>
        <row r="28">
          <cell r="H28" t="e">
            <v>#VALUE!</v>
          </cell>
          <cell r="I28" t="e">
            <v>#VALUE!</v>
          </cell>
          <cell r="J28" t="e">
            <v>#VALUE!</v>
          </cell>
          <cell r="K28" t="e">
            <v>#VALUE!</v>
          </cell>
          <cell r="L28" t="e">
            <v>#VALUE!</v>
          </cell>
          <cell r="M28" t="e">
            <v>#VALUE!</v>
          </cell>
          <cell r="N28" t="e">
            <v>#VALUE!</v>
          </cell>
          <cell r="O28" t="e">
            <v>#VALUE!</v>
          </cell>
          <cell r="P28" t="e">
            <v>#VALUE!</v>
          </cell>
          <cell r="Q28" t="e">
            <v>#VALUE!</v>
          </cell>
          <cell r="R28" t="e">
            <v>#VALUE!</v>
          </cell>
          <cell r="S28" t="e">
            <v>#VALUE!</v>
          </cell>
          <cell r="T28" t="e">
            <v>#VALUE!</v>
          </cell>
          <cell r="U28" t="e">
            <v>#VALUE!</v>
          </cell>
          <cell r="V28" t="e">
            <v>#VALUE!</v>
          </cell>
          <cell r="W28" t="e">
            <v>#VALUE!</v>
          </cell>
          <cell r="X28" t="e">
            <v>#VALUE!</v>
          </cell>
          <cell r="Y28" t="e">
            <v>#VALUE!</v>
          </cell>
          <cell r="Z28" t="e">
            <v>#VALUE!</v>
          </cell>
          <cell r="AA28" t="e">
            <v>#VALUE!</v>
          </cell>
          <cell r="AB28" t="e">
            <v>#VALUE!</v>
          </cell>
          <cell r="AC28" t="e">
            <v>#VALUE!</v>
          </cell>
          <cell r="AD28" t="e">
            <v>#VALUE!</v>
          </cell>
          <cell r="AE28" t="e">
            <v>#VALUE!</v>
          </cell>
          <cell r="AF28" t="e">
            <v>#VALUE!</v>
          </cell>
          <cell r="AG28" t="e">
            <v>#VALUE!</v>
          </cell>
          <cell r="AH28" t="e">
            <v>#VALUE!</v>
          </cell>
          <cell r="AI28" t="e">
            <v>#VALUE!</v>
          </cell>
          <cell r="AJ28" t="e">
            <v>#VALUE!</v>
          </cell>
          <cell r="AK28" t="e">
            <v>#VALUE!</v>
          </cell>
          <cell r="AL28" t="e">
            <v>#VALUE!</v>
          </cell>
          <cell r="AM28" t="e">
            <v>#VALUE!</v>
          </cell>
          <cell r="AN28" t="e">
            <v>#VALUE!</v>
          </cell>
          <cell r="AO28" t="e">
            <v>#VALUE!</v>
          </cell>
          <cell r="AP28" t="e">
            <v>#VALUE!</v>
          </cell>
          <cell r="AQ28">
            <v>0</v>
          </cell>
        </row>
        <row r="29">
          <cell r="H29" t="e">
            <v>#VALUE!</v>
          </cell>
          <cell r="I29" t="e">
            <v>#VALUE!</v>
          </cell>
          <cell r="J29" t="e">
            <v>#VALUE!</v>
          </cell>
          <cell r="K29" t="e">
            <v>#VALUE!</v>
          </cell>
          <cell r="L29" t="e">
            <v>#VALUE!</v>
          </cell>
          <cell r="M29" t="e">
            <v>#VALUE!</v>
          </cell>
          <cell r="N29" t="e">
            <v>#VALUE!</v>
          </cell>
          <cell r="O29" t="e">
            <v>#VALUE!</v>
          </cell>
          <cell r="P29" t="e">
            <v>#VALUE!</v>
          </cell>
          <cell r="Q29" t="e">
            <v>#VALUE!</v>
          </cell>
          <cell r="R29" t="e">
            <v>#VALUE!</v>
          </cell>
          <cell r="S29" t="e">
            <v>#VALUE!</v>
          </cell>
          <cell r="T29" t="e">
            <v>#VALUE!</v>
          </cell>
          <cell r="U29" t="e">
            <v>#VALUE!</v>
          </cell>
          <cell r="V29" t="e">
            <v>#VALUE!</v>
          </cell>
          <cell r="W29" t="e">
            <v>#VALUE!</v>
          </cell>
          <cell r="X29" t="e">
            <v>#VALUE!</v>
          </cell>
          <cell r="Y29" t="e">
            <v>#VALUE!</v>
          </cell>
          <cell r="Z29" t="e">
            <v>#VALUE!</v>
          </cell>
          <cell r="AA29" t="e">
            <v>#VALUE!</v>
          </cell>
          <cell r="AB29" t="e">
            <v>#VALUE!</v>
          </cell>
          <cell r="AC29" t="e">
            <v>#VALUE!</v>
          </cell>
          <cell r="AD29" t="e">
            <v>#VALUE!</v>
          </cell>
          <cell r="AE29" t="e">
            <v>#VALUE!</v>
          </cell>
          <cell r="AF29" t="e">
            <v>#VALUE!</v>
          </cell>
          <cell r="AG29" t="e">
            <v>#VALUE!</v>
          </cell>
          <cell r="AH29" t="e">
            <v>#VALUE!</v>
          </cell>
          <cell r="AI29" t="e">
            <v>#VALUE!</v>
          </cell>
          <cell r="AJ29" t="e">
            <v>#VALUE!</v>
          </cell>
          <cell r="AK29" t="e">
            <v>#VALUE!</v>
          </cell>
          <cell r="AL29" t="e">
            <v>#VALUE!</v>
          </cell>
          <cell r="AM29" t="e">
            <v>#VALUE!</v>
          </cell>
          <cell r="AN29" t="e">
            <v>#VALUE!</v>
          </cell>
          <cell r="AO29" t="e">
            <v>#VALUE!</v>
          </cell>
          <cell r="AP29" t="e">
            <v>#VALUE!</v>
          </cell>
          <cell r="AQ29">
            <v>0</v>
          </cell>
        </row>
        <row r="30">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row>
        <row r="31">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row>
        <row r="32">
          <cell r="H32" t="e">
            <v>#VALUE!</v>
          </cell>
          <cell r="I32" t="e">
            <v>#VALUE!</v>
          </cell>
          <cell r="J32" t="e">
            <v>#VALUE!</v>
          </cell>
          <cell r="K32" t="e">
            <v>#VALUE!</v>
          </cell>
          <cell r="L32" t="e">
            <v>#VALUE!</v>
          </cell>
          <cell r="M32" t="e">
            <v>#VALUE!</v>
          </cell>
          <cell r="N32" t="e">
            <v>#VALUE!</v>
          </cell>
          <cell r="O32" t="e">
            <v>#VALUE!</v>
          </cell>
          <cell r="P32" t="e">
            <v>#VALUE!</v>
          </cell>
          <cell r="Q32" t="e">
            <v>#VALUE!</v>
          </cell>
          <cell r="R32" t="e">
            <v>#VALUE!</v>
          </cell>
          <cell r="S32" t="e">
            <v>#VALUE!</v>
          </cell>
          <cell r="T32" t="e">
            <v>#VALUE!</v>
          </cell>
          <cell r="U32" t="e">
            <v>#VALUE!</v>
          </cell>
          <cell r="V32" t="e">
            <v>#VALUE!</v>
          </cell>
          <cell r="W32" t="e">
            <v>#VALUE!</v>
          </cell>
          <cell r="X32" t="e">
            <v>#VALUE!</v>
          </cell>
          <cell r="Y32" t="e">
            <v>#VALUE!</v>
          </cell>
          <cell r="Z32" t="e">
            <v>#VALUE!</v>
          </cell>
          <cell r="AA32" t="e">
            <v>#VALUE!</v>
          </cell>
          <cell r="AB32" t="e">
            <v>#VALUE!</v>
          </cell>
          <cell r="AC32" t="e">
            <v>#VALUE!</v>
          </cell>
          <cell r="AD32" t="e">
            <v>#VALUE!</v>
          </cell>
          <cell r="AE32" t="e">
            <v>#VALUE!</v>
          </cell>
          <cell r="AF32" t="e">
            <v>#VALUE!</v>
          </cell>
          <cell r="AG32" t="e">
            <v>#VALUE!</v>
          </cell>
          <cell r="AH32" t="e">
            <v>#VALUE!</v>
          </cell>
          <cell r="AI32" t="e">
            <v>#VALUE!</v>
          </cell>
          <cell r="AJ32" t="e">
            <v>#VALUE!</v>
          </cell>
          <cell r="AK32" t="e">
            <v>#VALUE!</v>
          </cell>
          <cell r="AL32" t="e">
            <v>#VALUE!</v>
          </cell>
          <cell r="AM32" t="e">
            <v>#VALUE!</v>
          </cell>
          <cell r="AN32" t="e">
            <v>#VALUE!</v>
          </cell>
          <cell r="AO32" t="e">
            <v>#VALUE!</v>
          </cell>
          <cell r="AP32" t="e">
            <v>#VALUE!</v>
          </cell>
          <cell r="AQ32">
            <v>0</v>
          </cell>
        </row>
        <row r="33">
          <cell r="H33" t="e">
            <v>#VALUE!</v>
          </cell>
          <cell r="I33" t="e">
            <v>#VALUE!</v>
          </cell>
          <cell r="J33" t="e">
            <v>#VALUE!</v>
          </cell>
          <cell r="K33" t="e">
            <v>#VALUE!</v>
          </cell>
          <cell r="L33" t="e">
            <v>#VALUE!</v>
          </cell>
          <cell r="M33" t="e">
            <v>#VALUE!</v>
          </cell>
          <cell r="N33" t="e">
            <v>#VALUE!</v>
          </cell>
          <cell r="O33" t="e">
            <v>#VALUE!</v>
          </cell>
          <cell r="P33" t="e">
            <v>#VALUE!</v>
          </cell>
          <cell r="Q33" t="e">
            <v>#VALUE!</v>
          </cell>
          <cell r="R33" t="e">
            <v>#VALUE!</v>
          </cell>
          <cell r="S33" t="e">
            <v>#VALUE!</v>
          </cell>
          <cell r="T33" t="e">
            <v>#VALUE!</v>
          </cell>
          <cell r="U33" t="e">
            <v>#VALUE!</v>
          </cell>
          <cell r="V33" t="e">
            <v>#VALUE!</v>
          </cell>
          <cell r="W33" t="e">
            <v>#VALUE!</v>
          </cell>
          <cell r="X33" t="e">
            <v>#VALUE!</v>
          </cell>
          <cell r="Y33" t="e">
            <v>#VALUE!</v>
          </cell>
          <cell r="Z33" t="e">
            <v>#VALUE!</v>
          </cell>
          <cell r="AA33" t="e">
            <v>#VALUE!</v>
          </cell>
          <cell r="AB33" t="e">
            <v>#VALUE!</v>
          </cell>
          <cell r="AC33" t="e">
            <v>#VALUE!</v>
          </cell>
          <cell r="AD33" t="e">
            <v>#VALUE!</v>
          </cell>
          <cell r="AE33" t="e">
            <v>#VALUE!</v>
          </cell>
          <cell r="AF33" t="e">
            <v>#VALUE!</v>
          </cell>
          <cell r="AG33" t="e">
            <v>#VALUE!</v>
          </cell>
          <cell r="AH33" t="e">
            <v>#VALUE!</v>
          </cell>
          <cell r="AI33" t="e">
            <v>#VALUE!</v>
          </cell>
          <cell r="AJ33" t="e">
            <v>#VALUE!</v>
          </cell>
          <cell r="AK33" t="e">
            <v>#VALUE!</v>
          </cell>
          <cell r="AL33" t="e">
            <v>#VALUE!</v>
          </cell>
          <cell r="AM33" t="e">
            <v>#VALUE!</v>
          </cell>
          <cell r="AN33" t="e">
            <v>#VALUE!</v>
          </cell>
          <cell r="AO33" t="e">
            <v>#VALUE!</v>
          </cell>
          <cell r="AP33" t="e">
            <v>#VALUE!</v>
          </cell>
          <cell r="AQ33">
            <v>0</v>
          </cell>
        </row>
        <row r="34">
          <cell r="H34" t="e">
            <v>#VALUE!</v>
          </cell>
          <cell r="I34" t="e">
            <v>#VALUE!</v>
          </cell>
          <cell r="J34" t="e">
            <v>#VALUE!</v>
          </cell>
          <cell r="K34" t="e">
            <v>#VALUE!</v>
          </cell>
          <cell r="L34" t="e">
            <v>#VALUE!</v>
          </cell>
          <cell r="M34" t="e">
            <v>#VALUE!</v>
          </cell>
          <cell r="N34" t="e">
            <v>#VALUE!</v>
          </cell>
          <cell r="O34" t="e">
            <v>#VALUE!</v>
          </cell>
          <cell r="P34" t="e">
            <v>#VALUE!</v>
          </cell>
          <cell r="Q34" t="e">
            <v>#VALUE!</v>
          </cell>
          <cell r="R34" t="e">
            <v>#VALUE!</v>
          </cell>
          <cell r="S34" t="e">
            <v>#VALUE!</v>
          </cell>
          <cell r="T34" t="e">
            <v>#VALUE!</v>
          </cell>
          <cell r="U34" t="e">
            <v>#VALUE!</v>
          </cell>
          <cell r="V34" t="e">
            <v>#VALUE!</v>
          </cell>
          <cell r="W34" t="e">
            <v>#VALUE!</v>
          </cell>
          <cell r="X34" t="e">
            <v>#VALUE!</v>
          </cell>
          <cell r="Y34" t="e">
            <v>#VALUE!</v>
          </cell>
          <cell r="Z34" t="e">
            <v>#VALUE!</v>
          </cell>
          <cell r="AA34" t="e">
            <v>#VALUE!</v>
          </cell>
          <cell r="AB34" t="e">
            <v>#VALUE!</v>
          </cell>
          <cell r="AC34" t="e">
            <v>#VALUE!</v>
          </cell>
          <cell r="AD34" t="e">
            <v>#VALUE!</v>
          </cell>
          <cell r="AE34" t="e">
            <v>#VALUE!</v>
          </cell>
          <cell r="AF34" t="e">
            <v>#VALUE!</v>
          </cell>
          <cell r="AG34" t="e">
            <v>#VALUE!</v>
          </cell>
          <cell r="AH34" t="e">
            <v>#VALUE!</v>
          </cell>
          <cell r="AI34" t="e">
            <v>#VALUE!</v>
          </cell>
          <cell r="AJ34" t="e">
            <v>#VALUE!</v>
          </cell>
          <cell r="AK34" t="e">
            <v>#VALUE!</v>
          </cell>
          <cell r="AL34" t="e">
            <v>#VALUE!</v>
          </cell>
          <cell r="AM34" t="e">
            <v>#VALUE!</v>
          </cell>
          <cell r="AN34" t="e">
            <v>#VALUE!</v>
          </cell>
          <cell r="AO34" t="e">
            <v>#VALUE!</v>
          </cell>
          <cell r="AP34" t="e">
            <v>#VALUE!</v>
          </cell>
          <cell r="AQ34">
            <v>0</v>
          </cell>
        </row>
        <row r="35">
          <cell r="H35" t="e">
            <v>#VALUE!</v>
          </cell>
          <cell r="I35" t="e">
            <v>#VALUE!</v>
          </cell>
          <cell r="J35" t="e">
            <v>#VALUE!</v>
          </cell>
          <cell r="K35" t="e">
            <v>#VALUE!</v>
          </cell>
          <cell r="L35" t="e">
            <v>#VALUE!</v>
          </cell>
          <cell r="M35" t="e">
            <v>#VALUE!</v>
          </cell>
          <cell r="N35" t="e">
            <v>#VALUE!</v>
          </cell>
          <cell r="O35" t="e">
            <v>#VALUE!</v>
          </cell>
          <cell r="P35" t="e">
            <v>#VALUE!</v>
          </cell>
          <cell r="Q35" t="e">
            <v>#VALUE!</v>
          </cell>
          <cell r="R35" t="e">
            <v>#VALUE!</v>
          </cell>
          <cell r="S35" t="e">
            <v>#VALUE!</v>
          </cell>
          <cell r="T35" t="e">
            <v>#VALUE!</v>
          </cell>
          <cell r="U35" t="e">
            <v>#VALUE!</v>
          </cell>
          <cell r="V35" t="e">
            <v>#VALUE!</v>
          </cell>
          <cell r="W35" t="e">
            <v>#VALUE!</v>
          </cell>
          <cell r="X35" t="e">
            <v>#VALUE!</v>
          </cell>
          <cell r="Y35" t="e">
            <v>#VALUE!</v>
          </cell>
          <cell r="Z35" t="e">
            <v>#VALUE!</v>
          </cell>
          <cell r="AA35" t="e">
            <v>#VALUE!</v>
          </cell>
          <cell r="AB35" t="e">
            <v>#VALUE!</v>
          </cell>
          <cell r="AC35" t="e">
            <v>#VALUE!</v>
          </cell>
          <cell r="AD35" t="e">
            <v>#VALUE!</v>
          </cell>
          <cell r="AE35" t="e">
            <v>#VALUE!</v>
          </cell>
          <cell r="AF35" t="e">
            <v>#VALUE!</v>
          </cell>
          <cell r="AG35" t="e">
            <v>#VALUE!</v>
          </cell>
          <cell r="AH35" t="e">
            <v>#VALUE!</v>
          </cell>
          <cell r="AI35" t="e">
            <v>#VALUE!</v>
          </cell>
          <cell r="AJ35" t="e">
            <v>#VALUE!</v>
          </cell>
          <cell r="AK35" t="e">
            <v>#VALUE!</v>
          </cell>
          <cell r="AL35" t="e">
            <v>#VALUE!</v>
          </cell>
          <cell r="AM35" t="e">
            <v>#VALUE!</v>
          </cell>
          <cell r="AN35" t="e">
            <v>#VALUE!</v>
          </cell>
          <cell r="AO35" t="e">
            <v>#VALUE!</v>
          </cell>
          <cell r="AP35" t="e">
            <v>#VALUE!</v>
          </cell>
          <cell r="AQ35">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B_LOAD"/>
      <sheetName val="Config"/>
      <sheetName val="AGGREGATED_DATA"/>
      <sheetName val="DATA_FORMATTING"/>
      <sheetName val="Balance Sheet"/>
      <sheetName val="Income Statement"/>
      <sheetName val="Portfolio Quality"/>
      <sheetName val="Organizational Data"/>
      <sheetName val="Ratios &amp; Trend Analysis"/>
      <sheetName val="Risk Assessment"/>
      <sheetName val="Equity Monitoring Report"/>
      <sheetName val="Refi-Annual Review"/>
      <sheetName val="MFI Home"/>
    </sheetNames>
    <sheetDataSet>
      <sheetData sheetId="0"/>
      <sheetData sheetId="1"/>
      <sheetData sheetId="2"/>
      <sheetData sheetId="3"/>
      <sheetData sheetId="4">
        <row r="9">
          <cell r="D9">
            <v>40209</v>
          </cell>
          <cell r="H9" t="str">
            <v/>
          </cell>
          <cell r="I9" t="str">
            <v/>
          </cell>
          <cell r="J9" t="str">
            <v/>
          </cell>
          <cell r="K9" t="str">
            <v/>
          </cell>
          <cell r="L9" t="str">
            <v/>
          </cell>
          <cell r="M9" t="str">
            <v/>
          </cell>
          <cell r="N9" t="str">
            <v/>
          </cell>
          <cell r="O9" t="str">
            <v/>
          </cell>
          <cell r="P9" t="str">
            <v/>
          </cell>
          <cell r="Q9" t="str">
            <v/>
          </cell>
          <cell r="R9" t="str">
            <v/>
          </cell>
          <cell r="S9" t="str">
            <v/>
          </cell>
          <cell r="T9" t="str">
            <v/>
          </cell>
          <cell r="U9" t="str">
            <v/>
          </cell>
          <cell r="V9" t="str">
            <v/>
          </cell>
          <cell r="W9" t="str">
            <v/>
          </cell>
          <cell r="X9" t="str">
            <v/>
          </cell>
          <cell r="Y9" t="str">
            <v/>
          </cell>
          <cell r="Z9" t="str">
            <v/>
          </cell>
          <cell r="AA9" t="str">
            <v/>
          </cell>
          <cell r="AB9" t="str">
            <v/>
          </cell>
          <cell r="AC9" t="str">
            <v/>
          </cell>
          <cell r="AD9" t="str">
            <v/>
          </cell>
          <cell r="AE9" t="str">
            <v/>
          </cell>
          <cell r="AF9" t="str">
            <v/>
          </cell>
          <cell r="AG9" t="str">
            <v/>
          </cell>
          <cell r="AH9" t="str">
            <v/>
          </cell>
          <cell r="AI9" t="str">
            <v/>
          </cell>
          <cell r="AJ9" t="str">
            <v/>
          </cell>
          <cell r="AK9" t="str">
            <v/>
          </cell>
          <cell r="AL9" t="str">
            <v/>
          </cell>
          <cell r="AM9" t="str">
            <v/>
          </cell>
          <cell r="AN9" t="str">
            <v/>
          </cell>
          <cell r="AO9" t="str">
            <v/>
          </cell>
          <cell r="AP9" t="str">
            <v/>
          </cell>
          <cell r="AQ9">
            <v>0</v>
          </cell>
        </row>
        <row r="10">
          <cell r="H10" t="e">
            <v>#VALUE!</v>
          </cell>
          <cell r="I10" t="e">
            <v>#VALUE!</v>
          </cell>
          <cell r="J10" t="e">
            <v>#VALUE!</v>
          </cell>
          <cell r="K10" t="e">
            <v>#VALUE!</v>
          </cell>
          <cell r="L10" t="e">
            <v>#VALUE!</v>
          </cell>
          <cell r="M10" t="e">
            <v>#VALUE!</v>
          </cell>
          <cell r="N10" t="e">
            <v>#VALUE!</v>
          </cell>
          <cell r="O10" t="e">
            <v>#VALUE!</v>
          </cell>
          <cell r="P10" t="e">
            <v>#VALUE!</v>
          </cell>
          <cell r="Q10" t="e">
            <v>#VALUE!</v>
          </cell>
          <cell r="R10" t="e">
            <v>#VALUE!</v>
          </cell>
          <cell r="S10" t="e">
            <v>#VALUE!</v>
          </cell>
          <cell r="T10" t="e">
            <v>#VALUE!</v>
          </cell>
          <cell r="U10" t="e">
            <v>#VALUE!</v>
          </cell>
          <cell r="V10" t="e">
            <v>#VALUE!</v>
          </cell>
          <cell r="W10" t="e">
            <v>#VALUE!</v>
          </cell>
          <cell r="X10" t="e">
            <v>#VALUE!</v>
          </cell>
          <cell r="Y10" t="e">
            <v>#VALUE!</v>
          </cell>
          <cell r="Z10" t="e">
            <v>#VALUE!</v>
          </cell>
          <cell r="AA10" t="e">
            <v>#VALUE!</v>
          </cell>
          <cell r="AB10" t="e">
            <v>#VALUE!</v>
          </cell>
          <cell r="AC10" t="e">
            <v>#VALUE!</v>
          </cell>
          <cell r="AD10" t="e">
            <v>#VALUE!</v>
          </cell>
          <cell r="AE10" t="e">
            <v>#VALUE!</v>
          </cell>
          <cell r="AF10" t="e">
            <v>#VALUE!</v>
          </cell>
          <cell r="AG10" t="e">
            <v>#VALUE!</v>
          </cell>
          <cell r="AH10" t="e">
            <v>#VALUE!</v>
          </cell>
          <cell r="AI10" t="e">
            <v>#VALUE!</v>
          </cell>
          <cell r="AJ10" t="e">
            <v>#VALUE!</v>
          </cell>
          <cell r="AK10" t="e">
            <v>#VALUE!</v>
          </cell>
          <cell r="AL10" t="e">
            <v>#VALUE!</v>
          </cell>
          <cell r="AM10" t="e">
            <v>#VALUE!</v>
          </cell>
          <cell r="AN10" t="e">
            <v>#VALUE!</v>
          </cell>
          <cell r="AO10" t="e">
            <v>#VALUE!</v>
          </cell>
          <cell r="AP10" t="e">
            <v>#VALUE!</v>
          </cell>
          <cell r="AQ10" t="str">
            <v/>
          </cell>
        </row>
        <row r="11">
          <cell r="H11" t="e">
            <v>#VALUE!</v>
          </cell>
          <cell r="I11" t="e">
            <v>#VALUE!</v>
          </cell>
          <cell r="J11" t="e">
            <v>#VALUE!</v>
          </cell>
          <cell r="K11" t="e">
            <v>#VALUE!</v>
          </cell>
          <cell r="L11" t="e">
            <v>#VALUE!</v>
          </cell>
          <cell r="M11" t="e">
            <v>#VALUE!</v>
          </cell>
          <cell r="N11" t="e">
            <v>#VALUE!</v>
          </cell>
          <cell r="O11" t="e">
            <v>#VALUE!</v>
          </cell>
          <cell r="P11" t="e">
            <v>#VALUE!</v>
          </cell>
          <cell r="Q11" t="e">
            <v>#VALUE!</v>
          </cell>
          <cell r="R11" t="e">
            <v>#VALUE!</v>
          </cell>
          <cell r="S11" t="e">
            <v>#VALUE!</v>
          </cell>
          <cell r="T11" t="e">
            <v>#VALUE!</v>
          </cell>
          <cell r="U11" t="e">
            <v>#VALUE!</v>
          </cell>
          <cell r="V11" t="e">
            <v>#VALUE!</v>
          </cell>
          <cell r="W11" t="e">
            <v>#VALUE!</v>
          </cell>
          <cell r="X11" t="e">
            <v>#VALUE!</v>
          </cell>
          <cell r="Y11" t="e">
            <v>#VALUE!</v>
          </cell>
          <cell r="Z11" t="e">
            <v>#VALUE!</v>
          </cell>
          <cell r="AA11" t="e">
            <v>#VALUE!</v>
          </cell>
          <cell r="AB11" t="e">
            <v>#VALUE!</v>
          </cell>
          <cell r="AC11" t="e">
            <v>#VALUE!</v>
          </cell>
          <cell r="AD11" t="e">
            <v>#VALUE!</v>
          </cell>
          <cell r="AE11" t="e">
            <v>#VALUE!</v>
          </cell>
          <cell r="AF11" t="e">
            <v>#VALUE!</v>
          </cell>
          <cell r="AG11" t="e">
            <v>#VALUE!</v>
          </cell>
          <cell r="AH11" t="e">
            <v>#VALUE!</v>
          </cell>
          <cell r="AI11" t="e">
            <v>#VALUE!</v>
          </cell>
          <cell r="AJ11" t="e">
            <v>#VALUE!</v>
          </cell>
          <cell r="AK11" t="e">
            <v>#VALUE!</v>
          </cell>
          <cell r="AL11" t="e">
            <v>#VALUE!</v>
          </cell>
          <cell r="AM11" t="e">
            <v>#VALUE!</v>
          </cell>
          <cell r="AN11" t="e">
            <v>#VALUE!</v>
          </cell>
          <cell r="AO11" t="e">
            <v>#VALUE!</v>
          </cell>
          <cell r="AP11" t="e">
            <v>#VALUE!</v>
          </cell>
          <cell r="AQ11" t="e">
            <v>#N/A</v>
          </cell>
        </row>
        <row r="12">
          <cell r="H12" t="e">
            <v>#VALUE!</v>
          </cell>
          <cell r="I12" t="e">
            <v>#VALUE!</v>
          </cell>
          <cell r="J12" t="e">
            <v>#VALUE!</v>
          </cell>
          <cell r="K12" t="e">
            <v>#VALUE!</v>
          </cell>
          <cell r="L12" t="e">
            <v>#VALUE!</v>
          </cell>
          <cell r="M12" t="e">
            <v>#VALUE!</v>
          </cell>
          <cell r="N12" t="e">
            <v>#VALUE!</v>
          </cell>
          <cell r="O12" t="e">
            <v>#VALUE!</v>
          </cell>
          <cell r="P12" t="e">
            <v>#VALUE!</v>
          </cell>
          <cell r="Q12" t="e">
            <v>#VALUE!</v>
          </cell>
          <cell r="R12" t="e">
            <v>#VALUE!</v>
          </cell>
          <cell r="S12" t="e">
            <v>#VALUE!</v>
          </cell>
          <cell r="T12" t="e">
            <v>#VALUE!</v>
          </cell>
          <cell r="U12" t="e">
            <v>#VALUE!</v>
          </cell>
          <cell r="V12" t="e">
            <v>#VALUE!</v>
          </cell>
          <cell r="W12" t="e">
            <v>#VALUE!</v>
          </cell>
          <cell r="X12" t="e">
            <v>#VALUE!</v>
          </cell>
          <cell r="Y12" t="e">
            <v>#VALUE!</v>
          </cell>
          <cell r="Z12" t="e">
            <v>#VALUE!</v>
          </cell>
          <cell r="AA12" t="e">
            <v>#VALUE!</v>
          </cell>
          <cell r="AB12" t="e">
            <v>#VALUE!</v>
          </cell>
          <cell r="AC12" t="e">
            <v>#VALUE!</v>
          </cell>
          <cell r="AD12" t="e">
            <v>#VALUE!</v>
          </cell>
          <cell r="AE12" t="e">
            <v>#VALUE!</v>
          </cell>
          <cell r="AF12" t="e">
            <v>#VALUE!</v>
          </cell>
          <cell r="AG12" t="e">
            <v>#VALUE!</v>
          </cell>
          <cell r="AH12" t="e">
            <v>#VALUE!</v>
          </cell>
          <cell r="AI12" t="e">
            <v>#VALUE!</v>
          </cell>
          <cell r="AJ12" t="e">
            <v>#VALUE!</v>
          </cell>
          <cell r="AK12" t="e">
            <v>#VALUE!</v>
          </cell>
          <cell r="AL12" t="e">
            <v>#VALUE!</v>
          </cell>
          <cell r="AM12" t="e">
            <v>#VALUE!</v>
          </cell>
          <cell r="AN12" t="e">
            <v>#VALUE!</v>
          </cell>
          <cell r="AO12" t="e">
            <v>#VALUE!</v>
          </cell>
          <cell r="AP12" t="e">
            <v>#VALUE!</v>
          </cell>
          <cell r="AQ12" t="e">
            <v>#N/A</v>
          </cell>
        </row>
        <row r="13">
          <cell r="H13" t="e">
            <v>#VALUE!</v>
          </cell>
          <cell r="I13" t="e">
            <v>#VALUE!</v>
          </cell>
          <cell r="J13" t="e">
            <v>#VALUE!</v>
          </cell>
          <cell r="K13" t="e">
            <v>#VALUE!</v>
          </cell>
          <cell r="L13" t="e">
            <v>#VALUE!</v>
          </cell>
          <cell r="M13" t="e">
            <v>#VALUE!</v>
          </cell>
          <cell r="N13" t="e">
            <v>#VALUE!</v>
          </cell>
          <cell r="O13" t="e">
            <v>#VALUE!</v>
          </cell>
          <cell r="P13" t="e">
            <v>#VALUE!</v>
          </cell>
          <cell r="Q13" t="e">
            <v>#VALUE!</v>
          </cell>
          <cell r="R13" t="e">
            <v>#VALUE!</v>
          </cell>
          <cell r="S13" t="e">
            <v>#VALUE!</v>
          </cell>
          <cell r="T13" t="e">
            <v>#VALUE!</v>
          </cell>
          <cell r="U13" t="e">
            <v>#VALUE!</v>
          </cell>
          <cell r="V13" t="e">
            <v>#VALUE!</v>
          </cell>
          <cell r="W13" t="e">
            <v>#VALUE!</v>
          </cell>
          <cell r="X13" t="e">
            <v>#VALUE!</v>
          </cell>
          <cell r="Y13" t="e">
            <v>#VALUE!</v>
          </cell>
          <cell r="Z13" t="e">
            <v>#VALUE!</v>
          </cell>
          <cell r="AA13" t="e">
            <v>#VALUE!</v>
          </cell>
          <cell r="AB13" t="e">
            <v>#VALUE!</v>
          </cell>
          <cell r="AC13" t="e">
            <v>#VALUE!</v>
          </cell>
          <cell r="AD13" t="e">
            <v>#VALUE!</v>
          </cell>
          <cell r="AE13" t="e">
            <v>#VALUE!</v>
          </cell>
          <cell r="AF13" t="e">
            <v>#VALUE!</v>
          </cell>
          <cell r="AG13" t="e">
            <v>#VALUE!</v>
          </cell>
          <cell r="AH13" t="e">
            <v>#VALUE!</v>
          </cell>
          <cell r="AI13" t="e">
            <v>#VALUE!</v>
          </cell>
          <cell r="AJ13" t="e">
            <v>#VALUE!</v>
          </cell>
          <cell r="AK13" t="e">
            <v>#VALUE!</v>
          </cell>
          <cell r="AL13" t="e">
            <v>#VALUE!</v>
          </cell>
          <cell r="AM13" t="e">
            <v>#VALUE!</v>
          </cell>
          <cell r="AN13" t="e">
            <v>#VALUE!</v>
          </cell>
          <cell r="AO13" t="e">
            <v>#VALUE!</v>
          </cell>
          <cell r="AP13" t="e">
            <v>#VALUE!</v>
          </cell>
          <cell r="AQ13" t="e">
            <v>#N/A</v>
          </cell>
        </row>
        <row r="14">
          <cell r="H14" t="e">
            <v>#VALUE!</v>
          </cell>
          <cell r="I14" t="e">
            <v>#VALUE!</v>
          </cell>
          <cell r="J14" t="e">
            <v>#VALUE!</v>
          </cell>
          <cell r="K14" t="e">
            <v>#VALUE!</v>
          </cell>
          <cell r="L14" t="e">
            <v>#VALUE!</v>
          </cell>
          <cell r="M14" t="e">
            <v>#VALUE!</v>
          </cell>
          <cell r="N14" t="e">
            <v>#VALUE!</v>
          </cell>
          <cell r="O14" t="e">
            <v>#VALUE!</v>
          </cell>
          <cell r="P14" t="e">
            <v>#VALUE!</v>
          </cell>
          <cell r="Q14" t="e">
            <v>#VALUE!</v>
          </cell>
          <cell r="R14" t="e">
            <v>#VALUE!</v>
          </cell>
          <cell r="S14" t="e">
            <v>#VALUE!</v>
          </cell>
          <cell r="T14" t="e">
            <v>#VALUE!</v>
          </cell>
          <cell r="U14" t="e">
            <v>#VALUE!</v>
          </cell>
          <cell r="V14" t="e">
            <v>#VALUE!</v>
          </cell>
          <cell r="W14" t="e">
            <v>#VALUE!</v>
          </cell>
          <cell r="X14" t="e">
            <v>#VALUE!</v>
          </cell>
          <cell r="Y14" t="e">
            <v>#VALUE!</v>
          </cell>
          <cell r="Z14" t="e">
            <v>#VALUE!</v>
          </cell>
          <cell r="AA14" t="e">
            <v>#VALUE!</v>
          </cell>
          <cell r="AB14" t="e">
            <v>#VALUE!</v>
          </cell>
          <cell r="AC14" t="e">
            <v>#VALUE!</v>
          </cell>
          <cell r="AD14" t="e">
            <v>#VALUE!</v>
          </cell>
          <cell r="AE14" t="e">
            <v>#VALUE!</v>
          </cell>
          <cell r="AF14" t="e">
            <v>#VALUE!</v>
          </cell>
          <cell r="AG14" t="e">
            <v>#VALUE!</v>
          </cell>
          <cell r="AH14" t="e">
            <v>#VALUE!</v>
          </cell>
          <cell r="AI14" t="e">
            <v>#VALUE!</v>
          </cell>
          <cell r="AJ14" t="e">
            <v>#VALUE!</v>
          </cell>
          <cell r="AK14" t="e">
            <v>#VALUE!</v>
          </cell>
          <cell r="AL14" t="e">
            <v>#VALUE!</v>
          </cell>
          <cell r="AM14" t="e">
            <v>#VALUE!</v>
          </cell>
          <cell r="AN14" t="e">
            <v>#VALUE!</v>
          </cell>
          <cell r="AO14" t="e">
            <v>#VALUE!</v>
          </cell>
          <cell r="AP14" t="e">
            <v>#VALUE!</v>
          </cell>
          <cell r="AQ14" t="e">
            <v>#N/A</v>
          </cell>
        </row>
        <row r="15">
          <cell r="H15" t="e">
            <v>#VALUE!</v>
          </cell>
          <cell r="I15" t="e">
            <v>#VALUE!</v>
          </cell>
          <cell r="J15" t="e">
            <v>#VALUE!</v>
          </cell>
          <cell r="K15" t="e">
            <v>#VALUE!</v>
          </cell>
          <cell r="L15" t="e">
            <v>#VALUE!</v>
          </cell>
          <cell r="M15" t="e">
            <v>#VALUE!</v>
          </cell>
          <cell r="N15" t="e">
            <v>#VALUE!</v>
          </cell>
          <cell r="O15" t="e">
            <v>#VALUE!</v>
          </cell>
          <cell r="P15" t="e">
            <v>#VALUE!</v>
          </cell>
          <cell r="Q15" t="e">
            <v>#VALUE!</v>
          </cell>
          <cell r="R15" t="e">
            <v>#VALUE!</v>
          </cell>
          <cell r="S15" t="e">
            <v>#VALUE!</v>
          </cell>
          <cell r="T15" t="e">
            <v>#VALUE!</v>
          </cell>
          <cell r="U15" t="e">
            <v>#VALUE!</v>
          </cell>
          <cell r="V15" t="e">
            <v>#VALUE!</v>
          </cell>
          <cell r="W15" t="e">
            <v>#VALUE!</v>
          </cell>
          <cell r="X15" t="e">
            <v>#VALUE!</v>
          </cell>
          <cell r="Y15" t="e">
            <v>#VALUE!</v>
          </cell>
          <cell r="Z15" t="e">
            <v>#VALUE!</v>
          </cell>
          <cell r="AA15" t="e">
            <v>#VALUE!</v>
          </cell>
          <cell r="AB15" t="e">
            <v>#VALUE!</v>
          </cell>
          <cell r="AC15" t="e">
            <v>#VALUE!</v>
          </cell>
          <cell r="AD15" t="e">
            <v>#VALUE!</v>
          </cell>
          <cell r="AE15" t="e">
            <v>#VALUE!</v>
          </cell>
          <cell r="AF15" t="e">
            <v>#VALUE!</v>
          </cell>
          <cell r="AG15" t="e">
            <v>#VALUE!</v>
          </cell>
          <cell r="AH15" t="e">
            <v>#VALUE!</v>
          </cell>
          <cell r="AI15" t="e">
            <v>#VALUE!</v>
          </cell>
          <cell r="AJ15" t="e">
            <v>#VALUE!</v>
          </cell>
          <cell r="AK15" t="e">
            <v>#VALUE!</v>
          </cell>
          <cell r="AL15" t="e">
            <v>#VALUE!</v>
          </cell>
          <cell r="AM15" t="e">
            <v>#VALUE!</v>
          </cell>
          <cell r="AN15" t="e">
            <v>#VALUE!</v>
          </cell>
          <cell r="AO15" t="e">
            <v>#VALUE!</v>
          </cell>
          <cell r="AP15" t="e">
            <v>#VALUE!</v>
          </cell>
          <cell r="AQ15" t="e">
            <v>#N/A</v>
          </cell>
        </row>
        <row r="16">
          <cell r="H16" t="e">
            <v>#VALUE!</v>
          </cell>
          <cell r="I16" t="e">
            <v>#VALUE!</v>
          </cell>
          <cell r="J16" t="e">
            <v>#VALUE!</v>
          </cell>
          <cell r="K16" t="e">
            <v>#VALUE!</v>
          </cell>
          <cell r="L16" t="e">
            <v>#VALUE!</v>
          </cell>
          <cell r="M16" t="e">
            <v>#VALUE!</v>
          </cell>
          <cell r="N16" t="e">
            <v>#VALUE!</v>
          </cell>
          <cell r="O16" t="e">
            <v>#VALUE!</v>
          </cell>
          <cell r="P16" t="e">
            <v>#VALUE!</v>
          </cell>
          <cell r="Q16" t="e">
            <v>#VALUE!</v>
          </cell>
          <cell r="R16" t="e">
            <v>#VALUE!</v>
          </cell>
          <cell r="S16" t="e">
            <v>#VALUE!</v>
          </cell>
          <cell r="T16" t="e">
            <v>#VALUE!</v>
          </cell>
          <cell r="U16" t="e">
            <v>#VALUE!</v>
          </cell>
          <cell r="V16" t="e">
            <v>#VALUE!</v>
          </cell>
          <cell r="W16" t="e">
            <v>#VALUE!</v>
          </cell>
          <cell r="X16" t="e">
            <v>#VALUE!</v>
          </cell>
          <cell r="Y16" t="e">
            <v>#VALUE!</v>
          </cell>
          <cell r="Z16" t="e">
            <v>#VALUE!</v>
          </cell>
          <cell r="AA16" t="e">
            <v>#VALUE!</v>
          </cell>
          <cell r="AB16" t="e">
            <v>#VALUE!</v>
          </cell>
          <cell r="AC16" t="e">
            <v>#VALUE!</v>
          </cell>
          <cell r="AD16" t="e">
            <v>#VALUE!</v>
          </cell>
          <cell r="AE16" t="e">
            <v>#VALUE!</v>
          </cell>
          <cell r="AF16" t="e">
            <v>#VALUE!</v>
          </cell>
          <cell r="AG16" t="e">
            <v>#VALUE!</v>
          </cell>
          <cell r="AH16" t="e">
            <v>#VALUE!</v>
          </cell>
          <cell r="AI16" t="e">
            <v>#VALUE!</v>
          </cell>
          <cell r="AJ16" t="e">
            <v>#VALUE!</v>
          </cell>
          <cell r="AK16" t="e">
            <v>#VALUE!</v>
          </cell>
          <cell r="AL16" t="e">
            <v>#VALUE!</v>
          </cell>
          <cell r="AM16" t="e">
            <v>#VALUE!</v>
          </cell>
          <cell r="AN16" t="e">
            <v>#VALUE!</v>
          </cell>
          <cell r="AO16" t="e">
            <v>#VALUE!</v>
          </cell>
          <cell r="AP16" t="e">
            <v>#VALUE!</v>
          </cell>
          <cell r="AQ16" t="e">
            <v>#N/A</v>
          </cell>
        </row>
        <row r="17">
          <cell r="H17" t="e">
            <v>#VALUE!</v>
          </cell>
          <cell r="I17" t="e">
            <v>#VALUE!</v>
          </cell>
          <cell r="J17" t="e">
            <v>#VALUE!</v>
          </cell>
          <cell r="K17" t="e">
            <v>#VALUE!</v>
          </cell>
          <cell r="L17" t="e">
            <v>#VALUE!</v>
          </cell>
          <cell r="M17" t="e">
            <v>#VALUE!</v>
          </cell>
          <cell r="N17" t="e">
            <v>#VALUE!</v>
          </cell>
          <cell r="O17" t="e">
            <v>#VALUE!</v>
          </cell>
          <cell r="P17" t="e">
            <v>#VALUE!</v>
          </cell>
          <cell r="Q17" t="e">
            <v>#VALUE!</v>
          </cell>
          <cell r="R17" t="e">
            <v>#VALUE!</v>
          </cell>
          <cell r="S17" t="e">
            <v>#VALUE!</v>
          </cell>
          <cell r="T17" t="e">
            <v>#VALUE!</v>
          </cell>
          <cell r="U17" t="e">
            <v>#VALUE!</v>
          </cell>
          <cell r="V17" t="e">
            <v>#VALUE!</v>
          </cell>
          <cell r="W17" t="e">
            <v>#VALUE!</v>
          </cell>
          <cell r="X17" t="e">
            <v>#VALUE!</v>
          </cell>
          <cell r="Y17" t="e">
            <v>#VALUE!</v>
          </cell>
          <cell r="Z17" t="e">
            <v>#VALUE!</v>
          </cell>
          <cell r="AA17" t="e">
            <v>#VALUE!</v>
          </cell>
          <cell r="AB17" t="e">
            <v>#VALUE!</v>
          </cell>
          <cell r="AC17" t="e">
            <v>#VALUE!</v>
          </cell>
          <cell r="AD17" t="e">
            <v>#VALUE!</v>
          </cell>
          <cell r="AE17" t="e">
            <v>#VALUE!</v>
          </cell>
          <cell r="AF17" t="e">
            <v>#VALUE!</v>
          </cell>
          <cell r="AG17" t="e">
            <v>#VALUE!</v>
          </cell>
          <cell r="AH17" t="e">
            <v>#VALUE!</v>
          </cell>
          <cell r="AI17" t="e">
            <v>#VALUE!</v>
          </cell>
          <cell r="AJ17" t="e">
            <v>#VALUE!</v>
          </cell>
          <cell r="AK17" t="e">
            <v>#VALUE!</v>
          </cell>
          <cell r="AL17" t="e">
            <v>#VALUE!</v>
          </cell>
          <cell r="AM17" t="e">
            <v>#VALUE!</v>
          </cell>
          <cell r="AN17" t="e">
            <v>#VALUE!</v>
          </cell>
          <cell r="AO17" t="e">
            <v>#VALUE!</v>
          </cell>
          <cell r="AP17" t="e">
            <v>#VALUE!</v>
          </cell>
          <cell r="AQ17" t="e">
            <v>#N/A</v>
          </cell>
        </row>
        <row r="18">
          <cell r="H18" t="e">
            <v>#VALUE!</v>
          </cell>
          <cell r="I18" t="e">
            <v>#VALUE!</v>
          </cell>
          <cell r="J18" t="e">
            <v>#VALUE!</v>
          </cell>
          <cell r="K18" t="e">
            <v>#VALUE!</v>
          </cell>
          <cell r="L18" t="e">
            <v>#VALUE!</v>
          </cell>
          <cell r="M18" t="e">
            <v>#VALUE!</v>
          </cell>
          <cell r="N18" t="e">
            <v>#VALUE!</v>
          </cell>
          <cell r="O18" t="e">
            <v>#VALUE!</v>
          </cell>
          <cell r="P18" t="e">
            <v>#VALUE!</v>
          </cell>
          <cell r="Q18" t="e">
            <v>#VALUE!</v>
          </cell>
          <cell r="R18" t="e">
            <v>#VALUE!</v>
          </cell>
          <cell r="S18" t="e">
            <v>#VALUE!</v>
          </cell>
          <cell r="T18" t="e">
            <v>#VALUE!</v>
          </cell>
          <cell r="U18" t="e">
            <v>#VALUE!</v>
          </cell>
          <cell r="V18" t="e">
            <v>#VALUE!</v>
          </cell>
          <cell r="W18" t="e">
            <v>#VALUE!</v>
          </cell>
          <cell r="X18" t="e">
            <v>#VALUE!</v>
          </cell>
          <cell r="Y18" t="e">
            <v>#VALUE!</v>
          </cell>
          <cell r="Z18" t="e">
            <v>#VALUE!</v>
          </cell>
          <cell r="AA18" t="e">
            <v>#VALUE!</v>
          </cell>
          <cell r="AB18" t="e">
            <v>#VALUE!</v>
          </cell>
          <cell r="AC18" t="e">
            <v>#VALUE!</v>
          </cell>
          <cell r="AD18" t="e">
            <v>#VALUE!</v>
          </cell>
          <cell r="AE18" t="e">
            <v>#VALUE!</v>
          </cell>
          <cell r="AF18" t="e">
            <v>#VALUE!</v>
          </cell>
          <cell r="AG18" t="e">
            <v>#VALUE!</v>
          </cell>
          <cell r="AH18" t="e">
            <v>#VALUE!</v>
          </cell>
          <cell r="AI18" t="e">
            <v>#VALUE!</v>
          </cell>
          <cell r="AJ18" t="e">
            <v>#VALUE!</v>
          </cell>
          <cell r="AK18" t="e">
            <v>#VALUE!</v>
          </cell>
          <cell r="AL18" t="e">
            <v>#VALUE!</v>
          </cell>
          <cell r="AM18" t="e">
            <v>#VALUE!</v>
          </cell>
          <cell r="AN18" t="e">
            <v>#VALUE!</v>
          </cell>
          <cell r="AO18" t="e">
            <v>#VALUE!</v>
          </cell>
          <cell r="AP18" t="e">
            <v>#VALUE!</v>
          </cell>
          <cell r="AQ18" t="e">
            <v>#N/A</v>
          </cell>
        </row>
        <row r="21">
          <cell r="H21" t="e">
            <v>#VALUE!</v>
          </cell>
          <cell r="I21" t="e">
            <v>#VALUE!</v>
          </cell>
          <cell r="J21" t="e">
            <v>#VALUE!</v>
          </cell>
          <cell r="K21" t="e">
            <v>#VALUE!</v>
          </cell>
          <cell r="L21" t="e">
            <v>#VALUE!</v>
          </cell>
          <cell r="M21" t="e">
            <v>#VALUE!</v>
          </cell>
          <cell r="N21" t="e">
            <v>#VALUE!</v>
          </cell>
          <cell r="O21" t="e">
            <v>#VALUE!</v>
          </cell>
          <cell r="P21" t="e">
            <v>#VALUE!</v>
          </cell>
          <cell r="Q21" t="e">
            <v>#VALUE!</v>
          </cell>
          <cell r="R21" t="e">
            <v>#VALUE!</v>
          </cell>
          <cell r="S21" t="e">
            <v>#VALUE!</v>
          </cell>
          <cell r="T21" t="e">
            <v>#VALUE!</v>
          </cell>
          <cell r="U21" t="e">
            <v>#VALUE!</v>
          </cell>
          <cell r="V21" t="e">
            <v>#VALUE!</v>
          </cell>
          <cell r="W21" t="e">
            <v>#VALUE!</v>
          </cell>
          <cell r="X21" t="e">
            <v>#VALUE!</v>
          </cell>
          <cell r="Y21" t="e">
            <v>#VALUE!</v>
          </cell>
          <cell r="Z21" t="e">
            <v>#VALUE!</v>
          </cell>
          <cell r="AA21" t="e">
            <v>#VALUE!</v>
          </cell>
          <cell r="AB21" t="e">
            <v>#VALUE!</v>
          </cell>
          <cell r="AC21" t="e">
            <v>#VALUE!</v>
          </cell>
          <cell r="AD21" t="e">
            <v>#VALUE!</v>
          </cell>
          <cell r="AE21" t="e">
            <v>#VALUE!</v>
          </cell>
          <cell r="AF21" t="e">
            <v>#VALUE!</v>
          </cell>
          <cell r="AG21" t="e">
            <v>#VALUE!</v>
          </cell>
          <cell r="AH21" t="e">
            <v>#VALUE!</v>
          </cell>
          <cell r="AI21" t="e">
            <v>#VALUE!</v>
          </cell>
          <cell r="AJ21" t="e">
            <v>#VALUE!</v>
          </cell>
          <cell r="AK21" t="e">
            <v>#VALUE!</v>
          </cell>
          <cell r="AL21" t="e">
            <v>#VALUE!</v>
          </cell>
          <cell r="AM21" t="e">
            <v>#VALUE!</v>
          </cell>
          <cell r="AN21" t="e">
            <v>#VALUE!</v>
          </cell>
          <cell r="AO21" t="e">
            <v>#VALUE!</v>
          </cell>
          <cell r="AP21" t="e">
            <v>#VALUE!</v>
          </cell>
          <cell r="AQ21" t="e">
            <v>#N/A</v>
          </cell>
        </row>
        <row r="22">
          <cell r="H22" t="e">
            <v>#VALUE!</v>
          </cell>
          <cell r="I22" t="e">
            <v>#VALUE!</v>
          </cell>
          <cell r="J22" t="e">
            <v>#VALUE!</v>
          </cell>
          <cell r="K22" t="e">
            <v>#VALUE!</v>
          </cell>
          <cell r="L22" t="e">
            <v>#VALUE!</v>
          </cell>
          <cell r="M22" t="e">
            <v>#VALUE!</v>
          </cell>
          <cell r="N22" t="e">
            <v>#VALUE!</v>
          </cell>
          <cell r="O22" t="e">
            <v>#VALUE!</v>
          </cell>
          <cell r="P22" t="e">
            <v>#VALUE!</v>
          </cell>
          <cell r="Q22" t="e">
            <v>#VALUE!</v>
          </cell>
          <cell r="R22" t="e">
            <v>#VALUE!</v>
          </cell>
          <cell r="S22" t="e">
            <v>#VALUE!</v>
          </cell>
          <cell r="T22" t="e">
            <v>#VALUE!</v>
          </cell>
          <cell r="U22" t="e">
            <v>#VALUE!</v>
          </cell>
          <cell r="V22" t="e">
            <v>#VALUE!</v>
          </cell>
          <cell r="W22" t="e">
            <v>#VALUE!</v>
          </cell>
          <cell r="X22" t="e">
            <v>#VALUE!</v>
          </cell>
          <cell r="Y22" t="e">
            <v>#VALUE!</v>
          </cell>
          <cell r="Z22" t="e">
            <v>#VALUE!</v>
          </cell>
          <cell r="AA22" t="e">
            <v>#VALUE!</v>
          </cell>
          <cell r="AB22" t="e">
            <v>#VALUE!</v>
          </cell>
          <cell r="AC22" t="e">
            <v>#VALUE!</v>
          </cell>
          <cell r="AD22" t="e">
            <v>#VALUE!</v>
          </cell>
          <cell r="AE22" t="e">
            <v>#VALUE!</v>
          </cell>
          <cell r="AF22" t="e">
            <v>#VALUE!</v>
          </cell>
          <cell r="AG22" t="e">
            <v>#VALUE!</v>
          </cell>
          <cell r="AH22" t="e">
            <v>#VALUE!</v>
          </cell>
          <cell r="AI22" t="e">
            <v>#VALUE!</v>
          </cell>
          <cell r="AJ22" t="e">
            <v>#VALUE!</v>
          </cell>
          <cell r="AK22" t="e">
            <v>#VALUE!</v>
          </cell>
          <cell r="AL22" t="e">
            <v>#VALUE!</v>
          </cell>
          <cell r="AM22" t="e">
            <v>#VALUE!</v>
          </cell>
          <cell r="AN22" t="e">
            <v>#VALUE!</v>
          </cell>
          <cell r="AO22" t="e">
            <v>#VALUE!</v>
          </cell>
          <cell r="AP22" t="e">
            <v>#VALUE!</v>
          </cell>
          <cell r="AQ22" t="e">
            <v>#N/A</v>
          </cell>
        </row>
        <row r="23">
          <cell r="H23" t="e">
            <v>#VALUE!</v>
          </cell>
          <cell r="I23" t="e">
            <v>#VALUE!</v>
          </cell>
          <cell r="J23" t="e">
            <v>#VALUE!</v>
          </cell>
          <cell r="K23" t="e">
            <v>#VALUE!</v>
          </cell>
          <cell r="L23" t="e">
            <v>#VALUE!</v>
          </cell>
          <cell r="M23" t="e">
            <v>#VALUE!</v>
          </cell>
          <cell r="N23" t="e">
            <v>#VALUE!</v>
          </cell>
          <cell r="O23" t="e">
            <v>#VALUE!</v>
          </cell>
          <cell r="P23" t="e">
            <v>#VALUE!</v>
          </cell>
          <cell r="Q23" t="e">
            <v>#VALUE!</v>
          </cell>
          <cell r="R23" t="e">
            <v>#VALUE!</v>
          </cell>
          <cell r="S23" t="e">
            <v>#VALUE!</v>
          </cell>
          <cell r="T23" t="e">
            <v>#VALUE!</v>
          </cell>
          <cell r="U23" t="e">
            <v>#VALUE!</v>
          </cell>
          <cell r="V23" t="e">
            <v>#VALUE!</v>
          </cell>
          <cell r="W23" t="e">
            <v>#VALUE!</v>
          </cell>
          <cell r="X23" t="e">
            <v>#VALUE!</v>
          </cell>
          <cell r="Y23" t="e">
            <v>#VALUE!</v>
          </cell>
          <cell r="Z23" t="e">
            <v>#VALUE!</v>
          </cell>
          <cell r="AA23" t="e">
            <v>#VALUE!</v>
          </cell>
          <cell r="AB23" t="e">
            <v>#VALUE!</v>
          </cell>
          <cell r="AC23" t="e">
            <v>#VALUE!</v>
          </cell>
          <cell r="AD23" t="e">
            <v>#VALUE!</v>
          </cell>
          <cell r="AE23" t="e">
            <v>#VALUE!</v>
          </cell>
          <cell r="AF23" t="e">
            <v>#VALUE!</v>
          </cell>
          <cell r="AG23" t="e">
            <v>#VALUE!</v>
          </cell>
          <cell r="AH23" t="e">
            <v>#VALUE!</v>
          </cell>
          <cell r="AI23" t="e">
            <v>#VALUE!</v>
          </cell>
          <cell r="AJ23" t="e">
            <v>#VALUE!</v>
          </cell>
          <cell r="AK23" t="e">
            <v>#VALUE!</v>
          </cell>
          <cell r="AL23" t="e">
            <v>#VALUE!</v>
          </cell>
          <cell r="AM23" t="e">
            <v>#VALUE!</v>
          </cell>
          <cell r="AN23" t="e">
            <v>#VALUE!</v>
          </cell>
          <cell r="AO23" t="e">
            <v>#VALUE!</v>
          </cell>
          <cell r="AP23" t="e">
            <v>#VALUE!</v>
          </cell>
          <cell r="AQ23" t="e">
            <v>#N/A</v>
          </cell>
        </row>
        <row r="24">
          <cell r="H24" t="e">
            <v>#VALUE!</v>
          </cell>
          <cell r="I24" t="e">
            <v>#VALUE!</v>
          </cell>
          <cell r="J24" t="e">
            <v>#VALUE!</v>
          </cell>
          <cell r="K24" t="e">
            <v>#VALUE!</v>
          </cell>
          <cell r="L24" t="e">
            <v>#VALUE!</v>
          </cell>
          <cell r="M24" t="e">
            <v>#VALUE!</v>
          </cell>
          <cell r="N24" t="e">
            <v>#VALUE!</v>
          </cell>
          <cell r="O24" t="e">
            <v>#VALUE!</v>
          </cell>
          <cell r="P24" t="e">
            <v>#VALUE!</v>
          </cell>
          <cell r="Q24" t="e">
            <v>#VALUE!</v>
          </cell>
          <cell r="R24" t="e">
            <v>#VALUE!</v>
          </cell>
          <cell r="S24" t="e">
            <v>#VALUE!</v>
          </cell>
          <cell r="T24" t="e">
            <v>#VALUE!</v>
          </cell>
          <cell r="U24" t="e">
            <v>#VALUE!</v>
          </cell>
          <cell r="V24" t="e">
            <v>#VALUE!</v>
          </cell>
          <cell r="W24" t="e">
            <v>#VALUE!</v>
          </cell>
          <cell r="X24" t="e">
            <v>#VALUE!</v>
          </cell>
          <cell r="Y24" t="e">
            <v>#VALUE!</v>
          </cell>
          <cell r="Z24" t="e">
            <v>#VALUE!</v>
          </cell>
          <cell r="AA24" t="e">
            <v>#VALUE!</v>
          </cell>
          <cell r="AB24" t="e">
            <v>#VALUE!</v>
          </cell>
          <cell r="AC24" t="e">
            <v>#VALUE!</v>
          </cell>
          <cell r="AD24" t="e">
            <v>#VALUE!</v>
          </cell>
          <cell r="AE24" t="e">
            <v>#VALUE!</v>
          </cell>
          <cell r="AF24" t="e">
            <v>#VALUE!</v>
          </cell>
          <cell r="AG24" t="e">
            <v>#VALUE!</v>
          </cell>
          <cell r="AH24" t="e">
            <v>#VALUE!</v>
          </cell>
          <cell r="AI24" t="e">
            <v>#VALUE!</v>
          </cell>
          <cell r="AJ24" t="e">
            <v>#VALUE!</v>
          </cell>
          <cell r="AK24" t="e">
            <v>#VALUE!</v>
          </cell>
          <cell r="AL24" t="e">
            <v>#VALUE!</v>
          </cell>
          <cell r="AM24" t="e">
            <v>#VALUE!</v>
          </cell>
          <cell r="AN24" t="e">
            <v>#VALUE!</v>
          </cell>
          <cell r="AO24" t="e">
            <v>#VALUE!</v>
          </cell>
          <cell r="AP24" t="e">
            <v>#VALUE!</v>
          </cell>
          <cell r="AQ24" t="e">
            <v>#N/A</v>
          </cell>
        </row>
        <row r="25">
          <cell r="H25" t="e">
            <v>#VALUE!</v>
          </cell>
          <cell r="I25" t="e">
            <v>#VALUE!</v>
          </cell>
          <cell r="J25" t="e">
            <v>#VALUE!</v>
          </cell>
          <cell r="K25" t="e">
            <v>#VALUE!</v>
          </cell>
          <cell r="L25" t="e">
            <v>#VALUE!</v>
          </cell>
          <cell r="M25" t="e">
            <v>#VALUE!</v>
          </cell>
          <cell r="N25" t="e">
            <v>#VALUE!</v>
          </cell>
          <cell r="O25" t="e">
            <v>#VALUE!</v>
          </cell>
          <cell r="P25" t="e">
            <v>#VALUE!</v>
          </cell>
          <cell r="Q25" t="e">
            <v>#VALUE!</v>
          </cell>
          <cell r="R25" t="e">
            <v>#VALUE!</v>
          </cell>
          <cell r="S25" t="e">
            <v>#VALUE!</v>
          </cell>
          <cell r="T25" t="e">
            <v>#VALUE!</v>
          </cell>
          <cell r="U25" t="e">
            <v>#VALUE!</v>
          </cell>
          <cell r="V25" t="e">
            <v>#VALUE!</v>
          </cell>
          <cell r="W25" t="e">
            <v>#VALUE!</v>
          </cell>
          <cell r="X25" t="e">
            <v>#VALUE!</v>
          </cell>
          <cell r="Y25" t="e">
            <v>#VALUE!</v>
          </cell>
          <cell r="Z25" t="e">
            <v>#VALUE!</v>
          </cell>
          <cell r="AA25" t="e">
            <v>#VALUE!</v>
          </cell>
          <cell r="AB25" t="e">
            <v>#VALUE!</v>
          </cell>
          <cell r="AC25" t="e">
            <v>#VALUE!</v>
          </cell>
          <cell r="AD25" t="e">
            <v>#VALUE!</v>
          </cell>
          <cell r="AE25" t="e">
            <v>#VALUE!</v>
          </cell>
          <cell r="AF25" t="e">
            <v>#VALUE!</v>
          </cell>
          <cell r="AG25" t="e">
            <v>#VALUE!</v>
          </cell>
          <cell r="AH25" t="e">
            <v>#VALUE!</v>
          </cell>
          <cell r="AI25" t="e">
            <v>#VALUE!</v>
          </cell>
          <cell r="AJ25" t="e">
            <v>#VALUE!</v>
          </cell>
          <cell r="AK25" t="e">
            <v>#VALUE!</v>
          </cell>
          <cell r="AL25" t="e">
            <v>#VALUE!</v>
          </cell>
          <cell r="AM25" t="e">
            <v>#VALUE!</v>
          </cell>
          <cell r="AN25" t="e">
            <v>#VALUE!</v>
          </cell>
          <cell r="AO25" t="e">
            <v>#VALUE!</v>
          </cell>
          <cell r="AP25" t="e">
            <v>#VALUE!</v>
          </cell>
          <cell r="AQ25" t="e">
            <v>#N/A</v>
          </cell>
        </row>
        <row r="26">
          <cell r="H26" t="e">
            <v>#VALUE!</v>
          </cell>
          <cell r="I26" t="e">
            <v>#VALUE!</v>
          </cell>
          <cell r="J26" t="e">
            <v>#VALUE!</v>
          </cell>
          <cell r="K26" t="e">
            <v>#VALUE!</v>
          </cell>
          <cell r="L26" t="e">
            <v>#VALUE!</v>
          </cell>
          <cell r="M26" t="e">
            <v>#VALUE!</v>
          </cell>
          <cell r="N26" t="e">
            <v>#VALUE!</v>
          </cell>
          <cell r="O26" t="e">
            <v>#VALUE!</v>
          </cell>
          <cell r="P26" t="e">
            <v>#VALUE!</v>
          </cell>
          <cell r="Q26" t="e">
            <v>#VALUE!</v>
          </cell>
          <cell r="R26" t="e">
            <v>#VALUE!</v>
          </cell>
          <cell r="S26" t="e">
            <v>#VALUE!</v>
          </cell>
          <cell r="T26" t="e">
            <v>#VALUE!</v>
          </cell>
          <cell r="U26" t="e">
            <v>#VALUE!</v>
          </cell>
          <cell r="V26" t="e">
            <v>#VALUE!</v>
          </cell>
          <cell r="W26" t="e">
            <v>#VALUE!</v>
          </cell>
          <cell r="X26" t="e">
            <v>#VALUE!</v>
          </cell>
          <cell r="Y26" t="e">
            <v>#VALUE!</v>
          </cell>
          <cell r="Z26" t="e">
            <v>#VALUE!</v>
          </cell>
          <cell r="AA26" t="e">
            <v>#VALUE!</v>
          </cell>
          <cell r="AB26" t="e">
            <v>#VALUE!</v>
          </cell>
          <cell r="AC26" t="e">
            <v>#VALUE!</v>
          </cell>
          <cell r="AD26" t="e">
            <v>#VALUE!</v>
          </cell>
          <cell r="AE26" t="e">
            <v>#VALUE!</v>
          </cell>
          <cell r="AF26" t="e">
            <v>#VALUE!</v>
          </cell>
          <cell r="AG26" t="e">
            <v>#VALUE!</v>
          </cell>
          <cell r="AH26" t="e">
            <v>#VALUE!</v>
          </cell>
          <cell r="AI26" t="e">
            <v>#VALUE!</v>
          </cell>
          <cell r="AJ26" t="e">
            <v>#VALUE!</v>
          </cell>
          <cell r="AK26" t="e">
            <v>#VALUE!</v>
          </cell>
          <cell r="AL26" t="e">
            <v>#VALUE!</v>
          </cell>
          <cell r="AM26" t="e">
            <v>#VALUE!</v>
          </cell>
          <cell r="AN26" t="e">
            <v>#VALUE!</v>
          </cell>
          <cell r="AO26" t="e">
            <v>#VALUE!</v>
          </cell>
          <cell r="AP26" t="e">
            <v>#VALUE!</v>
          </cell>
          <cell r="AQ26" t="e">
            <v>#N/A</v>
          </cell>
        </row>
        <row r="27">
          <cell r="H27" t="e">
            <v>#VALUE!</v>
          </cell>
          <cell r="I27" t="e">
            <v>#VALUE!</v>
          </cell>
          <cell r="J27" t="e">
            <v>#VALUE!</v>
          </cell>
          <cell r="K27" t="e">
            <v>#VALUE!</v>
          </cell>
          <cell r="L27" t="e">
            <v>#VALUE!</v>
          </cell>
          <cell r="M27" t="e">
            <v>#VALUE!</v>
          </cell>
          <cell r="N27" t="e">
            <v>#VALUE!</v>
          </cell>
          <cell r="O27" t="e">
            <v>#VALUE!</v>
          </cell>
          <cell r="P27" t="e">
            <v>#VALUE!</v>
          </cell>
          <cell r="Q27" t="e">
            <v>#VALUE!</v>
          </cell>
          <cell r="R27" t="e">
            <v>#VALUE!</v>
          </cell>
          <cell r="S27" t="e">
            <v>#VALUE!</v>
          </cell>
          <cell r="T27" t="e">
            <v>#VALUE!</v>
          </cell>
          <cell r="U27" t="e">
            <v>#VALUE!</v>
          </cell>
          <cell r="V27" t="e">
            <v>#VALUE!</v>
          </cell>
          <cell r="W27" t="e">
            <v>#VALUE!</v>
          </cell>
          <cell r="X27" t="e">
            <v>#VALUE!</v>
          </cell>
          <cell r="Y27" t="e">
            <v>#VALUE!</v>
          </cell>
          <cell r="Z27" t="e">
            <v>#VALUE!</v>
          </cell>
          <cell r="AA27" t="e">
            <v>#VALUE!</v>
          </cell>
          <cell r="AB27" t="e">
            <v>#VALUE!</v>
          </cell>
          <cell r="AC27" t="e">
            <v>#VALUE!</v>
          </cell>
          <cell r="AD27" t="e">
            <v>#VALUE!</v>
          </cell>
          <cell r="AE27" t="e">
            <v>#VALUE!</v>
          </cell>
          <cell r="AF27" t="e">
            <v>#VALUE!</v>
          </cell>
          <cell r="AG27" t="e">
            <v>#VALUE!</v>
          </cell>
          <cell r="AH27" t="e">
            <v>#VALUE!</v>
          </cell>
          <cell r="AI27" t="e">
            <v>#VALUE!</v>
          </cell>
          <cell r="AJ27" t="e">
            <v>#VALUE!</v>
          </cell>
          <cell r="AK27" t="e">
            <v>#VALUE!</v>
          </cell>
          <cell r="AL27" t="e">
            <v>#VALUE!</v>
          </cell>
          <cell r="AM27" t="e">
            <v>#VALUE!</v>
          </cell>
          <cell r="AN27" t="e">
            <v>#VALUE!</v>
          </cell>
          <cell r="AO27" t="e">
            <v>#VALUE!</v>
          </cell>
          <cell r="AP27" t="e">
            <v>#VALUE!</v>
          </cell>
          <cell r="AQ27" t="e">
            <v>#N/A</v>
          </cell>
        </row>
        <row r="28">
          <cell r="H28" t="e">
            <v>#VALUE!</v>
          </cell>
          <cell r="I28" t="e">
            <v>#VALUE!</v>
          </cell>
          <cell r="J28" t="e">
            <v>#VALUE!</v>
          </cell>
          <cell r="K28" t="e">
            <v>#VALUE!</v>
          </cell>
          <cell r="L28" t="e">
            <v>#VALUE!</v>
          </cell>
          <cell r="M28" t="e">
            <v>#VALUE!</v>
          </cell>
          <cell r="N28" t="e">
            <v>#VALUE!</v>
          </cell>
          <cell r="O28" t="e">
            <v>#VALUE!</v>
          </cell>
          <cell r="P28" t="e">
            <v>#VALUE!</v>
          </cell>
          <cell r="Q28" t="e">
            <v>#VALUE!</v>
          </cell>
          <cell r="R28" t="e">
            <v>#VALUE!</v>
          </cell>
          <cell r="S28" t="e">
            <v>#VALUE!</v>
          </cell>
          <cell r="T28" t="e">
            <v>#VALUE!</v>
          </cell>
          <cell r="U28" t="e">
            <v>#VALUE!</v>
          </cell>
          <cell r="V28" t="e">
            <v>#VALUE!</v>
          </cell>
          <cell r="W28" t="e">
            <v>#VALUE!</v>
          </cell>
          <cell r="X28" t="e">
            <v>#VALUE!</v>
          </cell>
          <cell r="Y28" t="e">
            <v>#VALUE!</v>
          </cell>
          <cell r="Z28" t="e">
            <v>#VALUE!</v>
          </cell>
          <cell r="AA28" t="e">
            <v>#VALUE!</v>
          </cell>
          <cell r="AB28" t="e">
            <v>#VALUE!</v>
          </cell>
          <cell r="AC28" t="e">
            <v>#VALUE!</v>
          </cell>
          <cell r="AD28" t="e">
            <v>#VALUE!</v>
          </cell>
          <cell r="AE28" t="e">
            <v>#VALUE!</v>
          </cell>
          <cell r="AF28" t="e">
            <v>#VALUE!</v>
          </cell>
          <cell r="AG28" t="e">
            <v>#VALUE!</v>
          </cell>
          <cell r="AH28" t="e">
            <v>#VALUE!</v>
          </cell>
          <cell r="AI28" t="e">
            <v>#VALUE!</v>
          </cell>
          <cell r="AJ28" t="e">
            <v>#VALUE!</v>
          </cell>
          <cell r="AK28" t="e">
            <v>#VALUE!</v>
          </cell>
          <cell r="AL28" t="e">
            <v>#VALUE!</v>
          </cell>
          <cell r="AM28" t="e">
            <v>#VALUE!</v>
          </cell>
          <cell r="AN28" t="e">
            <v>#VALUE!</v>
          </cell>
          <cell r="AO28" t="e">
            <v>#VALUE!</v>
          </cell>
          <cell r="AP28" t="e">
            <v>#VALUE!</v>
          </cell>
          <cell r="AQ28" t="e">
            <v>#N/A</v>
          </cell>
        </row>
        <row r="29">
          <cell r="H29" t="e">
            <v>#VALUE!</v>
          </cell>
          <cell r="I29" t="e">
            <v>#VALUE!</v>
          </cell>
          <cell r="J29" t="e">
            <v>#VALUE!</v>
          </cell>
          <cell r="K29" t="e">
            <v>#VALUE!</v>
          </cell>
          <cell r="L29" t="e">
            <v>#VALUE!</v>
          </cell>
          <cell r="M29" t="e">
            <v>#VALUE!</v>
          </cell>
          <cell r="N29" t="e">
            <v>#VALUE!</v>
          </cell>
          <cell r="O29" t="e">
            <v>#VALUE!</v>
          </cell>
          <cell r="P29" t="e">
            <v>#VALUE!</v>
          </cell>
          <cell r="Q29" t="e">
            <v>#VALUE!</v>
          </cell>
          <cell r="R29" t="e">
            <v>#VALUE!</v>
          </cell>
          <cell r="S29" t="e">
            <v>#VALUE!</v>
          </cell>
          <cell r="T29" t="e">
            <v>#VALUE!</v>
          </cell>
          <cell r="U29" t="e">
            <v>#VALUE!</v>
          </cell>
          <cell r="V29" t="e">
            <v>#VALUE!</v>
          </cell>
          <cell r="W29" t="e">
            <v>#VALUE!</v>
          </cell>
          <cell r="X29" t="e">
            <v>#VALUE!</v>
          </cell>
          <cell r="Y29" t="e">
            <v>#VALUE!</v>
          </cell>
          <cell r="Z29" t="e">
            <v>#VALUE!</v>
          </cell>
          <cell r="AA29" t="e">
            <v>#VALUE!</v>
          </cell>
          <cell r="AB29" t="e">
            <v>#VALUE!</v>
          </cell>
          <cell r="AC29" t="e">
            <v>#VALUE!</v>
          </cell>
          <cell r="AD29" t="e">
            <v>#VALUE!</v>
          </cell>
          <cell r="AE29" t="e">
            <v>#VALUE!</v>
          </cell>
          <cell r="AF29" t="e">
            <v>#VALUE!</v>
          </cell>
          <cell r="AG29" t="e">
            <v>#VALUE!</v>
          </cell>
          <cell r="AH29" t="e">
            <v>#VALUE!</v>
          </cell>
          <cell r="AI29" t="e">
            <v>#VALUE!</v>
          </cell>
          <cell r="AJ29" t="e">
            <v>#VALUE!</v>
          </cell>
          <cell r="AK29" t="e">
            <v>#VALUE!</v>
          </cell>
          <cell r="AL29" t="e">
            <v>#VALUE!</v>
          </cell>
          <cell r="AM29" t="e">
            <v>#VALUE!</v>
          </cell>
          <cell r="AN29" t="e">
            <v>#VALUE!</v>
          </cell>
          <cell r="AO29" t="e">
            <v>#VALUE!</v>
          </cell>
          <cell r="AP29" t="e">
            <v>#VALUE!</v>
          </cell>
          <cell r="AQ29" t="e">
            <v>#N/A</v>
          </cell>
        </row>
        <row r="32">
          <cell r="H32" t="e">
            <v>#VALUE!</v>
          </cell>
          <cell r="I32" t="e">
            <v>#VALUE!</v>
          </cell>
          <cell r="J32" t="e">
            <v>#VALUE!</v>
          </cell>
          <cell r="K32" t="e">
            <v>#VALUE!</v>
          </cell>
          <cell r="L32" t="e">
            <v>#VALUE!</v>
          </cell>
          <cell r="M32" t="e">
            <v>#VALUE!</v>
          </cell>
          <cell r="N32" t="e">
            <v>#VALUE!</v>
          </cell>
          <cell r="O32" t="e">
            <v>#VALUE!</v>
          </cell>
          <cell r="P32" t="e">
            <v>#VALUE!</v>
          </cell>
          <cell r="Q32" t="e">
            <v>#VALUE!</v>
          </cell>
          <cell r="R32" t="e">
            <v>#VALUE!</v>
          </cell>
          <cell r="S32" t="e">
            <v>#VALUE!</v>
          </cell>
          <cell r="T32" t="e">
            <v>#VALUE!</v>
          </cell>
          <cell r="U32" t="e">
            <v>#VALUE!</v>
          </cell>
          <cell r="V32" t="e">
            <v>#VALUE!</v>
          </cell>
          <cell r="W32" t="e">
            <v>#VALUE!</v>
          </cell>
          <cell r="X32" t="e">
            <v>#VALUE!</v>
          </cell>
          <cell r="Y32" t="e">
            <v>#VALUE!</v>
          </cell>
          <cell r="Z32" t="e">
            <v>#VALUE!</v>
          </cell>
          <cell r="AA32" t="e">
            <v>#VALUE!</v>
          </cell>
          <cell r="AB32" t="e">
            <v>#VALUE!</v>
          </cell>
          <cell r="AC32" t="e">
            <v>#VALUE!</v>
          </cell>
          <cell r="AD32" t="e">
            <v>#VALUE!</v>
          </cell>
          <cell r="AE32" t="e">
            <v>#VALUE!</v>
          </cell>
          <cell r="AF32" t="e">
            <v>#VALUE!</v>
          </cell>
          <cell r="AG32" t="e">
            <v>#VALUE!</v>
          </cell>
          <cell r="AH32" t="e">
            <v>#VALUE!</v>
          </cell>
          <cell r="AI32" t="e">
            <v>#VALUE!</v>
          </cell>
          <cell r="AJ32" t="e">
            <v>#VALUE!</v>
          </cell>
          <cell r="AK32" t="e">
            <v>#VALUE!</v>
          </cell>
          <cell r="AL32" t="e">
            <v>#VALUE!</v>
          </cell>
          <cell r="AM32" t="e">
            <v>#VALUE!</v>
          </cell>
          <cell r="AN32" t="e">
            <v>#VALUE!</v>
          </cell>
          <cell r="AO32" t="e">
            <v>#VALUE!</v>
          </cell>
          <cell r="AP32" t="e">
            <v>#VALUE!</v>
          </cell>
          <cell r="AQ32" t="e">
            <v>#N/A</v>
          </cell>
        </row>
        <row r="33">
          <cell r="H33" t="e">
            <v>#VALUE!</v>
          </cell>
          <cell r="I33" t="e">
            <v>#VALUE!</v>
          </cell>
          <cell r="J33" t="e">
            <v>#VALUE!</v>
          </cell>
          <cell r="K33" t="e">
            <v>#VALUE!</v>
          </cell>
          <cell r="L33" t="e">
            <v>#VALUE!</v>
          </cell>
          <cell r="M33" t="e">
            <v>#VALUE!</v>
          </cell>
          <cell r="N33" t="e">
            <v>#VALUE!</v>
          </cell>
          <cell r="O33" t="e">
            <v>#VALUE!</v>
          </cell>
          <cell r="P33" t="e">
            <v>#VALUE!</v>
          </cell>
          <cell r="Q33" t="e">
            <v>#VALUE!</v>
          </cell>
          <cell r="R33" t="e">
            <v>#VALUE!</v>
          </cell>
          <cell r="S33" t="e">
            <v>#VALUE!</v>
          </cell>
          <cell r="T33" t="e">
            <v>#VALUE!</v>
          </cell>
          <cell r="U33" t="e">
            <v>#VALUE!</v>
          </cell>
          <cell r="V33" t="e">
            <v>#VALUE!</v>
          </cell>
          <cell r="W33" t="e">
            <v>#VALUE!</v>
          </cell>
          <cell r="X33" t="e">
            <v>#VALUE!</v>
          </cell>
          <cell r="Y33" t="e">
            <v>#VALUE!</v>
          </cell>
          <cell r="Z33" t="e">
            <v>#VALUE!</v>
          </cell>
          <cell r="AA33" t="e">
            <v>#VALUE!</v>
          </cell>
          <cell r="AB33" t="e">
            <v>#VALUE!</v>
          </cell>
          <cell r="AC33" t="e">
            <v>#VALUE!</v>
          </cell>
          <cell r="AD33" t="e">
            <v>#VALUE!</v>
          </cell>
          <cell r="AE33" t="e">
            <v>#VALUE!</v>
          </cell>
          <cell r="AF33" t="e">
            <v>#VALUE!</v>
          </cell>
          <cell r="AG33" t="e">
            <v>#VALUE!</v>
          </cell>
          <cell r="AH33" t="e">
            <v>#VALUE!</v>
          </cell>
          <cell r="AI33" t="e">
            <v>#VALUE!</v>
          </cell>
          <cell r="AJ33" t="e">
            <v>#VALUE!</v>
          </cell>
          <cell r="AK33" t="e">
            <v>#VALUE!</v>
          </cell>
          <cell r="AL33" t="e">
            <v>#VALUE!</v>
          </cell>
          <cell r="AM33" t="e">
            <v>#VALUE!</v>
          </cell>
          <cell r="AN33" t="e">
            <v>#VALUE!</v>
          </cell>
          <cell r="AO33" t="e">
            <v>#VALUE!</v>
          </cell>
          <cell r="AP33" t="e">
            <v>#VALUE!</v>
          </cell>
          <cell r="AQ33" t="e">
            <v>#N/A</v>
          </cell>
        </row>
        <row r="34">
          <cell r="H34" t="e">
            <v>#VALUE!</v>
          </cell>
          <cell r="I34" t="e">
            <v>#VALUE!</v>
          </cell>
          <cell r="J34" t="e">
            <v>#VALUE!</v>
          </cell>
          <cell r="K34" t="e">
            <v>#VALUE!</v>
          </cell>
          <cell r="L34" t="e">
            <v>#VALUE!</v>
          </cell>
          <cell r="M34" t="e">
            <v>#VALUE!</v>
          </cell>
          <cell r="N34" t="e">
            <v>#VALUE!</v>
          </cell>
          <cell r="O34" t="e">
            <v>#VALUE!</v>
          </cell>
          <cell r="P34" t="e">
            <v>#VALUE!</v>
          </cell>
          <cell r="Q34" t="e">
            <v>#VALUE!</v>
          </cell>
          <cell r="R34" t="e">
            <v>#VALUE!</v>
          </cell>
          <cell r="S34" t="e">
            <v>#VALUE!</v>
          </cell>
          <cell r="T34" t="e">
            <v>#VALUE!</v>
          </cell>
          <cell r="U34" t="e">
            <v>#VALUE!</v>
          </cell>
          <cell r="V34" t="e">
            <v>#VALUE!</v>
          </cell>
          <cell r="W34" t="e">
            <v>#VALUE!</v>
          </cell>
          <cell r="X34" t="e">
            <v>#VALUE!</v>
          </cell>
          <cell r="Y34" t="e">
            <v>#VALUE!</v>
          </cell>
          <cell r="Z34" t="e">
            <v>#VALUE!</v>
          </cell>
          <cell r="AA34" t="e">
            <v>#VALUE!</v>
          </cell>
          <cell r="AB34" t="e">
            <v>#VALUE!</v>
          </cell>
          <cell r="AC34" t="e">
            <v>#VALUE!</v>
          </cell>
          <cell r="AD34" t="e">
            <v>#VALUE!</v>
          </cell>
          <cell r="AE34" t="e">
            <v>#VALUE!</v>
          </cell>
          <cell r="AF34" t="e">
            <v>#VALUE!</v>
          </cell>
          <cell r="AG34" t="e">
            <v>#VALUE!</v>
          </cell>
          <cell r="AH34" t="e">
            <v>#VALUE!</v>
          </cell>
          <cell r="AI34" t="e">
            <v>#VALUE!</v>
          </cell>
          <cell r="AJ34" t="e">
            <v>#VALUE!</v>
          </cell>
          <cell r="AK34" t="e">
            <v>#VALUE!</v>
          </cell>
          <cell r="AL34" t="e">
            <v>#VALUE!</v>
          </cell>
          <cell r="AM34" t="e">
            <v>#VALUE!</v>
          </cell>
          <cell r="AN34" t="e">
            <v>#VALUE!</v>
          </cell>
          <cell r="AO34" t="e">
            <v>#VALUE!</v>
          </cell>
          <cell r="AP34" t="e">
            <v>#VALUE!</v>
          </cell>
          <cell r="AQ34" t="e">
            <v>#N/A</v>
          </cell>
        </row>
        <row r="35">
          <cell r="H35" t="e">
            <v>#VALUE!</v>
          </cell>
          <cell r="I35" t="e">
            <v>#VALUE!</v>
          </cell>
          <cell r="J35" t="e">
            <v>#VALUE!</v>
          </cell>
          <cell r="K35" t="e">
            <v>#VALUE!</v>
          </cell>
          <cell r="L35" t="e">
            <v>#VALUE!</v>
          </cell>
          <cell r="M35" t="e">
            <v>#VALUE!</v>
          </cell>
          <cell r="N35" t="e">
            <v>#VALUE!</v>
          </cell>
          <cell r="O35" t="e">
            <v>#VALUE!</v>
          </cell>
          <cell r="P35" t="e">
            <v>#VALUE!</v>
          </cell>
          <cell r="Q35" t="e">
            <v>#VALUE!</v>
          </cell>
          <cell r="R35" t="e">
            <v>#VALUE!</v>
          </cell>
          <cell r="S35" t="e">
            <v>#VALUE!</v>
          </cell>
          <cell r="T35" t="e">
            <v>#VALUE!</v>
          </cell>
          <cell r="U35" t="e">
            <v>#VALUE!</v>
          </cell>
          <cell r="V35" t="e">
            <v>#VALUE!</v>
          </cell>
          <cell r="W35" t="e">
            <v>#VALUE!</v>
          </cell>
          <cell r="X35" t="e">
            <v>#VALUE!</v>
          </cell>
          <cell r="Y35" t="e">
            <v>#VALUE!</v>
          </cell>
          <cell r="Z35" t="e">
            <v>#VALUE!</v>
          </cell>
          <cell r="AA35" t="e">
            <v>#VALUE!</v>
          </cell>
          <cell r="AB35" t="e">
            <v>#VALUE!</v>
          </cell>
          <cell r="AC35" t="e">
            <v>#VALUE!</v>
          </cell>
          <cell r="AD35" t="e">
            <v>#VALUE!</v>
          </cell>
          <cell r="AE35" t="e">
            <v>#VALUE!</v>
          </cell>
          <cell r="AF35" t="e">
            <v>#VALUE!</v>
          </cell>
          <cell r="AG35" t="e">
            <v>#VALUE!</v>
          </cell>
          <cell r="AH35" t="e">
            <v>#VALUE!</v>
          </cell>
          <cell r="AI35" t="e">
            <v>#VALUE!</v>
          </cell>
          <cell r="AJ35" t="e">
            <v>#VALUE!</v>
          </cell>
          <cell r="AK35" t="e">
            <v>#VALUE!</v>
          </cell>
          <cell r="AL35" t="e">
            <v>#VALUE!</v>
          </cell>
          <cell r="AM35" t="e">
            <v>#VALUE!</v>
          </cell>
          <cell r="AN35" t="e">
            <v>#VALUE!</v>
          </cell>
          <cell r="AO35" t="e">
            <v>#VALUE!</v>
          </cell>
          <cell r="AP35" t="e">
            <v>#VALUE!</v>
          </cell>
          <cell r="AQ35" t="e">
            <v>#N/A</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oleObject" Target="../embeddings/oleObject1.bin"/></Relationships>
</file>

<file path=xl/worksheets/_rels/sheet16.xml.rels><?xml version="1.0" encoding="UTF-8" standalone="yes"?>
<Relationships xmlns="http://schemas.openxmlformats.org/package/2006/relationships"><Relationship Id="rId3" Type="http://schemas.openxmlformats.org/officeDocument/2006/relationships/hyperlink" Target="mailto:theo.brouwers@snsam.nl;" TargetMode="External"/><Relationship Id="rId2" Type="http://schemas.openxmlformats.org/officeDocument/2006/relationships/hyperlink" Target="mailto:leontine.baars@snsam.nl/bob.vanderveen@snsam.nl/jeroen.verberk@snsam.nl" TargetMode="External"/><Relationship Id="rId1" Type="http://schemas.openxmlformats.org/officeDocument/2006/relationships/hyperlink" Target="mailto:Sinisa.Vukic@snsam.nl/Bart.vandeKamer@snsam.nl/Alexander.Lubeck@snsam.nl/Ruben.smit@snsam.nl" TargetMode="External"/><Relationship Id="rId6" Type="http://schemas.openxmlformats.org/officeDocument/2006/relationships/printerSettings" Target="../printerSettings/printerSettings12.bin"/><Relationship Id="rId5" Type="http://schemas.openxmlformats.org/officeDocument/2006/relationships/hyperlink" Target="mailto:leontine.baars@snsam.nl/bob.vanderveen@snsam.nl/jeroen.verberk@snsam.nl" TargetMode="External"/><Relationship Id="rId4" Type="http://schemas.openxmlformats.org/officeDocument/2006/relationships/hyperlink" Target="mailto:judy@dwmarkets.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Sinisa.Vukic@snsam.nl/Bart.vandeKamer@snsam.nl/Alexander.Lubeck@snsam.nl/Ruben.smit@snsam.nl" TargetMode="External"/><Relationship Id="rId13" Type="http://schemas.openxmlformats.org/officeDocument/2006/relationships/hyperlink" Target="mailto:leontine.baars@snsam.nl/bob.vanderveen@snsam.nl/jeroen.verberk@snsam.nl" TargetMode="External"/><Relationship Id="rId18" Type="http://schemas.openxmlformats.org/officeDocument/2006/relationships/hyperlink" Target="mailto:leontine.baars@snsam.nl/bob.vanderveen@snsam.nl" TargetMode="External"/><Relationship Id="rId3" Type="http://schemas.openxmlformats.org/officeDocument/2006/relationships/hyperlink" Target="mailto:joy@dwmarkets" TargetMode="External"/><Relationship Id="rId7" Type="http://schemas.openxmlformats.org/officeDocument/2006/relationships/hyperlink" Target="mailto:theo.brouwers@snsam.nl" TargetMode="External"/><Relationship Id="rId12" Type="http://schemas.openxmlformats.org/officeDocument/2006/relationships/hyperlink" Target="mailto:leontine.baars@snsam.nl/bob.vanderveen@snsam.nl" TargetMode="External"/><Relationship Id="rId17" Type="http://schemas.openxmlformats.org/officeDocument/2006/relationships/hyperlink" Target="mailto:Judy@dwmarkets.com/joy@dwmarkets" TargetMode="External"/><Relationship Id="rId2" Type="http://schemas.openxmlformats.org/officeDocument/2006/relationships/hyperlink" Target="mailto:Judy@dwmarkets" TargetMode="External"/><Relationship Id="rId16" Type="http://schemas.openxmlformats.org/officeDocument/2006/relationships/hyperlink" Target="mailto:Sinisa.Vukic@snsam.nl/Bart.vandeKamer@snsam.nl/Alexander.Lubeck@snsam.nl/Ruben.smit@snsam.nl" TargetMode="External"/><Relationship Id="rId1" Type="http://schemas.openxmlformats.org/officeDocument/2006/relationships/hyperlink" Target="mailto:Barbara@dwmarkets" TargetMode="External"/><Relationship Id="rId6" Type="http://schemas.openxmlformats.org/officeDocument/2006/relationships/hyperlink" Target="mailto:Ruben.Smit@snsam.nl/bart.vandekamer@snsam.nl/jeroen.verberk@snsam.nl" TargetMode="External"/><Relationship Id="rId11" Type="http://schemas.openxmlformats.org/officeDocument/2006/relationships/hyperlink" Target="mailto:Judy@dwmarkets.com/joy@dwmarkets" TargetMode="External"/><Relationship Id="rId5" Type="http://schemas.openxmlformats.org/officeDocument/2006/relationships/hyperlink" Target="mailto:Theo.Brouwers@snsam.nl/sinisa.vukic@snsam.nl/alexander.lubeck@snsam.nl/leontine.baars@snsam.nl/bob.vanderveen@snsam.nl" TargetMode="External"/><Relationship Id="rId15" Type="http://schemas.openxmlformats.org/officeDocument/2006/relationships/hyperlink" Target="mailto:Sinisa.Vukic@snsam.nl/Bart.vandeKamer@snsam.nl/Alexander.Lubeck@snsam.nl/Ruben.smit@snsam.nl" TargetMode="External"/><Relationship Id="rId10" Type="http://schemas.openxmlformats.org/officeDocument/2006/relationships/hyperlink" Target="mailto:leontine.baars@snsam.nl/bob.vanderveen@snsam.nl" TargetMode="External"/><Relationship Id="rId19" Type="http://schemas.openxmlformats.org/officeDocument/2006/relationships/printerSettings" Target="../printerSettings/printerSettings13.bin"/><Relationship Id="rId4" Type="http://schemas.openxmlformats.org/officeDocument/2006/relationships/hyperlink" Target="mailto:barbara@dwmarkets" TargetMode="External"/><Relationship Id="rId9" Type="http://schemas.openxmlformats.org/officeDocument/2006/relationships/hyperlink" Target="mailto:Judy@dwmarkets.com/joy@dwmarkets" TargetMode="External"/><Relationship Id="rId14" Type="http://schemas.openxmlformats.org/officeDocument/2006/relationships/hyperlink" Target="mailto:Judy@dwmarkets.com/joy@dwmarket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9">
    <tabColor theme="5" tint="-0.249977111117893"/>
  </sheetPr>
  <dimension ref="A1:HY252"/>
  <sheetViews>
    <sheetView zoomScale="40" zoomScaleNormal="40" workbookViewId="0">
      <selection activeCell="D18" sqref="D18"/>
    </sheetView>
  </sheetViews>
  <sheetFormatPr defaultRowHeight="12.75"/>
  <cols>
    <col min="1" max="1" width="22.28515625" bestFit="1" customWidth="1"/>
    <col min="2" max="2" width="11.85546875" bestFit="1" customWidth="1"/>
    <col min="3" max="3" width="8.140625" bestFit="1" customWidth="1"/>
    <col min="4" max="4" width="55" bestFit="1" customWidth="1"/>
    <col min="5" max="6" width="21.42578125" bestFit="1" customWidth="1"/>
    <col min="7" max="7" width="21.7109375" bestFit="1" customWidth="1"/>
    <col min="8" max="8" width="21.140625" bestFit="1" customWidth="1"/>
    <col min="9" max="9" width="21.7109375" bestFit="1" customWidth="1"/>
    <col min="10" max="10" width="20.85546875" bestFit="1" customWidth="1"/>
    <col min="11" max="11" width="55.140625" bestFit="1" customWidth="1"/>
    <col min="12" max="12" width="22" bestFit="1" customWidth="1"/>
    <col min="13" max="13" width="21.42578125" bestFit="1" customWidth="1"/>
    <col min="14" max="14" width="22" bestFit="1" customWidth="1"/>
    <col min="15" max="15" width="20.42578125" bestFit="1" customWidth="1"/>
    <col min="16" max="16" width="22.28515625" bestFit="1" customWidth="1"/>
    <col min="17" max="17" width="22" bestFit="1" customWidth="1"/>
    <col min="18" max="18" width="35.42578125" bestFit="1" customWidth="1"/>
    <col min="19" max="19" width="22.28515625" bestFit="1" customWidth="1"/>
    <col min="20" max="20" width="21.7109375" bestFit="1" customWidth="1"/>
    <col min="21" max="22" width="22.28515625" bestFit="1" customWidth="1"/>
    <col min="23" max="23" width="21.7109375" bestFit="1" customWidth="1"/>
    <col min="24" max="24" width="22" bestFit="1" customWidth="1"/>
    <col min="25" max="25" width="37.28515625" bestFit="1" customWidth="1"/>
    <col min="26" max="26" width="22" bestFit="1" customWidth="1"/>
    <col min="27" max="27" width="21.7109375" bestFit="1" customWidth="1"/>
    <col min="28" max="28" width="22.28515625" bestFit="1" customWidth="1"/>
    <col min="29" max="30" width="22.42578125" bestFit="1" customWidth="1"/>
    <col min="31" max="31" width="22.28515625" bestFit="1" customWidth="1"/>
    <col min="32" max="32" width="22" bestFit="1" customWidth="1"/>
    <col min="33" max="33" width="22.28515625" bestFit="1" customWidth="1"/>
    <col min="34" max="34" width="22.42578125" bestFit="1" customWidth="1"/>
    <col min="35" max="37" width="22" bestFit="1" customWidth="1"/>
    <col min="38" max="38" width="21.7109375" bestFit="1" customWidth="1"/>
    <col min="39" max="40" width="22" bestFit="1" customWidth="1"/>
    <col min="41" max="41" width="14.7109375" bestFit="1" customWidth="1"/>
    <col min="42" max="42" width="55" bestFit="1" customWidth="1"/>
    <col min="43" max="43" width="10.85546875" bestFit="1" customWidth="1"/>
    <col min="44" max="46" width="21.42578125" bestFit="1" customWidth="1"/>
    <col min="47" max="47" width="21.7109375" bestFit="1" customWidth="1"/>
    <col min="49" max="49" width="11" bestFit="1" customWidth="1"/>
    <col min="50" max="50" width="55.140625" bestFit="1" customWidth="1"/>
    <col min="51" max="51" width="10.85546875" bestFit="1" customWidth="1"/>
    <col min="52" max="52" width="11.28515625" bestFit="1" customWidth="1"/>
    <col min="53" max="53" width="11" bestFit="1" customWidth="1"/>
    <col min="54" max="54" width="16.7109375" bestFit="1" customWidth="1"/>
    <col min="55" max="56" width="17" bestFit="1" customWidth="1"/>
    <col min="57" max="58" width="17.28515625" bestFit="1" customWidth="1"/>
    <col min="59" max="59" width="17.85546875" bestFit="1" customWidth="1"/>
    <col min="60" max="61" width="16.28515625" bestFit="1" customWidth="1"/>
    <col min="62" max="62" width="17.85546875" bestFit="1" customWidth="1"/>
    <col min="63" max="63" width="17.28515625" bestFit="1" customWidth="1"/>
    <col min="64" max="65" width="17.85546875" bestFit="1" customWidth="1"/>
    <col min="66" max="67" width="17.28515625" bestFit="1" customWidth="1"/>
    <col min="68" max="68" width="17.85546875" bestFit="1" customWidth="1"/>
    <col min="69" max="69" width="17" bestFit="1" customWidth="1"/>
    <col min="70" max="70" width="17.85546875" bestFit="1" customWidth="1"/>
    <col min="71" max="71" width="17.28515625" bestFit="1" customWidth="1"/>
    <col min="72" max="72" width="17.85546875" bestFit="1" customWidth="1"/>
    <col min="73" max="73" width="16.5703125" bestFit="1" customWidth="1"/>
    <col min="74" max="74" width="17" bestFit="1" customWidth="1"/>
    <col min="75" max="77" width="17.28515625" bestFit="1" customWidth="1"/>
    <col min="78" max="78" width="17.85546875" bestFit="1" customWidth="1"/>
    <col min="79" max="80" width="17.28515625" bestFit="1" customWidth="1"/>
    <col min="81" max="82" width="17.85546875" bestFit="1" customWidth="1"/>
    <col min="83" max="83" width="18.28515625" bestFit="1" customWidth="1"/>
    <col min="84" max="84" width="17" bestFit="1" customWidth="1"/>
    <col min="85" max="85" width="16.7109375" bestFit="1" customWidth="1"/>
    <col min="86" max="86" width="17" bestFit="1" customWidth="1"/>
    <col min="87" max="87" width="9.140625" customWidth="1"/>
    <col min="88" max="88" width="14.7109375" bestFit="1" customWidth="1"/>
    <col min="89" max="89" width="55.140625" bestFit="1" customWidth="1"/>
    <col min="90" max="90" width="10.85546875" bestFit="1" customWidth="1"/>
    <col min="91" max="91" width="17" bestFit="1" customWidth="1"/>
    <col min="92" max="92" width="17.85546875" bestFit="1" customWidth="1"/>
    <col min="93" max="93" width="17.28515625" bestFit="1" customWidth="1"/>
    <col min="94" max="94" width="18.28515625" bestFit="1" customWidth="1"/>
    <col min="95" max="95" width="9.42578125" customWidth="1"/>
    <col min="96" max="96" width="3" bestFit="1" customWidth="1"/>
    <col min="97" max="97" width="46.42578125" bestFit="1" customWidth="1"/>
    <col min="98" max="98" width="14.85546875" bestFit="1" customWidth="1"/>
    <col min="99" max="99" width="15.7109375" bestFit="1" customWidth="1"/>
    <col min="100" max="100" width="14.85546875" bestFit="1" customWidth="1"/>
    <col min="101" max="101" width="15.7109375" bestFit="1" customWidth="1"/>
    <col min="102" max="103" width="19.42578125" bestFit="1" customWidth="1"/>
    <col min="104" max="104" width="19.5703125" bestFit="1" customWidth="1"/>
    <col min="105" max="105" width="18.85546875" bestFit="1" customWidth="1"/>
    <col min="106" max="107" width="19.5703125" bestFit="1" customWidth="1"/>
    <col min="108" max="108" width="19.42578125" bestFit="1" customWidth="1"/>
    <col min="109" max="109" width="21.7109375" bestFit="1" customWidth="1"/>
    <col min="110" max="110" width="19.5703125" bestFit="1" customWidth="1"/>
    <col min="111" max="111" width="19.140625" bestFit="1" customWidth="1"/>
    <col min="112" max="112" width="19.42578125" bestFit="1" customWidth="1"/>
    <col min="113" max="116" width="19.5703125" bestFit="1" customWidth="1"/>
    <col min="117" max="117" width="19.42578125" bestFit="1" customWidth="1"/>
    <col min="118" max="118" width="19.140625" bestFit="1" customWidth="1"/>
    <col min="119" max="119" width="19.5703125" bestFit="1" customWidth="1"/>
    <col min="120" max="120" width="19.42578125" bestFit="1" customWidth="1"/>
    <col min="121" max="123" width="19.85546875" bestFit="1" customWidth="1"/>
    <col min="124" max="124" width="19.5703125" bestFit="1" customWidth="1"/>
    <col min="125" max="125" width="19.85546875" bestFit="1" customWidth="1"/>
    <col min="126" max="126" width="19.5703125" bestFit="1" customWidth="1"/>
    <col min="127" max="127" width="19.42578125" bestFit="1" customWidth="1"/>
    <col min="128" max="130" width="19.85546875" bestFit="1" customWidth="1"/>
    <col min="131" max="131" width="20.42578125" bestFit="1" customWidth="1"/>
    <col min="132" max="133" width="20.140625" bestFit="1" customWidth="1"/>
    <col min="134" max="134" width="11.140625" bestFit="1" customWidth="1"/>
    <col min="135" max="135" width="46.42578125" bestFit="1" customWidth="1"/>
    <col min="136" max="136" width="10.85546875" bestFit="1" customWidth="1"/>
    <col min="137" max="137" width="11.5703125" bestFit="1" customWidth="1"/>
    <col min="138" max="139" width="19.42578125" bestFit="1" customWidth="1"/>
    <col min="140" max="140" width="19.28515625" bestFit="1" customWidth="1"/>
    <col min="141" max="142" width="11.85546875" customWidth="1"/>
    <col min="143" max="143" width="3" bestFit="1" customWidth="1"/>
    <col min="144" max="144" width="37.28515625" bestFit="1" customWidth="1"/>
    <col min="145" max="145" width="10.85546875" bestFit="1" customWidth="1"/>
    <col min="146" max="146" width="11.28515625" bestFit="1" customWidth="1"/>
    <col min="147" max="147" width="10.28515625" bestFit="1" customWidth="1"/>
    <col min="148" max="149" width="11.28515625" bestFit="1" customWidth="1"/>
    <col min="150" max="151" width="11.5703125" bestFit="1" customWidth="1"/>
    <col min="152" max="152" width="11" bestFit="1" customWidth="1"/>
    <col min="153" max="153" width="11.5703125" bestFit="1" customWidth="1"/>
    <col min="154" max="154" width="10.5703125" bestFit="1" customWidth="1"/>
    <col min="155" max="155" width="10.85546875" bestFit="1" customWidth="1"/>
    <col min="156" max="156" width="11" bestFit="1" customWidth="1"/>
    <col min="157" max="157" width="11.5703125" bestFit="1" customWidth="1"/>
    <col min="158" max="158" width="11.28515625" bestFit="1" customWidth="1"/>
    <col min="159" max="160" width="11" bestFit="1" customWidth="1"/>
    <col min="161" max="161" width="11.5703125" bestFit="1" customWidth="1"/>
    <col min="162" max="162" width="11" bestFit="1" customWidth="1"/>
    <col min="163" max="163" width="11.5703125" bestFit="1" customWidth="1"/>
    <col min="164" max="166" width="11" bestFit="1" customWidth="1"/>
    <col min="167" max="167" width="11.28515625" bestFit="1" customWidth="1"/>
    <col min="168" max="171" width="11" bestFit="1" customWidth="1"/>
    <col min="172" max="172" width="11.5703125" bestFit="1" customWidth="1"/>
    <col min="173" max="173" width="11.28515625" bestFit="1" customWidth="1"/>
    <col min="174" max="174" width="11.5703125" bestFit="1" customWidth="1"/>
    <col min="175" max="175" width="11" bestFit="1" customWidth="1"/>
    <col min="176" max="176" width="11.5703125" bestFit="1" customWidth="1"/>
    <col min="177" max="177" width="11" bestFit="1" customWidth="1"/>
    <col min="178" max="178" width="11.28515625" bestFit="1" customWidth="1"/>
    <col min="179" max="179" width="10.85546875" bestFit="1" customWidth="1"/>
    <col min="180" max="180" width="11.5703125" bestFit="1" customWidth="1"/>
    <col min="181" max="181" width="10.7109375" bestFit="1" customWidth="1"/>
    <col min="182" max="182" width="37.28515625" bestFit="1" customWidth="1"/>
    <col min="183" max="183" width="10.85546875" bestFit="1" customWidth="1"/>
    <col min="184" max="184" width="10.5703125" bestFit="1" customWidth="1"/>
    <col min="185" max="185" width="11.5703125" bestFit="1" customWidth="1"/>
    <col min="186" max="186" width="11" bestFit="1" customWidth="1"/>
    <col min="187" max="187" width="10.28515625" bestFit="1" customWidth="1"/>
    <col min="188" max="188" width="14" bestFit="1" customWidth="1"/>
    <col min="189" max="189" width="71" bestFit="1" customWidth="1"/>
    <col min="190" max="192" width="13.5703125" bestFit="1" customWidth="1"/>
    <col min="193" max="195" width="13.5703125" customWidth="1"/>
    <col min="196" max="196" width="13.140625" customWidth="1"/>
    <col min="197" max="197" width="13.5703125" customWidth="1"/>
    <col min="198" max="199" width="13.140625" customWidth="1"/>
    <col min="200" max="200" width="13.5703125" customWidth="1"/>
    <col min="201" max="201" width="13.140625" customWidth="1"/>
    <col min="202" max="206" width="13.5703125" customWidth="1"/>
    <col min="207" max="207" width="13.140625" customWidth="1"/>
    <col min="208" max="208" width="12.85546875" customWidth="1"/>
    <col min="209" max="209" width="13.140625" customWidth="1"/>
    <col min="210" max="211" width="13.5703125" customWidth="1"/>
    <col min="212" max="212" width="13.140625" customWidth="1"/>
    <col min="213" max="219" width="13.5703125" customWidth="1"/>
    <col min="220" max="220" width="14.28515625" bestFit="1" customWidth="1"/>
    <col min="221" max="222" width="15" bestFit="1" customWidth="1"/>
    <col min="223" max="225" width="17.7109375" bestFit="1" customWidth="1"/>
    <col min="226" max="226" width="5.28515625" bestFit="1" customWidth="1"/>
    <col min="227" max="227" width="8.5703125" bestFit="1" customWidth="1"/>
    <col min="228" max="228" width="28" bestFit="1" customWidth="1"/>
    <col min="229" max="229" width="10.85546875" bestFit="1" customWidth="1"/>
    <col min="230" max="230" width="15.42578125" bestFit="1" customWidth="1"/>
    <col min="231" max="231" width="17" bestFit="1" customWidth="1"/>
    <col min="232" max="232" width="16.5703125" bestFit="1" customWidth="1"/>
    <col min="233" max="233" width="17.7109375" bestFit="1" customWidth="1"/>
  </cols>
  <sheetData>
    <row r="1" spans="1:233" ht="15">
      <c r="A1" s="908"/>
    </row>
    <row r="2" spans="1:233">
      <c r="B2" s="909"/>
      <c r="AB2" s="910"/>
      <c r="AC2" s="910"/>
    </row>
    <row r="3" spans="1:233" ht="15">
      <c r="B3" s="911"/>
      <c r="D3" s="908"/>
      <c r="AP3" s="908"/>
      <c r="AX3" s="908"/>
      <c r="CK3" s="908"/>
      <c r="CS3" s="908"/>
      <c r="EE3" s="908"/>
      <c r="EN3" s="908"/>
      <c r="FZ3" s="908"/>
      <c r="GE3" s="908"/>
      <c r="GG3" s="908"/>
      <c r="HT3" s="908"/>
    </row>
    <row r="4" spans="1:233" ht="15">
      <c r="D4" s="908"/>
      <c r="E4" s="911"/>
      <c r="F4" s="911"/>
      <c r="G4" s="911"/>
      <c r="H4" s="911"/>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c r="AM4" s="911"/>
      <c r="AN4" s="911"/>
      <c r="AP4" s="908"/>
      <c r="AX4" s="908"/>
      <c r="CK4" s="908"/>
      <c r="CS4" s="908"/>
      <c r="EE4" s="908"/>
      <c r="EN4" s="908"/>
      <c r="FZ4" s="908"/>
      <c r="GE4" s="908"/>
      <c r="GG4" s="908"/>
      <c r="HT4" s="908"/>
    </row>
    <row r="5" spans="1:233">
      <c r="B5" s="910"/>
      <c r="D5" s="912"/>
      <c r="E5" s="913"/>
      <c r="F5" s="913"/>
      <c r="G5" s="913"/>
      <c r="H5" s="913"/>
      <c r="I5" s="913"/>
      <c r="J5" s="913"/>
      <c r="K5" s="913"/>
      <c r="L5" s="913"/>
      <c r="M5" s="913"/>
      <c r="N5" s="913"/>
      <c r="O5" s="913"/>
      <c r="P5" s="913"/>
      <c r="Q5" s="913"/>
      <c r="R5" s="913"/>
      <c r="S5" s="913"/>
      <c r="T5" s="913"/>
      <c r="U5" s="913"/>
      <c r="V5" s="913"/>
      <c r="W5" s="913"/>
      <c r="X5" s="913"/>
      <c r="Y5" s="913"/>
      <c r="Z5" s="913"/>
      <c r="AA5" s="913"/>
      <c r="AB5" s="913"/>
      <c r="AC5" s="913"/>
      <c r="AD5" s="913"/>
      <c r="AE5" s="913"/>
      <c r="AF5" s="913"/>
      <c r="AG5" s="913"/>
      <c r="AH5" s="913"/>
      <c r="AI5" s="913"/>
      <c r="AJ5" s="913"/>
      <c r="AK5" s="913"/>
      <c r="AL5" s="913"/>
      <c r="AM5" s="913"/>
      <c r="AN5" s="913"/>
      <c r="AO5" s="914"/>
      <c r="AP5" s="915"/>
      <c r="AQ5" s="915"/>
      <c r="AR5" s="915"/>
      <c r="AS5" s="915"/>
      <c r="AT5" s="915"/>
      <c r="AU5" s="915"/>
      <c r="AX5" s="913"/>
      <c r="AY5" s="913"/>
      <c r="AZ5" s="913"/>
      <c r="BA5" s="913"/>
      <c r="BB5" s="913"/>
      <c r="BC5" s="913"/>
      <c r="BD5" s="913"/>
      <c r="BE5" s="913"/>
      <c r="BF5" s="913"/>
      <c r="BG5" s="913"/>
      <c r="BH5" s="913"/>
      <c r="BI5" s="913"/>
      <c r="BJ5" s="913"/>
      <c r="BK5" s="913"/>
      <c r="BL5" s="913"/>
      <c r="BM5" s="913"/>
      <c r="BN5" s="913"/>
      <c r="BO5" s="913"/>
      <c r="BP5" s="913"/>
      <c r="BQ5" s="913"/>
      <c r="BR5" s="913"/>
      <c r="BS5" s="913"/>
      <c r="BT5" s="913"/>
      <c r="BU5" s="913"/>
      <c r="BV5" s="913"/>
      <c r="BW5" s="913"/>
      <c r="BX5" s="913"/>
      <c r="BY5" s="913"/>
      <c r="BZ5" s="913"/>
      <c r="CA5" s="913"/>
      <c r="CB5" s="913"/>
      <c r="CC5" s="913"/>
      <c r="CD5" s="913"/>
      <c r="CE5" s="913"/>
      <c r="CF5" s="913"/>
      <c r="CG5" s="913"/>
      <c r="CH5" s="913"/>
      <c r="CI5" s="916"/>
      <c r="CJ5" s="916"/>
      <c r="CK5" s="915"/>
      <c r="CL5" s="915"/>
      <c r="CM5" s="915"/>
      <c r="CN5" s="915"/>
      <c r="CO5" s="915"/>
      <c r="CP5" s="915"/>
      <c r="CT5" s="913"/>
      <c r="CU5" s="913"/>
      <c r="CV5" s="913"/>
      <c r="CW5" s="913"/>
      <c r="CX5" s="913"/>
      <c r="CY5" s="913"/>
      <c r="CZ5" s="913"/>
      <c r="DA5" s="913"/>
      <c r="DB5" s="913"/>
      <c r="DC5" s="913"/>
      <c r="DD5" s="913"/>
      <c r="DE5" s="913"/>
      <c r="DF5" s="913"/>
      <c r="DG5" s="913"/>
      <c r="DH5" s="913"/>
      <c r="DI5" s="913"/>
      <c r="DJ5" s="913"/>
      <c r="DK5" s="913"/>
      <c r="DL5" s="913"/>
      <c r="DM5" s="913"/>
      <c r="DN5" s="913"/>
      <c r="DO5" s="913"/>
      <c r="DP5" s="913"/>
      <c r="DQ5" s="913"/>
      <c r="DR5" s="913"/>
      <c r="DS5" s="913"/>
      <c r="DT5" s="913"/>
      <c r="DU5" s="913"/>
      <c r="DV5" s="913"/>
      <c r="DW5" s="913"/>
      <c r="DX5" s="913"/>
      <c r="DY5" s="913"/>
      <c r="DZ5" s="913"/>
      <c r="EA5" s="913"/>
      <c r="EB5" s="913"/>
      <c r="EC5" s="913"/>
      <c r="EF5" s="915"/>
      <c r="EG5" s="915"/>
      <c r="EH5" s="915"/>
      <c r="EI5" s="915"/>
      <c r="EJ5" s="915"/>
      <c r="EO5" s="913"/>
      <c r="EP5" s="913"/>
      <c r="EQ5" s="913"/>
      <c r="ER5" s="913"/>
      <c r="ES5" s="913"/>
      <c r="ET5" s="913"/>
      <c r="EU5" s="913"/>
      <c r="EV5" s="913"/>
      <c r="EW5" s="913"/>
      <c r="EX5" s="913"/>
      <c r="EY5" s="913"/>
      <c r="EZ5" s="913"/>
      <c r="FA5" s="913"/>
      <c r="FB5" s="913"/>
      <c r="FC5" s="913"/>
      <c r="FD5" s="913"/>
      <c r="FE5" s="913"/>
      <c r="FF5" s="913"/>
      <c r="FG5" s="913"/>
      <c r="FH5" s="913"/>
      <c r="FI5" s="913"/>
      <c r="FJ5" s="913"/>
      <c r="FK5" s="913"/>
      <c r="FL5" s="913"/>
      <c r="FM5" s="913"/>
      <c r="FN5" s="913"/>
      <c r="FO5" s="913"/>
      <c r="FP5" s="913"/>
      <c r="FQ5" s="913"/>
      <c r="FR5" s="913"/>
      <c r="FS5" s="913"/>
      <c r="FT5" s="913"/>
      <c r="FU5" s="913"/>
      <c r="FV5" s="913"/>
      <c r="FW5" s="913"/>
      <c r="FX5" s="913"/>
      <c r="GA5" s="915"/>
      <c r="GB5" s="915"/>
      <c r="GC5" s="915"/>
      <c r="GD5" s="915"/>
      <c r="GE5" s="915"/>
      <c r="GH5" s="913"/>
      <c r="GI5" s="913"/>
      <c r="GJ5" s="913"/>
      <c r="GK5" s="913"/>
      <c r="GL5" s="913"/>
      <c r="GM5" s="913"/>
      <c r="GN5" s="913"/>
      <c r="GO5" s="913"/>
      <c r="GP5" s="913"/>
      <c r="GQ5" s="913"/>
      <c r="GR5" s="913"/>
      <c r="GS5" s="913"/>
      <c r="GT5" s="913"/>
      <c r="GU5" s="913"/>
      <c r="GV5" s="913"/>
      <c r="GW5" s="913"/>
      <c r="GX5" s="913"/>
      <c r="GY5" s="913"/>
      <c r="GZ5" s="913"/>
      <c r="HA5" s="913"/>
      <c r="HB5" s="913"/>
      <c r="HC5" s="913"/>
      <c r="HD5" s="913"/>
      <c r="HE5" s="913"/>
      <c r="HF5" s="913"/>
      <c r="HG5" s="913"/>
      <c r="HH5" s="913"/>
      <c r="HI5" s="913"/>
      <c r="HJ5" s="913"/>
      <c r="HK5" s="913"/>
      <c r="HL5" s="913"/>
      <c r="HM5" s="913"/>
      <c r="HN5" s="913"/>
      <c r="HO5" s="913"/>
      <c r="HP5" s="913"/>
      <c r="HQ5" s="913"/>
      <c r="HT5" s="915"/>
      <c r="HU5" s="915"/>
      <c r="HV5" s="915"/>
      <c r="HW5" s="915"/>
      <c r="HX5" s="915"/>
      <c r="HY5" s="915"/>
    </row>
    <row r="6" spans="1:233" ht="18.75" thickBot="1">
      <c r="D6" s="917"/>
      <c r="E6" s="1071"/>
      <c r="F6" s="1071"/>
      <c r="G6" s="1071"/>
      <c r="H6" s="1071"/>
      <c r="I6" s="1071"/>
      <c r="J6" s="1071"/>
      <c r="K6" s="1071"/>
      <c r="L6" s="1071"/>
      <c r="M6" s="1071"/>
      <c r="N6" s="1071"/>
      <c r="O6" s="1071"/>
      <c r="P6" s="1071"/>
      <c r="Q6" s="1071"/>
      <c r="R6" s="1071"/>
      <c r="S6" s="1071"/>
      <c r="T6" s="1071"/>
      <c r="U6" s="1071"/>
      <c r="V6" s="1071"/>
      <c r="W6" s="1071"/>
      <c r="X6" s="1071"/>
      <c r="Y6" s="1071"/>
      <c r="Z6" s="1071"/>
      <c r="AA6" s="1071"/>
      <c r="AB6" s="1071"/>
      <c r="AC6" s="1071"/>
      <c r="AD6" s="1071"/>
      <c r="AE6" s="1071"/>
      <c r="AF6" s="1071"/>
      <c r="AG6" s="1071"/>
      <c r="AH6" s="1071"/>
      <c r="AI6" s="1071"/>
      <c r="AJ6" s="1071"/>
      <c r="AK6" s="1071"/>
      <c r="AL6" s="1071"/>
      <c r="AM6" s="1071"/>
      <c r="AN6" s="1071"/>
      <c r="AO6" s="1071"/>
      <c r="AP6" s="1071"/>
      <c r="AQ6" s="1071"/>
      <c r="AR6" s="1071"/>
      <c r="AS6" s="1071"/>
      <c r="AT6" s="1071"/>
      <c r="AU6" s="1071"/>
      <c r="AX6" s="917"/>
      <c r="AY6" s="918"/>
      <c r="AZ6" s="918"/>
      <c r="BA6" s="918"/>
      <c r="BB6" s="918"/>
      <c r="BC6" s="918"/>
      <c r="BD6" s="918"/>
      <c r="BE6" s="918"/>
      <c r="BF6" s="918"/>
      <c r="BG6" s="918"/>
      <c r="BH6" s="918"/>
      <c r="BI6" s="918"/>
      <c r="BJ6" s="918"/>
      <c r="BK6" s="918"/>
      <c r="BL6" s="918"/>
      <c r="BM6" s="918"/>
      <c r="BN6" s="918"/>
      <c r="BO6" s="918"/>
      <c r="BP6" s="918"/>
      <c r="BQ6" s="918"/>
      <c r="BR6" s="918"/>
      <c r="BS6" s="918"/>
      <c r="BT6" s="918"/>
      <c r="BU6" s="918"/>
      <c r="BV6" s="918"/>
      <c r="BW6" s="918"/>
      <c r="BX6" s="918"/>
      <c r="BY6" s="918"/>
      <c r="BZ6" s="918"/>
      <c r="CA6" s="918"/>
      <c r="CB6" s="918"/>
      <c r="CC6" s="918"/>
      <c r="CD6" s="918"/>
      <c r="CE6" s="918"/>
      <c r="CF6" s="918"/>
      <c r="CG6" s="918"/>
      <c r="CH6" s="918"/>
      <c r="CJ6" s="919"/>
      <c r="CK6" s="917"/>
      <c r="CL6" s="918"/>
      <c r="CM6" s="918"/>
      <c r="CN6" s="918"/>
      <c r="CO6" s="918"/>
      <c r="CP6" s="918"/>
      <c r="CT6" s="918"/>
      <c r="CU6" s="918"/>
      <c r="CV6" s="918"/>
      <c r="CW6" s="918"/>
      <c r="CX6" s="918"/>
      <c r="CY6" s="918"/>
      <c r="CZ6" s="918"/>
      <c r="DA6" s="918"/>
      <c r="DB6" s="918"/>
      <c r="DC6" s="918"/>
      <c r="DD6" s="918"/>
      <c r="DE6" s="918"/>
      <c r="DF6" s="918"/>
      <c r="DG6" s="918"/>
      <c r="DH6" s="918"/>
      <c r="DI6" s="918"/>
      <c r="DJ6" s="918"/>
      <c r="DK6" s="918"/>
      <c r="DL6" s="918"/>
      <c r="DM6" s="918"/>
      <c r="DN6" s="918"/>
      <c r="DO6" s="918"/>
      <c r="DP6" s="918"/>
      <c r="DQ6" s="918"/>
      <c r="DR6" s="918"/>
      <c r="DS6" s="918"/>
      <c r="DT6" s="918"/>
      <c r="DU6" s="918"/>
      <c r="DV6" s="918"/>
      <c r="DW6" s="918"/>
      <c r="DX6" s="918"/>
      <c r="DY6" s="918"/>
      <c r="DZ6" s="918"/>
      <c r="EA6" s="918"/>
      <c r="EB6" s="918"/>
      <c r="EC6" s="918"/>
      <c r="EF6" s="918"/>
      <c r="EG6" s="918"/>
      <c r="EH6" s="918"/>
      <c r="EI6" s="918"/>
      <c r="EJ6" s="918"/>
      <c r="FY6" s="920"/>
      <c r="FZ6" s="920"/>
      <c r="GA6" s="917"/>
      <c r="GB6" s="917"/>
      <c r="GC6" s="917"/>
      <c r="GD6" s="917"/>
      <c r="GE6" s="917"/>
      <c r="GG6" s="921"/>
      <c r="GH6" s="918"/>
      <c r="GI6" s="918"/>
      <c r="GJ6" s="918"/>
      <c r="GK6" s="918"/>
      <c r="GL6" s="918"/>
      <c r="GM6" s="918"/>
      <c r="GN6" s="918"/>
      <c r="GO6" s="918"/>
      <c r="GP6" s="918"/>
      <c r="GQ6" s="918"/>
      <c r="GR6" s="918"/>
      <c r="GS6" s="918"/>
      <c r="GT6" s="918"/>
      <c r="GU6" s="918"/>
      <c r="GV6" s="918"/>
      <c r="GW6" s="918"/>
      <c r="GX6" s="918"/>
      <c r="GY6" s="918"/>
      <c r="GZ6" s="918"/>
      <c r="HA6" s="918"/>
      <c r="HB6" s="918"/>
      <c r="HC6" s="918"/>
      <c r="HD6" s="918"/>
      <c r="HE6" s="918"/>
      <c r="HF6" s="918"/>
      <c r="HG6" s="918"/>
      <c r="HH6" s="918"/>
      <c r="HI6" s="918"/>
      <c r="HJ6" s="918"/>
      <c r="HK6" s="918"/>
      <c r="HL6" s="918"/>
      <c r="HM6" s="918"/>
      <c r="HN6" s="918"/>
      <c r="HO6" s="918"/>
      <c r="HP6" s="918"/>
      <c r="HQ6" s="918"/>
      <c r="HT6" s="917"/>
      <c r="HU6" s="918"/>
      <c r="HV6" s="918"/>
      <c r="HW6" s="918"/>
      <c r="HX6" s="918"/>
      <c r="HY6" s="918"/>
    </row>
    <row r="7" spans="1:233" ht="15.75" thickBot="1">
      <c r="D7" s="922"/>
      <c r="E7" s="923"/>
      <c r="F7" s="923"/>
      <c r="G7" s="923"/>
      <c r="H7" s="923"/>
      <c r="I7" s="923"/>
      <c r="J7" s="923"/>
      <c r="K7" s="923"/>
      <c r="L7" s="923"/>
      <c r="M7" s="923"/>
      <c r="N7" s="923"/>
      <c r="O7" s="923"/>
      <c r="P7" s="923"/>
      <c r="Q7" s="923"/>
      <c r="R7" s="923"/>
      <c r="S7" s="923"/>
      <c r="T7" s="923"/>
      <c r="U7" s="923"/>
      <c r="V7" s="923"/>
      <c r="W7" s="923"/>
      <c r="X7" s="923"/>
      <c r="Y7" s="923"/>
      <c r="Z7" s="923"/>
      <c r="AA7" s="923"/>
      <c r="AB7" s="923"/>
      <c r="AC7" s="923"/>
      <c r="AD7" s="923"/>
      <c r="AE7" s="923"/>
      <c r="AF7" s="923"/>
      <c r="AG7" s="923"/>
      <c r="AH7" s="923"/>
      <c r="AI7" s="923"/>
      <c r="AJ7" s="923"/>
      <c r="AK7" s="923"/>
      <c r="AL7" s="923"/>
      <c r="AM7" s="923"/>
      <c r="AN7" s="923"/>
      <c r="AP7" s="922"/>
      <c r="AQ7" s="923"/>
      <c r="AR7" s="923"/>
      <c r="AS7" s="923"/>
      <c r="AT7" s="923"/>
      <c r="AU7" s="923"/>
      <c r="AW7" s="923"/>
      <c r="AX7" s="924"/>
      <c r="AY7" s="923"/>
      <c r="AZ7" s="923"/>
      <c r="BA7" s="923"/>
      <c r="BB7" s="923"/>
      <c r="BC7" s="923"/>
      <c r="BD7" s="923"/>
      <c r="BE7" s="923"/>
      <c r="BF7" s="923"/>
      <c r="BG7" s="923"/>
      <c r="BH7" s="923"/>
      <c r="BI7" s="923"/>
      <c r="BJ7" s="923"/>
      <c r="BK7" s="923"/>
      <c r="BL7" s="923"/>
      <c r="BM7" s="923"/>
      <c r="BN7" s="923"/>
      <c r="BO7" s="923"/>
      <c r="BP7" s="923"/>
      <c r="BQ7" s="923"/>
      <c r="BR7" s="923"/>
      <c r="BS7" s="923"/>
      <c r="BT7" s="923"/>
      <c r="BU7" s="923"/>
      <c r="BV7" s="923"/>
      <c r="BW7" s="923"/>
      <c r="BX7" s="923"/>
      <c r="BY7" s="923"/>
      <c r="BZ7" s="923"/>
      <c r="CA7" s="923"/>
      <c r="CB7" s="923"/>
      <c r="CC7" s="923"/>
      <c r="CD7" s="923"/>
      <c r="CE7" s="923"/>
      <c r="CF7" s="923"/>
      <c r="CG7" s="923"/>
      <c r="CH7" s="923"/>
      <c r="CK7" s="924"/>
      <c r="CL7" s="923"/>
      <c r="CM7" s="923"/>
      <c r="CN7" s="923"/>
      <c r="CO7" s="923"/>
      <c r="CP7" s="923"/>
      <c r="CS7" s="924"/>
      <c r="CT7" s="923"/>
      <c r="CU7" s="923"/>
      <c r="CV7" s="923"/>
      <c r="CW7" s="923"/>
      <c r="CX7" s="923"/>
      <c r="CY7" s="923"/>
      <c r="CZ7" s="923"/>
      <c r="DA7" s="923"/>
      <c r="DB7" s="923"/>
      <c r="DC7" s="923"/>
      <c r="DD7" s="923"/>
      <c r="DE7" s="923"/>
      <c r="DF7" s="923"/>
      <c r="DG7" s="923"/>
      <c r="DH7" s="923"/>
      <c r="DI7" s="923"/>
      <c r="DJ7" s="923"/>
      <c r="DK7" s="923"/>
      <c r="DL7" s="923"/>
      <c r="DM7" s="923"/>
      <c r="DN7" s="923"/>
      <c r="DO7" s="923"/>
      <c r="DP7" s="923"/>
      <c r="DQ7" s="923"/>
      <c r="DR7" s="923"/>
      <c r="DS7" s="923"/>
      <c r="DT7" s="923"/>
      <c r="DU7" s="923"/>
      <c r="DV7" s="923"/>
      <c r="DW7" s="923"/>
      <c r="DX7" s="923"/>
      <c r="DY7" s="923"/>
      <c r="DZ7" s="923"/>
      <c r="EA7" s="923"/>
      <c r="EB7" s="923"/>
      <c r="EC7" s="923"/>
      <c r="EE7" s="924"/>
      <c r="EF7" s="923"/>
      <c r="EG7" s="923"/>
      <c r="EH7" s="923"/>
      <c r="EI7" s="923"/>
      <c r="EJ7" s="923"/>
      <c r="EN7" s="924"/>
      <c r="EO7" s="923"/>
      <c r="EP7" s="923"/>
      <c r="EQ7" s="923"/>
      <c r="ER7" s="923"/>
      <c r="ES7" s="923"/>
      <c r="ET7" s="923"/>
      <c r="EU7" s="923"/>
      <c r="EV7" s="923"/>
      <c r="EW7" s="923"/>
      <c r="EX7" s="923"/>
      <c r="EY7" s="923"/>
      <c r="EZ7" s="923"/>
      <c r="FA7" s="923"/>
      <c r="FB7" s="923"/>
      <c r="FC7" s="923"/>
      <c r="FD7" s="923"/>
      <c r="FE7" s="923"/>
      <c r="FF7" s="923"/>
      <c r="FG7" s="923"/>
      <c r="FH7" s="923"/>
      <c r="FI7" s="923"/>
      <c r="FJ7" s="923"/>
      <c r="FK7" s="923"/>
      <c r="FL7" s="923"/>
      <c r="FM7" s="923"/>
      <c r="FN7" s="923"/>
      <c r="FO7" s="923"/>
      <c r="FP7" s="923"/>
      <c r="FQ7" s="923"/>
      <c r="FR7" s="923"/>
      <c r="FS7" s="923"/>
      <c r="FT7" s="923"/>
      <c r="FU7" s="923"/>
      <c r="FV7" s="923"/>
      <c r="FW7" s="923"/>
      <c r="FX7" s="923"/>
      <c r="FZ7" s="924"/>
      <c r="GA7" s="923"/>
      <c r="GB7" s="923"/>
      <c r="GC7" s="923"/>
      <c r="GD7" s="923"/>
      <c r="GE7" s="923"/>
      <c r="GF7" s="925"/>
      <c r="GG7" s="923"/>
      <c r="GH7" s="923"/>
      <c r="GI7" s="923"/>
      <c r="GJ7" s="923"/>
      <c r="GK7" s="923"/>
      <c r="GL7" s="923"/>
      <c r="GM7" s="923"/>
      <c r="GN7" s="923"/>
      <c r="GO7" s="923"/>
      <c r="GP7" s="923"/>
      <c r="GQ7" s="923"/>
      <c r="GR7" s="923"/>
      <c r="GS7" s="923"/>
      <c r="GT7" s="923"/>
      <c r="GU7" s="923"/>
      <c r="GV7" s="923"/>
      <c r="GW7" s="923"/>
      <c r="GX7" s="923"/>
      <c r="GY7" s="923"/>
      <c r="GZ7" s="923"/>
      <c r="HA7" s="923"/>
      <c r="HB7" s="923"/>
      <c r="HC7" s="923"/>
      <c r="HD7" s="923"/>
      <c r="HE7" s="923"/>
      <c r="HF7" s="923"/>
      <c r="HG7" s="923"/>
      <c r="HH7" s="923"/>
      <c r="HI7" s="923"/>
      <c r="HJ7" s="923"/>
      <c r="HK7" s="923"/>
      <c r="HL7" s="923"/>
      <c r="HM7" s="923"/>
      <c r="HN7" s="923"/>
      <c r="HO7" s="923"/>
      <c r="HP7" s="923"/>
      <c r="HQ7" s="923"/>
      <c r="HR7" s="925"/>
      <c r="HS7" s="925"/>
      <c r="HT7" s="923"/>
      <c r="HU7" s="923"/>
      <c r="HV7" s="923"/>
      <c r="HW7" s="923"/>
      <c r="HX7" s="923"/>
      <c r="HY7" s="923"/>
    </row>
    <row r="8" spans="1:233" ht="15.75" thickBot="1">
      <c r="D8" s="926"/>
      <c r="E8" s="927"/>
      <c r="F8" s="927"/>
      <c r="G8" s="927"/>
      <c r="H8" s="927"/>
      <c r="I8" s="927"/>
      <c r="J8" s="927"/>
      <c r="K8" s="927"/>
      <c r="L8" s="927"/>
      <c r="M8" s="927"/>
      <c r="N8" s="927"/>
      <c r="O8" s="927"/>
      <c r="P8" s="927"/>
      <c r="Q8" s="927"/>
      <c r="R8" s="927"/>
      <c r="S8" s="927"/>
      <c r="T8" s="927"/>
      <c r="U8" s="927"/>
      <c r="V8" s="927"/>
      <c r="W8" s="927"/>
      <c r="X8" s="927"/>
      <c r="Y8" s="927"/>
      <c r="Z8" s="927"/>
      <c r="AA8" s="927"/>
      <c r="AB8" s="927"/>
      <c r="AC8" s="927"/>
      <c r="AD8" s="927"/>
      <c r="AE8" s="927"/>
      <c r="AF8" s="927"/>
      <c r="AG8" s="927"/>
      <c r="AH8" s="927"/>
      <c r="AI8" s="927"/>
      <c r="AJ8" s="927"/>
      <c r="AK8" s="927"/>
      <c r="AL8" s="927"/>
      <c r="AM8" s="927"/>
      <c r="AN8" s="927"/>
      <c r="AP8" s="926"/>
      <c r="AQ8" s="928"/>
      <c r="AR8" s="928"/>
      <c r="AS8" s="928"/>
      <c r="AT8" s="928"/>
      <c r="AU8" s="928"/>
      <c r="AX8" s="929"/>
      <c r="AY8" s="930"/>
      <c r="AZ8" s="930"/>
      <c r="BA8" s="930"/>
      <c r="BB8" s="930"/>
      <c r="BC8" s="930"/>
      <c r="BD8" s="930"/>
      <c r="BE8" s="930"/>
      <c r="BF8" s="930"/>
      <c r="BG8" s="930"/>
      <c r="BH8" s="930"/>
      <c r="BI8" s="930"/>
      <c r="BJ8" s="930"/>
      <c r="BK8" s="930"/>
      <c r="BL8" s="930"/>
      <c r="BM8" s="930"/>
      <c r="BN8" s="930"/>
      <c r="BO8" s="930"/>
      <c r="BP8" s="930"/>
      <c r="BQ8" s="930"/>
      <c r="BR8" s="930"/>
      <c r="BS8" s="930"/>
      <c r="BT8" s="930"/>
      <c r="BU8" s="930"/>
      <c r="BV8" s="930"/>
      <c r="BW8" s="930"/>
      <c r="BX8" s="930"/>
      <c r="BY8" s="930"/>
      <c r="BZ8" s="930"/>
      <c r="CA8" s="930"/>
      <c r="CB8" s="930"/>
      <c r="CC8" s="930"/>
      <c r="CD8" s="930"/>
      <c r="CE8" s="930"/>
      <c r="CF8" s="930"/>
      <c r="CG8" s="930"/>
      <c r="CH8" s="930"/>
      <c r="CK8" s="929"/>
      <c r="CL8" s="930"/>
      <c r="CM8" s="930"/>
      <c r="CN8" s="930"/>
      <c r="CO8" s="930"/>
      <c r="CP8" s="930"/>
      <c r="CS8" s="931"/>
      <c r="CT8" s="932"/>
      <c r="CU8" s="933"/>
      <c r="CV8" s="933"/>
      <c r="CW8" s="933"/>
      <c r="CX8" s="933"/>
      <c r="CY8" s="933"/>
      <c r="CZ8" s="933"/>
      <c r="DA8" s="933"/>
      <c r="DB8" s="933"/>
      <c r="DC8" s="933"/>
      <c r="DD8" s="933"/>
      <c r="DE8" s="933"/>
      <c r="DF8" s="933"/>
      <c r="DG8" s="933"/>
      <c r="DH8" s="933"/>
      <c r="DI8" s="933"/>
      <c r="DJ8" s="933"/>
      <c r="DK8" s="933"/>
      <c r="DL8" s="933"/>
      <c r="DM8" s="933"/>
      <c r="DN8" s="933"/>
      <c r="DO8" s="933"/>
      <c r="DP8" s="933"/>
      <c r="DQ8" s="933"/>
      <c r="DR8" s="933"/>
      <c r="DS8" s="933"/>
      <c r="DT8" s="933"/>
      <c r="DU8" s="933"/>
      <c r="DV8" s="933"/>
      <c r="DW8" s="933"/>
      <c r="DX8" s="933"/>
      <c r="DY8" s="933"/>
      <c r="DZ8" s="933"/>
      <c r="EA8" s="933"/>
      <c r="EB8" s="933"/>
      <c r="EC8" s="934"/>
      <c r="EE8" s="931"/>
      <c r="EF8" s="934"/>
      <c r="EG8" s="934"/>
      <c r="EH8" s="934"/>
      <c r="EI8" s="934"/>
      <c r="EJ8" s="934"/>
      <c r="EN8" s="935"/>
      <c r="EO8" s="936"/>
      <c r="EP8" s="937"/>
      <c r="EQ8" s="937"/>
      <c r="ER8" s="937"/>
      <c r="ES8" s="937"/>
      <c r="ET8" s="937"/>
      <c r="EU8" s="937"/>
      <c r="EV8" s="937"/>
      <c r="EW8" s="937"/>
      <c r="EX8" s="937"/>
      <c r="EY8" s="937"/>
      <c r="EZ8" s="937"/>
      <c r="FA8" s="937"/>
      <c r="FB8" s="937"/>
      <c r="FC8" s="937"/>
      <c r="FD8" s="937"/>
      <c r="FE8" s="937"/>
      <c r="FF8" s="937"/>
      <c r="FG8" s="937"/>
      <c r="FH8" s="937"/>
      <c r="FI8" s="937"/>
      <c r="FJ8" s="937"/>
      <c r="FK8" s="937"/>
      <c r="FL8" s="937"/>
      <c r="FM8" s="937"/>
      <c r="FN8" s="937"/>
      <c r="FO8" s="937"/>
      <c r="FP8" s="937"/>
      <c r="FQ8" s="937"/>
      <c r="FR8" s="937"/>
      <c r="FS8" s="937"/>
      <c r="FT8" s="937"/>
      <c r="FU8" s="937"/>
      <c r="FV8" s="937"/>
      <c r="FW8" s="937"/>
      <c r="FX8" s="938"/>
      <c r="FY8" s="910"/>
      <c r="FZ8" s="935"/>
      <c r="GA8" s="938"/>
      <c r="GB8" s="938"/>
      <c r="GC8" s="938"/>
      <c r="GD8" s="938"/>
      <c r="GE8" s="938"/>
      <c r="GF8" s="939"/>
      <c r="GG8" s="935"/>
      <c r="GH8" s="939"/>
      <c r="GI8" s="939"/>
      <c r="GJ8" s="939"/>
      <c r="GK8" s="939"/>
      <c r="GL8" s="939"/>
      <c r="GM8" s="939"/>
      <c r="GN8" s="939"/>
      <c r="GO8" s="939"/>
      <c r="GP8" s="939"/>
      <c r="GQ8" s="939"/>
      <c r="GR8" s="939"/>
      <c r="GS8" s="939"/>
      <c r="GT8" s="939"/>
      <c r="GU8" s="939"/>
      <c r="GV8" s="939"/>
      <c r="GW8" s="939"/>
      <c r="GX8" s="939"/>
      <c r="GY8" s="939"/>
      <c r="GZ8" s="939"/>
      <c r="HA8" s="939"/>
      <c r="HB8" s="939"/>
      <c r="HC8" s="939"/>
      <c r="HD8" s="939"/>
      <c r="HE8" s="939"/>
      <c r="HF8" s="939"/>
      <c r="HG8" s="939"/>
      <c r="HH8" s="939"/>
      <c r="HI8" s="939"/>
      <c r="HJ8" s="939"/>
      <c r="HK8" s="939"/>
      <c r="HL8" s="939"/>
      <c r="HM8" s="939"/>
      <c r="HN8" s="939"/>
      <c r="HO8" s="939"/>
      <c r="HP8" s="939"/>
      <c r="HQ8" s="939"/>
      <c r="HR8" s="939"/>
      <c r="HS8" s="939"/>
      <c r="HU8" s="939"/>
      <c r="HV8" s="939"/>
      <c r="HW8" s="939"/>
      <c r="HX8" s="939"/>
      <c r="HY8" s="939"/>
    </row>
    <row r="9" spans="1:233" ht="13.5" thickBot="1">
      <c r="D9" s="940"/>
      <c r="E9" s="930"/>
      <c r="F9" s="930"/>
      <c r="G9" s="930"/>
      <c r="H9" s="930"/>
      <c r="I9" s="930"/>
      <c r="J9" s="930"/>
      <c r="K9" s="930"/>
      <c r="L9" s="930"/>
      <c r="M9" s="930"/>
      <c r="N9" s="930"/>
      <c r="O9" s="930"/>
      <c r="P9" s="930"/>
      <c r="Q9" s="930"/>
      <c r="R9" s="930"/>
      <c r="S9" s="930"/>
      <c r="T9" s="930"/>
      <c r="U9" s="930"/>
      <c r="V9" s="930"/>
      <c r="W9" s="930"/>
      <c r="X9" s="930"/>
      <c r="Y9" s="930"/>
      <c r="Z9" s="930"/>
      <c r="AA9" s="930"/>
      <c r="AB9" s="930"/>
      <c r="AC9" s="930"/>
      <c r="AD9" s="930"/>
      <c r="AE9" s="930"/>
      <c r="AF9" s="930"/>
      <c r="AG9" s="930"/>
      <c r="AH9" s="930"/>
      <c r="AI9" s="930"/>
      <c r="AJ9" s="930"/>
      <c r="AK9" s="930"/>
      <c r="AL9" s="930"/>
      <c r="AM9" s="930"/>
      <c r="AN9" s="930"/>
      <c r="AP9" s="940"/>
      <c r="AQ9" s="930"/>
      <c r="AR9" s="930"/>
      <c r="AS9" s="930"/>
      <c r="AT9" s="930"/>
      <c r="AU9" s="930"/>
      <c r="AX9" s="941"/>
      <c r="AY9" s="930"/>
      <c r="AZ9" s="930"/>
      <c r="BA9" s="930"/>
      <c r="BB9" s="930"/>
      <c r="BC9" s="930"/>
      <c r="BD9" s="930"/>
      <c r="BE9" s="930"/>
      <c r="BF9" s="930"/>
      <c r="BG9" s="930"/>
      <c r="BH9" s="930"/>
      <c r="BI9" s="930"/>
      <c r="BJ9" s="930"/>
      <c r="BK9" s="930"/>
      <c r="BL9" s="930"/>
      <c r="BM9" s="930"/>
      <c r="BN9" s="930"/>
      <c r="BO9" s="930"/>
      <c r="BP9" s="930"/>
      <c r="BQ9" s="930"/>
      <c r="BR9" s="930"/>
      <c r="BS9" s="930"/>
      <c r="BT9" s="930"/>
      <c r="BU9" s="930"/>
      <c r="BV9" s="930"/>
      <c r="BW9" s="930"/>
      <c r="BX9" s="930"/>
      <c r="BY9" s="930"/>
      <c r="BZ9" s="930"/>
      <c r="CA9" s="930"/>
      <c r="CB9" s="930"/>
      <c r="CC9" s="930"/>
      <c r="CD9" s="930"/>
      <c r="CE9" s="930"/>
      <c r="CF9" s="930"/>
      <c r="CG9" s="930"/>
      <c r="CH9" s="930"/>
      <c r="CK9" s="941"/>
      <c r="CL9" s="930"/>
      <c r="CM9" s="930"/>
      <c r="CN9" s="930"/>
      <c r="CO9" s="930"/>
      <c r="CP9" s="930"/>
      <c r="CS9" s="941"/>
      <c r="CT9" s="930"/>
      <c r="CU9" s="930"/>
      <c r="CV9" s="930"/>
      <c r="CW9" s="930"/>
      <c r="CX9" s="930"/>
      <c r="CY9" s="930"/>
      <c r="CZ9" s="930"/>
      <c r="DA9" s="930"/>
      <c r="DB9" s="930"/>
      <c r="DC9" s="930"/>
      <c r="DD9" s="930"/>
      <c r="DE9" s="930"/>
      <c r="DF9" s="930"/>
      <c r="DG9" s="930"/>
      <c r="DH9" s="930"/>
      <c r="DI9" s="930"/>
      <c r="DJ9" s="930"/>
      <c r="DK9" s="930"/>
      <c r="DL9" s="930"/>
      <c r="DM9" s="930"/>
      <c r="DN9" s="930"/>
      <c r="DO9" s="930"/>
      <c r="DP9" s="930"/>
      <c r="DQ9" s="930"/>
      <c r="DR9" s="930"/>
      <c r="DS9" s="930"/>
      <c r="DT9" s="930"/>
      <c r="DU9" s="930"/>
      <c r="DV9" s="930"/>
      <c r="DW9" s="930"/>
      <c r="DX9" s="930"/>
      <c r="DY9" s="930"/>
      <c r="DZ9" s="930"/>
      <c r="EA9" s="930"/>
      <c r="EB9" s="930"/>
      <c r="EC9" s="930"/>
      <c r="EE9" s="941"/>
      <c r="EF9" s="930"/>
      <c r="EG9" s="930"/>
      <c r="EH9" s="930"/>
      <c r="EI9" s="930"/>
      <c r="EJ9" s="930"/>
      <c r="EM9" s="942"/>
      <c r="EN9" s="943"/>
      <c r="EO9" s="930"/>
      <c r="EP9" s="930"/>
      <c r="EQ9" s="930"/>
      <c r="ER9" s="930"/>
      <c r="ES9" s="930"/>
      <c r="ET9" s="930"/>
      <c r="EU9" s="930"/>
      <c r="EV9" s="930"/>
      <c r="EW9" s="930"/>
      <c r="EX9" s="930"/>
      <c r="EY9" s="930"/>
      <c r="EZ9" s="930"/>
      <c r="FA9" s="930"/>
      <c r="FB9" s="930"/>
      <c r="FC9" s="930"/>
      <c r="FD9" s="930"/>
      <c r="FE9" s="930"/>
      <c r="FF9" s="930"/>
      <c r="FG9" s="930"/>
      <c r="FH9" s="930"/>
      <c r="FI9" s="930"/>
      <c r="FJ9" s="930"/>
      <c r="FK9" s="930"/>
      <c r="FL9" s="930"/>
      <c r="FM9" s="930"/>
      <c r="FN9" s="930"/>
      <c r="FO9" s="930"/>
      <c r="FP9" s="930"/>
      <c r="FQ9" s="930"/>
      <c r="FR9" s="930"/>
      <c r="FS9" s="930"/>
      <c r="FT9" s="930"/>
      <c r="FU9" s="930"/>
      <c r="FV9" s="930"/>
      <c r="FW9" s="930"/>
      <c r="FX9" s="930"/>
      <c r="FZ9" s="943"/>
      <c r="GA9" s="930"/>
      <c r="GB9" s="930"/>
      <c r="GC9" s="930"/>
      <c r="GD9" s="930"/>
      <c r="GE9" s="930"/>
      <c r="GF9" s="939"/>
      <c r="GG9" s="944"/>
      <c r="GH9" s="930"/>
      <c r="GI9" s="930"/>
      <c r="GJ9" s="930"/>
      <c r="GK9" s="930"/>
      <c r="GL9" s="930"/>
      <c r="GM9" s="930"/>
      <c r="GN9" s="930"/>
      <c r="GO9" s="930"/>
      <c r="GP9" s="930"/>
      <c r="GQ9" s="930"/>
      <c r="GR9" s="930"/>
      <c r="GS9" s="930"/>
      <c r="GT9" s="930"/>
      <c r="GU9" s="930"/>
      <c r="GV9" s="930"/>
      <c r="GW9" s="930"/>
      <c r="GX9" s="930"/>
      <c r="GY9" s="930"/>
      <c r="GZ9" s="930"/>
      <c r="HA9" s="930"/>
      <c r="HB9" s="930"/>
      <c r="HC9" s="930"/>
      <c r="HD9" s="930"/>
      <c r="HE9" s="930"/>
      <c r="HF9" s="930"/>
      <c r="HG9" s="930"/>
      <c r="HH9" s="930"/>
      <c r="HI9" s="930"/>
      <c r="HJ9" s="930"/>
      <c r="HK9" s="930"/>
      <c r="HL9" s="930"/>
      <c r="HM9" s="930"/>
      <c r="HN9" s="930"/>
      <c r="HO9" s="930"/>
      <c r="HP9" s="930"/>
      <c r="HQ9" s="930"/>
      <c r="HR9" s="939"/>
      <c r="HS9" s="939"/>
      <c r="HT9" s="944"/>
      <c r="HU9" s="930"/>
      <c r="HV9" s="930"/>
      <c r="HW9" s="930"/>
      <c r="HX9" s="930"/>
      <c r="HY9" s="930"/>
    </row>
    <row r="10" spans="1:233" ht="15">
      <c r="D10" s="945"/>
      <c r="E10" s="930"/>
      <c r="F10" s="930"/>
      <c r="G10" s="930"/>
      <c r="H10" s="930"/>
      <c r="I10" s="930"/>
      <c r="J10" s="930"/>
      <c r="K10" s="930"/>
      <c r="L10" s="930"/>
      <c r="M10" s="930"/>
      <c r="N10" s="930"/>
      <c r="O10" s="930"/>
      <c r="P10" s="930"/>
      <c r="Q10" s="930"/>
      <c r="R10" s="930"/>
      <c r="S10" s="930"/>
      <c r="T10" s="930"/>
      <c r="U10" s="930"/>
      <c r="V10" s="930"/>
      <c r="W10" s="930"/>
      <c r="X10" s="930"/>
      <c r="Y10" s="930"/>
      <c r="Z10" s="930"/>
      <c r="AA10" s="930"/>
      <c r="AB10" s="930"/>
      <c r="AC10" s="930"/>
      <c r="AD10" s="930"/>
      <c r="AE10" s="930"/>
      <c r="AF10" s="930"/>
      <c r="AG10" s="930"/>
      <c r="AH10" s="930"/>
      <c r="AI10" s="930"/>
      <c r="AJ10" s="930"/>
      <c r="AK10" s="930"/>
      <c r="AL10" s="930"/>
      <c r="AM10" s="930"/>
      <c r="AN10" s="930"/>
      <c r="AP10" s="945"/>
      <c r="AQ10" s="930"/>
      <c r="AR10" s="930"/>
      <c r="AS10" s="930"/>
      <c r="AT10" s="930"/>
      <c r="AU10" s="930"/>
      <c r="AX10" s="941"/>
      <c r="AY10" s="930"/>
      <c r="AZ10" s="930"/>
      <c r="BA10" s="930"/>
      <c r="BB10" s="930"/>
      <c r="BC10" s="930"/>
      <c r="BD10" s="930"/>
      <c r="BE10" s="930"/>
      <c r="BF10" s="930"/>
      <c r="BG10" s="930"/>
      <c r="BH10" s="930"/>
      <c r="BI10" s="930"/>
      <c r="BJ10" s="930"/>
      <c r="BK10" s="930"/>
      <c r="BL10" s="930"/>
      <c r="BM10" s="930"/>
      <c r="BN10" s="930"/>
      <c r="BO10" s="930"/>
      <c r="BP10" s="930"/>
      <c r="BQ10" s="930"/>
      <c r="BR10" s="930"/>
      <c r="BS10" s="930"/>
      <c r="BT10" s="930"/>
      <c r="BU10" s="930"/>
      <c r="BV10" s="930"/>
      <c r="BW10" s="930"/>
      <c r="BX10" s="930"/>
      <c r="BY10" s="930"/>
      <c r="BZ10" s="930"/>
      <c r="CA10" s="930"/>
      <c r="CB10" s="930"/>
      <c r="CC10" s="930"/>
      <c r="CD10" s="930"/>
      <c r="CE10" s="930"/>
      <c r="CF10" s="930"/>
      <c r="CG10" s="930"/>
      <c r="CH10" s="930"/>
      <c r="CK10" s="941"/>
      <c r="CL10" s="930"/>
      <c r="CM10" s="930"/>
      <c r="CN10" s="930"/>
      <c r="CO10" s="930"/>
      <c r="CP10" s="930"/>
      <c r="CS10" s="941"/>
      <c r="CT10" s="930"/>
      <c r="CU10" s="930"/>
      <c r="CV10" s="930"/>
      <c r="CW10" s="930"/>
      <c r="CX10" s="930"/>
      <c r="CY10" s="930"/>
      <c r="CZ10" s="930"/>
      <c r="DA10" s="930"/>
      <c r="DB10" s="930"/>
      <c r="DC10" s="930"/>
      <c r="DD10" s="930"/>
      <c r="DE10" s="930"/>
      <c r="DF10" s="930"/>
      <c r="DG10" s="930"/>
      <c r="DH10" s="930"/>
      <c r="DI10" s="930"/>
      <c r="DJ10" s="930"/>
      <c r="DK10" s="930"/>
      <c r="DL10" s="930"/>
      <c r="DM10" s="930"/>
      <c r="DN10" s="930"/>
      <c r="DO10" s="930"/>
      <c r="DP10" s="930"/>
      <c r="DQ10" s="930"/>
      <c r="DR10" s="930"/>
      <c r="DS10" s="930"/>
      <c r="DT10" s="930"/>
      <c r="DU10" s="930"/>
      <c r="DV10" s="930"/>
      <c r="DW10" s="930"/>
      <c r="DX10" s="930"/>
      <c r="DY10" s="930"/>
      <c r="DZ10" s="930"/>
      <c r="EA10" s="930"/>
      <c r="EB10" s="930"/>
      <c r="EC10" s="930"/>
      <c r="EE10" s="941"/>
      <c r="EF10" s="930"/>
      <c r="EG10" s="930"/>
      <c r="EH10" s="930"/>
      <c r="EI10" s="930"/>
      <c r="EJ10" s="930"/>
      <c r="EM10" s="942"/>
      <c r="EN10" s="941"/>
      <c r="EO10" s="930"/>
      <c r="EP10" s="930"/>
      <c r="EQ10" s="930"/>
      <c r="ER10" s="930"/>
      <c r="ES10" s="930"/>
      <c r="ET10" s="930"/>
      <c r="EU10" s="930"/>
      <c r="EV10" s="930"/>
      <c r="EW10" s="930"/>
      <c r="EX10" s="930"/>
      <c r="EY10" s="930"/>
      <c r="EZ10" s="930"/>
      <c r="FA10" s="930"/>
      <c r="FB10" s="930"/>
      <c r="FC10" s="930"/>
      <c r="FD10" s="930"/>
      <c r="FE10" s="930"/>
      <c r="FF10" s="930"/>
      <c r="FG10" s="930"/>
      <c r="FH10" s="930"/>
      <c r="FI10" s="930"/>
      <c r="FJ10" s="930"/>
      <c r="FK10" s="930"/>
      <c r="FL10" s="930"/>
      <c r="FM10" s="930"/>
      <c r="FN10" s="930"/>
      <c r="FO10" s="930"/>
      <c r="FP10" s="930"/>
      <c r="FQ10" s="930"/>
      <c r="FR10" s="930"/>
      <c r="FS10" s="930"/>
      <c r="FT10" s="930"/>
      <c r="FU10" s="930"/>
      <c r="FV10" s="930"/>
      <c r="FW10" s="930"/>
      <c r="FX10" s="930"/>
      <c r="FZ10" s="941"/>
      <c r="GA10" s="930"/>
      <c r="GB10" s="930"/>
      <c r="GC10" s="930"/>
      <c r="GD10" s="930"/>
      <c r="GE10" s="930"/>
      <c r="GF10" s="939"/>
      <c r="GG10" s="946"/>
      <c r="GH10" s="930"/>
      <c r="GI10" s="930"/>
      <c r="GJ10" s="930"/>
      <c r="GK10" s="930"/>
      <c r="GL10" s="930"/>
      <c r="GM10" s="930"/>
      <c r="GN10" s="930"/>
      <c r="GO10" s="930"/>
      <c r="GP10" s="930"/>
      <c r="GQ10" s="930"/>
      <c r="GR10" s="930"/>
      <c r="GS10" s="930"/>
      <c r="GT10" s="930"/>
      <c r="GU10" s="930"/>
      <c r="GV10" s="930"/>
      <c r="GW10" s="930"/>
      <c r="GX10" s="930"/>
      <c r="GY10" s="930"/>
      <c r="GZ10" s="930"/>
      <c r="HA10" s="930"/>
      <c r="HB10" s="930"/>
      <c r="HC10" s="930"/>
      <c r="HD10" s="930"/>
      <c r="HE10" s="930"/>
      <c r="HF10" s="930"/>
      <c r="HG10" s="930"/>
      <c r="HH10" s="930"/>
      <c r="HI10" s="930"/>
      <c r="HJ10" s="930"/>
      <c r="HK10" s="930"/>
      <c r="HL10" s="930"/>
      <c r="HM10" s="930"/>
      <c r="HN10" s="930"/>
      <c r="HO10" s="930"/>
      <c r="HP10" s="930"/>
      <c r="HQ10" s="930"/>
      <c r="HR10" s="939"/>
      <c r="HS10" s="939"/>
      <c r="HT10" s="944"/>
      <c r="HU10" s="930"/>
      <c r="HV10" s="930"/>
      <c r="HW10" s="930"/>
      <c r="HX10" s="930"/>
      <c r="HY10" s="930"/>
    </row>
    <row r="11" spans="1:233" ht="15">
      <c r="D11" s="945"/>
      <c r="E11" s="930"/>
      <c r="F11" s="930"/>
      <c r="G11" s="930"/>
      <c r="H11" s="930"/>
      <c r="I11" s="930"/>
      <c r="J11" s="930"/>
      <c r="K11" s="930"/>
      <c r="L11" s="930"/>
      <c r="M11" s="930"/>
      <c r="N11" s="930"/>
      <c r="O11" s="930"/>
      <c r="P11" s="930"/>
      <c r="Q11" s="930"/>
      <c r="R11" s="930"/>
      <c r="S11" s="930"/>
      <c r="T11" s="930"/>
      <c r="U11" s="930"/>
      <c r="V11" s="930"/>
      <c r="W11" s="930"/>
      <c r="X11" s="930"/>
      <c r="Y11" s="930"/>
      <c r="Z11" s="930"/>
      <c r="AA11" s="930"/>
      <c r="AB11" s="930"/>
      <c r="AC11" s="930"/>
      <c r="AD11" s="930"/>
      <c r="AE11" s="930"/>
      <c r="AF11" s="930"/>
      <c r="AG11" s="930"/>
      <c r="AH11" s="930"/>
      <c r="AI11" s="930"/>
      <c r="AJ11" s="930"/>
      <c r="AK11" s="930"/>
      <c r="AL11" s="930"/>
      <c r="AM11" s="930"/>
      <c r="AN11" s="930"/>
      <c r="AP11" s="945"/>
      <c r="AQ11" s="930"/>
      <c r="AR11" s="930"/>
      <c r="AS11" s="930"/>
      <c r="AT11" s="930"/>
      <c r="AU11" s="930"/>
      <c r="AX11" s="947"/>
      <c r="AY11" s="930"/>
      <c r="AZ11" s="930"/>
      <c r="BA11" s="930"/>
      <c r="BB11" s="930"/>
      <c r="BC11" s="930"/>
      <c r="BD11" s="930"/>
      <c r="BE11" s="930"/>
      <c r="BF11" s="930"/>
      <c r="BG11" s="930"/>
      <c r="BH11" s="930"/>
      <c r="BI11" s="930"/>
      <c r="BJ11" s="930"/>
      <c r="BK11" s="930"/>
      <c r="BL11" s="930"/>
      <c r="BM11" s="930"/>
      <c r="BN11" s="930"/>
      <c r="BO11" s="930"/>
      <c r="BP11" s="930"/>
      <c r="BQ11" s="930"/>
      <c r="BR11" s="930"/>
      <c r="BS11" s="930"/>
      <c r="BT11" s="930"/>
      <c r="BU11" s="930"/>
      <c r="BV11" s="930"/>
      <c r="BW11" s="930"/>
      <c r="BX11" s="930"/>
      <c r="BY11" s="930"/>
      <c r="BZ11" s="930"/>
      <c r="CA11" s="930"/>
      <c r="CB11" s="930"/>
      <c r="CC11" s="930"/>
      <c r="CD11" s="930"/>
      <c r="CE11" s="930"/>
      <c r="CF11" s="930"/>
      <c r="CG11" s="930"/>
      <c r="CH11" s="930"/>
      <c r="CK11" s="947"/>
      <c r="CL11" s="930"/>
      <c r="CM11" s="930"/>
      <c r="CN11" s="930"/>
      <c r="CO11" s="930"/>
      <c r="CP11" s="930"/>
      <c r="CS11" s="948"/>
      <c r="CT11" s="930"/>
      <c r="CU11" s="930"/>
      <c r="CV11" s="930"/>
      <c r="CW11" s="930"/>
      <c r="CX11" s="930"/>
      <c r="CY11" s="930"/>
      <c r="CZ11" s="930"/>
      <c r="DA11" s="930"/>
      <c r="DB11" s="930"/>
      <c r="DC11" s="930"/>
      <c r="DD11" s="930"/>
      <c r="DE11" s="930"/>
      <c r="DF11" s="930"/>
      <c r="DG11" s="930"/>
      <c r="DH11" s="930"/>
      <c r="DI11" s="930"/>
      <c r="DJ11" s="930"/>
      <c r="DK11" s="930"/>
      <c r="DL11" s="930"/>
      <c r="DM11" s="930"/>
      <c r="DN11" s="930"/>
      <c r="DO11" s="930"/>
      <c r="DP11" s="930"/>
      <c r="DQ11" s="930"/>
      <c r="DR11" s="930"/>
      <c r="DS11" s="930"/>
      <c r="DT11" s="930"/>
      <c r="DU11" s="930"/>
      <c r="DV11" s="930"/>
      <c r="DW11" s="930"/>
      <c r="DX11" s="930"/>
      <c r="DY11" s="930"/>
      <c r="DZ11" s="930"/>
      <c r="EA11" s="930"/>
      <c r="EB11" s="930"/>
      <c r="EC11" s="930"/>
      <c r="EE11" s="948"/>
      <c r="EF11" s="930"/>
      <c r="EG11" s="930"/>
      <c r="EH11" s="930"/>
      <c r="EI11" s="930"/>
      <c r="EJ11" s="930"/>
      <c r="EM11" s="942"/>
      <c r="EN11" s="941"/>
      <c r="EO11" s="930"/>
      <c r="EP11" s="930"/>
      <c r="EQ11" s="930"/>
      <c r="ER11" s="930"/>
      <c r="ES11" s="930"/>
      <c r="ET11" s="930"/>
      <c r="EU11" s="930"/>
      <c r="EV11" s="930"/>
      <c r="EW11" s="930"/>
      <c r="EX11" s="930"/>
      <c r="EY11" s="930"/>
      <c r="EZ11" s="930"/>
      <c r="FA11" s="930"/>
      <c r="FB11" s="930"/>
      <c r="FC11" s="930"/>
      <c r="FD11" s="930"/>
      <c r="FE11" s="930"/>
      <c r="FF11" s="930"/>
      <c r="FG11" s="930"/>
      <c r="FH11" s="930"/>
      <c r="FI11" s="930"/>
      <c r="FJ11" s="930"/>
      <c r="FK11" s="930"/>
      <c r="FL11" s="930"/>
      <c r="FM11" s="930"/>
      <c r="FN11" s="930"/>
      <c r="FO11" s="930"/>
      <c r="FP11" s="930"/>
      <c r="FQ11" s="930"/>
      <c r="FR11" s="930"/>
      <c r="FS11" s="930"/>
      <c r="FT11" s="930"/>
      <c r="FU11" s="930"/>
      <c r="FV11" s="930"/>
      <c r="FW11" s="930"/>
      <c r="FX11" s="930"/>
      <c r="FZ11" s="941"/>
      <c r="GA11" s="930"/>
      <c r="GB11" s="930"/>
      <c r="GC11" s="930"/>
      <c r="GD11" s="930"/>
      <c r="GE11" s="930"/>
      <c r="GG11" s="946"/>
      <c r="GH11" s="930"/>
      <c r="GI11" s="930"/>
      <c r="GJ11" s="930"/>
      <c r="GK11" s="930"/>
      <c r="GL11" s="930"/>
      <c r="GM11" s="930"/>
      <c r="GN11" s="930"/>
      <c r="GO11" s="930"/>
      <c r="GP11" s="930"/>
      <c r="GQ11" s="930"/>
      <c r="GR11" s="930"/>
      <c r="GS11" s="930"/>
      <c r="GT11" s="930"/>
      <c r="GU11" s="930"/>
      <c r="GV11" s="930"/>
      <c r="GW11" s="930"/>
      <c r="GX11" s="930"/>
      <c r="GY11" s="930"/>
      <c r="GZ11" s="930"/>
      <c r="HA11" s="930"/>
      <c r="HB11" s="930"/>
      <c r="HC11" s="930"/>
      <c r="HD11" s="930"/>
      <c r="HE11" s="930"/>
      <c r="HF11" s="930"/>
      <c r="HG11" s="930"/>
      <c r="HH11" s="930"/>
      <c r="HI11" s="930"/>
      <c r="HJ11" s="930"/>
      <c r="HK11" s="930"/>
      <c r="HL11" s="930"/>
      <c r="HM11" s="930"/>
      <c r="HN11" s="930"/>
      <c r="HO11" s="930"/>
      <c r="HP11" s="930"/>
      <c r="HQ11" s="930"/>
      <c r="HT11" s="946"/>
      <c r="HU11" s="930"/>
      <c r="HV11" s="930"/>
      <c r="HW11" s="930"/>
      <c r="HX11" s="930"/>
      <c r="HY11" s="930"/>
    </row>
    <row r="12" spans="1:233" ht="15">
      <c r="D12" s="945"/>
      <c r="E12" s="930"/>
      <c r="F12" s="930"/>
      <c r="G12" s="930"/>
      <c r="H12" s="930"/>
      <c r="I12" s="930"/>
      <c r="J12" s="930"/>
      <c r="K12" s="930"/>
      <c r="L12" s="930"/>
      <c r="M12" s="930"/>
      <c r="N12" s="930"/>
      <c r="O12" s="930"/>
      <c r="P12" s="930"/>
      <c r="Q12" s="930"/>
      <c r="R12" s="930"/>
      <c r="S12" s="930"/>
      <c r="T12" s="930"/>
      <c r="U12" s="930"/>
      <c r="V12" s="930"/>
      <c r="W12" s="930"/>
      <c r="X12" s="930"/>
      <c r="Y12" s="930"/>
      <c r="Z12" s="930"/>
      <c r="AA12" s="930"/>
      <c r="AB12" s="930"/>
      <c r="AC12" s="930"/>
      <c r="AD12" s="930"/>
      <c r="AE12" s="930"/>
      <c r="AF12" s="930"/>
      <c r="AG12" s="930"/>
      <c r="AH12" s="930"/>
      <c r="AI12" s="930"/>
      <c r="AJ12" s="930"/>
      <c r="AK12" s="930"/>
      <c r="AL12" s="930"/>
      <c r="AM12" s="930"/>
      <c r="AN12" s="930"/>
      <c r="AP12" s="945"/>
      <c r="AQ12" s="930"/>
      <c r="AR12" s="930"/>
      <c r="AS12" s="930"/>
      <c r="AT12" s="930"/>
      <c r="AU12" s="930"/>
      <c r="AX12" s="949"/>
      <c r="AY12" s="950"/>
      <c r="AZ12" s="950"/>
      <c r="BA12" s="950"/>
      <c r="BB12" s="950"/>
      <c r="BC12" s="950"/>
      <c r="BD12" s="950"/>
      <c r="BE12" s="950"/>
      <c r="BF12" s="950"/>
      <c r="BG12" s="950"/>
      <c r="BH12" s="950"/>
      <c r="BI12" s="950"/>
      <c r="BJ12" s="950"/>
      <c r="BK12" s="950"/>
      <c r="BL12" s="950"/>
      <c r="BM12" s="950"/>
      <c r="BN12" s="950"/>
      <c r="BO12" s="950"/>
      <c r="BP12" s="950"/>
      <c r="BQ12" s="950"/>
      <c r="BR12" s="950"/>
      <c r="BS12" s="950"/>
      <c r="BT12" s="950"/>
      <c r="BU12" s="950"/>
      <c r="BV12" s="950"/>
      <c r="BW12" s="950"/>
      <c r="BX12" s="950"/>
      <c r="BY12" s="950"/>
      <c r="BZ12" s="950"/>
      <c r="CA12" s="950"/>
      <c r="CB12" s="950"/>
      <c r="CC12" s="950"/>
      <c r="CD12" s="950"/>
      <c r="CE12" s="950"/>
      <c r="CF12" s="950"/>
      <c r="CG12" s="950"/>
      <c r="CH12" s="950"/>
      <c r="CK12" s="949"/>
      <c r="CL12" s="950"/>
      <c r="CM12" s="950"/>
      <c r="CN12" s="950"/>
      <c r="CO12" s="950"/>
      <c r="CP12" s="950"/>
      <c r="CS12" s="947"/>
      <c r="CT12" s="930"/>
      <c r="CU12" s="930"/>
      <c r="CV12" s="930"/>
      <c r="CW12" s="930"/>
      <c r="CX12" s="930"/>
      <c r="CY12" s="930"/>
      <c r="CZ12" s="930"/>
      <c r="DA12" s="930"/>
      <c r="DB12" s="930"/>
      <c r="DC12" s="930"/>
      <c r="DD12" s="930"/>
      <c r="DE12" s="930"/>
      <c r="DF12" s="930"/>
      <c r="DG12" s="930"/>
      <c r="DH12" s="930"/>
      <c r="DI12" s="930"/>
      <c r="DJ12" s="930"/>
      <c r="DK12" s="930"/>
      <c r="DL12" s="930"/>
      <c r="DM12" s="930"/>
      <c r="DN12" s="930"/>
      <c r="DO12" s="930"/>
      <c r="DP12" s="930"/>
      <c r="DQ12" s="930"/>
      <c r="DR12" s="930"/>
      <c r="DS12" s="930"/>
      <c r="DT12" s="930"/>
      <c r="DU12" s="930"/>
      <c r="DV12" s="930"/>
      <c r="DW12" s="930"/>
      <c r="DX12" s="930"/>
      <c r="DY12" s="930"/>
      <c r="DZ12" s="930"/>
      <c r="EA12" s="930"/>
      <c r="EB12" s="930"/>
      <c r="EC12" s="930"/>
      <c r="EE12" s="947"/>
      <c r="EF12" s="930"/>
      <c r="EG12" s="930"/>
      <c r="EH12" s="930"/>
      <c r="EI12" s="930"/>
      <c r="EJ12" s="930"/>
      <c r="EM12" s="942"/>
      <c r="EN12" s="947"/>
      <c r="EO12" s="930"/>
      <c r="EP12" s="930"/>
      <c r="EQ12" s="930"/>
      <c r="ER12" s="930"/>
      <c r="ES12" s="930"/>
      <c r="ET12" s="930"/>
      <c r="EU12" s="930"/>
      <c r="EV12" s="930"/>
      <c r="EW12" s="930"/>
      <c r="EX12" s="930"/>
      <c r="EY12" s="930"/>
      <c r="EZ12" s="930"/>
      <c r="FA12" s="930"/>
      <c r="FB12" s="930"/>
      <c r="FC12" s="930"/>
      <c r="FD12" s="930"/>
      <c r="FE12" s="930"/>
      <c r="FF12" s="930"/>
      <c r="FG12" s="930"/>
      <c r="FH12" s="930"/>
      <c r="FI12" s="930"/>
      <c r="FJ12" s="930"/>
      <c r="FK12" s="930"/>
      <c r="FL12" s="930"/>
      <c r="FM12" s="930"/>
      <c r="FN12" s="930"/>
      <c r="FO12" s="930"/>
      <c r="FP12" s="930"/>
      <c r="FQ12" s="930"/>
      <c r="FR12" s="930"/>
      <c r="FS12" s="930"/>
      <c r="FT12" s="930"/>
      <c r="FU12" s="930"/>
      <c r="FV12" s="930"/>
      <c r="FW12" s="930"/>
      <c r="FX12" s="930"/>
      <c r="FZ12" s="947"/>
      <c r="GA12" s="930"/>
      <c r="GB12" s="930"/>
      <c r="GC12" s="930"/>
      <c r="GD12" s="930"/>
      <c r="GE12" s="930"/>
      <c r="GG12" s="951"/>
      <c r="GH12" s="930"/>
      <c r="GI12" s="930"/>
      <c r="GJ12" s="930"/>
      <c r="GK12" s="930"/>
      <c r="GL12" s="930"/>
      <c r="GM12" s="930"/>
      <c r="GN12" s="930"/>
      <c r="GO12" s="930"/>
      <c r="GP12" s="930"/>
      <c r="GQ12" s="930"/>
      <c r="GR12" s="930"/>
      <c r="GS12" s="930"/>
      <c r="GT12" s="930"/>
      <c r="GU12" s="930"/>
      <c r="GV12" s="930"/>
      <c r="GW12" s="930"/>
      <c r="GX12" s="930"/>
      <c r="GY12" s="930"/>
      <c r="GZ12" s="930"/>
      <c r="HA12" s="930"/>
      <c r="HB12" s="930"/>
      <c r="HC12" s="930"/>
      <c r="HD12" s="930"/>
      <c r="HE12" s="930"/>
      <c r="HF12" s="930"/>
      <c r="HG12" s="930"/>
      <c r="HH12" s="930"/>
      <c r="HI12" s="930"/>
      <c r="HJ12" s="930"/>
      <c r="HK12" s="930"/>
      <c r="HL12" s="930"/>
      <c r="HM12" s="930"/>
      <c r="HN12" s="930"/>
      <c r="HO12" s="930"/>
      <c r="HP12" s="930"/>
      <c r="HQ12" s="930"/>
      <c r="HT12" s="951"/>
      <c r="HU12" s="930"/>
      <c r="HV12" s="930"/>
      <c r="HW12" s="930"/>
      <c r="HX12" s="930"/>
      <c r="HY12" s="930"/>
    </row>
    <row r="13" spans="1:233">
      <c r="D13" s="940"/>
      <c r="E13" s="930"/>
      <c r="F13" s="930"/>
      <c r="G13" s="930"/>
      <c r="H13" s="930"/>
      <c r="I13" s="930"/>
      <c r="J13" s="930"/>
      <c r="K13" s="930"/>
      <c r="L13" s="930"/>
      <c r="M13" s="930"/>
      <c r="N13" s="930"/>
      <c r="O13" s="930"/>
      <c r="P13" s="930"/>
      <c r="Q13" s="930"/>
      <c r="R13" s="930"/>
      <c r="S13" s="930"/>
      <c r="T13" s="930"/>
      <c r="U13" s="930"/>
      <c r="V13" s="930"/>
      <c r="W13" s="930"/>
      <c r="X13" s="930"/>
      <c r="Y13" s="930"/>
      <c r="Z13" s="930"/>
      <c r="AA13" s="930"/>
      <c r="AB13" s="930"/>
      <c r="AC13" s="930"/>
      <c r="AD13" s="930"/>
      <c r="AE13" s="930"/>
      <c r="AF13" s="930"/>
      <c r="AG13" s="930"/>
      <c r="AH13" s="930"/>
      <c r="AI13" s="930"/>
      <c r="AJ13" s="930"/>
      <c r="AK13" s="930"/>
      <c r="AL13" s="930"/>
      <c r="AM13" s="930"/>
      <c r="AN13" s="930"/>
      <c r="AP13" s="940"/>
      <c r="AQ13" s="930"/>
      <c r="AR13" s="930"/>
      <c r="AS13" s="930"/>
      <c r="AT13" s="930"/>
      <c r="AU13" s="930"/>
      <c r="AX13" s="952"/>
      <c r="AY13" s="953"/>
      <c r="AZ13" s="953"/>
      <c r="BA13" s="953"/>
      <c r="BB13" s="953"/>
      <c r="BC13" s="953"/>
      <c r="BD13" s="953"/>
      <c r="BE13" s="953"/>
      <c r="BF13" s="953"/>
      <c r="BG13" s="953"/>
      <c r="BH13" s="953"/>
      <c r="BI13" s="953"/>
      <c r="BJ13" s="953"/>
      <c r="BK13" s="953"/>
      <c r="BL13" s="953"/>
      <c r="BM13" s="953"/>
      <c r="BN13" s="953"/>
      <c r="BO13" s="953"/>
      <c r="BP13" s="953"/>
      <c r="BQ13" s="953"/>
      <c r="BR13" s="953"/>
      <c r="BS13" s="953"/>
      <c r="BT13" s="953"/>
      <c r="BU13" s="953"/>
      <c r="BV13" s="953"/>
      <c r="BW13" s="953"/>
      <c r="BX13" s="953"/>
      <c r="BY13" s="953"/>
      <c r="BZ13" s="953"/>
      <c r="CA13" s="953"/>
      <c r="CB13" s="953"/>
      <c r="CC13" s="953"/>
      <c r="CD13" s="953"/>
      <c r="CE13" s="953"/>
      <c r="CF13" s="953"/>
      <c r="CG13" s="953"/>
      <c r="CH13" s="953"/>
      <c r="CK13" s="952"/>
      <c r="CL13" s="953"/>
      <c r="CM13" s="953"/>
      <c r="CN13" s="953"/>
      <c r="CO13" s="953"/>
      <c r="CP13" s="953"/>
      <c r="CS13" s="947"/>
      <c r="CT13" s="930"/>
      <c r="CU13" s="930"/>
      <c r="CV13" s="930"/>
      <c r="CW13" s="930"/>
      <c r="CX13" s="930"/>
      <c r="CY13" s="930"/>
      <c r="CZ13" s="930"/>
      <c r="DA13" s="930"/>
      <c r="DB13" s="930"/>
      <c r="DC13" s="930"/>
      <c r="DD13" s="930"/>
      <c r="DE13" s="930"/>
      <c r="DF13" s="930"/>
      <c r="DG13" s="930"/>
      <c r="DH13" s="930"/>
      <c r="DI13" s="930"/>
      <c r="DJ13" s="930"/>
      <c r="DK13" s="930"/>
      <c r="DL13" s="930"/>
      <c r="DM13" s="930"/>
      <c r="DN13" s="930"/>
      <c r="DO13" s="930"/>
      <c r="DP13" s="930"/>
      <c r="DQ13" s="930"/>
      <c r="DR13" s="930"/>
      <c r="DS13" s="930"/>
      <c r="DT13" s="930"/>
      <c r="DU13" s="930"/>
      <c r="DV13" s="930"/>
      <c r="DW13" s="930"/>
      <c r="DX13" s="930"/>
      <c r="DY13" s="930"/>
      <c r="DZ13" s="930"/>
      <c r="EA13" s="930"/>
      <c r="EB13" s="930"/>
      <c r="EC13" s="930"/>
      <c r="EE13" s="947"/>
      <c r="EF13" s="930"/>
      <c r="EG13" s="930"/>
      <c r="EH13" s="930"/>
      <c r="EI13" s="930"/>
      <c r="EJ13" s="930"/>
      <c r="EM13" s="942"/>
      <c r="EN13" s="947"/>
      <c r="EO13" s="930"/>
      <c r="EP13" s="930"/>
      <c r="EQ13" s="930"/>
      <c r="ER13" s="930"/>
      <c r="ES13" s="930"/>
      <c r="ET13" s="930"/>
      <c r="EU13" s="930"/>
      <c r="EV13" s="930"/>
      <c r="EW13" s="930"/>
      <c r="EX13" s="930"/>
      <c r="EY13" s="930"/>
      <c r="EZ13" s="930"/>
      <c r="FA13" s="930"/>
      <c r="FB13" s="930"/>
      <c r="FC13" s="930"/>
      <c r="FD13" s="930"/>
      <c r="FE13" s="930"/>
      <c r="FF13" s="930"/>
      <c r="FG13" s="930"/>
      <c r="FH13" s="930"/>
      <c r="FI13" s="930"/>
      <c r="FJ13" s="930"/>
      <c r="FK13" s="930"/>
      <c r="FL13" s="930"/>
      <c r="FM13" s="930"/>
      <c r="FN13" s="930"/>
      <c r="FO13" s="930"/>
      <c r="FP13" s="930"/>
      <c r="FQ13" s="930"/>
      <c r="FR13" s="930"/>
      <c r="FS13" s="930"/>
      <c r="FT13" s="930"/>
      <c r="FU13" s="930"/>
      <c r="FV13" s="930"/>
      <c r="FW13" s="930"/>
      <c r="FX13" s="930"/>
      <c r="FZ13" s="947"/>
      <c r="GA13" s="930"/>
      <c r="GB13" s="930"/>
      <c r="GC13" s="930"/>
      <c r="GD13" s="930"/>
      <c r="GE13" s="930"/>
      <c r="GG13" s="946"/>
      <c r="GH13" s="930"/>
      <c r="GI13" s="930"/>
      <c r="GJ13" s="930"/>
      <c r="GK13" s="930"/>
      <c r="GL13" s="930"/>
      <c r="GM13" s="930"/>
      <c r="GN13" s="930"/>
      <c r="GO13" s="930"/>
      <c r="GP13" s="930"/>
      <c r="GQ13" s="930"/>
      <c r="GR13" s="930"/>
      <c r="GS13" s="930"/>
      <c r="GT13" s="930"/>
      <c r="GU13" s="930"/>
      <c r="GV13" s="930"/>
      <c r="GW13" s="930"/>
      <c r="GX13" s="930"/>
      <c r="GY13" s="930"/>
      <c r="GZ13" s="930"/>
      <c r="HA13" s="930"/>
      <c r="HB13" s="930"/>
      <c r="HC13" s="930"/>
      <c r="HD13" s="930"/>
      <c r="HE13" s="930"/>
      <c r="HF13" s="930"/>
      <c r="HG13" s="930"/>
      <c r="HH13" s="930"/>
      <c r="HI13" s="930"/>
      <c r="HJ13" s="930"/>
      <c r="HK13" s="930"/>
      <c r="HL13" s="930"/>
      <c r="HM13" s="930"/>
      <c r="HN13" s="930"/>
      <c r="HO13" s="930"/>
      <c r="HP13" s="930"/>
      <c r="HQ13" s="930"/>
      <c r="HT13" s="946"/>
      <c r="HU13" s="930"/>
      <c r="HV13" s="930"/>
      <c r="HW13" s="930"/>
      <c r="HX13" s="930"/>
      <c r="HY13" s="930"/>
    </row>
    <row r="14" spans="1:233" ht="13.5" thickBot="1">
      <c r="D14" s="940"/>
      <c r="E14" s="930"/>
      <c r="F14" s="930"/>
      <c r="G14" s="930"/>
      <c r="H14" s="930"/>
      <c r="I14" s="930"/>
      <c r="J14" s="930"/>
      <c r="K14" s="930"/>
      <c r="L14" s="930"/>
      <c r="M14" s="930"/>
      <c r="N14" s="930"/>
      <c r="O14" s="930"/>
      <c r="P14" s="930"/>
      <c r="Q14" s="930"/>
      <c r="R14" s="930"/>
      <c r="S14" s="930"/>
      <c r="T14" s="930"/>
      <c r="U14" s="930"/>
      <c r="V14" s="930"/>
      <c r="W14" s="930"/>
      <c r="X14" s="930"/>
      <c r="Y14" s="930"/>
      <c r="Z14" s="930"/>
      <c r="AA14" s="930"/>
      <c r="AB14" s="930"/>
      <c r="AC14" s="930"/>
      <c r="AD14" s="930"/>
      <c r="AE14" s="930"/>
      <c r="AF14" s="930"/>
      <c r="AG14" s="930"/>
      <c r="AH14" s="930"/>
      <c r="AI14" s="930"/>
      <c r="AJ14" s="930"/>
      <c r="AK14" s="930"/>
      <c r="AL14" s="930"/>
      <c r="AM14" s="930"/>
      <c r="AN14" s="930"/>
      <c r="AP14" s="940"/>
      <c r="AQ14" s="930"/>
      <c r="AR14" s="930"/>
      <c r="AS14" s="930"/>
      <c r="AT14" s="930"/>
      <c r="AU14" s="930"/>
      <c r="AX14" s="954"/>
      <c r="AY14" s="955"/>
      <c r="AZ14" s="955"/>
      <c r="BA14" s="955"/>
      <c r="BB14" s="955"/>
      <c r="BC14" s="955"/>
      <c r="BD14" s="955"/>
      <c r="BE14" s="955"/>
      <c r="BF14" s="955"/>
      <c r="BG14" s="955"/>
      <c r="BH14" s="955"/>
      <c r="BI14" s="955"/>
      <c r="BJ14" s="955"/>
      <c r="BK14" s="955"/>
      <c r="BL14" s="955"/>
      <c r="BM14" s="955"/>
      <c r="BN14" s="955"/>
      <c r="BO14" s="955"/>
      <c r="BP14" s="955"/>
      <c r="BQ14" s="955"/>
      <c r="BR14" s="955"/>
      <c r="BS14" s="955"/>
      <c r="BT14" s="955"/>
      <c r="BU14" s="955"/>
      <c r="BV14" s="955"/>
      <c r="BW14" s="955"/>
      <c r="BX14" s="955"/>
      <c r="BY14" s="955"/>
      <c r="BZ14" s="955"/>
      <c r="CA14" s="955"/>
      <c r="CB14" s="955"/>
      <c r="CC14" s="955"/>
      <c r="CD14" s="955"/>
      <c r="CE14" s="955"/>
      <c r="CF14" s="955"/>
      <c r="CG14" s="955"/>
      <c r="CH14" s="955"/>
      <c r="CK14" s="954"/>
      <c r="CL14" s="955"/>
      <c r="CM14" s="955"/>
      <c r="CN14" s="955"/>
      <c r="CO14" s="955"/>
      <c r="CP14" s="955"/>
      <c r="CS14" s="947"/>
      <c r="CT14" s="930"/>
      <c r="CU14" s="930"/>
      <c r="CV14" s="930"/>
      <c r="CW14" s="930"/>
      <c r="CX14" s="930"/>
      <c r="CY14" s="930"/>
      <c r="CZ14" s="930"/>
      <c r="DA14" s="930"/>
      <c r="DB14" s="930"/>
      <c r="DC14" s="930"/>
      <c r="DD14" s="930"/>
      <c r="DE14" s="930"/>
      <c r="DF14" s="930"/>
      <c r="DG14" s="930"/>
      <c r="DH14" s="930"/>
      <c r="DI14" s="930"/>
      <c r="DJ14" s="930"/>
      <c r="DK14" s="930"/>
      <c r="DL14" s="930"/>
      <c r="DM14" s="930"/>
      <c r="DN14" s="930"/>
      <c r="DO14" s="930"/>
      <c r="DP14" s="930"/>
      <c r="DQ14" s="930"/>
      <c r="DR14" s="930"/>
      <c r="DS14" s="930"/>
      <c r="DT14" s="930"/>
      <c r="DU14" s="930"/>
      <c r="DV14" s="930"/>
      <c r="DW14" s="930"/>
      <c r="DX14" s="930"/>
      <c r="DY14" s="930"/>
      <c r="DZ14" s="930"/>
      <c r="EA14" s="930"/>
      <c r="EB14" s="930"/>
      <c r="EC14" s="930"/>
      <c r="EE14" s="947"/>
      <c r="EF14" s="930"/>
      <c r="EG14" s="930"/>
      <c r="EH14" s="930"/>
      <c r="EI14" s="930"/>
      <c r="EJ14" s="930"/>
      <c r="EM14" s="942"/>
      <c r="EN14" s="956"/>
      <c r="EO14" s="930"/>
      <c r="EP14" s="930"/>
      <c r="EQ14" s="930"/>
      <c r="ER14" s="930"/>
      <c r="ES14" s="930"/>
      <c r="ET14" s="930"/>
      <c r="EU14" s="930"/>
      <c r="EV14" s="930"/>
      <c r="EW14" s="930"/>
      <c r="EX14" s="930"/>
      <c r="EY14" s="930"/>
      <c r="EZ14" s="930"/>
      <c r="FA14" s="930"/>
      <c r="FB14" s="930"/>
      <c r="FC14" s="930"/>
      <c r="FD14" s="930"/>
      <c r="FE14" s="930"/>
      <c r="FF14" s="930"/>
      <c r="FG14" s="930"/>
      <c r="FH14" s="930"/>
      <c r="FI14" s="930"/>
      <c r="FJ14" s="930"/>
      <c r="FK14" s="930"/>
      <c r="FL14" s="930"/>
      <c r="FM14" s="930"/>
      <c r="FN14" s="930"/>
      <c r="FO14" s="930"/>
      <c r="FP14" s="930"/>
      <c r="FQ14" s="930"/>
      <c r="FR14" s="930"/>
      <c r="FS14" s="930"/>
      <c r="FT14" s="930"/>
      <c r="FU14" s="930"/>
      <c r="FV14" s="930"/>
      <c r="FW14" s="930"/>
      <c r="FX14" s="930"/>
      <c r="FZ14" s="956"/>
      <c r="GA14" s="930"/>
      <c r="GB14" s="930"/>
      <c r="GC14" s="930"/>
      <c r="GD14" s="930"/>
      <c r="GE14" s="930"/>
      <c r="GG14" s="957"/>
      <c r="GH14" s="930"/>
      <c r="GI14" s="930"/>
      <c r="GJ14" s="930"/>
      <c r="GK14" s="930"/>
      <c r="GL14" s="930"/>
      <c r="GM14" s="930"/>
      <c r="GN14" s="930"/>
      <c r="GO14" s="930"/>
      <c r="GP14" s="930"/>
      <c r="GQ14" s="930"/>
      <c r="GR14" s="930"/>
      <c r="GS14" s="930"/>
      <c r="GT14" s="930"/>
      <c r="GU14" s="930"/>
      <c r="GV14" s="930"/>
      <c r="GW14" s="930"/>
      <c r="GX14" s="930"/>
      <c r="GY14" s="930"/>
      <c r="GZ14" s="930"/>
      <c r="HA14" s="930"/>
      <c r="HB14" s="930"/>
      <c r="HC14" s="930"/>
      <c r="HD14" s="930"/>
      <c r="HE14" s="930"/>
      <c r="HF14" s="930"/>
      <c r="HG14" s="930"/>
      <c r="HH14" s="930"/>
      <c r="HI14" s="930"/>
      <c r="HJ14" s="930"/>
      <c r="HK14" s="930"/>
      <c r="HL14" s="930"/>
      <c r="HM14" s="930"/>
      <c r="HN14" s="930"/>
      <c r="HO14" s="930"/>
      <c r="HP14" s="930"/>
      <c r="HQ14" s="930"/>
      <c r="HT14" s="957"/>
      <c r="HU14" s="930"/>
      <c r="HV14" s="930"/>
      <c r="HW14" s="930"/>
      <c r="HX14" s="930"/>
      <c r="HY14" s="930"/>
    </row>
    <row r="15" spans="1:233">
      <c r="D15" s="940"/>
      <c r="E15" s="930"/>
      <c r="F15" s="930"/>
      <c r="G15" s="930"/>
      <c r="H15" s="930"/>
      <c r="I15" s="930"/>
      <c r="J15" s="930"/>
      <c r="K15" s="930"/>
      <c r="L15" s="930"/>
      <c r="M15" s="930"/>
      <c r="N15" s="930"/>
      <c r="O15" s="930"/>
      <c r="P15" s="930"/>
      <c r="Q15" s="930"/>
      <c r="R15" s="930"/>
      <c r="S15" s="930"/>
      <c r="T15" s="930"/>
      <c r="U15" s="930"/>
      <c r="V15" s="930"/>
      <c r="W15" s="930"/>
      <c r="X15" s="930"/>
      <c r="Y15" s="930"/>
      <c r="Z15" s="930"/>
      <c r="AA15" s="930"/>
      <c r="AB15" s="930"/>
      <c r="AC15" s="930"/>
      <c r="AD15" s="930"/>
      <c r="AE15" s="930"/>
      <c r="AF15" s="930"/>
      <c r="AG15" s="930"/>
      <c r="AH15" s="930"/>
      <c r="AI15" s="930"/>
      <c r="AJ15" s="930"/>
      <c r="AK15" s="930"/>
      <c r="AL15" s="930"/>
      <c r="AM15" s="930"/>
      <c r="AN15" s="930"/>
      <c r="AP15" s="940"/>
      <c r="AQ15" s="930"/>
      <c r="AR15" s="930"/>
      <c r="AS15" s="930"/>
      <c r="AT15" s="930"/>
      <c r="AU15" s="930"/>
      <c r="AX15" s="958"/>
      <c r="AY15" s="930"/>
      <c r="AZ15" s="930"/>
      <c r="BA15" s="930"/>
      <c r="BB15" s="930"/>
      <c r="BC15" s="930"/>
      <c r="BD15" s="930"/>
      <c r="BE15" s="930"/>
      <c r="BF15" s="930"/>
      <c r="BG15" s="930"/>
      <c r="BH15" s="930"/>
      <c r="BI15" s="930"/>
      <c r="BJ15" s="930"/>
      <c r="BK15" s="930"/>
      <c r="BL15" s="930"/>
      <c r="BM15" s="930"/>
      <c r="BN15" s="930"/>
      <c r="BO15" s="930"/>
      <c r="BP15" s="930"/>
      <c r="BQ15" s="930"/>
      <c r="BR15" s="930"/>
      <c r="BS15" s="930"/>
      <c r="BT15" s="930"/>
      <c r="BU15" s="930"/>
      <c r="BV15" s="930"/>
      <c r="BW15" s="930"/>
      <c r="BX15" s="930"/>
      <c r="BY15" s="930"/>
      <c r="BZ15" s="930"/>
      <c r="CA15" s="930"/>
      <c r="CB15" s="930"/>
      <c r="CC15" s="930"/>
      <c r="CD15" s="930"/>
      <c r="CE15" s="930"/>
      <c r="CF15" s="930"/>
      <c r="CG15" s="930"/>
      <c r="CH15" s="930"/>
      <c r="CK15" s="958"/>
      <c r="CL15" s="930"/>
      <c r="CM15" s="930"/>
      <c r="CN15" s="930"/>
      <c r="CO15" s="930"/>
      <c r="CP15" s="930"/>
      <c r="CS15" s="947"/>
      <c r="CT15" s="930"/>
      <c r="CU15" s="930"/>
      <c r="CV15" s="930"/>
      <c r="CW15" s="930"/>
      <c r="CX15" s="930"/>
      <c r="CY15" s="930"/>
      <c r="CZ15" s="930"/>
      <c r="DA15" s="930"/>
      <c r="DB15" s="930"/>
      <c r="DC15" s="930"/>
      <c r="DD15" s="930"/>
      <c r="DE15" s="930"/>
      <c r="DF15" s="930"/>
      <c r="DG15" s="930"/>
      <c r="DH15" s="930"/>
      <c r="DI15" s="930"/>
      <c r="DJ15" s="930"/>
      <c r="DK15" s="930"/>
      <c r="DL15" s="930"/>
      <c r="DM15" s="930"/>
      <c r="DN15" s="930"/>
      <c r="DO15" s="930"/>
      <c r="DP15" s="930"/>
      <c r="DQ15" s="930"/>
      <c r="DR15" s="930"/>
      <c r="DS15" s="930"/>
      <c r="DT15" s="930"/>
      <c r="DU15" s="930"/>
      <c r="DV15" s="930"/>
      <c r="DW15" s="930"/>
      <c r="DX15" s="930"/>
      <c r="DY15" s="930"/>
      <c r="DZ15" s="930"/>
      <c r="EA15" s="930"/>
      <c r="EB15" s="930"/>
      <c r="EC15" s="930"/>
      <c r="EE15" s="947"/>
      <c r="EF15" s="930"/>
      <c r="EG15" s="930"/>
      <c r="EH15" s="930"/>
      <c r="EI15" s="930"/>
      <c r="EJ15" s="930"/>
      <c r="EM15" s="942"/>
    </row>
    <row r="16" spans="1:233" ht="15">
      <c r="D16" s="959"/>
      <c r="E16" s="960"/>
      <c r="F16" s="960"/>
      <c r="G16" s="960"/>
      <c r="H16" s="960"/>
      <c r="I16" s="960"/>
      <c r="J16" s="960"/>
      <c r="K16" s="960"/>
      <c r="L16" s="960"/>
      <c r="M16" s="960"/>
      <c r="N16" s="960"/>
      <c r="O16" s="960"/>
      <c r="P16" s="960"/>
      <c r="Q16" s="960"/>
      <c r="R16" s="960"/>
      <c r="S16" s="960"/>
      <c r="T16" s="960"/>
      <c r="U16" s="960"/>
      <c r="V16" s="960"/>
      <c r="W16" s="960"/>
      <c r="X16" s="960"/>
      <c r="Y16" s="960"/>
      <c r="Z16" s="960"/>
      <c r="AA16" s="960"/>
      <c r="AB16" s="960"/>
      <c r="AC16" s="960"/>
      <c r="AD16" s="960"/>
      <c r="AE16" s="960"/>
      <c r="AF16" s="960"/>
      <c r="AG16" s="960"/>
      <c r="AH16" s="960"/>
      <c r="AI16" s="960"/>
      <c r="AJ16" s="960"/>
      <c r="AK16" s="960"/>
      <c r="AL16" s="960"/>
      <c r="AM16" s="960"/>
      <c r="AN16" s="960"/>
      <c r="AP16" s="959"/>
      <c r="AQ16" s="960"/>
      <c r="AR16" s="960"/>
      <c r="AS16" s="960"/>
      <c r="AT16" s="960"/>
      <c r="AU16" s="960"/>
      <c r="AX16" s="958"/>
      <c r="AY16" s="930"/>
      <c r="AZ16" s="930"/>
      <c r="BA16" s="930"/>
      <c r="BB16" s="930"/>
      <c r="BC16" s="930"/>
      <c r="BD16" s="930"/>
      <c r="BE16" s="930"/>
      <c r="BF16" s="930"/>
      <c r="BG16" s="930"/>
      <c r="BH16" s="930"/>
      <c r="BI16" s="930"/>
      <c r="BJ16" s="930"/>
      <c r="BK16" s="930"/>
      <c r="BL16" s="930"/>
      <c r="BM16" s="930"/>
      <c r="BN16" s="930"/>
      <c r="BO16" s="930"/>
      <c r="BP16" s="930"/>
      <c r="BQ16" s="930"/>
      <c r="BR16" s="930"/>
      <c r="BS16" s="930"/>
      <c r="BT16" s="930"/>
      <c r="BU16" s="930"/>
      <c r="BV16" s="930"/>
      <c r="BW16" s="930"/>
      <c r="BX16" s="930"/>
      <c r="BY16" s="930"/>
      <c r="BZ16" s="930"/>
      <c r="CA16" s="930"/>
      <c r="CB16" s="930"/>
      <c r="CC16" s="930"/>
      <c r="CD16" s="930"/>
      <c r="CE16" s="930"/>
      <c r="CF16" s="930"/>
      <c r="CG16" s="930"/>
      <c r="CH16" s="930"/>
      <c r="CK16" s="958"/>
      <c r="CL16" s="930"/>
      <c r="CM16" s="930"/>
      <c r="CN16" s="930"/>
      <c r="CO16" s="930"/>
      <c r="CP16" s="930"/>
      <c r="CS16" s="947"/>
      <c r="CT16" s="930"/>
      <c r="CU16" s="930"/>
      <c r="CV16" s="930"/>
      <c r="CW16" s="930"/>
      <c r="CX16" s="930"/>
      <c r="CY16" s="930"/>
      <c r="CZ16" s="930"/>
      <c r="DA16" s="930"/>
      <c r="DB16" s="930"/>
      <c r="DC16" s="930"/>
      <c r="DD16" s="930"/>
      <c r="DE16" s="930"/>
      <c r="DF16" s="930"/>
      <c r="DG16" s="930"/>
      <c r="DH16" s="930"/>
      <c r="DI16" s="930"/>
      <c r="DJ16" s="930"/>
      <c r="DK16" s="930"/>
      <c r="DL16" s="930"/>
      <c r="DM16" s="930"/>
      <c r="DN16" s="930"/>
      <c r="DO16" s="930"/>
      <c r="DP16" s="930"/>
      <c r="DQ16" s="930"/>
      <c r="DR16" s="930"/>
      <c r="DS16" s="930"/>
      <c r="DT16" s="930"/>
      <c r="DU16" s="930"/>
      <c r="DV16" s="930"/>
      <c r="DW16" s="930"/>
      <c r="DX16" s="930"/>
      <c r="DY16" s="930"/>
      <c r="DZ16" s="930"/>
      <c r="EA16" s="930"/>
      <c r="EB16" s="930"/>
      <c r="EC16" s="930"/>
      <c r="EE16" s="947"/>
      <c r="EF16" s="930"/>
      <c r="EG16" s="930"/>
      <c r="EH16" s="930"/>
      <c r="EI16" s="930"/>
      <c r="EJ16" s="930"/>
      <c r="EM16" s="942"/>
    </row>
    <row r="17" spans="4:143">
      <c r="D17" s="961"/>
      <c r="E17" s="962"/>
      <c r="F17" s="962"/>
      <c r="G17" s="962"/>
      <c r="H17" s="962"/>
      <c r="I17" s="962"/>
      <c r="J17" s="962"/>
      <c r="K17" s="962"/>
      <c r="L17" s="962"/>
      <c r="M17" s="962"/>
      <c r="N17" s="962"/>
      <c r="O17" s="962"/>
      <c r="P17" s="962"/>
      <c r="Q17" s="962"/>
      <c r="R17" s="962"/>
      <c r="S17" s="962"/>
      <c r="T17" s="962"/>
      <c r="U17" s="962"/>
      <c r="V17" s="962"/>
      <c r="W17" s="962"/>
      <c r="X17" s="962"/>
      <c r="Y17" s="962"/>
      <c r="Z17" s="962"/>
      <c r="AA17" s="962"/>
      <c r="AB17" s="962"/>
      <c r="AC17" s="962"/>
      <c r="AD17" s="962"/>
      <c r="AE17" s="962"/>
      <c r="AF17" s="962"/>
      <c r="AG17" s="962"/>
      <c r="AH17" s="962"/>
      <c r="AI17" s="962"/>
      <c r="AJ17" s="962"/>
      <c r="AK17" s="962"/>
      <c r="AL17" s="962"/>
      <c r="AM17" s="962"/>
      <c r="AN17" s="962"/>
      <c r="AP17" s="961"/>
      <c r="AQ17" s="962"/>
      <c r="AR17" s="962"/>
      <c r="AS17" s="962"/>
      <c r="AT17" s="962"/>
      <c r="AU17" s="962"/>
      <c r="AX17" s="949"/>
      <c r="AY17" s="950"/>
      <c r="AZ17" s="950"/>
      <c r="BA17" s="950"/>
      <c r="BB17" s="950"/>
      <c r="BC17" s="950"/>
      <c r="BD17" s="950"/>
      <c r="BE17" s="950"/>
      <c r="BF17" s="950"/>
      <c r="BG17" s="950"/>
      <c r="BH17" s="950"/>
      <c r="BI17" s="950"/>
      <c r="BJ17" s="950"/>
      <c r="BK17" s="950"/>
      <c r="BL17" s="950"/>
      <c r="BM17" s="950"/>
      <c r="BN17" s="950"/>
      <c r="BO17" s="950"/>
      <c r="BP17" s="950"/>
      <c r="BQ17" s="950"/>
      <c r="BR17" s="950"/>
      <c r="BS17" s="950"/>
      <c r="BT17" s="950"/>
      <c r="BU17" s="950"/>
      <c r="BV17" s="950"/>
      <c r="BW17" s="950"/>
      <c r="BX17" s="950"/>
      <c r="BY17" s="950"/>
      <c r="BZ17" s="950"/>
      <c r="CA17" s="950"/>
      <c r="CB17" s="950"/>
      <c r="CC17" s="950"/>
      <c r="CD17" s="950"/>
      <c r="CE17" s="950"/>
      <c r="CF17" s="950"/>
      <c r="CG17" s="950"/>
      <c r="CH17" s="950"/>
      <c r="CK17" s="949"/>
      <c r="CL17" s="950"/>
      <c r="CM17" s="950"/>
      <c r="CN17" s="950"/>
      <c r="CO17" s="950"/>
      <c r="CP17" s="950"/>
      <c r="CS17" s="947"/>
      <c r="CT17" s="930"/>
      <c r="CU17" s="930"/>
      <c r="CV17" s="930"/>
      <c r="CW17" s="930"/>
      <c r="CX17" s="930"/>
      <c r="CY17" s="930"/>
      <c r="CZ17" s="930"/>
      <c r="DA17" s="930"/>
      <c r="DB17" s="930"/>
      <c r="DC17" s="930"/>
      <c r="DD17" s="930"/>
      <c r="DE17" s="930"/>
      <c r="DF17" s="930"/>
      <c r="DG17" s="930"/>
      <c r="DH17" s="930"/>
      <c r="DI17" s="930"/>
      <c r="DJ17" s="930"/>
      <c r="DK17" s="930"/>
      <c r="DL17" s="930"/>
      <c r="DM17" s="930"/>
      <c r="DN17" s="930"/>
      <c r="DO17" s="930"/>
      <c r="DP17" s="930"/>
      <c r="DQ17" s="930"/>
      <c r="DR17" s="930"/>
      <c r="DS17" s="930"/>
      <c r="DT17" s="930"/>
      <c r="DU17" s="930"/>
      <c r="DV17" s="930"/>
      <c r="DW17" s="930"/>
      <c r="DX17" s="930"/>
      <c r="DY17" s="930"/>
      <c r="DZ17" s="930"/>
      <c r="EA17" s="930"/>
      <c r="EB17" s="930"/>
      <c r="EC17" s="930"/>
      <c r="EE17" s="947"/>
      <c r="EF17" s="930"/>
      <c r="EG17" s="930"/>
      <c r="EH17" s="930"/>
      <c r="EI17" s="930"/>
      <c r="EJ17" s="930"/>
      <c r="EM17" s="942"/>
    </row>
    <row r="18" spans="4:143" ht="15">
      <c r="D18" s="963"/>
      <c r="E18" s="962"/>
      <c r="F18" s="962"/>
      <c r="G18" s="962"/>
      <c r="H18" s="962"/>
      <c r="I18" s="962"/>
      <c r="J18" s="962"/>
      <c r="K18" s="962"/>
      <c r="L18" s="962"/>
      <c r="M18" s="962"/>
      <c r="N18" s="962"/>
      <c r="O18" s="962"/>
      <c r="P18" s="962"/>
      <c r="Q18" s="962"/>
      <c r="R18" s="962"/>
      <c r="S18" s="962"/>
      <c r="T18" s="962"/>
      <c r="U18" s="962"/>
      <c r="V18" s="962"/>
      <c r="W18" s="962"/>
      <c r="X18" s="962"/>
      <c r="Y18" s="962"/>
      <c r="Z18" s="962"/>
      <c r="AA18" s="962"/>
      <c r="AB18" s="962"/>
      <c r="AC18" s="962"/>
      <c r="AD18" s="962"/>
      <c r="AE18" s="962"/>
      <c r="AF18" s="962"/>
      <c r="AG18" s="962"/>
      <c r="AH18" s="962"/>
      <c r="AI18" s="962"/>
      <c r="AJ18" s="962"/>
      <c r="AK18" s="962"/>
      <c r="AL18" s="962"/>
      <c r="AM18" s="962"/>
      <c r="AN18" s="962"/>
      <c r="AP18" s="963"/>
      <c r="AQ18" s="962"/>
      <c r="AR18" s="962"/>
      <c r="AS18" s="962"/>
      <c r="AT18" s="962"/>
      <c r="AU18" s="962"/>
      <c r="AX18" s="952"/>
      <c r="AY18" s="953"/>
      <c r="AZ18" s="953"/>
      <c r="BA18" s="953"/>
      <c r="BB18" s="953"/>
      <c r="BC18" s="953"/>
      <c r="BD18" s="953"/>
      <c r="BE18" s="953"/>
      <c r="BF18" s="953"/>
      <c r="BG18" s="953"/>
      <c r="BH18" s="953"/>
      <c r="BI18" s="953"/>
      <c r="BJ18" s="953"/>
      <c r="BK18" s="953"/>
      <c r="BL18" s="953"/>
      <c r="BM18" s="953"/>
      <c r="BN18" s="953"/>
      <c r="BO18" s="953"/>
      <c r="BP18" s="953"/>
      <c r="BQ18" s="953"/>
      <c r="BR18" s="953"/>
      <c r="BS18" s="953"/>
      <c r="BT18" s="953"/>
      <c r="BU18" s="953"/>
      <c r="BV18" s="953"/>
      <c r="BW18" s="953"/>
      <c r="BX18" s="953"/>
      <c r="BY18" s="953"/>
      <c r="BZ18" s="953"/>
      <c r="CA18" s="953"/>
      <c r="CB18" s="953"/>
      <c r="CC18" s="953"/>
      <c r="CD18" s="953"/>
      <c r="CE18" s="953"/>
      <c r="CF18" s="953"/>
      <c r="CG18" s="953"/>
      <c r="CH18" s="953"/>
      <c r="CK18" s="952"/>
      <c r="CL18" s="953"/>
      <c r="CM18" s="953"/>
      <c r="CN18" s="953"/>
      <c r="CO18" s="953"/>
      <c r="CP18" s="953"/>
      <c r="CS18" s="947"/>
      <c r="CT18" s="930"/>
      <c r="CU18" s="930"/>
      <c r="CV18" s="930"/>
      <c r="CW18" s="930"/>
      <c r="CX18" s="930"/>
      <c r="CY18" s="930"/>
      <c r="CZ18" s="930"/>
      <c r="DA18" s="930"/>
      <c r="DB18" s="930"/>
      <c r="DC18" s="930"/>
      <c r="DD18" s="930"/>
      <c r="DE18" s="930"/>
      <c r="DF18" s="930"/>
      <c r="DG18" s="930"/>
      <c r="DH18" s="930"/>
      <c r="DI18" s="930"/>
      <c r="DJ18" s="930"/>
      <c r="DK18" s="930"/>
      <c r="DL18" s="930"/>
      <c r="DM18" s="930"/>
      <c r="DN18" s="930"/>
      <c r="DO18" s="930"/>
      <c r="DP18" s="930"/>
      <c r="DQ18" s="930"/>
      <c r="DR18" s="930"/>
      <c r="DS18" s="930"/>
      <c r="DT18" s="930"/>
      <c r="DU18" s="930"/>
      <c r="DV18" s="930"/>
      <c r="DW18" s="930"/>
      <c r="DX18" s="930"/>
      <c r="DY18" s="930"/>
      <c r="DZ18" s="930"/>
      <c r="EA18" s="930"/>
      <c r="EB18" s="930"/>
      <c r="EC18" s="930"/>
      <c r="EE18" s="947"/>
      <c r="EF18" s="930"/>
      <c r="EG18" s="930"/>
      <c r="EH18" s="930"/>
      <c r="EI18" s="930"/>
      <c r="EJ18" s="930"/>
      <c r="EM18" s="942"/>
    </row>
    <row r="19" spans="4:143">
      <c r="D19" s="940"/>
      <c r="E19" s="930"/>
      <c r="F19" s="930"/>
      <c r="G19" s="930"/>
      <c r="H19" s="930"/>
      <c r="I19" s="930"/>
      <c r="J19" s="930"/>
      <c r="K19" s="930"/>
      <c r="L19" s="930"/>
      <c r="M19" s="930"/>
      <c r="N19" s="930"/>
      <c r="O19" s="930"/>
      <c r="P19" s="930"/>
      <c r="Q19" s="930"/>
      <c r="R19" s="930"/>
      <c r="S19" s="930"/>
      <c r="T19" s="930"/>
      <c r="U19" s="930"/>
      <c r="V19" s="930"/>
      <c r="W19" s="930"/>
      <c r="X19" s="930"/>
      <c r="Y19" s="930"/>
      <c r="Z19" s="930"/>
      <c r="AA19" s="930"/>
      <c r="AB19" s="930"/>
      <c r="AC19" s="930"/>
      <c r="AD19" s="930"/>
      <c r="AE19" s="930"/>
      <c r="AF19" s="930"/>
      <c r="AG19" s="930"/>
      <c r="AH19" s="930"/>
      <c r="AI19" s="930"/>
      <c r="AJ19" s="930"/>
      <c r="AK19" s="930"/>
      <c r="AL19" s="930"/>
      <c r="AM19" s="930"/>
      <c r="AN19" s="930"/>
      <c r="AP19" s="940"/>
      <c r="AQ19" s="930"/>
      <c r="AR19" s="930"/>
      <c r="AS19" s="930"/>
      <c r="AT19" s="930"/>
      <c r="AU19" s="930"/>
      <c r="AX19" s="964"/>
      <c r="AY19" s="955"/>
      <c r="AZ19" s="955"/>
      <c r="BA19" s="955"/>
      <c r="BB19" s="955"/>
      <c r="BC19" s="955"/>
      <c r="BD19" s="955"/>
      <c r="BE19" s="955"/>
      <c r="BF19" s="955"/>
      <c r="BG19" s="955"/>
      <c r="BH19" s="955"/>
      <c r="BI19" s="955"/>
      <c r="BJ19" s="955"/>
      <c r="BK19" s="955"/>
      <c r="BL19" s="955"/>
      <c r="BM19" s="955"/>
      <c r="BN19" s="955"/>
      <c r="BO19" s="955"/>
      <c r="BP19" s="955"/>
      <c r="BQ19" s="955"/>
      <c r="BR19" s="955"/>
      <c r="BS19" s="955"/>
      <c r="BT19" s="955"/>
      <c r="BU19" s="955"/>
      <c r="BV19" s="955"/>
      <c r="BW19" s="955"/>
      <c r="BX19" s="955"/>
      <c r="BY19" s="955"/>
      <c r="BZ19" s="955"/>
      <c r="CA19" s="955"/>
      <c r="CB19" s="955"/>
      <c r="CC19" s="955"/>
      <c r="CD19" s="955"/>
      <c r="CE19" s="955"/>
      <c r="CF19" s="955"/>
      <c r="CG19" s="955"/>
      <c r="CH19" s="955"/>
      <c r="CK19" s="964"/>
      <c r="CL19" s="955"/>
      <c r="CM19" s="955"/>
      <c r="CN19" s="955"/>
      <c r="CO19" s="955"/>
      <c r="CP19" s="955"/>
      <c r="CS19" s="965"/>
      <c r="CT19" s="955"/>
      <c r="CU19" s="955"/>
      <c r="CV19" s="955"/>
      <c r="CW19" s="955"/>
      <c r="CX19" s="955"/>
      <c r="CY19" s="955"/>
      <c r="CZ19" s="955"/>
      <c r="DA19" s="955"/>
      <c r="DB19" s="955"/>
      <c r="DC19" s="955"/>
      <c r="DD19" s="955"/>
      <c r="DE19" s="955"/>
      <c r="DF19" s="955"/>
      <c r="DG19" s="955"/>
      <c r="DH19" s="955"/>
      <c r="DI19" s="955"/>
      <c r="DJ19" s="955"/>
      <c r="DK19" s="955"/>
      <c r="DL19" s="955"/>
      <c r="DM19" s="955"/>
      <c r="DN19" s="955"/>
      <c r="DO19" s="955"/>
      <c r="DP19" s="955"/>
      <c r="DQ19" s="955"/>
      <c r="DR19" s="955"/>
      <c r="DS19" s="955"/>
      <c r="DT19" s="955"/>
      <c r="DU19" s="955"/>
      <c r="DV19" s="955"/>
      <c r="DW19" s="955"/>
      <c r="DX19" s="955"/>
      <c r="DY19" s="955"/>
      <c r="DZ19" s="955"/>
      <c r="EA19" s="955"/>
      <c r="EB19" s="955"/>
      <c r="EC19" s="955"/>
      <c r="EE19" s="965"/>
      <c r="EF19" s="930"/>
      <c r="EG19" s="930"/>
      <c r="EH19" s="930"/>
      <c r="EI19" s="930"/>
      <c r="EJ19" s="930"/>
      <c r="EM19" s="942"/>
    </row>
    <row r="20" spans="4:143" ht="13.5" thickBot="1">
      <c r="D20" s="961"/>
      <c r="E20" s="930"/>
      <c r="F20" s="930"/>
      <c r="G20" s="930"/>
      <c r="H20" s="930"/>
      <c r="I20" s="930"/>
      <c r="J20" s="930"/>
      <c r="K20" s="930"/>
      <c r="L20" s="930"/>
      <c r="M20" s="930"/>
      <c r="N20" s="930"/>
      <c r="O20" s="930"/>
      <c r="P20" s="930"/>
      <c r="Q20" s="930"/>
      <c r="R20" s="930"/>
      <c r="S20" s="930"/>
      <c r="T20" s="930"/>
      <c r="U20" s="930"/>
      <c r="V20" s="930"/>
      <c r="W20" s="930"/>
      <c r="X20" s="930"/>
      <c r="Y20" s="930"/>
      <c r="Z20" s="930"/>
      <c r="AA20" s="930"/>
      <c r="AB20" s="930"/>
      <c r="AC20" s="930"/>
      <c r="AD20" s="930"/>
      <c r="AE20" s="930"/>
      <c r="AF20" s="930"/>
      <c r="AG20" s="930"/>
      <c r="AH20" s="930"/>
      <c r="AI20" s="930"/>
      <c r="AJ20" s="930"/>
      <c r="AK20" s="930"/>
      <c r="AL20" s="930"/>
      <c r="AM20" s="930"/>
      <c r="AN20" s="930"/>
      <c r="AP20" s="961"/>
      <c r="AQ20" s="930"/>
      <c r="AR20" s="930"/>
      <c r="AS20" s="930"/>
      <c r="AT20" s="930"/>
      <c r="AU20" s="930"/>
      <c r="AX20" s="966"/>
      <c r="AY20" s="930"/>
      <c r="AZ20" s="930"/>
      <c r="BA20" s="930"/>
      <c r="BB20" s="930"/>
      <c r="BC20" s="930"/>
      <c r="BD20" s="930"/>
      <c r="BE20" s="930"/>
      <c r="BF20" s="930"/>
      <c r="BG20" s="930"/>
      <c r="BH20" s="930"/>
      <c r="BI20" s="930"/>
      <c r="BJ20" s="930"/>
      <c r="BK20" s="930"/>
      <c r="BL20" s="930"/>
      <c r="BM20" s="930"/>
      <c r="BN20" s="930"/>
      <c r="BO20" s="930"/>
      <c r="BP20" s="930"/>
      <c r="BQ20" s="930"/>
      <c r="BR20" s="930"/>
      <c r="BS20" s="930"/>
      <c r="BT20" s="930"/>
      <c r="BU20" s="930"/>
      <c r="BV20" s="930"/>
      <c r="BW20" s="930"/>
      <c r="BX20" s="930"/>
      <c r="BY20" s="930"/>
      <c r="BZ20" s="930"/>
      <c r="CA20" s="930"/>
      <c r="CB20" s="930"/>
      <c r="CC20" s="930"/>
      <c r="CD20" s="930"/>
      <c r="CE20" s="930"/>
      <c r="CF20" s="930"/>
      <c r="CG20" s="930"/>
      <c r="CH20" s="930"/>
      <c r="CK20" s="966"/>
      <c r="CL20" s="930"/>
      <c r="CM20" s="930"/>
      <c r="CN20" s="930"/>
      <c r="CO20" s="930"/>
      <c r="CP20" s="930"/>
      <c r="CS20" s="967"/>
      <c r="CT20" s="968"/>
      <c r="CU20" s="968"/>
      <c r="CV20" s="968"/>
      <c r="CW20" s="968"/>
      <c r="CX20" s="968"/>
      <c r="CY20" s="968"/>
      <c r="CZ20" s="968"/>
      <c r="DA20" s="968"/>
      <c r="DB20" s="968"/>
      <c r="DC20" s="968"/>
      <c r="DD20" s="968"/>
      <c r="DE20" s="968"/>
      <c r="DF20" s="968"/>
      <c r="DG20" s="968"/>
      <c r="DH20" s="968"/>
      <c r="DI20" s="968"/>
      <c r="DJ20" s="968"/>
      <c r="DK20" s="968"/>
      <c r="DL20" s="968"/>
      <c r="DM20" s="968"/>
      <c r="DN20" s="968"/>
      <c r="DO20" s="968"/>
      <c r="DP20" s="968"/>
      <c r="DQ20" s="968"/>
      <c r="DR20" s="968"/>
      <c r="DS20" s="968"/>
      <c r="DT20" s="968"/>
      <c r="DU20" s="968"/>
      <c r="DV20" s="968"/>
      <c r="DW20" s="968"/>
      <c r="DX20" s="968"/>
      <c r="DY20" s="968"/>
      <c r="DZ20" s="968"/>
      <c r="EA20" s="968"/>
      <c r="EB20" s="968"/>
      <c r="EC20" s="968"/>
      <c r="EE20" s="967"/>
      <c r="EF20" s="968"/>
      <c r="EG20" s="968"/>
      <c r="EH20" s="968"/>
      <c r="EI20" s="968"/>
      <c r="EJ20" s="968"/>
    </row>
    <row r="21" spans="4:143" ht="15">
      <c r="D21" s="945"/>
      <c r="E21" s="930"/>
      <c r="F21" s="930"/>
      <c r="G21" s="930"/>
      <c r="H21" s="930"/>
      <c r="I21" s="930"/>
      <c r="J21" s="930"/>
      <c r="K21" s="930"/>
      <c r="L21" s="930"/>
      <c r="M21" s="930"/>
      <c r="N21" s="930"/>
      <c r="O21" s="930"/>
      <c r="P21" s="930"/>
      <c r="Q21" s="930"/>
      <c r="R21" s="930"/>
      <c r="S21" s="930"/>
      <c r="T21" s="930"/>
      <c r="U21" s="930"/>
      <c r="V21" s="930"/>
      <c r="W21" s="930"/>
      <c r="X21" s="930"/>
      <c r="Y21" s="930"/>
      <c r="Z21" s="930"/>
      <c r="AA21" s="930"/>
      <c r="AB21" s="930"/>
      <c r="AC21" s="930"/>
      <c r="AD21" s="930"/>
      <c r="AE21" s="930"/>
      <c r="AF21" s="930"/>
      <c r="AG21" s="930"/>
      <c r="AH21" s="930"/>
      <c r="AI21" s="930"/>
      <c r="AJ21" s="930"/>
      <c r="AK21" s="930"/>
      <c r="AL21" s="930"/>
      <c r="AM21" s="930"/>
      <c r="AN21" s="930"/>
      <c r="AP21" s="945"/>
      <c r="AQ21" s="930"/>
      <c r="AR21" s="930"/>
      <c r="AS21" s="930"/>
      <c r="AT21" s="930"/>
      <c r="AU21" s="930"/>
      <c r="AX21" s="966"/>
      <c r="AY21" s="930"/>
      <c r="AZ21" s="930"/>
      <c r="BA21" s="930"/>
      <c r="BB21" s="930"/>
      <c r="BC21" s="930"/>
      <c r="BD21" s="930"/>
      <c r="BE21" s="930"/>
      <c r="BF21" s="930"/>
      <c r="BG21" s="930"/>
      <c r="BH21" s="930"/>
      <c r="BI21" s="930"/>
      <c r="BJ21" s="930"/>
      <c r="BK21" s="930"/>
      <c r="BL21" s="930"/>
      <c r="BM21" s="930"/>
      <c r="BN21" s="930"/>
      <c r="BO21" s="930"/>
      <c r="BP21" s="930"/>
      <c r="BQ21" s="930"/>
      <c r="BR21" s="930"/>
      <c r="BS21" s="930"/>
      <c r="BT21" s="930"/>
      <c r="BU21" s="930"/>
      <c r="BV21" s="930"/>
      <c r="BW21" s="930"/>
      <c r="BX21" s="930"/>
      <c r="BY21" s="930"/>
      <c r="BZ21" s="930"/>
      <c r="CA21" s="930"/>
      <c r="CB21" s="930"/>
      <c r="CC21" s="930"/>
      <c r="CD21" s="930"/>
      <c r="CE21" s="930"/>
      <c r="CF21" s="930"/>
      <c r="CG21" s="930"/>
      <c r="CH21" s="930"/>
      <c r="CK21" s="966"/>
      <c r="CL21" s="930"/>
      <c r="CM21" s="930"/>
      <c r="CN21" s="930"/>
      <c r="CO21" s="930"/>
      <c r="CP21" s="930"/>
    </row>
    <row r="22" spans="4:143" ht="15.75" thickBot="1">
      <c r="D22" s="945"/>
      <c r="E22" s="930"/>
      <c r="F22" s="930"/>
      <c r="G22" s="930"/>
      <c r="H22" s="930"/>
      <c r="I22" s="930"/>
      <c r="J22" s="930"/>
      <c r="K22" s="930"/>
      <c r="L22" s="930"/>
      <c r="M22" s="930"/>
      <c r="N22" s="930"/>
      <c r="O22" s="930"/>
      <c r="P22" s="930"/>
      <c r="Q22" s="930"/>
      <c r="R22" s="930"/>
      <c r="S22" s="930"/>
      <c r="T22" s="930"/>
      <c r="U22" s="930"/>
      <c r="V22" s="930"/>
      <c r="W22" s="930"/>
      <c r="X22" s="930"/>
      <c r="Y22" s="930"/>
      <c r="Z22" s="930"/>
      <c r="AA22" s="930"/>
      <c r="AB22" s="930"/>
      <c r="AC22" s="930"/>
      <c r="AD22" s="930"/>
      <c r="AE22" s="930"/>
      <c r="AF22" s="930"/>
      <c r="AG22" s="930"/>
      <c r="AH22" s="930"/>
      <c r="AI22" s="930"/>
      <c r="AJ22" s="930"/>
      <c r="AK22" s="930"/>
      <c r="AL22" s="930"/>
      <c r="AM22" s="930"/>
      <c r="AN22" s="930"/>
      <c r="AP22" s="945"/>
      <c r="AQ22" s="930"/>
      <c r="AR22" s="930"/>
      <c r="AS22" s="930"/>
      <c r="AT22" s="930"/>
      <c r="AU22" s="930"/>
      <c r="AX22" s="969"/>
      <c r="AY22" s="955"/>
      <c r="AZ22" s="955"/>
      <c r="BA22" s="955"/>
      <c r="BB22" s="955"/>
      <c r="BC22" s="955"/>
      <c r="BD22" s="955"/>
      <c r="BE22" s="955"/>
      <c r="BF22" s="955"/>
      <c r="BG22" s="955"/>
      <c r="BH22" s="955"/>
      <c r="BI22" s="955"/>
      <c r="BJ22" s="955"/>
      <c r="BK22" s="955"/>
      <c r="BL22" s="955"/>
      <c r="BM22" s="955"/>
      <c r="BN22" s="955"/>
      <c r="BO22" s="955"/>
      <c r="BP22" s="955"/>
      <c r="BQ22" s="955"/>
      <c r="BR22" s="955"/>
      <c r="BS22" s="955"/>
      <c r="BT22" s="955"/>
      <c r="BU22" s="955"/>
      <c r="BV22" s="955"/>
      <c r="BW22" s="955"/>
      <c r="BX22" s="955"/>
      <c r="BY22" s="955"/>
      <c r="BZ22" s="955"/>
      <c r="CA22" s="955"/>
      <c r="CB22" s="955"/>
      <c r="CC22" s="955"/>
      <c r="CD22" s="955"/>
      <c r="CE22" s="955"/>
      <c r="CF22" s="955"/>
      <c r="CG22" s="955"/>
      <c r="CH22" s="955"/>
      <c r="CK22" s="969"/>
      <c r="CL22" s="955"/>
      <c r="CM22" s="955"/>
      <c r="CN22" s="955"/>
      <c r="CO22" s="955"/>
      <c r="CP22" s="955"/>
    </row>
    <row r="23" spans="4:143" ht="15.75" thickBot="1">
      <c r="D23" s="970"/>
      <c r="E23" s="930"/>
      <c r="F23" s="930"/>
      <c r="G23" s="930"/>
      <c r="H23" s="930"/>
      <c r="I23" s="930"/>
      <c r="J23" s="930"/>
      <c r="K23" s="930"/>
      <c r="L23" s="930"/>
      <c r="M23" s="930"/>
      <c r="N23" s="930"/>
      <c r="O23" s="930"/>
      <c r="P23" s="930"/>
      <c r="Q23" s="930"/>
      <c r="R23" s="930"/>
      <c r="S23" s="930"/>
      <c r="T23" s="930"/>
      <c r="U23" s="930"/>
      <c r="V23" s="930"/>
      <c r="W23" s="930"/>
      <c r="X23" s="930"/>
      <c r="Y23" s="930"/>
      <c r="Z23" s="930"/>
      <c r="AA23" s="930"/>
      <c r="AB23" s="930"/>
      <c r="AC23" s="930"/>
      <c r="AD23" s="930"/>
      <c r="AE23" s="930"/>
      <c r="AF23" s="930"/>
      <c r="AG23" s="930"/>
      <c r="AH23" s="930"/>
      <c r="AI23" s="930"/>
      <c r="AJ23" s="930"/>
      <c r="AK23" s="930"/>
      <c r="AL23" s="930"/>
      <c r="AM23" s="930"/>
      <c r="AN23" s="930"/>
      <c r="AP23" s="970"/>
      <c r="AQ23" s="930"/>
      <c r="AR23" s="930"/>
      <c r="AS23" s="930"/>
      <c r="AT23" s="930"/>
      <c r="AU23" s="930"/>
      <c r="AX23" s="949"/>
      <c r="AY23" s="950"/>
      <c r="AZ23" s="950"/>
      <c r="BA23" s="950"/>
      <c r="BB23" s="950"/>
      <c r="BC23" s="950"/>
      <c r="BD23" s="950"/>
      <c r="BE23" s="950"/>
      <c r="BF23" s="950"/>
      <c r="BG23" s="950"/>
      <c r="BH23" s="950"/>
      <c r="BI23" s="950"/>
      <c r="BJ23" s="950"/>
      <c r="BK23" s="950"/>
      <c r="BL23" s="950"/>
      <c r="BM23" s="950"/>
      <c r="BN23" s="950"/>
      <c r="BO23" s="950"/>
      <c r="BP23" s="950"/>
      <c r="BQ23" s="950"/>
      <c r="BR23" s="950"/>
      <c r="BS23" s="950"/>
      <c r="BT23" s="950"/>
      <c r="BU23" s="950"/>
      <c r="BV23" s="950"/>
      <c r="BW23" s="950"/>
      <c r="BX23" s="950"/>
      <c r="BY23" s="950"/>
      <c r="BZ23" s="950"/>
      <c r="CA23" s="950"/>
      <c r="CB23" s="950"/>
      <c r="CC23" s="950"/>
      <c r="CD23" s="950"/>
      <c r="CE23" s="950"/>
      <c r="CF23" s="950"/>
      <c r="CG23" s="950"/>
      <c r="CH23" s="950"/>
      <c r="CK23" s="949"/>
      <c r="CL23" s="950"/>
      <c r="CM23" s="950"/>
      <c r="CN23" s="950"/>
      <c r="CO23" s="950"/>
      <c r="CP23" s="950"/>
      <c r="CS23" s="924"/>
      <c r="CT23" s="923"/>
      <c r="CU23" s="923"/>
      <c r="CV23" s="923"/>
      <c r="CW23" s="923"/>
      <c r="CX23" s="923"/>
      <c r="CY23" s="923"/>
      <c r="CZ23" s="923"/>
      <c r="DA23" s="923"/>
      <c r="DB23" s="923"/>
      <c r="DC23" s="923"/>
      <c r="DD23" s="923"/>
      <c r="DE23" s="923"/>
    </row>
    <row r="24" spans="4:143" ht="15">
      <c r="D24" s="971"/>
      <c r="E24" s="930"/>
      <c r="F24" s="930"/>
      <c r="G24" s="930"/>
      <c r="H24" s="930"/>
      <c r="I24" s="930"/>
      <c r="J24" s="930"/>
      <c r="K24" s="930"/>
      <c r="L24" s="930"/>
      <c r="M24" s="930"/>
      <c r="N24" s="930"/>
      <c r="O24" s="930"/>
      <c r="P24" s="930"/>
      <c r="Q24" s="930"/>
      <c r="R24" s="930"/>
      <c r="S24" s="930"/>
      <c r="T24" s="930"/>
      <c r="U24" s="930"/>
      <c r="V24" s="930"/>
      <c r="W24" s="930"/>
      <c r="X24" s="930"/>
      <c r="Y24" s="930"/>
      <c r="Z24" s="930"/>
      <c r="AA24" s="930"/>
      <c r="AB24" s="930"/>
      <c r="AC24" s="930"/>
      <c r="AD24" s="930"/>
      <c r="AE24" s="930"/>
      <c r="AF24" s="930"/>
      <c r="AG24" s="930"/>
      <c r="AH24" s="930"/>
      <c r="AI24" s="930"/>
      <c r="AJ24" s="930"/>
      <c r="AK24" s="930"/>
      <c r="AL24" s="930"/>
      <c r="AM24" s="930"/>
      <c r="AN24" s="930"/>
      <c r="AP24" s="971"/>
      <c r="AQ24" s="930"/>
      <c r="AR24" s="930"/>
      <c r="AS24" s="930"/>
      <c r="AT24" s="930"/>
      <c r="AU24" s="930"/>
      <c r="AX24" s="972"/>
      <c r="AY24" s="953"/>
      <c r="AZ24" s="953"/>
      <c r="BA24" s="953"/>
      <c r="BB24" s="953"/>
      <c r="BC24" s="953"/>
      <c r="BD24" s="953"/>
      <c r="BE24" s="953"/>
      <c r="BF24" s="953"/>
      <c r="BG24" s="953"/>
      <c r="BH24" s="953"/>
      <c r="BI24" s="953"/>
      <c r="BJ24" s="953"/>
      <c r="BK24" s="953"/>
      <c r="BL24" s="953"/>
      <c r="BM24" s="953"/>
      <c r="BN24" s="953"/>
      <c r="BO24" s="953"/>
      <c r="BP24" s="953"/>
      <c r="BQ24" s="953"/>
      <c r="BR24" s="953"/>
      <c r="BS24" s="953"/>
      <c r="BT24" s="953"/>
      <c r="BU24" s="953"/>
      <c r="BV24" s="953"/>
      <c r="BW24" s="953"/>
      <c r="BX24" s="953"/>
      <c r="BY24" s="953"/>
      <c r="BZ24" s="953"/>
      <c r="CA24" s="953"/>
      <c r="CB24" s="953"/>
      <c r="CC24" s="953"/>
      <c r="CD24" s="953"/>
      <c r="CE24" s="953"/>
      <c r="CF24" s="953"/>
      <c r="CG24" s="953"/>
      <c r="CH24" s="953"/>
      <c r="CK24" s="972"/>
      <c r="CL24" s="953"/>
      <c r="CM24" s="953"/>
      <c r="CN24" s="953"/>
      <c r="CO24" s="953"/>
      <c r="CP24" s="953"/>
      <c r="CS24" s="931"/>
      <c r="CT24" s="932"/>
      <c r="CU24" s="933"/>
      <c r="CV24" s="933"/>
      <c r="CW24" s="933"/>
      <c r="CX24" s="933"/>
      <c r="CY24" s="933"/>
      <c r="CZ24" s="933"/>
      <c r="DA24" s="933"/>
      <c r="DB24" s="933"/>
      <c r="DC24" s="933"/>
      <c r="DD24" s="933"/>
      <c r="DE24" s="933"/>
    </row>
    <row r="25" spans="4:143" ht="15">
      <c r="D25" s="970"/>
      <c r="E25" s="930"/>
      <c r="F25" s="930"/>
      <c r="G25" s="930"/>
      <c r="H25" s="930"/>
      <c r="I25" s="930"/>
      <c r="J25" s="930"/>
      <c r="K25" s="930"/>
      <c r="L25" s="930"/>
      <c r="M25" s="930"/>
      <c r="N25" s="930"/>
      <c r="O25" s="930"/>
      <c r="P25" s="930"/>
      <c r="Q25" s="930"/>
      <c r="R25" s="930"/>
      <c r="S25" s="930"/>
      <c r="T25" s="930"/>
      <c r="U25" s="930"/>
      <c r="V25" s="930"/>
      <c r="W25" s="930"/>
      <c r="X25" s="930"/>
      <c r="Y25" s="930"/>
      <c r="Z25" s="930"/>
      <c r="AA25" s="930"/>
      <c r="AB25" s="930"/>
      <c r="AC25" s="930"/>
      <c r="AD25" s="930"/>
      <c r="AE25" s="930"/>
      <c r="AF25" s="930"/>
      <c r="AG25" s="930"/>
      <c r="AH25" s="930"/>
      <c r="AI25" s="930"/>
      <c r="AJ25" s="930"/>
      <c r="AK25" s="930"/>
      <c r="AL25" s="930"/>
      <c r="AM25" s="930"/>
      <c r="AN25" s="930"/>
      <c r="AP25" s="970"/>
      <c r="AQ25" s="930"/>
      <c r="AR25" s="930"/>
      <c r="AS25" s="930"/>
      <c r="AT25" s="930"/>
      <c r="AU25" s="930"/>
      <c r="AX25" s="952"/>
      <c r="AY25" s="955"/>
      <c r="AZ25" s="955"/>
      <c r="BA25" s="955"/>
      <c r="BB25" s="955"/>
      <c r="BC25" s="955"/>
      <c r="BD25" s="955"/>
      <c r="BE25" s="955"/>
      <c r="BF25" s="955"/>
      <c r="BG25" s="955"/>
      <c r="BH25" s="955"/>
      <c r="BI25" s="955"/>
      <c r="BJ25" s="955"/>
      <c r="BK25" s="955"/>
      <c r="BL25" s="955"/>
      <c r="BM25" s="955"/>
      <c r="BN25" s="955"/>
      <c r="BO25" s="955"/>
      <c r="BP25" s="955"/>
      <c r="BQ25" s="955"/>
      <c r="BR25" s="955"/>
      <c r="BS25" s="955"/>
      <c r="BT25" s="955"/>
      <c r="BU25" s="955"/>
      <c r="BV25" s="955"/>
      <c r="BW25" s="955"/>
      <c r="BX25" s="955"/>
      <c r="BY25" s="955"/>
      <c r="BZ25" s="955"/>
      <c r="CA25" s="955"/>
      <c r="CB25" s="955"/>
      <c r="CC25" s="955"/>
      <c r="CD25" s="955"/>
      <c r="CE25" s="955"/>
      <c r="CF25" s="955"/>
      <c r="CG25" s="955"/>
      <c r="CH25" s="955"/>
      <c r="CK25" s="952"/>
      <c r="CL25" s="955"/>
      <c r="CM25" s="955"/>
      <c r="CN25" s="955"/>
      <c r="CO25" s="955"/>
      <c r="CP25" s="955"/>
      <c r="CS25" s="941"/>
      <c r="CT25" s="930"/>
      <c r="CU25" s="930"/>
      <c r="CV25" s="930"/>
      <c r="CW25" s="930"/>
      <c r="CX25" s="930"/>
      <c r="CY25" s="930"/>
      <c r="CZ25" s="930"/>
      <c r="DA25" s="930"/>
      <c r="DB25" s="930"/>
      <c r="DC25" s="930"/>
      <c r="DD25" s="930"/>
      <c r="DE25" s="930"/>
    </row>
    <row r="26" spans="4:143">
      <c r="D26" s="940"/>
      <c r="E26" s="930"/>
      <c r="F26" s="930"/>
      <c r="G26" s="930"/>
      <c r="H26" s="930"/>
      <c r="I26" s="930"/>
      <c r="J26" s="930"/>
      <c r="K26" s="930"/>
      <c r="L26" s="930"/>
      <c r="M26" s="930"/>
      <c r="N26" s="930"/>
      <c r="O26" s="930"/>
      <c r="P26" s="930"/>
      <c r="Q26" s="930"/>
      <c r="R26" s="930"/>
      <c r="S26" s="930"/>
      <c r="T26" s="930"/>
      <c r="U26" s="930"/>
      <c r="V26" s="930"/>
      <c r="W26" s="930"/>
      <c r="X26" s="930"/>
      <c r="Y26" s="930"/>
      <c r="Z26" s="930"/>
      <c r="AA26" s="930"/>
      <c r="AB26" s="930"/>
      <c r="AC26" s="930"/>
      <c r="AD26" s="930"/>
      <c r="AE26" s="930"/>
      <c r="AF26" s="930"/>
      <c r="AG26" s="930"/>
      <c r="AH26" s="930"/>
      <c r="AI26" s="930"/>
      <c r="AJ26" s="930"/>
      <c r="AK26" s="930"/>
      <c r="AL26" s="930"/>
      <c r="AM26" s="930"/>
      <c r="AN26" s="930"/>
      <c r="AP26" s="940"/>
      <c r="AQ26" s="930"/>
      <c r="AR26" s="930"/>
      <c r="AS26" s="930"/>
      <c r="AT26" s="930"/>
      <c r="AU26" s="930"/>
      <c r="AX26" s="966"/>
      <c r="AY26" s="930"/>
      <c r="AZ26" s="930"/>
      <c r="BA26" s="930"/>
      <c r="BB26" s="930"/>
      <c r="BC26" s="930"/>
      <c r="BD26" s="930"/>
      <c r="BE26" s="930"/>
      <c r="BF26" s="930"/>
      <c r="BG26" s="930"/>
      <c r="BH26" s="930"/>
      <c r="BI26" s="930"/>
      <c r="BJ26" s="930"/>
      <c r="BK26" s="930"/>
      <c r="BL26" s="930"/>
      <c r="BM26" s="930"/>
      <c r="BN26" s="930"/>
      <c r="BO26" s="930"/>
      <c r="BP26" s="930"/>
      <c r="BQ26" s="930"/>
      <c r="BR26" s="930"/>
      <c r="BS26" s="930"/>
      <c r="BT26" s="930"/>
      <c r="BU26" s="930"/>
      <c r="BV26" s="930"/>
      <c r="BW26" s="930"/>
      <c r="BX26" s="930"/>
      <c r="BY26" s="930"/>
      <c r="BZ26" s="930"/>
      <c r="CA26" s="930"/>
      <c r="CB26" s="930"/>
      <c r="CC26" s="930"/>
      <c r="CD26" s="930"/>
      <c r="CE26" s="930"/>
      <c r="CF26" s="930"/>
      <c r="CG26" s="930"/>
      <c r="CH26" s="930"/>
      <c r="CK26" s="966"/>
      <c r="CL26" s="930"/>
      <c r="CM26" s="930"/>
      <c r="CN26" s="930"/>
      <c r="CO26" s="930"/>
      <c r="CP26" s="930"/>
      <c r="CS26" s="941"/>
      <c r="CT26" s="930"/>
      <c r="CU26" s="930"/>
      <c r="CV26" s="930"/>
      <c r="CW26" s="930"/>
      <c r="CX26" s="930"/>
      <c r="CY26" s="930"/>
      <c r="CZ26" s="930"/>
      <c r="DA26" s="930"/>
      <c r="DB26" s="930"/>
      <c r="DC26" s="930"/>
      <c r="DD26" s="930"/>
      <c r="DE26" s="930"/>
    </row>
    <row r="27" spans="4:143" ht="15">
      <c r="D27" s="973"/>
      <c r="E27" s="974"/>
      <c r="F27" s="974"/>
      <c r="G27" s="974"/>
      <c r="H27" s="974"/>
      <c r="I27" s="974"/>
      <c r="J27" s="974"/>
      <c r="K27" s="974"/>
      <c r="L27" s="974"/>
      <c r="M27" s="974"/>
      <c r="N27" s="974"/>
      <c r="O27" s="974"/>
      <c r="P27" s="974"/>
      <c r="Q27" s="974"/>
      <c r="R27" s="974"/>
      <c r="S27" s="974"/>
      <c r="T27" s="974"/>
      <c r="U27" s="974"/>
      <c r="V27" s="974"/>
      <c r="W27" s="974"/>
      <c r="X27" s="974"/>
      <c r="Y27" s="974"/>
      <c r="Z27" s="974"/>
      <c r="AA27" s="974"/>
      <c r="AB27" s="974"/>
      <c r="AC27" s="974"/>
      <c r="AD27" s="974"/>
      <c r="AE27" s="974"/>
      <c r="AF27" s="974"/>
      <c r="AG27" s="974"/>
      <c r="AH27" s="974"/>
      <c r="AI27" s="974"/>
      <c r="AJ27" s="974"/>
      <c r="AK27" s="974"/>
      <c r="AL27" s="974"/>
      <c r="AM27" s="974"/>
      <c r="AN27" s="974"/>
      <c r="AP27" s="973"/>
      <c r="AQ27" s="974"/>
      <c r="AR27" s="974"/>
      <c r="AS27" s="974"/>
      <c r="AT27" s="974"/>
      <c r="AU27" s="974"/>
      <c r="AX27" s="949"/>
      <c r="AY27" s="950"/>
      <c r="AZ27" s="950"/>
      <c r="BA27" s="950"/>
      <c r="BB27" s="950"/>
      <c r="BC27" s="950"/>
      <c r="BD27" s="950"/>
      <c r="BE27" s="950"/>
      <c r="BF27" s="950"/>
      <c r="BG27" s="950"/>
      <c r="BH27" s="950"/>
      <c r="BI27" s="950"/>
      <c r="BJ27" s="950"/>
      <c r="BK27" s="950"/>
      <c r="BL27" s="950"/>
      <c r="BM27" s="950"/>
      <c r="BN27" s="950"/>
      <c r="BO27" s="950"/>
      <c r="BP27" s="950"/>
      <c r="BQ27" s="950"/>
      <c r="BR27" s="950"/>
      <c r="BS27" s="950"/>
      <c r="BT27" s="950"/>
      <c r="BU27" s="950"/>
      <c r="BV27" s="950"/>
      <c r="BW27" s="950"/>
      <c r="BX27" s="950"/>
      <c r="BY27" s="950"/>
      <c r="BZ27" s="950"/>
      <c r="CA27" s="950"/>
      <c r="CB27" s="950"/>
      <c r="CC27" s="950"/>
      <c r="CD27" s="950"/>
      <c r="CE27" s="950"/>
      <c r="CF27" s="950"/>
      <c r="CG27" s="950"/>
      <c r="CH27" s="950"/>
      <c r="CK27" s="949"/>
      <c r="CL27" s="950"/>
      <c r="CM27" s="950"/>
      <c r="CN27" s="950"/>
      <c r="CO27" s="950"/>
      <c r="CP27" s="950"/>
      <c r="CS27" s="948"/>
      <c r="CT27" s="930"/>
      <c r="CU27" s="930"/>
      <c r="CV27" s="930"/>
      <c r="CW27" s="930"/>
      <c r="CX27" s="930"/>
      <c r="CY27" s="930"/>
      <c r="CZ27" s="930"/>
      <c r="DA27" s="930"/>
      <c r="DB27" s="930"/>
      <c r="DC27" s="930"/>
      <c r="DD27" s="930"/>
      <c r="DE27" s="930"/>
    </row>
    <row r="28" spans="4:143" ht="15">
      <c r="D28" s="975"/>
      <c r="E28" s="976"/>
      <c r="F28" s="976"/>
      <c r="G28" s="976"/>
      <c r="H28" s="976"/>
      <c r="I28" s="976"/>
      <c r="J28" s="976"/>
      <c r="K28" s="976"/>
      <c r="L28" s="976"/>
      <c r="M28" s="976"/>
      <c r="N28" s="976"/>
      <c r="O28" s="976"/>
      <c r="P28" s="976"/>
      <c r="Q28" s="976"/>
      <c r="R28" s="976"/>
      <c r="S28" s="976"/>
      <c r="T28" s="976"/>
      <c r="U28" s="976"/>
      <c r="V28" s="976"/>
      <c r="W28" s="976"/>
      <c r="X28" s="976"/>
      <c r="Y28" s="976"/>
      <c r="Z28" s="976"/>
      <c r="AA28" s="976"/>
      <c r="AB28" s="976"/>
      <c r="AC28" s="976"/>
      <c r="AD28" s="976"/>
      <c r="AE28" s="976"/>
      <c r="AF28" s="976"/>
      <c r="AG28" s="976"/>
      <c r="AH28" s="976"/>
      <c r="AI28" s="976"/>
      <c r="AJ28" s="976"/>
      <c r="AK28" s="976"/>
      <c r="AL28" s="976"/>
      <c r="AM28" s="976"/>
      <c r="AN28" s="976"/>
      <c r="AP28" s="975"/>
      <c r="AQ28" s="976"/>
      <c r="AR28" s="976"/>
      <c r="AS28" s="976"/>
      <c r="AT28" s="976"/>
      <c r="AU28" s="976"/>
      <c r="AX28" s="952"/>
      <c r="AY28" s="955"/>
      <c r="AZ28" s="955"/>
      <c r="BA28" s="955"/>
      <c r="BB28" s="955"/>
      <c r="BC28" s="955"/>
      <c r="BD28" s="955"/>
      <c r="BE28" s="955"/>
      <c r="BF28" s="955"/>
      <c r="BG28" s="955"/>
      <c r="BH28" s="955"/>
      <c r="BI28" s="955"/>
      <c r="BJ28" s="955"/>
      <c r="BK28" s="955"/>
      <c r="BL28" s="955"/>
      <c r="BM28" s="955"/>
      <c r="BN28" s="955"/>
      <c r="BO28" s="955"/>
      <c r="BP28" s="955"/>
      <c r="BQ28" s="955"/>
      <c r="BR28" s="955"/>
      <c r="BS28" s="955"/>
      <c r="BT28" s="955"/>
      <c r="BU28" s="955"/>
      <c r="BV28" s="955"/>
      <c r="BW28" s="955"/>
      <c r="BX28" s="955"/>
      <c r="BY28" s="955"/>
      <c r="BZ28" s="955"/>
      <c r="CA28" s="955"/>
      <c r="CB28" s="955"/>
      <c r="CC28" s="955"/>
      <c r="CD28" s="955"/>
      <c r="CE28" s="955"/>
      <c r="CF28" s="955"/>
      <c r="CG28" s="955"/>
      <c r="CH28" s="955"/>
      <c r="CK28" s="952"/>
      <c r="CL28" s="955"/>
      <c r="CM28" s="955"/>
      <c r="CN28" s="955"/>
      <c r="CO28" s="955"/>
      <c r="CP28" s="955"/>
      <c r="CS28" s="947"/>
      <c r="CT28" s="930"/>
      <c r="CU28" s="930"/>
      <c r="CV28" s="930"/>
      <c r="CW28" s="930"/>
      <c r="CX28" s="930"/>
      <c r="CY28" s="930"/>
      <c r="CZ28" s="930"/>
      <c r="DA28" s="930"/>
      <c r="DB28" s="930"/>
      <c r="DC28" s="930"/>
      <c r="DD28" s="930"/>
      <c r="DE28" s="930"/>
    </row>
    <row r="29" spans="4:143" ht="15">
      <c r="D29" s="963"/>
      <c r="E29" s="976"/>
      <c r="F29" s="976"/>
      <c r="G29" s="976"/>
      <c r="H29" s="976"/>
      <c r="I29" s="976"/>
      <c r="J29" s="976"/>
      <c r="K29" s="976"/>
      <c r="L29" s="976"/>
      <c r="M29" s="976"/>
      <c r="N29" s="976"/>
      <c r="O29" s="976"/>
      <c r="P29" s="976"/>
      <c r="Q29" s="976"/>
      <c r="R29" s="976"/>
      <c r="S29" s="976"/>
      <c r="T29" s="976"/>
      <c r="U29" s="976"/>
      <c r="V29" s="976"/>
      <c r="W29" s="976"/>
      <c r="X29" s="976"/>
      <c r="Y29" s="976"/>
      <c r="Z29" s="976"/>
      <c r="AA29" s="976"/>
      <c r="AB29" s="976"/>
      <c r="AC29" s="976"/>
      <c r="AD29" s="976"/>
      <c r="AE29" s="976"/>
      <c r="AF29" s="976"/>
      <c r="AG29" s="976"/>
      <c r="AH29" s="976"/>
      <c r="AI29" s="976"/>
      <c r="AJ29" s="976"/>
      <c r="AK29" s="976"/>
      <c r="AL29" s="976"/>
      <c r="AM29" s="976"/>
      <c r="AN29" s="976"/>
      <c r="AP29" s="963"/>
      <c r="AQ29" s="976"/>
      <c r="AR29" s="976"/>
      <c r="AS29" s="976"/>
      <c r="AT29" s="976"/>
      <c r="AU29" s="976"/>
      <c r="AX29" s="966"/>
      <c r="AY29" s="930"/>
      <c r="AZ29" s="930"/>
      <c r="BA29" s="930"/>
      <c r="BB29" s="930"/>
      <c r="BC29" s="930"/>
      <c r="BD29" s="930"/>
      <c r="BE29" s="930"/>
      <c r="BF29" s="930"/>
      <c r="BG29" s="930"/>
      <c r="BH29" s="930"/>
      <c r="BI29" s="930"/>
      <c r="BJ29" s="930"/>
      <c r="BK29" s="930"/>
      <c r="BL29" s="930"/>
      <c r="BM29" s="930"/>
      <c r="BN29" s="930"/>
      <c r="BO29" s="930"/>
      <c r="BP29" s="930"/>
      <c r="BQ29" s="930"/>
      <c r="BR29" s="930"/>
      <c r="BS29" s="930"/>
      <c r="BT29" s="930"/>
      <c r="BU29" s="930"/>
      <c r="BV29" s="930"/>
      <c r="BW29" s="930"/>
      <c r="BX29" s="930"/>
      <c r="BY29" s="930"/>
      <c r="BZ29" s="930"/>
      <c r="CA29" s="930"/>
      <c r="CB29" s="930"/>
      <c r="CC29" s="930"/>
      <c r="CD29" s="930"/>
      <c r="CE29" s="930"/>
      <c r="CF29" s="930"/>
      <c r="CG29" s="930"/>
      <c r="CH29" s="930"/>
      <c r="CK29" s="966"/>
      <c r="CL29" s="930"/>
      <c r="CM29" s="930"/>
      <c r="CN29" s="930"/>
      <c r="CO29" s="930"/>
      <c r="CP29" s="930"/>
      <c r="CS29" s="947"/>
      <c r="CT29" s="930"/>
      <c r="CU29" s="930"/>
      <c r="CV29" s="930"/>
      <c r="CW29" s="930"/>
      <c r="CX29" s="930"/>
      <c r="CY29" s="930"/>
      <c r="CZ29" s="930"/>
      <c r="DA29" s="930"/>
      <c r="DB29" s="930"/>
      <c r="DC29" s="930"/>
      <c r="DD29" s="930"/>
      <c r="DE29" s="930"/>
    </row>
    <row r="30" spans="4:143">
      <c r="D30" s="940"/>
      <c r="E30" s="930"/>
      <c r="F30" s="930"/>
      <c r="G30" s="930"/>
      <c r="H30" s="930"/>
      <c r="I30" s="930"/>
      <c r="J30" s="930"/>
      <c r="K30" s="930"/>
      <c r="L30" s="930"/>
      <c r="M30" s="930"/>
      <c r="N30" s="930"/>
      <c r="O30" s="930"/>
      <c r="P30" s="930"/>
      <c r="Q30" s="930"/>
      <c r="R30" s="930"/>
      <c r="S30" s="930"/>
      <c r="T30" s="930"/>
      <c r="U30" s="930"/>
      <c r="V30" s="930"/>
      <c r="W30" s="930"/>
      <c r="X30" s="930"/>
      <c r="Y30" s="930"/>
      <c r="Z30" s="930"/>
      <c r="AA30" s="930"/>
      <c r="AB30" s="930"/>
      <c r="AC30" s="930"/>
      <c r="AD30" s="930"/>
      <c r="AE30" s="930"/>
      <c r="AF30" s="930"/>
      <c r="AG30" s="930"/>
      <c r="AH30" s="930"/>
      <c r="AI30" s="930"/>
      <c r="AJ30" s="930"/>
      <c r="AK30" s="930"/>
      <c r="AL30" s="930"/>
      <c r="AM30" s="930"/>
      <c r="AN30" s="930"/>
      <c r="AP30" s="940"/>
      <c r="AQ30" s="930"/>
      <c r="AR30" s="930"/>
      <c r="AS30" s="930"/>
      <c r="AT30" s="930"/>
      <c r="AU30" s="930"/>
      <c r="AX30" s="949"/>
      <c r="AY30" s="950"/>
      <c r="AZ30" s="950"/>
      <c r="BA30" s="950"/>
      <c r="BB30" s="950"/>
      <c r="BC30" s="950"/>
      <c r="BD30" s="95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K30" s="949"/>
      <c r="CL30" s="950"/>
      <c r="CM30" s="950"/>
      <c r="CN30" s="950"/>
      <c r="CO30" s="950"/>
      <c r="CP30" s="950"/>
      <c r="CS30" s="947"/>
      <c r="CT30" s="930"/>
      <c r="CU30" s="930"/>
      <c r="CV30" s="930"/>
      <c r="CW30" s="930"/>
      <c r="CX30" s="930"/>
      <c r="CY30" s="930"/>
      <c r="CZ30" s="930"/>
      <c r="DA30" s="930"/>
      <c r="DB30" s="930"/>
      <c r="DC30" s="930"/>
      <c r="DD30" s="930"/>
      <c r="DE30" s="930"/>
    </row>
    <row r="31" spans="4:143">
      <c r="D31" s="940"/>
      <c r="E31" s="930"/>
      <c r="F31" s="930"/>
      <c r="G31" s="930"/>
      <c r="H31" s="930"/>
      <c r="I31" s="930"/>
      <c r="J31" s="930"/>
      <c r="K31" s="930"/>
      <c r="L31" s="930"/>
      <c r="M31" s="930"/>
      <c r="N31" s="930"/>
      <c r="O31" s="930"/>
      <c r="P31" s="930"/>
      <c r="Q31" s="930"/>
      <c r="R31" s="930"/>
      <c r="S31" s="930"/>
      <c r="T31" s="930"/>
      <c r="U31" s="930"/>
      <c r="V31" s="930"/>
      <c r="W31" s="930"/>
      <c r="X31" s="930"/>
      <c r="Y31" s="930"/>
      <c r="Z31" s="930"/>
      <c r="AA31" s="930"/>
      <c r="AB31" s="930"/>
      <c r="AC31" s="930"/>
      <c r="AD31" s="930"/>
      <c r="AE31" s="930"/>
      <c r="AF31" s="930"/>
      <c r="AG31" s="930"/>
      <c r="AH31" s="930"/>
      <c r="AI31" s="930"/>
      <c r="AJ31" s="930"/>
      <c r="AK31" s="930"/>
      <c r="AL31" s="930"/>
      <c r="AM31" s="930"/>
      <c r="AN31" s="930"/>
      <c r="AP31" s="940"/>
      <c r="AQ31" s="930"/>
      <c r="AR31" s="930"/>
      <c r="AS31" s="930"/>
      <c r="AT31" s="930"/>
      <c r="AU31" s="930"/>
      <c r="AX31" s="972"/>
      <c r="AY31" s="977"/>
      <c r="AZ31" s="977"/>
      <c r="BA31" s="977"/>
      <c r="BB31" s="977"/>
      <c r="BC31" s="977"/>
      <c r="BD31" s="977"/>
      <c r="BE31" s="977"/>
      <c r="BF31" s="977"/>
      <c r="BG31" s="977"/>
      <c r="BH31" s="977"/>
      <c r="BI31" s="977"/>
      <c r="BJ31" s="977"/>
      <c r="BK31" s="977"/>
      <c r="BL31" s="977"/>
      <c r="BM31" s="977"/>
      <c r="BN31" s="977"/>
      <c r="BO31" s="977"/>
      <c r="BP31" s="977"/>
      <c r="BQ31" s="977"/>
      <c r="BR31" s="977"/>
      <c r="BS31" s="977"/>
      <c r="BT31" s="977"/>
      <c r="BU31" s="977"/>
      <c r="BV31" s="977"/>
      <c r="BW31" s="977"/>
      <c r="BX31" s="977"/>
      <c r="BY31" s="977"/>
      <c r="BZ31" s="977"/>
      <c r="CA31" s="977"/>
      <c r="CB31" s="977"/>
      <c r="CC31" s="977"/>
      <c r="CD31" s="977"/>
      <c r="CE31" s="977"/>
      <c r="CF31" s="977"/>
      <c r="CG31" s="977"/>
      <c r="CH31" s="977"/>
      <c r="CK31" s="972"/>
      <c r="CL31" s="977"/>
      <c r="CM31" s="977"/>
      <c r="CN31" s="977"/>
      <c r="CO31" s="977"/>
      <c r="CP31" s="977"/>
      <c r="CS31" s="947"/>
      <c r="CT31" s="930"/>
      <c r="CU31" s="930"/>
      <c r="CV31" s="930"/>
      <c r="CW31" s="930"/>
      <c r="CX31" s="930"/>
      <c r="CY31" s="930"/>
      <c r="CZ31" s="930"/>
      <c r="DA31" s="930"/>
      <c r="DB31" s="930"/>
      <c r="DC31" s="930"/>
      <c r="DD31" s="930"/>
      <c r="DE31" s="930"/>
    </row>
    <row r="32" spans="4:143" ht="15">
      <c r="D32" s="973"/>
      <c r="E32" s="974"/>
      <c r="F32" s="974"/>
      <c r="G32" s="974"/>
      <c r="H32" s="974"/>
      <c r="I32" s="974"/>
      <c r="J32" s="974"/>
      <c r="K32" s="974"/>
      <c r="L32" s="974"/>
      <c r="M32" s="974"/>
      <c r="N32" s="974"/>
      <c r="O32" s="974"/>
      <c r="P32" s="974"/>
      <c r="Q32" s="974"/>
      <c r="R32" s="974"/>
      <c r="S32" s="974"/>
      <c r="T32" s="974"/>
      <c r="U32" s="974"/>
      <c r="V32" s="974"/>
      <c r="W32" s="974"/>
      <c r="X32" s="974"/>
      <c r="Y32" s="974"/>
      <c r="Z32" s="974"/>
      <c r="AA32" s="974"/>
      <c r="AB32" s="974"/>
      <c r="AC32" s="974"/>
      <c r="AD32" s="974"/>
      <c r="AE32" s="974"/>
      <c r="AF32" s="974"/>
      <c r="AG32" s="974"/>
      <c r="AH32" s="974"/>
      <c r="AI32" s="974"/>
      <c r="AJ32" s="974"/>
      <c r="AK32" s="974"/>
      <c r="AL32" s="974"/>
      <c r="AM32" s="974"/>
      <c r="AN32" s="974"/>
      <c r="AO32" s="978"/>
      <c r="AP32" s="973"/>
      <c r="AQ32" s="974"/>
      <c r="AR32" s="974"/>
      <c r="AS32" s="974"/>
      <c r="AT32" s="974"/>
      <c r="AU32" s="974"/>
      <c r="AV32" s="978"/>
      <c r="AW32" s="978"/>
      <c r="AX32" s="972"/>
      <c r="AY32" s="979"/>
      <c r="AZ32" s="979"/>
      <c r="BA32" s="979"/>
      <c r="BB32" s="979"/>
      <c r="BC32" s="979"/>
      <c r="BD32" s="979"/>
      <c r="BE32" s="979"/>
      <c r="BF32" s="979"/>
      <c r="BG32" s="979"/>
      <c r="BH32" s="979"/>
      <c r="BI32" s="979"/>
      <c r="BJ32" s="979"/>
      <c r="BK32" s="979"/>
      <c r="BL32" s="979"/>
      <c r="BM32" s="979"/>
      <c r="BN32" s="979"/>
      <c r="BO32" s="979"/>
      <c r="BP32" s="979"/>
      <c r="BQ32" s="979"/>
      <c r="BR32" s="979"/>
      <c r="BS32" s="979"/>
      <c r="BT32" s="979"/>
      <c r="BU32" s="979"/>
      <c r="BV32" s="979"/>
      <c r="BW32" s="979"/>
      <c r="BX32" s="979"/>
      <c r="BY32" s="979"/>
      <c r="BZ32" s="979"/>
      <c r="CA32" s="979"/>
      <c r="CB32" s="979"/>
      <c r="CC32" s="979"/>
      <c r="CD32" s="979"/>
      <c r="CE32" s="979"/>
      <c r="CF32" s="979"/>
      <c r="CG32" s="979"/>
      <c r="CH32" s="979"/>
      <c r="CK32" s="972"/>
      <c r="CL32" s="979"/>
      <c r="CM32" s="979"/>
      <c r="CN32" s="979"/>
      <c r="CO32" s="979"/>
      <c r="CP32" s="979"/>
      <c r="CS32" s="947"/>
      <c r="CT32" s="930"/>
      <c r="CU32" s="930"/>
      <c r="CV32" s="930"/>
      <c r="CW32" s="930"/>
      <c r="CX32" s="930"/>
      <c r="CY32" s="930"/>
      <c r="CZ32" s="930"/>
      <c r="DA32" s="930"/>
      <c r="DB32" s="930"/>
      <c r="DC32" s="930"/>
      <c r="DD32" s="930"/>
      <c r="DE32" s="930"/>
    </row>
    <row r="33" spans="1:233" ht="15.75" thickBot="1">
      <c r="D33" s="980"/>
      <c r="E33" s="981"/>
      <c r="F33" s="981"/>
      <c r="G33" s="981"/>
      <c r="H33" s="981"/>
      <c r="I33" s="981"/>
      <c r="J33" s="981"/>
      <c r="K33" s="981"/>
      <c r="L33" s="981"/>
      <c r="M33" s="981"/>
      <c r="N33" s="981"/>
      <c r="O33" s="981"/>
      <c r="P33" s="981"/>
      <c r="Q33" s="981"/>
      <c r="R33" s="981"/>
      <c r="S33" s="981"/>
      <c r="T33" s="981"/>
      <c r="U33" s="981"/>
      <c r="V33" s="981"/>
      <c r="W33" s="981"/>
      <c r="X33" s="981"/>
      <c r="Y33" s="981"/>
      <c r="Z33" s="981"/>
      <c r="AA33" s="981"/>
      <c r="AB33" s="981"/>
      <c r="AC33" s="981"/>
      <c r="AD33" s="981"/>
      <c r="AE33" s="981"/>
      <c r="AF33" s="981"/>
      <c r="AG33" s="981"/>
      <c r="AH33" s="981"/>
      <c r="AI33" s="981"/>
      <c r="AJ33" s="981"/>
      <c r="AK33" s="981"/>
      <c r="AL33" s="981"/>
      <c r="AM33" s="981"/>
      <c r="AN33" s="981"/>
      <c r="AO33" s="982"/>
      <c r="AP33" s="980"/>
      <c r="AQ33" s="981"/>
      <c r="AR33" s="981"/>
      <c r="AS33" s="981"/>
      <c r="AT33" s="981"/>
      <c r="AU33" s="981"/>
      <c r="AV33" s="982"/>
      <c r="AW33" s="982"/>
      <c r="AX33" s="966"/>
      <c r="AY33" s="930"/>
      <c r="AZ33" s="930"/>
      <c r="BA33" s="930"/>
      <c r="BB33" s="930"/>
      <c r="BC33" s="930"/>
      <c r="BD33" s="930"/>
      <c r="BE33" s="930"/>
      <c r="BF33" s="930"/>
      <c r="BG33" s="930"/>
      <c r="BH33" s="930"/>
      <c r="BI33" s="930"/>
      <c r="BJ33" s="930"/>
      <c r="BK33" s="930"/>
      <c r="BL33" s="930"/>
      <c r="BM33" s="930"/>
      <c r="BN33" s="930"/>
      <c r="BO33" s="930"/>
      <c r="BP33" s="930"/>
      <c r="BQ33" s="930"/>
      <c r="BR33" s="930"/>
      <c r="BS33" s="930"/>
      <c r="BT33" s="930"/>
      <c r="BU33" s="930"/>
      <c r="BV33" s="930"/>
      <c r="BW33" s="930"/>
      <c r="BX33" s="930"/>
      <c r="BY33" s="930"/>
      <c r="BZ33" s="930"/>
      <c r="CA33" s="930"/>
      <c r="CB33" s="930"/>
      <c r="CC33" s="930"/>
      <c r="CD33" s="930"/>
      <c r="CE33" s="930"/>
      <c r="CF33" s="930"/>
      <c r="CG33" s="930"/>
      <c r="CH33" s="930"/>
      <c r="CK33" s="966"/>
      <c r="CL33" s="930"/>
      <c r="CM33" s="930"/>
      <c r="CN33" s="930"/>
      <c r="CO33" s="930"/>
      <c r="CP33" s="930"/>
      <c r="CS33" s="947"/>
      <c r="CT33" s="930"/>
      <c r="CU33" s="930"/>
      <c r="CV33" s="930"/>
      <c r="CW33" s="930"/>
      <c r="CX33" s="930"/>
      <c r="CY33" s="930"/>
      <c r="CZ33" s="930"/>
      <c r="DA33" s="930"/>
      <c r="DB33" s="930"/>
      <c r="DC33" s="930"/>
      <c r="DD33" s="930"/>
      <c r="DE33" s="930"/>
    </row>
    <row r="34" spans="1:233" ht="16.5" customHeight="1">
      <c r="E34" s="983"/>
      <c r="F34" s="983"/>
      <c r="G34" s="983"/>
      <c r="H34" s="983"/>
      <c r="I34" s="983"/>
      <c r="J34" s="983"/>
      <c r="K34" s="983"/>
      <c r="L34" s="983"/>
      <c r="M34" s="983"/>
      <c r="N34" s="983"/>
      <c r="O34" s="983"/>
      <c r="P34" s="983"/>
      <c r="Q34" s="983"/>
      <c r="R34" s="983"/>
      <c r="S34" s="983"/>
      <c r="T34" s="983"/>
      <c r="U34" s="983"/>
      <c r="V34" s="983"/>
      <c r="W34" s="983"/>
      <c r="X34" s="983"/>
      <c r="Y34" s="983"/>
      <c r="Z34" s="983"/>
      <c r="AA34" s="983"/>
      <c r="AB34" s="983"/>
      <c r="AC34" s="983"/>
      <c r="AD34" s="983"/>
      <c r="AE34" s="983"/>
      <c r="AF34" s="983"/>
      <c r="AG34" s="983"/>
      <c r="AH34" s="983"/>
      <c r="AI34" s="983"/>
      <c r="AJ34" s="983"/>
      <c r="AK34" s="983"/>
      <c r="AL34" s="983"/>
      <c r="AM34" s="983"/>
      <c r="AN34" s="983"/>
      <c r="AW34" s="983"/>
      <c r="AX34" s="949"/>
      <c r="AY34" s="950"/>
      <c r="AZ34" s="950"/>
      <c r="BA34" s="950"/>
      <c r="BB34" s="950"/>
      <c r="BC34" s="950"/>
      <c r="BD34" s="950"/>
      <c r="BE34" s="950"/>
      <c r="BF34" s="950"/>
      <c r="BG34" s="950"/>
      <c r="BH34" s="950"/>
      <c r="BI34" s="950"/>
      <c r="BJ34" s="950"/>
      <c r="BK34" s="950"/>
      <c r="BL34" s="950"/>
      <c r="BM34" s="950"/>
      <c r="BN34" s="950"/>
      <c r="BO34" s="950"/>
      <c r="BP34" s="950"/>
      <c r="BQ34" s="950"/>
      <c r="BR34" s="950"/>
      <c r="BS34" s="950"/>
      <c r="BT34" s="950"/>
      <c r="BU34" s="950"/>
      <c r="BV34" s="950"/>
      <c r="BW34" s="950"/>
      <c r="BX34" s="950"/>
      <c r="BY34" s="950"/>
      <c r="BZ34" s="950"/>
      <c r="CA34" s="950"/>
      <c r="CB34" s="950"/>
      <c r="CC34" s="950"/>
      <c r="CD34" s="950"/>
      <c r="CE34" s="950"/>
      <c r="CF34" s="950"/>
      <c r="CG34" s="950"/>
      <c r="CH34" s="950"/>
      <c r="CK34" s="949"/>
      <c r="CL34" s="950"/>
      <c r="CM34" s="950"/>
      <c r="CN34" s="950"/>
      <c r="CO34" s="950"/>
      <c r="CP34" s="950"/>
      <c r="CS34" s="947"/>
      <c r="CT34" s="930"/>
      <c r="CU34" s="930"/>
      <c r="CV34" s="930"/>
      <c r="CW34" s="930"/>
      <c r="CX34" s="930"/>
      <c r="CY34" s="930"/>
      <c r="CZ34" s="930"/>
      <c r="DA34" s="930"/>
      <c r="DB34" s="930"/>
      <c r="DC34" s="930"/>
      <c r="DD34" s="930"/>
      <c r="DE34" s="930"/>
    </row>
    <row r="35" spans="1:233" ht="13.5" thickBot="1">
      <c r="E35" s="984"/>
      <c r="F35" s="984"/>
      <c r="G35" s="984"/>
      <c r="H35" s="984"/>
      <c r="I35" s="984"/>
      <c r="J35" s="984"/>
      <c r="K35" s="984"/>
      <c r="L35" s="984"/>
      <c r="M35" s="984"/>
      <c r="N35" s="984"/>
      <c r="O35" s="984"/>
      <c r="P35" s="984"/>
      <c r="Q35" s="984"/>
      <c r="R35" s="984"/>
      <c r="S35" s="984"/>
      <c r="T35" s="984"/>
      <c r="U35" s="984"/>
      <c r="V35" s="984"/>
      <c r="W35" s="984"/>
      <c r="X35" s="984"/>
      <c r="Y35" s="984"/>
      <c r="Z35" s="984"/>
      <c r="AA35" s="984"/>
      <c r="AB35" s="984"/>
      <c r="AC35" s="984"/>
      <c r="AD35" s="984"/>
      <c r="AE35" s="984"/>
      <c r="AF35" s="984"/>
      <c r="AG35" s="984"/>
      <c r="AH35" s="984"/>
      <c r="AI35" s="984"/>
      <c r="AJ35" s="984"/>
      <c r="AK35" s="984"/>
      <c r="AL35" s="984"/>
      <c r="AM35" s="984"/>
      <c r="AN35" s="984"/>
      <c r="AX35" s="985"/>
      <c r="AY35" s="986"/>
      <c r="AZ35" s="986"/>
      <c r="BA35" s="986"/>
      <c r="BB35" s="986"/>
      <c r="BC35" s="986"/>
      <c r="BD35" s="986"/>
      <c r="BE35" s="986"/>
      <c r="BF35" s="986"/>
      <c r="BG35" s="986"/>
      <c r="BH35" s="986"/>
      <c r="BI35" s="986"/>
      <c r="BJ35" s="986"/>
      <c r="BK35" s="986"/>
      <c r="BL35" s="986"/>
      <c r="BM35" s="986"/>
      <c r="BN35" s="986"/>
      <c r="BO35" s="986"/>
      <c r="BP35" s="986"/>
      <c r="BQ35" s="986"/>
      <c r="BR35" s="986"/>
      <c r="BS35" s="986"/>
      <c r="BT35" s="986"/>
      <c r="BU35" s="986"/>
      <c r="BV35" s="986"/>
      <c r="BW35" s="986"/>
      <c r="BX35" s="986"/>
      <c r="BY35" s="986"/>
      <c r="BZ35" s="986"/>
      <c r="CA35" s="986"/>
      <c r="CB35" s="986"/>
      <c r="CC35" s="986"/>
      <c r="CD35" s="986"/>
      <c r="CE35" s="986"/>
      <c r="CF35" s="986"/>
      <c r="CG35" s="986"/>
      <c r="CH35" s="986"/>
      <c r="CK35" s="985"/>
      <c r="CL35" s="986"/>
      <c r="CM35" s="986"/>
      <c r="CN35" s="986"/>
      <c r="CO35" s="986"/>
      <c r="CP35" s="986"/>
      <c r="CS35" s="965"/>
      <c r="CT35" s="955"/>
      <c r="CU35" s="955"/>
      <c r="CV35" s="955"/>
      <c r="CW35" s="955"/>
      <c r="CX35" s="955"/>
      <c r="CY35" s="955"/>
      <c r="CZ35" s="955"/>
      <c r="DA35" s="955"/>
      <c r="DB35" s="955"/>
      <c r="DC35" s="955"/>
      <c r="DD35" s="955"/>
      <c r="DE35" s="955"/>
    </row>
    <row r="36" spans="1:233" ht="13.5" thickBot="1">
      <c r="E36" s="984"/>
      <c r="F36" s="984"/>
      <c r="G36" s="984"/>
      <c r="H36" s="984"/>
      <c r="I36" s="984"/>
      <c r="J36" s="984"/>
      <c r="K36" s="984"/>
      <c r="L36" s="984"/>
      <c r="M36" s="984"/>
      <c r="N36" s="984"/>
      <c r="O36" s="984"/>
      <c r="P36" s="984"/>
      <c r="Q36" s="984"/>
      <c r="R36" s="984"/>
      <c r="S36" s="984"/>
      <c r="T36" s="984"/>
      <c r="U36" s="984"/>
      <c r="V36" s="984"/>
      <c r="W36" s="984"/>
      <c r="X36" s="984"/>
      <c r="Y36" s="984"/>
      <c r="Z36" s="984"/>
      <c r="AA36" s="984"/>
      <c r="AB36" s="984"/>
      <c r="AC36" s="984"/>
      <c r="AD36" s="984"/>
      <c r="AE36" s="984"/>
      <c r="AF36" s="984"/>
      <c r="AG36" s="984"/>
      <c r="AH36" s="984"/>
      <c r="AI36" s="984"/>
      <c r="AJ36" s="984"/>
      <c r="AK36" s="984"/>
      <c r="AL36" s="984"/>
      <c r="AM36" s="984"/>
      <c r="AN36" s="984"/>
      <c r="AX36" s="987"/>
      <c r="AY36" s="988"/>
      <c r="AZ36" s="988"/>
      <c r="BA36" s="988"/>
      <c r="BB36" s="988"/>
      <c r="BC36" s="988"/>
      <c r="BD36" s="988"/>
      <c r="BE36" s="988"/>
      <c r="BF36" s="988"/>
      <c r="BG36" s="988"/>
      <c r="BH36" s="988"/>
      <c r="BI36" s="988"/>
      <c r="BJ36" s="988"/>
      <c r="BK36" s="988"/>
      <c r="BL36" s="988"/>
      <c r="BM36" s="988"/>
      <c r="BN36" s="988"/>
      <c r="BO36" s="988"/>
      <c r="BP36" s="988"/>
      <c r="BQ36" s="988"/>
      <c r="BR36" s="988"/>
      <c r="BS36" s="988"/>
      <c r="BT36" s="988"/>
      <c r="BU36" s="988"/>
      <c r="BV36" s="988"/>
      <c r="BW36" s="988"/>
      <c r="BX36" s="988"/>
      <c r="BY36" s="988"/>
      <c r="BZ36" s="988"/>
      <c r="CA36" s="988"/>
      <c r="CB36" s="988"/>
      <c r="CC36" s="988"/>
      <c r="CD36" s="988"/>
      <c r="CE36" s="988"/>
      <c r="CF36" s="988"/>
      <c r="CG36" s="988"/>
      <c r="CH36" s="988"/>
      <c r="CK36" s="987"/>
      <c r="CL36" s="988"/>
      <c r="CM36" s="988"/>
      <c r="CN36" s="988"/>
      <c r="CO36" s="988"/>
      <c r="CP36" s="988"/>
      <c r="CS36" s="967"/>
      <c r="CT36" s="968"/>
      <c r="CU36" s="968"/>
      <c r="CV36" s="968"/>
      <c r="CW36" s="968"/>
      <c r="CX36" s="968"/>
      <c r="CY36" s="968"/>
      <c r="CZ36" s="968"/>
      <c r="DA36" s="968"/>
      <c r="DB36" s="968"/>
      <c r="DC36" s="968"/>
      <c r="DD36" s="968"/>
      <c r="DE36" s="968"/>
    </row>
    <row r="37" spans="1:233">
      <c r="E37" s="983"/>
      <c r="F37" s="983"/>
      <c r="G37" s="983"/>
      <c r="H37" s="983"/>
      <c r="I37" s="983"/>
      <c r="J37" s="983"/>
      <c r="K37" s="983"/>
      <c r="L37" s="983"/>
      <c r="M37" s="983"/>
      <c r="N37" s="983"/>
      <c r="O37" s="983"/>
      <c r="P37" s="983"/>
      <c r="Q37" s="983"/>
      <c r="R37" s="983"/>
      <c r="S37" s="983"/>
      <c r="T37" s="983"/>
      <c r="U37" s="983"/>
      <c r="V37" s="983"/>
      <c r="W37" s="983"/>
      <c r="X37" s="983"/>
      <c r="Y37" s="983"/>
      <c r="Z37" s="983"/>
      <c r="AA37" s="983"/>
      <c r="AB37" s="983"/>
      <c r="AC37" s="983"/>
      <c r="AD37" s="983"/>
      <c r="AE37" s="983"/>
      <c r="AF37" s="983"/>
      <c r="AG37" s="983"/>
      <c r="AH37" s="983"/>
      <c r="AI37" s="983"/>
      <c r="AJ37" s="983"/>
      <c r="AK37" s="983"/>
      <c r="AL37" s="983"/>
      <c r="AM37" s="983"/>
      <c r="AN37" s="983"/>
      <c r="AX37" s="987"/>
      <c r="AY37" s="988"/>
      <c r="AZ37" s="988"/>
      <c r="BA37" s="988"/>
      <c r="BB37" s="988"/>
      <c r="BC37" s="988"/>
      <c r="BD37" s="988"/>
      <c r="BE37" s="988"/>
      <c r="BF37" s="988"/>
      <c r="BG37" s="988"/>
      <c r="BH37" s="988"/>
      <c r="BI37" s="988"/>
      <c r="BJ37" s="988"/>
      <c r="BK37" s="988"/>
      <c r="BL37" s="988"/>
      <c r="BM37" s="988"/>
      <c r="BN37" s="988"/>
      <c r="BO37" s="988"/>
      <c r="BP37" s="988"/>
      <c r="BQ37" s="988"/>
      <c r="BR37" s="988"/>
      <c r="BS37" s="988"/>
      <c r="BT37" s="988"/>
      <c r="BU37" s="988"/>
      <c r="BV37" s="988"/>
      <c r="BW37" s="988"/>
      <c r="BX37" s="988"/>
      <c r="BY37" s="988"/>
      <c r="BZ37" s="988"/>
      <c r="CA37" s="988"/>
      <c r="CB37" s="988"/>
      <c r="CC37" s="988"/>
      <c r="CD37" s="988"/>
      <c r="CE37" s="988"/>
      <c r="CF37" s="988"/>
      <c r="CG37" s="988"/>
      <c r="CH37" s="988"/>
      <c r="CK37" s="987"/>
      <c r="CL37" s="988"/>
      <c r="CM37" s="988"/>
      <c r="CN37" s="988"/>
      <c r="CO37" s="988"/>
      <c r="CP37" s="988"/>
    </row>
    <row r="38" spans="1:233">
      <c r="E38" s="983"/>
      <c r="F38" s="983"/>
      <c r="G38" s="983"/>
      <c r="H38" s="983"/>
      <c r="I38" s="983"/>
      <c r="J38" s="983"/>
      <c r="K38" s="983"/>
      <c r="L38" s="983"/>
      <c r="M38" s="983"/>
      <c r="N38" s="983"/>
      <c r="O38" s="983"/>
      <c r="P38" s="983"/>
      <c r="Q38" s="983"/>
      <c r="R38" s="983"/>
      <c r="S38" s="983"/>
      <c r="T38" s="983"/>
      <c r="U38" s="983"/>
      <c r="V38" s="983"/>
      <c r="W38" s="983"/>
      <c r="X38" s="983"/>
      <c r="Y38" s="983"/>
      <c r="Z38" s="983"/>
      <c r="AA38" s="983"/>
      <c r="AB38" s="983"/>
      <c r="AC38" s="983"/>
      <c r="AD38" s="983"/>
      <c r="AE38" s="983"/>
      <c r="AF38" s="983"/>
      <c r="AG38" s="983"/>
      <c r="AH38" s="983"/>
      <c r="AI38" s="983"/>
      <c r="AJ38" s="983"/>
      <c r="AK38" s="983"/>
      <c r="AL38" s="983"/>
      <c r="AM38" s="983"/>
      <c r="AN38" s="983"/>
      <c r="AX38" s="987"/>
      <c r="AY38" s="988"/>
      <c r="AZ38" s="988"/>
      <c r="BA38" s="988"/>
      <c r="BB38" s="988"/>
      <c r="BC38" s="988"/>
      <c r="BD38" s="988"/>
      <c r="BE38" s="988"/>
      <c r="BF38" s="988"/>
      <c r="BG38" s="988"/>
      <c r="BH38" s="988"/>
      <c r="BI38" s="988"/>
      <c r="BJ38" s="988"/>
      <c r="BK38" s="988"/>
      <c r="BL38" s="988"/>
      <c r="BM38" s="988"/>
      <c r="BN38" s="988"/>
      <c r="BO38" s="988"/>
      <c r="BP38" s="988"/>
      <c r="BQ38" s="988"/>
      <c r="BR38" s="988"/>
      <c r="BS38" s="988"/>
      <c r="BT38" s="988"/>
      <c r="BU38" s="988"/>
      <c r="BV38" s="988"/>
      <c r="BW38" s="988"/>
      <c r="BX38" s="988"/>
      <c r="BY38" s="988"/>
      <c r="BZ38" s="988"/>
      <c r="CA38" s="988"/>
      <c r="CB38" s="988"/>
      <c r="CC38" s="988"/>
      <c r="CD38" s="988"/>
      <c r="CE38" s="988"/>
      <c r="CF38" s="988"/>
      <c r="CG38" s="988"/>
      <c r="CH38" s="988"/>
      <c r="CK38" s="987"/>
      <c r="CL38" s="988"/>
      <c r="CM38" s="988"/>
      <c r="CN38" s="988"/>
      <c r="CO38" s="988"/>
      <c r="CP38" s="988"/>
    </row>
    <row r="39" spans="1:233" ht="15">
      <c r="AY39" s="989"/>
      <c r="AZ39" s="989"/>
      <c r="BA39" s="989"/>
      <c r="BB39" s="989"/>
      <c r="BC39" s="989"/>
      <c r="BD39" s="989"/>
      <c r="BE39" s="989"/>
      <c r="BF39" s="989"/>
      <c r="BG39" s="989"/>
      <c r="BH39" s="989"/>
      <c r="BI39" s="989"/>
      <c r="BJ39" s="989"/>
      <c r="BK39" s="989"/>
      <c r="BL39" s="989"/>
      <c r="BM39" s="989"/>
      <c r="BN39" s="989"/>
      <c r="BO39" s="989"/>
      <c r="BP39" s="989"/>
      <c r="BQ39" s="989"/>
      <c r="BR39" s="989"/>
      <c r="BS39" s="989"/>
      <c r="BT39" s="989"/>
      <c r="BU39" s="989"/>
      <c r="BV39" s="989"/>
      <c r="BW39" s="989"/>
      <c r="BX39" s="989"/>
      <c r="BY39" s="989"/>
      <c r="BZ39" s="989"/>
      <c r="CA39" s="989"/>
      <c r="CB39" s="989"/>
      <c r="CC39" s="989"/>
      <c r="CD39" s="989"/>
      <c r="CE39" s="989"/>
      <c r="CF39" s="989"/>
      <c r="CG39" s="989"/>
      <c r="CH39" s="989"/>
      <c r="HT39" s="908"/>
    </row>
    <row r="40" spans="1:233" ht="15">
      <c r="D40" s="908"/>
      <c r="AP40" s="908"/>
      <c r="AX40" s="908"/>
      <c r="AY40" s="989"/>
      <c r="AZ40" s="989"/>
      <c r="BA40" s="989"/>
      <c r="BB40" s="989"/>
      <c r="BC40" s="989"/>
      <c r="BD40" s="989"/>
      <c r="BE40" s="989"/>
      <c r="BF40" s="989"/>
      <c r="BG40" s="989"/>
      <c r="BH40" s="989"/>
      <c r="BI40" s="989"/>
      <c r="BJ40" s="989"/>
      <c r="BK40" s="989"/>
      <c r="BL40" s="989"/>
      <c r="BM40" s="989"/>
      <c r="BN40" s="989"/>
      <c r="BO40" s="989"/>
      <c r="BP40" s="989"/>
      <c r="BQ40" s="989"/>
      <c r="BR40" s="989"/>
      <c r="BS40" s="989"/>
      <c r="BT40" s="989"/>
      <c r="BU40" s="989"/>
      <c r="BV40" s="989"/>
      <c r="BW40" s="989"/>
      <c r="BX40" s="989"/>
      <c r="BY40" s="989"/>
      <c r="BZ40" s="989"/>
      <c r="CA40" s="989"/>
      <c r="CB40" s="989"/>
      <c r="CC40" s="989"/>
      <c r="CD40" s="989"/>
      <c r="CE40" s="989"/>
      <c r="CF40" s="989"/>
      <c r="CG40" s="989"/>
      <c r="CH40" s="989"/>
      <c r="CK40" s="908"/>
      <c r="CS40" s="908"/>
      <c r="EE40" s="908"/>
      <c r="EN40" s="908"/>
      <c r="FZ40" s="908"/>
      <c r="GG40" s="908"/>
    </row>
    <row r="41" spans="1:233">
      <c r="D41" s="914"/>
      <c r="E41" s="913"/>
      <c r="F41" s="913"/>
      <c r="G41" s="913"/>
      <c r="H41" s="913"/>
      <c r="I41" s="913"/>
      <c r="J41" s="913"/>
      <c r="K41" s="913"/>
      <c r="L41" s="913"/>
      <c r="M41" s="913"/>
      <c r="N41" s="913"/>
      <c r="O41" s="913"/>
      <c r="P41" s="913"/>
      <c r="Q41" s="913"/>
      <c r="R41" s="913"/>
      <c r="S41" s="913"/>
      <c r="T41" s="913"/>
      <c r="U41" s="913"/>
      <c r="V41" s="913"/>
      <c r="W41" s="913"/>
      <c r="X41" s="913"/>
      <c r="Y41" s="913"/>
      <c r="Z41" s="913"/>
      <c r="AA41" s="913"/>
      <c r="AB41" s="913"/>
      <c r="AC41" s="913"/>
      <c r="AD41" s="913"/>
      <c r="AE41" s="913"/>
      <c r="AF41" s="913"/>
      <c r="AG41" s="913"/>
      <c r="AH41" s="913"/>
      <c r="AI41" s="913"/>
      <c r="AJ41" s="913"/>
      <c r="AK41" s="913"/>
      <c r="AL41" s="913"/>
      <c r="AM41" s="913"/>
      <c r="AN41" s="913"/>
      <c r="AO41" s="914"/>
      <c r="AP41" s="915"/>
      <c r="AQ41" s="915"/>
      <c r="AR41" s="915"/>
      <c r="AS41" s="915"/>
      <c r="AT41" s="915"/>
      <c r="AU41" s="915"/>
      <c r="AY41" s="913"/>
      <c r="AZ41" s="913"/>
      <c r="BA41" s="913"/>
      <c r="BB41" s="913"/>
      <c r="BC41" s="913"/>
      <c r="BD41" s="913"/>
      <c r="BE41" s="913"/>
      <c r="BF41" s="913"/>
      <c r="BG41" s="913"/>
      <c r="BH41" s="913"/>
      <c r="BI41" s="913"/>
      <c r="BJ41" s="913"/>
      <c r="BK41" s="913"/>
      <c r="BL41" s="913"/>
      <c r="BM41" s="913"/>
      <c r="BN41" s="913"/>
      <c r="BO41" s="913"/>
      <c r="BP41" s="913"/>
      <c r="BQ41" s="913"/>
      <c r="BR41" s="913"/>
      <c r="BS41" s="913"/>
      <c r="BT41" s="913"/>
      <c r="BU41" s="913"/>
      <c r="BV41" s="913"/>
      <c r="BW41" s="913"/>
      <c r="BX41" s="913"/>
      <c r="BY41" s="913"/>
      <c r="BZ41" s="913"/>
      <c r="CA41" s="913"/>
      <c r="CB41" s="913"/>
      <c r="CC41" s="913"/>
      <c r="CD41" s="913"/>
      <c r="CE41" s="913"/>
      <c r="CF41" s="913"/>
      <c r="CG41" s="913"/>
      <c r="CH41" s="913"/>
      <c r="CI41" s="916"/>
      <c r="CJ41" s="914"/>
      <c r="CK41" s="915"/>
      <c r="CL41" s="915"/>
      <c r="CM41" s="915"/>
      <c r="CN41" s="915"/>
      <c r="CO41" s="915"/>
      <c r="CP41" s="915"/>
      <c r="CQ41" s="990"/>
      <c r="CR41" s="990"/>
      <c r="CS41" s="913"/>
      <c r="CT41" s="913"/>
      <c r="CU41" s="913"/>
      <c r="CV41" s="913"/>
      <c r="CW41" s="913"/>
      <c r="CX41" s="913"/>
      <c r="CY41" s="913"/>
      <c r="CZ41" s="913"/>
      <c r="DA41" s="913"/>
      <c r="DB41" s="913"/>
      <c r="DC41" s="913"/>
      <c r="DD41" s="913"/>
      <c r="DE41" s="913"/>
      <c r="DF41" s="913"/>
      <c r="DG41" s="913"/>
      <c r="DH41" s="913"/>
      <c r="DI41" s="913"/>
      <c r="DJ41" s="913"/>
      <c r="DK41" s="913"/>
      <c r="DL41" s="913"/>
      <c r="DM41" s="913"/>
      <c r="DN41" s="913"/>
      <c r="DO41" s="913"/>
      <c r="DP41" s="913"/>
      <c r="DQ41" s="913"/>
      <c r="DR41" s="913"/>
      <c r="DS41" s="913"/>
      <c r="DT41" s="913"/>
      <c r="DU41" s="913"/>
      <c r="DV41" s="913"/>
      <c r="DW41" s="913"/>
      <c r="DX41" s="913"/>
      <c r="DY41" s="913"/>
      <c r="DZ41" s="913"/>
      <c r="EA41" s="913"/>
      <c r="EB41" s="913"/>
      <c r="EC41" s="913"/>
      <c r="EE41" s="913"/>
      <c r="EF41" s="915"/>
      <c r="EG41" s="915"/>
      <c r="EH41" s="915"/>
      <c r="EI41" s="915"/>
      <c r="EJ41" s="915"/>
      <c r="EO41" s="913"/>
      <c r="EP41" s="913"/>
      <c r="EQ41" s="913"/>
      <c r="ER41" s="913"/>
      <c r="ES41" s="913"/>
      <c r="ET41" s="913"/>
      <c r="EU41" s="913"/>
      <c r="EV41" s="913"/>
      <c r="EW41" s="913"/>
      <c r="EX41" s="913"/>
      <c r="EY41" s="913"/>
      <c r="EZ41" s="913"/>
      <c r="FA41" s="913"/>
      <c r="FB41" s="913"/>
      <c r="FC41" s="913"/>
      <c r="FD41" s="913"/>
      <c r="FE41" s="913"/>
      <c r="FF41" s="913"/>
      <c r="FG41" s="913"/>
      <c r="FH41" s="913"/>
      <c r="FI41" s="913"/>
      <c r="FJ41" s="913"/>
      <c r="FK41" s="913"/>
      <c r="FL41" s="913"/>
      <c r="FM41" s="913"/>
      <c r="FN41" s="913"/>
      <c r="FO41" s="913"/>
      <c r="FP41" s="913"/>
      <c r="FQ41" s="913"/>
      <c r="FR41" s="913"/>
      <c r="FS41" s="913"/>
      <c r="FT41" s="913"/>
      <c r="FU41" s="913"/>
      <c r="FV41" s="913"/>
      <c r="FW41" s="913"/>
      <c r="FX41" s="913"/>
      <c r="GA41" s="915"/>
      <c r="GB41" s="915"/>
      <c r="GC41" s="915"/>
      <c r="GD41" s="915"/>
      <c r="GE41" s="915"/>
      <c r="GH41" s="913"/>
      <c r="GI41" s="913"/>
      <c r="GJ41" s="913"/>
      <c r="GK41" s="913"/>
      <c r="GL41" s="913"/>
      <c r="GM41" s="913"/>
      <c r="GN41" s="913"/>
      <c r="GO41" s="913"/>
      <c r="GP41" s="913"/>
      <c r="GQ41" s="913"/>
      <c r="GR41" s="913"/>
      <c r="GS41" s="913"/>
      <c r="GT41" s="913"/>
      <c r="GU41" s="913"/>
      <c r="GV41" s="913"/>
      <c r="GW41" s="913"/>
      <c r="GX41" s="913"/>
      <c r="GY41" s="913"/>
      <c r="GZ41" s="913"/>
      <c r="HA41" s="913"/>
      <c r="HB41" s="913"/>
      <c r="HC41" s="913"/>
      <c r="HD41" s="913"/>
      <c r="HE41" s="913"/>
      <c r="HF41" s="913"/>
      <c r="HG41" s="913"/>
      <c r="HH41" s="913"/>
      <c r="HI41" s="913"/>
      <c r="HJ41" s="913"/>
      <c r="HK41" s="913"/>
      <c r="HL41" s="913"/>
      <c r="HM41" s="913"/>
      <c r="HN41" s="913"/>
      <c r="HO41" s="913"/>
      <c r="HP41" s="913"/>
      <c r="HQ41" s="913"/>
      <c r="HT41" s="915"/>
      <c r="HU41" s="915"/>
      <c r="HV41" s="915"/>
      <c r="HW41" s="915"/>
      <c r="HX41" s="915"/>
      <c r="HY41" s="915"/>
    </row>
    <row r="42" spans="1:233" s="991" customFormat="1" ht="15">
      <c r="A42"/>
      <c r="B42"/>
      <c r="C42"/>
      <c r="D42" s="1071"/>
      <c r="E42" s="1071"/>
      <c r="F42" s="1071"/>
      <c r="G42" s="1071"/>
      <c r="H42" s="1071"/>
      <c r="I42" s="1071"/>
      <c r="J42" s="1071"/>
      <c r="K42" s="1071"/>
      <c r="L42" s="1071"/>
      <c r="M42" s="1071"/>
      <c r="N42" s="1071"/>
      <c r="O42" s="1071"/>
      <c r="P42" s="1071"/>
      <c r="Q42" s="1071"/>
      <c r="R42" s="1071"/>
      <c r="S42" s="1071"/>
      <c r="T42" s="1071"/>
      <c r="U42" s="1071"/>
      <c r="V42" s="1071"/>
      <c r="W42" s="1071"/>
      <c r="X42" s="1071"/>
      <c r="Y42" s="1071"/>
      <c r="Z42" s="1071"/>
      <c r="AA42" s="1071"/>
      <c r="AB42" s="1071"/>
      <c r="AC42" s="1071"/>
      <c r="AD42" s="1071"/>
      <c r="AE42" s="1071"/>
      <c r="AF42" s="1071"/>
      <c r="AG42" s="1071"/>
      <c r="AH42" s="1071"/>
      <c r="AI42" s="1071"/>
      <c r="AJ42" s="1071"/>
      <c r="AK42" s="1071"/>
      <c r="AL42" s="1071"/>
      <c r="AM42" s="1071"/>
      <c r="AN42" s="1071"/>
      <c r="AO42" s="1071"/>
      <c r="AP42" s="1071"/>
      <c r="AQ42" s="1071"/>
      <c r="AR42" s="1071"/>
      <c r="AS42" s="1071"/>
      <c r="AT42" s="1071"/>
      <c r="AU42" s="1071"/>
      <c r="AX42" s="1071"/>
      <c r="AY42" s="1071"/>
      <c r="AZ42" s="1071"/>
      <c r="BA42" s="1071"/>
      <c r="BB42" s="1071"/>
      <c r="BC42" s="1071"/>
      <c r="BD42" s="1071"/>
      <c r="BE42" s="1071"/>
      <c r="BF42" s="1071"/>
      <c r="BG42" s="1071"/>
      <c r="BH42" s="1071"/>
      <c r="BI42" s="1071"/>
      <c r="BJ42" s="1071"/>
      <c r="BK42" s="1071"/>
      <c r="BL42" s="1071"/>
      <c r="BM42" s="1071"/>
      <c r="BN42" s="1071"/>
      <c r="BO42" s="1071"/>
      <c r="BP42" s="1071"/>
      <c r="BQ42" s="1071"/>
      <c r="BR42" s="1071"/>
      <c r="BS42" s="1071"/>
      <c r="BT42" s="1071"/>
      <c r="BU42" s="1071"/>
      <c r="BV42" s="1071"/>
      <c r="BW42" s="1071"/>
      <c r="BX42" s="1071"/>
      <c r="BY42" s="1071"/>
      <c r="BZ42" s="1071"/>
      <c r="CA42" s="1071"/>
      <c r="CB42" s="1071"/>
      <c r="CC42" s="1071"/>
      <c r="CD42" s="1071"/>
      <c r="CE42" s="1071"/>
      <c r="CF42" s="1071"/>
      <c r="CG42" s="1071"/>
      <c r="CH42" s="1071"/>
      <c r="CI42" s="992"/>
      <c r="CJ42" s="919"/>
      <c r="CK42" s="1071"/>
      <c r="CL42" s="1071"/>
      <c r="CM42" s="1071"/>
      <c r="CN42" s="1071"/>
      <c r="CO42" s="1071"/>
      <c r="CP42" s="1071"/>
      <c r="CS42" s="1071"/>
      <c r="CT42" s="1071"/>
      <c r="CU42" s="1071"/>
      <c r="CV42" s="1071"/>
      <c r="CW42" s="1071"/>
      <c r="CX42" s="1071"/>
      <c r="CY42" s="1071"/>
      <c r="CZ42" s="1071"/>
      <c r="DA42" s="1071"/>
      <c r="DB42" s="1071"/>
      <c r="DC42" s="1071"/>
      <c r="DD42" s="1071"/>
      <c r="DE42" s="1071"/>
      <c r="DF42" s="1071"/>
      <c r="DG42" s="1071"/>
      <c r="DH42" s="1071"/>
      <c r="DI42" s="1071"/>
      <c r="DJ42" s="1071"/>
      <c r="DK42" s="1071"/>
      <c r="DL42" s="1071"/>
      <c r="DM42" s="1071"/>
      <c r="DN42" s="1071"/>
      <c r="DO42" s="1071"/>
      <c r="DP42" s="1071"/>
      <c r="DQ42" s="1071"/>
      <c r="DR42" s="1071"/>
      <c r="DS42" s="1071"/>
      <c r="DT42" s="1071"/>
      <c r="DU42" s="1071"/>
      <c r="DV42" s="1071"/>
      <c r="DW42" s="1071"/>
      <c r="DX42" s="1071"/>
      <c r="DY42" s="1071"/>
      <c r="DZ42" s="1071"/>
      <c r="EA42" s="1071"/>
      <c r="EB42" s="1071"/>
      <c r="EC42" s="1071"/>
      <c r="EE42" s="1071"/>
      <c r="EF42" s="1071"/>
      <c r="EG42" s="1071"/>
      <c r="EH42" s="1071"/>
      <c r="EI42" s="1071"/>
      <c r="EJ42" s="1071"/>
      <c r="EN42" s="993"/>
      <c r="EO42" s="993"/>
      <c r="EP42" s="993"/>
      <c r="EQ42" s="993"/>
      <c r="ER42" s="993"/>
      <c r="ES42" s="993"/>
      <c r="ET42" s="993"/>
      <c r="EU42" s="993"/>
      <c r="EV42" s="993"/>
      <c r="EW42" s="993"/>
      <c r="EX42" s="993"/>
      <c r="EY42" s="993"/>
      <c r="EZ42" s="993"/>
      <c r="FA42" s="993"/>
      <c r="FB42" s="993"/>
      <c r="FC42" s="993"/>
      <c r="FD42" s="993"/>
      <c r="FE42" s="993"/>
      <c r="FF42" s="993"/>
      <c r="FG42" s="993"/>
      <c r="FH42" s="993"/>
      <c r="FI42" s="993"/>
      <c r="FJ42" s="993"/>
      <c r="FK42" s="993"/>
      <c r="FL42" s="993"/>
      <c r="FM42" s="993"/>
      <c r="FN42" s="993"/>
      <c r="FO42" s="993"/>
      <c r="FP42" s="993"/>
      <c r="FQ42" s="993"/>
      <c r="FR42" s="993"/>
      <c r="FS42" s="993"/>
      <c r="FT42" s="993"/>
      <c r="FU42" s="993"/>
      <c r="FV42" s="993"/>
      <c r="FW42" s="993"/>
      <c r="FX42" s="993"/>
      <c r="GH42" s="993"/>
      <c r="GI42" s="993"/>
      <c r="GJ42" s="993"/>
      <c r="GK42" s="993"/>
      <c r="GL42" s="993"/>
      <c r="GM42" s="993"/>
      <c r="GN42" s="993"/>
      <c r="GO42" s="993"/>
      <c r="GP42" s="993"/>
      <c r="GQ42" s="993"/>
      <c r="GR42" s="993"/>
      <c r="GS42" s="993"/>
      <c r="GT42" s="993"/>
      <c r="GU42" s="993"/>
      <c r="GV42" s="993"/>
      <c r="GW42" s="993"/>
      <c r="GX42" s="993"/>
      <c r="GY42" s="993"/>
      <c r="GZ42" s="993"/>
      <c r="HA42" s="993"/>
      <c r="HB42" s="993"/>
      <c r="HC42" s="993"/>
      <c r="HD42" s="993"/>
      <c r="HE42" s="993"/>
      <c r="HF42" s="993"/>
      <c r="HG42" s="993"/>
      <c r="HH42" s="993"/>
      <c r="HI42" s="993"/>
      <c r="HJ42" s="993"/>
      <c r="HK42" s="993"/>
      <c r="HL42" s="993"/>
      <c r="HM42" s="993"/>
      <c r="HN42" s="993"/>
      <c r="HO42" s="993"/>
      <c r="HP42" s="993"/>
      <c r="HQ42" s="993"/>
      <c r="HT42" s="917"/>
      <c r="HU42" s="918"/>
      <c r="HV42" s="918"/>
      <c r="HW42" s="918"/>
      <c r="HX42" s="918"/>
      <c r="HY42" s="918"/>
    </row>
    <row r="43" spans="1:233" s="910" customFormat="1" ht="15.75">
      <c r="A43"/>
      <c r="B43"/>
      <c r="C43"/>
      <c r="D43" s="991"/>
      <c r="E43" s="994"/>
      <c r="F43" s="994"/>
      <c r="G43" s="994"/>
      <c r="H43" s="994"/>
      <c r="I43" s="994"/>
      <c r="J43" s="994"/>
      <c r="K43" s="994"/>
      <c r="L43" s="994"/>
      <c r="M43" s="994"/>
      <c r="N43" s="994"/>
      <c r="O43" s="994"/>
      <c r="P43" s="994"/>
      <c r="Q43" s="994"/>
      <c r="R43" s="994"/>
      <c r="S43" s="994"/>
      <c r="T43" s="994"/>
      <c r="U43" s="994"/>
      <c r="V43" s="994"/>
      <c r="W43" s="994"/>
      <c r="X43" s="994"/>
      <c r="Y43" s="994"/>
      <c r="Z43" s="994"/>
      <c r="AA43" s="994"/>
      <c r="AB43" s="994"/>
      <c r="AC43" s="994"/>
      <c r="AD43" s="994"/>
      <c r="AE43" s="994"/>
      <c r="AF43" s="994"/>
      <c r="AG43" s="994"/>
      <c r="AH43" s="994"/>
      <c r="AI43" s="994"/>
      <c r="AJ43" s="994"/>
      <c r="AK43" s="994"/>
      <c r="AL43" s="994"/>
      <c r="AM43" s="994"/>
      <c r="AN43" s="994"/>
      <c r="AP43" s="994"/>
      <c r="AQ43" s="994"/>
      <c r="AR43" s="994"/>
      <c r="AS43" s="994"/>
      <c r="AT43" s="994"/>
      <c r="AU43" s="994"/>
      <c r="AW43" s="994"/>
      <c r="AX43" s="995"/>
      <c r="AY43" s="994"/>
      <c r="AZ43" s="994"/>
      <c r="BA43" s="994"/>
      <c r="BB43" s="994"/>
      <c r="BC43" s="994"/>
      <c r="BD43" s="994"/>
      <c r="BE43" s="994"/>
      <c r="BF43" s="994"/>
      <c r="BG43" s="994"/>
      <c r="BH43" s="994"/>
      <c r="BI43" s="994"/>
      <c r="BJ43" s="994"/>
      <c r="BK43" s="994"/>
      <c r="BL43" s="994"/>
      <c r="BM43" s="994"/>
      <c r="BN43" s="994"/>
      <c r="BO43" s="994"/>
      <c r="BP43" s="994"/>
      <c r="BQ43" s="994"/>
      <c r="BR43" s="994"/>
      <c r="BS43" s="994"/>
      <c r="BT43" s="994"/>
      <c r="BU43" s="994"/>
      <c r="BV43" s="994"/>
      <c r="BW43" s="994"/>
      <c r="BX43" s="994"/>
      <c r="BY43" s="994"/>
      <c r="BZ43" s="994"/>
      <c r="CA43" s="994"/>
      <c r="CB43" s="994"/>
      <c r="CC43" s="994"/>
      <c r="CD43" s="994"/>
      <c r="CE43" s="994"/>
      <c r="CF43" s="994"/>
      <c r="CG43" s="994"/>
      <c r="CH43" s="994"/>
      <c r="CK43" s="995"/>
      <c r="CL43" s="994"/>
      <c r="CM43" s="994"/>
      <c r="CN43" s="994"/>
      <c r="CO43" s="994"/>
      <c r="CP43" s="994"/>
      <c r="CS43" s="995"/>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c r="EC43" s="994"/>
      <c r="EE43" s="995"/>
      <c r="EF43" s="994"/>
      <c r="EG43" s="994"/>
      <c r="EH43" s="994"/>
      <c r="EI43" s="994"/>
      <c r="EJ43" s="994"/>
      <c r="EN43" s="995"/>
      <c r="EO43" s="994"/>
      <c r="EP43" s="994"/>
      <c r="EQ43" s="994"/>
      <c r="ER43" s="994"/>
      <c r="ES43" s="994"/>
      <c r="ET43" s="994"/>
      <c r="EU43" s="994"/>
      <c r="EV43" s="994"/>
      <c r="EW43" s="994"/>
      <c r="EX43" s="994"/>
      <c r="EY43" s="994"/>
      <c r="EZ43" s="994"/>
      <c r="FA43" s="994"/>
      <c r="FB43" s="994"/>
      <c r="FC43" s="994"/>
      <c r="FD43" s="994"/>
      <c r="FE43" s="994"/>
      <c r="FF43" s="994"/>
      <c r="FG43" s="994"/>
      <c r="FH43" s="994"/>
      <c r="FI43" s="994"/>
      <c r="FJ43" s="994"/>
      <c r="FK43" s="994"/>
      <c r="FL43" s="994"/>
      <c r="FM43" s="994"/>
      <c r="FN43" s="994"/>
      <c r="FO43" s="994"/>
      <c r="FP43" s="994"/>
      <c r="FQ43" s="994"/>
      <c r="FR43" s="994"/>
      <c r="FS43" s="994"/>
      <c r="FT43" s="994"/>
      <c r="FU43" s="994"/>
      <c r="FV43" s="994"/>
      <c r="FW43" s="994"/>
      <c r="FX43" s="994"/>
      <c r="FZ43" s="995"/>
      <c r="GA43" s="994"/>
      <c r="GB43" s="994"/>
      <c r="GC43" s="994"/>
      <c r="GD43" s="994"/>
      <c r="GE43" s="994"/>
      <c r="GG43" s="995"/>
      <c r="GH43" s="994"/>
      <c r="GI43" s="994"/>
      <c r="GJ43" s="994"/>
      <c r="GK43" s="994"/>
      <c r="GL43" s="994"/>
      <c r="GM43" s="994"/>
      <c r="GN43" s="994"/>
      <c r="GO43" s="994"/>
      <c r="GP43" s="994"/>
      <c r="GQ43" s="994"/>
      <c r="GR43" s="994"/>
      <c r="GS43" s="994"/>
      <c r="GT43" s="994"/>
      <c r="GU43" s="994"/>
      <c r="GV43" s="994"/>
      <c r="GW43" s="994"/>
      <c r="GX43" s="994"/>
      <c r="GY43" s="994"/>
      <c r="GZ43" s="994"/>
      <c r="HA43" s="994"/>
      <c r="HB43" s="994"/>
      <c r="HC43" s="994"/>
      <c r="HD43" s="994"/>
      <c r="HE43" s="994"/>
      <c r="HF43" s="994"/>
      <c r="HG43" s="994"/>
      <c r="HH43" s="994"/>
      <c r="HI43" s="994"/>
      <c r="HJ43" s="994"/>
      <c r="HK43" s="994"/>
      <c r="HL43" s="994"/>
      <c r="HM43" s="994"/>
      <c r="HN43" s="994"/>
      <c r="HO43" s="994"/>
      <c r="HP43" s="994"/>
      <c r="HQ43" s="994"/>
      <c r="HT43" s="995"/>
      <c r="HU43" s="994"/>
      <c r="HV43" s="994"/>
      <c r="HW43" s="994"/>
      <c r="HX43" s="994"/>
      <c r="HY43" s="994"/>
    </row>
    <row r="44" spans="1:233" ht="15.75">
      <c r="D44" s="991"/>
      <c r="E44" s="991"/>
      <c r="F44" s="991"/>
      <c r="G44" s="991"/>
      <c r="H44" s="991"/>
      <c r="I44" s="991"/>
      <c r="J44" s="991"/>
      <c r="K44" s="991"/>
      <c r="L44" s="991"/>
      <c r="M44" s="991"/>
      <c r="N44" s="991"/>
      <c r="O44" s="991"/>
      <c r="P44" s="991"/>
      <c r="Q44" s="991"/>
      <c r="R44" s="991"/>
      <c r="S44" s="991"/>
      <c r="T44" s="991"/>
      <c r="U44" s="991"/>
      <c r="V44" s="991"/>
      <c r="W44" s="991"/>
      <c r="X44" s="991"/>
      <c r="Y44" s="991"/>
      <c r="Z44" s="991"/>
      <c r="AA44" s="991"/>
      <c r="AB44" s="991"/>
      <c r="AC44" s="991"/>
      <c r="AD44" s="991"/>
      <c r="AE44" s="991"/>
      <c r="AF44" s="991"/>
      <c r="AG44" s="991"/>
      <c r="AH44" s="991"/>
      <c r="AI44" s="991"/>
      <c r="AJ44" s="991"/>
      <c r="AK44" s="991"/>
      <c r="AL44" s="991"/>
      <c r="AM44" s="991"/>
      <c r="AN44" s="991"/>
      <c r="AO44" s="984"/>
      <c r="AV44" s="984"/>
      <c r="AW44" s="996"/>
      <c r="AX44" s="997"/>
      <c r="AY44" s="998"/>
      <c r="AZ44" s="998"/>
      <c r="BA44" s="998"/>
      <c r="BB44" s="998"/>
      <c r="BC44" s="998"/>
      <c r="BD44" s="998"/>
      <c r="BE44" s="998"/>
      <c r="BF44" s="998"/>
      <c r="BG44" s="998"/>
      <c r="BH44" s="998"/>
      <c r="BI44" s="998"/>
      <c r="BJ44" s="998"/>
      <c r="BK44" s="998"/>
      <c r="BL44" s="998"/>
      <c r="BM44" s="998"/>
      <c r="BN44" s="998"/>
      <c r="BO44" s="998"/>
      <c r="BP44" s="998"/>
      <c r="BQ44" s="998"/>
      <c r="BR44" s="998"/>
      <c r="BS44" s="998"/>
      <c r="BT44" s="998"/>
      <c r="BU44" s="998"/>
      <c r="BV44" s="998"/>
      <c r="BW44" s="998"/>
      <c r="BX44" s="998"/>
      <c r="BY44" s="998"/>
      <c r="BZ44" s="998"/>
      <c r="CA44" s="998"/>
      <c r="CB44" s="998"/>
      <c r="CC44" s="998"/>
      <c r="CD44" s="998"/>
      <c r="CE44" s="998"/>
      <c r="CF44" s="998"/>
      <c r="CG44" s="998"/>
      <c r="CH44" s="998"/>
      <c r="CI44" s="989"/>
      <c r="CJ44" s="989"/>
      <c r="CK44" s="997"/>
      <c r="CL44" s="998"/>
      <c r="CM44" s="998"/>
      <c r="CN44" s="998"/>
      <c r="CO44" s="998"/>
      <c r="CP44" s="998"/>
      <c r="CQ44" s="989"/>
      <c r="CR44" s="989"/>
      <c r="CS44" s="989"/>
      <c r="CT44" s="989"/>
      <c r="CU44" s="989"/>
      <c r="CV44" s="989"/>
      <c r="CW44" s="989"/>
      <c r="CX44" s="989"/>
      <c r="CY44" s="989"/>
      <c r="CZ44" s="989"/>
      <c r="DA44" s="989"/>
      <c r="DB44" s="989"/>
      <c r="DC44" s="989"/>
      <c r="DD44" s="989"/>
      <c r="DE44" s="989"/>
      <c r="DF44" s="989"/>
      <c r="DG44" s="989"/>
      <c r="DH44" s="989"/>
      <c r="DI44" s="989"/>
      <c r="DJ44" s="989"/>
      <c r="DK44" s="989"/>
      <c r="DL44" s="989"/>
      <c r="DM44" s="989"/>
      <c r="DN44" s="989"/>
      <c r="DO44" s="989"/>
      <c r="DP44" s="989"/>
      <c r="DQ44" s="989"/>
      <c r="DR44" s="989"/>
      <c r="DS44" s="989"/>
      <c r="DT44" s="989"/>
      <c r="DU44" s="989"/>
      <c r="DV44" s="989"/>
      <c r="DW44" s="989"/>
      <c r="DX44" s="989"/>
      <c r="DY44" s="989"/>
      <c r="DZ44" s="989"/>
      <c r="EA44" s="989"/>
      <c r="EB44" s="989"/>
      <c r="EC44" s="989"/>
      <c r="EE44" s="989"/>
      <c r="EF44" s="989"/>
      <c r="EG44" s="989"/>
      <c r="EH44" s="989"/>
      <c r="EI44" s="989"/>
      <c r="EJ44" s="989"/>
    </row>
    <row r="45" spans="1:233" ht="15">
      <c r="D45" s="999"/>
      <c r="E45" s="1000"/>
      <c r="F45" s="1000"/>
      <c r="G45" s="1000"/>
      <c r="H45" s="1000"/>
      <c r="I45" s="1000"/>
      <c r="J45" s="1000"/>
      <c r="K45" s="1000"/>
      <c r="L45" s="1000"/>
      <c r="M45" s="1000"/>
      <c r="N45" s="1000"/>
      <c r="O45" s="1000"/>
      <c r="P45" s="1000"/>
      <c r="Q45" s="1000"/>
      <c r="R45" s="1000"/>
      <c r="S45" s="1000"/>
      <c r="T45" s="1000"/>
      <c r="U45" s="1000"/>
      <c r="V45" s="1000"/>
      <c r="W45" s="1000"/>
      <c r="X45" s="1000"/>
      <c r="Y45" s="1000"/>
      <c r="Z45" s="1000"/>
      <c r="AA45" s="1000"/>
      <c r="AB45" s="1000"/>
      <c r="AC45" s="1000"/>
      <c r="AD45" s="1000"/>
      <c r="AE45" s="1000"/>
      <c r="AF45" s="1000"/>
      <c r="AG45" s="1000"/>
      <c r="AH45" s="1000"/>
      <c r="AI45" s="1000"/>
      <c r="AJ45" s="1000"/>
      <c r="AK45" s="1000"/>
      <c r="AL45" s="1000"/>
      <c r="AM45" s="1000"/>
      <c r="AN45" s="1000"/>
      <c r="AO45" s="984"/>
      <c r="AP45" s="999"/>
      <c r="AQ45" s="1000"/>
      <c r="AR45" s="1000"/>
      <c r="AS45" s="1000"/>
      <c r="AT45" s="1000"/>
      <c r="AU45" s="1000"/>
      <c r="AV45" s="984"/>
      <c r="AW45" s="984"/>
      <c r="AX45" s="1001"/>
      <c r="AY45" s="1002"/>
      <c r="AZ45" s="1002"/>
      <c r="BA45" s="1002"/>
      <c r="BB45" s="1002"/>
      <c r="BC45" s="1002"/>
      <c r="BD45" s="1002"/>
      <c r="BE45" s="1002"/>
      <c r="BF45" s="1002"/>
      <c r="BG45" s="1002"/>
      <c r="BH45" s="1002"/>
      <c r="BI45" s="1002"/>
      <c r="BJ45" s="1002"/>
      <c r="BK45" s="1002"/>
      <c r="BL45" s="1002"/>
      <c r="BM45" s="1002"/>
      <c r="BN45" s="1002"/>
      <c r="BO45" s="1002"/>
      <c r="BP45" s="1002"/>
      <c r="BQ45" s="1002"/>
      <c r="BR45" s="1002"/>
      <c r="BS45" s="1002"/>
      <c r="BT45" s="1002"/>
      <c r="BU45" s="1002"/>
      <c r="BV45" s="1002"/>
      <c r="BW45" s="1002"/>
      <c r="BX45" s="1002"/>
      <c r="BY45" s="1002"/>
      <c r="BZ45" s="1002"/>
      <c r="CA45" s="1002"/>
      <c r="CB45" s="1002"/>
      <c r="CC45" s="1002"/>
      <c r="CD45" s="1002"/>
      <c r="CE45" s="1002"/>
      <c r="CF45" s="1002"/>
      <c r="CG45" s="1002"/>
      <c r="CH45" s="1002"/>
      <c r="CK45" s="1001"/>
      <c r="CL45" s="1002"/>
      <c r="CM45" s="1002"/>
      <c r="CN45" s="1002"/>
      <c r="CO45" s="1002"/>
      <c r="CP45" s="1002"/>
      <c r="CS45" s="1003"/>
      <c r="CT45" s="1004"/>
      <c r="CU45" s="1004"/>
      <c r="CV45" s="1004"/>
      <c r="CW45" s="1004"/>
      <c r="CX45" s="1004"/>
      <c r="CY45" s="1004"/>
      <c r="CZ45" s="1004"/>
      <c r="DA45" s="1004"/>
      <c r="DB45" s="1004"/>
      <c r="DC45" s="1004"/>
      <c r="DD45" s="1004"/>
      <c r="DE45" s="1004"/>
      <c r="DF45" s="1004"/>
      <c r="DG45" s="1004"/>
      <c r="DH45" s="1004"/>
      <c r="DI45" s="1004"/>
      <c r="DJ45" s="1004"/>
      <c r="DK45" s="1004"/>
      <c r="DL45" s="1004"/>
      <c r="DM45" s="1004"/>
      <c r="DN45" s="1004"/>
      <c r="DO45" s="1004"/>
      <c r="DP45" s="1004"/>
      <c r="DQ45" s="1004"/>
      <c r="DR45" s="1004"/>
      <c r="DS45" s="1004"/>
      <c r="DT45" s="1004"/>
      <c r="DU45" s="1004"/>
      <c r="DV45" s="1004"/>
      <c r="DW45" s="1004"/>
      <c r="DX45" s="1004"/>
      <c r="DY45" s="1004"/>
      <c r="DZ45" s="1004"/>
      <c r="EA45" s="1004"/>
      <c r="EB45" s="1004"/>
      <c r="EC45" s="1004"/>
      <c r="EE45" s="1003"/>
      <c r="EF45" s="1004"/>
      <c r="EG45" s="1004"/>
      <c r="EH45" s="1004"/>
      <c r="EI45" s="1004"/>
      <c r="EJ45" s="1004"/>
      <c r="EN45" s="1005"/>
      <c r="EO45" s="1006"/>
      <c r="EP45" s="1006"/>
      <c r="EQ45" s="1006"/>
      <c r="ER45" s="1006"/>
      <c r="ES45" s="1006"/>
      <c r="ET45" s="1006"/>
      <c r="EU45" s="1006"/>
      <c r="EV45" s="1006"/>
      <c r="EW45" s="1006"/>
      <c r="EX45" s="1006"/>
      <c r="EY45" s="1006"/>
      <c r="EZ45" s="1006"/>
      <c r="FA45" s="1006"/>
      <c r="FB45" s="1006"/>
      <c r="FC45" s="1006"/>
      <c r="FD45" s="1006"/>
      <c r="FE45" s="1006"/>
      <c r="FF45" s="1006"/>
      <c r="FG45" s="1006"/>
      <c r="FH45" s="1006"/>
      <c r="FI45" s="1006"/>
      <c r="FJ45" s="1006"/>
      <c r="FK45" s="1006"/>
      <c r="FL45" s="1006"/>
      <c r="FM45" s="1006"/>
      <c r="FN45" s="1006"/>
      <c r="FO45" s="1006"/>
      <c r="FP45" s="1006"/>
      <c r="FQ45" s="1006"/>
      <c r="FR45" s="1006"/>
      <c r="FS45" s="1006"/>
      <c r="FT45" s="1006"/>
      <c r="FU45" s="1006"/>
      <c r="FV45" s="1006"/>
      <c r="FW45" s="1006"/>
      <c r="FX45" s="1006"/>
      <c r="FZ45" s="1005"/>
      <c r="GA45" s="1006"/>
      <c r="GB45" s="1006"/>
      <c r="GC45" s="1006"/>
      <c r="GD45" s="1006"/>
      <c r="GE45" s="1006"/>
      <c r="GG45" s="1005"/>
      <c r="GH45" s="1006"/>
      <c r="GI45" s="1006"/>
      <c r="GJ45" s="1006"/>
      <c r="GK45" s="1006"/>
      <c r="GL45" s="1006"/>
      <c r="GM45" s="1006"/>
      <c r="GN45" s="1006"/>
      <c r="GO45" s="1006"/>
      <c r="GP45" s="1006"/>
      <c r="GQ45" s="1006"/>
      <c r="GR45" s="1006"/>
      <c r="GS45" s="1006"/>
      <c r="GT45" s="1006"/>
      <c r="GU45" s="1006"/>
      <c r="GV45" s="1006"/>
      <c r="GW45" s="1006"/>
      <c r="GX45" s="1006"/>
      <c r="GY45" s="1006"/>
      <c r="GZ45" s="1006"/>
      <c r="HA45" s="1006"/>
      <c r="HB45" s="1006"/>
      <c r="HC45" s="1006"/>
      <c r="HD45" s="1006"/>
      <c r="HE45" s="1006"/>
      <c r="HF45" s="1006"/>
      <c r="HG45" s="1006"/>
      <c r="HH45" s="1006"/>
      <c r="HI45" s="1006"/>
      <c r="HJ45" s="1006"/>
      <c r="HK45" s="1006"/>
      <c r="HL45" s="1006"/>
      <c r="HM45" s="1006"/>
      <c r="HN45" s="1006"/>
      <c r="HO45" s="1006"/>
      <c r="HP45" s="1006"/>
      <c r="HQ45" s="1006"/>
      <c r="HT45" s="1005"/>
      <c r="HU45" s="1006"/>
      <c r="HV45" s="1006"/>
      <c r="HW45" s="1006"/>
      <c r="HX45" s="1006"/>
      <c r="HY45" s="1006"/>
    </row>
    <row r="46" spans="1:233" ht="15.75">
      <c r="D46" s="1007"/>
      <c r="E46" s="1008"/>
      <c r="F46" s="1008"/>
      <c r="G46" s="1008"/>
      <c r="H46" s="1008"/>
      <c r="I46" s="1008"/>
      <c r="J46" s="1008"/>
      <c r="K46" s="1008"/>
      <c r="L46" s="1008"/>
      <c r="M46" s="1008"/>
      <c r="N46" s="1008"/>
      <c r="O46" s="1008"/>
      <c r="P46" s="1008"/>
      <c r="Q46" s="1008"/>
      <c r="R46" s="1008"/>
      <c r="S46" s="1008"/>
      <c r="T46" s="1008"/>
      <c r="U46" s="1008"/>
      <c r="V46" s="1008"/>
      <c r="W46" s="1008"/>
      <c r="X46" s="1008"/>
      <c r="Y46" s="1008"/>
      <c r="Z46" s="1008"/>
      <c r="AA46" s="1008"/>
      <c r="AB46" s="1008"/>
      <c r="AC46" s="1008"/>
      <c r="AD46" s="1008"/>
      <c r="AE46" s="1008"/>
      <c r="AF46" s="1008"/>
      <c r="AG46" s="1008"/>
      <c r="AH46" s="1008"/>
      <c r="AI46" s="1008"/>
      <c r="AJ46" s="1008"/>
      <c r="AK46" s="1008"/>
      <c r="AL46" s="1008"/>
      <c r="AM46" s="1008"/>
      <c r="AN46" s="1008"/>
      <c r="AO46" s="984"/>
      <c r="AP46" s="1007"/>
      <c r="AQ46" s="1008"/>
      <c r="AR46" s="1008"/>
      <c r="AS46" s="1008"/>
      <c r="AT46" s="1008"/>
      <c r="AU46" s="1008"/>
      <c r="AV46" s="984"/>
      <c r="AW46" s="984"/>
      <c r="AX46" s="1009"/>
      <c r="AY46" s="1010"/>
      <c r="AZ46" s="1010"/>
      <c r="BA46" s="1010"/>
      <c r="BB46" s="1010"/>
      <c r="BC46" s="1010"/>
      <c r="BD46" s="1010"/>
      <c r="BE46" s="1010"/>
      <c r="BF46" s="1010"/>
      <c r="BG46" s="1010"/>
      <c r="BH46" s="1010"/>
      <c r="BI46" s="1010"/>
      <c r="BJ46" s="1010"/>
      <c r="BK46" s="1010"/>
      <c r="BL46" s="1010"/>
      <c r="BM46" s="1010"/>
      <c r="BN46" s="1010"/>
      <c r="BO46" s="1010"/>
      <c r="BP46" s="1010"/>
      <c r="BQ46" s="1010"/>
      <c r="BR46" s="1010"/>
      <c r="BS46" s="1010"/>
      <c r="BT46" s="1010"/>
      <c r="BU46" s="1010"/>
      <c r="BV46" s="1010"/>
      <c r="BW46" s="1010"/>
      <c r="BX46" s="1010"/>
      <c r="BY46" s="1010"/>
      <c r="BZ46" s="1010"/>
      <c r="CA46" s="1010"/>
      <c r="CB46" s="1010"/>
      <c r="CC46" s="1010"/>
      <c r="CD46" s="1010"/>
      <c r="CE46" s="1010"/>
      <c r="CF46" s="1010"/>
      <c r="CG46" s="1010"/>
      <c r="CH46" s="1010"/>
      <c r="CI46" s="910"/>
      <c r="CK46" s="1009"/>
      <c r="CL46" s="1010"/>
      <c r="CM46" s="1010"/>
      <c r="CN46" s="1010"/>
      <c r="CO46" s="1010"/>
      <c r="CP46" s="1010"/>
      <c r="CQ46" s="910"/>
      <c r="CS46" s="1011"/>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c r="EC46" s="1010"/>
      <c r="EE46" s="1011"/>
      <c r="EF46" s="1010"/>
      <c r="EG46" s="1010"/>
      <c r="EH46" s="1010"/>
      <c r="EI46" s="1010"/>
      <c r="EJ46" s="1010"/>
      <c r="EN46" s="1012"/>
      <c r="EO46" s="1013"/>
      <c r="EP46" s="1013"/>
      <c r="EQ46" s="1013"/>
      <c r="ER46" s="1013"/>
      <c r="ES46" s="1013"/>
      <c r="ET46" s="1013"/>
      <c r="EU46" s="1013"/>
      <c r="EV46" s="1013"/>
      <c r="EW46" s="1013"/>
      <c r="EX46" s="1013"/>
      <c r="EY46" s="1013"/>
      <c r="EZ46" s="1013"/>
      <c r="FA46" s="1013"/>
      <c r="FB46" s="1013"/>
      <c r="FC46" s="1013"/>
      <c r="FD46" s="1013"/>
      <c r="FE46" s="1013"/>
      <c r="FF46" s="1013"/>
      <c r="FG46" s="1013"/>
      <c r="FH46" s="1013"/>
      <c r="FI46" s="1013"/>
      <c r="FJ46" s="1013"/>
      <c r="FK46" s="1013"/>
      <c r="FL46" s="1013"/>
      <c r="FM46" s="1013"/>
      <c r="FN46" s="1013"/>
      <c r="FO46" s="1013"/>
      <c r="FP46" s="1013"/>
      <c r="FQ46" s="1013"/>
      <c r="FR46" s="1013"/>
      <c r="FS46" s="1013"/>
      <c r="FT46" s="1013"/>
      <c r="FU46" s="1013"/>
      <c r="FV46" s="1013"/>
      <c r="FW46" s="1013"/>
      <c r="FX46" s="1013"/>
      <c r="FZ46" s="1012"/>
      <c r="GA46" s="1010"/>
      <c r="GB46" s="1010"/>
      <c r="GC46" s="1013"/>
      <c r="GD46" s="1013"/>
      <c r="GE46" s="1013"/>
      <c r="GG46" s="1014"/>
      <c r="GH46" s="908"/>
      <c r="GI46" s="908"/>
      <c r="GJ46" s="908"/>
      <c r="GK46" s="908"/>
      <c r="GL46" s="908"/>
      <c r="GM46" s="908"/>
      <c r="GN46" s="908"/>
      <c r="GO46" s="908"/>
      <c r="GP46" s="908"/>
      <c r="GQ46" s="908"/>
      <c r="GR46" s="908"/>
      <c r="GS46" s="908"/>
      <c r="GT46" s="908"/>
      <c r="GU46" s="908"/>
      <c r="GV46" s="908"/>
      <c r="GW46" s="908"/>
      <c r="GX46" s="908"/>
      <c r="GY46" s="908"/>
      <c r="GZ46" s="908"/>
      <c r="HA46" s="908"/>
      <c r="HB46" s="908"/>
      <c r="HC46" s="908"/>
      <c r="HD46" s="908"/>
      <c r="HE46" s="908"/>
      <c r="HF46" s="908"/>
      <c r="HG46" s="908"/>
      <c r="HH46" s="908"/>
      <c r="HI46" s="908"/>
      <c r="HJ46" s="908"/>
      <c r="HK46" s="908"/>
      <c r="HL46" s="908"/>
      <c r="HM46" s="908"/>
      <c r="HN46" s="908"/>
      <c r="HO46" s="908"/>
      <c r="HP46" s="908"/>
      <c r="HQ46" s="908"/>
      <c r="HT46" s="1014"/>
      <c r="HU46" s="1015"/>
    </row>
    <row r="47" spans="1:233" ht="15">
      <c r="D47" s="1016"/>
      <c r="E47" s="1017"/>
      <c r="F47" s="1017"/>
      <c r="G47" s="1017"/>
      <c r="H47" s="1017"/>
      <c r="I47" s="1017"/>
      <c r="J47" s="1017"/>
      <c r="K47" s="1017"/>
      <c r="L47" s="1017"/>
      <c r="M47" s="1017"/>
      <c r="N47" s="1017"/>
      <c r="O47" s="1017"/>
      <c r="P47" s="1017"/>
      <c r="Q47" s="1017"/>
      <c r="R47" s="1017"/>
      <c r="S47" s="1017"/>
      <c r="T47" s="1017"/>
      <c r="U47" s="1017"/>
      <c r="V47" s="1017"/>
      <c r="W47" s="1017"/>
      <c r="X47" s="1017"/>
      <c r="Y47" s="1017"/>
      <c r="Z47" s="1017"/>
      <c r="AA47" s="1017"/>
      <c r="AB47" s="1017"/>
      <c r="AC47" s="1017"/>
      <c r="AD47" s="1017"/>
      <c r="AE47" s="1017"/>
      <c r="AF47" s="1017"/>
      <c r="AG47" s="1017"/>
      <c r="AH47" s="1017"/>
      <c r="AI47" s="1017"/>
      <c r="AJ47" s="1017"/>
      <c r="AK47" s="1017"/>
      <c r="AL47" s="1017"/>
      <c r="AM47" s="1017"/>
      <c r="AN47" s="1017"/>
      <c r="AO47" s="984"/>
      <c r="AP47" s="1016"/>
      <c r="AQ47" s="1017"/>
      <c r="AR47" s="1017"/>
      <c r="AS47" s="1017"/>
      <c r="AT47" s="1017"/>
      <c r="AU47" s="1017"/>
      <c r="AV47" s="984"/>
      <c r="AW47" s="984"/>
      <c r="AX47" s="1009"/>
      <c r="AY47" s="1010"/>
      <c r="AZ47" s="1010"/>
      <c r="BA47" s="1010"/>
      <c r="BB47" s="1010"/>
      <c r="BC47" s="1010"/>
      <c r="BD47" s="1010"/>
      <c r="BE47" s="1010"/>
      <c r="BF47" s="1010"/>
      <c r="BG47" s="1010"/>
      <c r="BH47" s="1010"/>
      <c r="BI47" s="1010"/>
      <c r="BJ47" s="1010"/>
      <c r="BK47" s="1010"/>
      <c r="BL47" s="1010"/>
      <c r="BM47" s="1010"/>
      <c r="BN47" s="1010"/>
      <c r="BO47" s="1010"/>
      <c r="BP47" s="1010"/>
      <c r="BQ47" s="1010"/>
      <c r="BR47" s="1010"/>
      <c r="BS47" s="1010"/>
      <c r="BT47" s="1010"/>
      <c r="BU47" s="1010"/>
      <c r="BV47" s="1010"/>
      <c r="BW47" s="1010"/>
      <c r="BX47" s="1010"/>
      <c r="BY47" s="1010"/>
      <c r="BZ47" s="1010"/>
      <c r="CA47" s="1010"/>
      <c r="CB47" s="1010"/>
      <c r="CC47" s="1010"/>
      <c r="CD47" s="1010"/>
      <c r="CE47" s="1010"/>
      <c r="CF47" s="1010"/>
      <c r="CG47" s="1010"/>
      <c r="CH47" s="1010"/>
      <c r="CK47" s="1009"/>
      <c r="CL47" s="1010"/>
      <c r="CM47" s="1010"/>
      <c r="CN47" s="1010"/>
      <c r="CO47" s="1010"/>
      <c r="CP47" s="1010"/>
      <c r="CS47" s="1011"/>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c r="EC47" s="1010"/>
      <c r="EE47" s="1011"/>
      <c r="EF47" s="1010"/>
      <c r="EG47" s="1010"/>
      <c r="EH47" s="1010"/>
      <c r="EI47" s="1010"/>
      <c r="EJ47" s="1010"/>
      <c r="EN47" s="1018"/>
      <c r="EO47" s="1013"/>
      <c r="EP47" s="1013"/>
      <c r="EQ47" s="1013"/>
      <c r="ER47" s="1013"/>
      <c r="ES47" s="1013"/>
      <c r="ET47" s="1013"/>
      <c r="EU47" s="1013"/>
      <c r="EV47" s="1013"/>
      <c r="EW47" s="1013"/>
      <c r="EX47" s="1013"/>
      <c r="EY47" s="1013"/>
      <c r="EZ47" s="1013"/>
      <c r="FA47" s="1013"/>
      <c r="FB47" s="1013"/>
      <c r="FC47" s="1013"/>
      <c r="FD47" s="1013"/>
      <c r="FE47" s="1013"/>
      <c r="FF47" s="1013"/>
      <c r="FG47" s="1013"/>
      <c r="FH47" s="1013"/>
      <c r="FI47" s="1013"/>
      <c r="FJ47" s="1013"/>
      <c r="FK47" s="1013"/>
      <c r="FL47" s="1013"/>
      <c r="FM47" s="1013"/>
      <c r="FN47" s="1013"/>
      <c r="FO47" s="1013"/>
      <c r="FP47" s="1013"/>
      <c r="FQ47" s="1013"/>
      <c r="FR47" s="1013"/>
      <c r="FS47" s="1013"/>
      <c r="FT47" s="1013"/>
      <c r="FU47" s="1013"/>
      <c r="FV47" s="1013"/>
      <c r="FW47" s="1013"/>
      <c r="FX47" s="1013"/>
      <c r="FZ47" s="1018"/>
      <c r="GA47" s="1013"/>
      <c r="GB47" s="1013"/>
      <c r="GC47" s="1013"/>
      <c r="GD47" s="1013"/>
      <c r="GE47" s="1013"/>
      <c r="GG47" s="1019"/>
      <c r="GH47" s="1020"/>
      <c r="GI47" s="1020"/>
      <c r="GJ47" s="1020"/>
      <c r="GK47" s="1020"/>
      <c r="GL47" s="1020"/>
      <c r="GM47" s="1020"/>
      <c r="GN47" s="1020"/>
      <c r="GO47" s="1020"/>
      <c r="GP47" s="1020"/>
      <c r="GQ47" s="1020"/>
      <c r="GR47" s="1020"/>
      <c r="GS47" s="1020"/>
      <c r="GT47" s="1020"/>
      <c r="GU47" s="1020"/>
      <c r="GV47" s="1020"/>
      <c r="GW47" s="1020"/>
      <c r="GX47" s="1020"/>
      <c r="GY47" s="1020"/>
      <c r="GZ47" s="1020"/>
      <c r="HA47" s="1020"/>
      <c r="HB47" s="1020"/>
      <c r="HC47" s="1020"/>
      <c r="HD47" s="1020"/>
      <c r="HE47" s="1020"/>
      <c r="HF47" s="1020"/>
      <c r="HG47" s="1020"/>
      <c r="HH47" s="1020"/>
      <c r="HI47" s="1020"/>
      <c r="HJ47" s="1020"/>
      <c r="HK47" s="1020"/>
      <c r="HL47" s="1020"/>
      <c r="HM47" s="1020"/>
      <c r="HN47" s="1020"/>
      <c r="HO47" s="1020"/>
      <c r="HP47" s="1020"/>
      <c r="HQ47" s="1020"/>
      <c r="HT47" s="1019"/>
      <c r="HU47" s="1013"/>
      <c r="HV47" s="1020"/>
      <c r="HW47" s="1020"/>
      <c r="HX47" s="1020"/>
      <c r="HY47" s="1020"/>
    </row>
    <row r="48" spans="1:233" ht="15">
      <c r="D48" s="1009"/>
      <c r="E48" s="1021"/>
      <c r="F48" s="1021"/>
      <c r="G48" s="1021"/>
      <c r="H48" s="1021"/>
      <c r="I48" s="1021"/>
      <c r="J48" s="1021"/>
      <c r="K48" s="1021"/>
      <c r="L48" s="1021"/>
      <c r="M48" s="1021"/>
      <c r="N48" s="1021"/>
      <c r="O48" s="1021"/>
      <c r="P48" s="1021"/>
      <c r="Q48" s="1021"/>
      <c r="R48" s="1021"/>
      <c r="S48" s="1021"/>
      <c r="T48" s="1021"/>
      <c r="U48" s="1021"/>
      <c r="V48" s="1021"/>
      <c r="W48" s="1021"/>
      <c r="X48" s="1021"/>
      <c r="Y48" s="1021"/>
      <c r="Z48" s="1021"/>
      <c r="AA48" s="1021"/>
      <c r="AB48" s="1021"/>
      <c r="AC48" s="1021"/>
      <c r="AD48" s="1021"/>
      <c r="AE48" s="1021"/>
      <c r="AF48" s="1021"/>
      <c r="AG48" s="1021"/>
      <c r="AH48" s="1021"/>
      <c r="AI48" s="1021"/>
      <c r="AJ48" s="1021"/>
      <c r="AK48" s="1021"/>
      <c r="AL48" s="1021"/>
      <c r="AM48" s="1021"/>
      <c r="AN48" s="1021"/>
      <c r="AO48" s="984"/>
      <c r="AP48" s="1009"/>
      <c r="AQ48" s="1021"/>
      <c r="AR48" s="1021"/>
      <c r="AS48" s="1021"/>
      <c r="AT48" s="1021"/>
      <c r="AU48" s="1021"/>
      <c r="AV48" s="984"/>
      <c r="AW48" s="984"/>
      <c r="AX48" s="1001"/>
      <c r="AY48" s="1002"/>
      <c r="AZ48" s="1002"/>
      <c r="BA48" s="1002"/>
      <c r="BB48" s="1002"/>
      <c r="BC48" s="1002"/>
      <c r="BD48" s="1002"/>
      <c r="BE48" s="1002"/>
      <c r="BF48" s="1002"/>
      <c r="BG48" s="1002"/>
      <c r="BH48" s="1002"/>
      <c r="BI48" s="1002"/>
      <c r="BJ48" s="1002"/>
      <c r="BK48" s="1002"/>
      <c r="BL48" s="1002"/>
      <c r="BM48" s="1002"/>
      <c r="BN48" s="1002"/>
      <c r="BO48" s="1002"/>
      <c r="BP48" s="1002"/>
      <c r="BQ48" s="1002"/>
      <c r="BR48" s="1002"/>
      <c r="BS48" s="1002"/>
      <c r="BT48" s="1002"/>
      <c r="BU48" s="1002"/>
      <c r="BV48" s="1002"/>
      <c r="BW48" s="1002"/>
      <c r="BX48" s="1002"/>
      <c r="BY48" s="1002"/>
      <c r="BZ48" s="1002"/>
      <c r="CA48" s="1002"/>
      <c r="CB48" s="1002"/>
      <c r="CC48" s="1002"/>
      <c r="CD48" s="1002"/>
      <c r="CE48" s="1002"/>
      <c r="CF48" s="1002"/>
      <c r="CG48" s="1002"/>
      <c r="CH48" s="1002"/>
      <c r="CK48" s="1001"/>
      <c r="CL48" s="1002"/>
      <c r="CM48" s="1002"/>
      <c r="CN48" s="1002"/>
      <c r="CO48" s="1002"/>
      <c r="CP48" s="1002"/>
      <c r="CS48" s="1011"/>
      <c r="CT48" s="1022"/>
      <c r="CU48" s="1022"/>
      <c r="CV48" s="1022"/>
      <c r="CW48" s="1022"/>
      <c r="CX48" s="1022"/>
      <c r="CY48" s="1022"/>
      <c r="CZ48" s="1022"/>
      <c r="DA48" s="1022"/>
      <c r="DB48" s="1022"/>
      <c r="DC48" s="1022"/>
      <c r="DD48" s="1022"/>
      <c r="DE48" s="1022"/>
      <c r="DF48" s="1022"/>
      <c r="DG48" s="1022"/>
      <c r="DH48" s="1022"/>
      <c r="DI48" s="1022"/>
      <c r="DJ48" s="1022"/>
      <c r="DK48" s="1022"/>
      <c r="DL48" s="1022"/>
      <c r="DM48" s="1022"/>
      <c r="DN48" s="1022"/>
      <c r="DO48" s="1022"/>
      <c r="DP48" s="1022"/>
      <c r="DQ48" s="1022"/>
      <c r="DR48" s="1022"/>
      <c r="DS48" s="1022"/>
      <c r="DT48" s="1022"/>
      <c r="DU48" s="1022"/>
      <c r="DV48" s="1022"/>
      <c r="DW48" s="1022"/>
      <c r="DX48" s="1022"/>
      <c r="DY48" s="1022"/>
      <c r="DZ48" s="1022"/>
      <c r="EA48" s="1022"/>
      <c r="EB48" s="1022"/>
      <c r="EC48" s="1022"/>
      <c r="EE48" s="1011"/>
      <c r="EF48" s="1022"/>
      <c r="EG48" s="1022"/>
      <c r="EH48" s="1022"/>
      <c r="EI48" s="1022"/>
      <c r="EJ48" s="1022"/>
      <c r="EN48" s="1018"/>
      <c r="EO48" s="1013"/>
      <c r="EP48" s="1013"/>
      <c r="EQ48" s="1013"/>
      <c r="ER48" s="1013"/>
      <c r="ES48" s="1013"/>
      <c r="ET48" s="1013"/>
      <c r="EU48" s="1013"/>
      <c r="EV48" s="1013"/>
      <c r="EW48" s="1013"/>
      <c r="EX48" s="1013"/>
      <c r="EY48" s="1013"/>
      <c r="EZ48" s="1013"/>
      <c r="FA48" s="1013"/>
      <c r="FB48" s="1013"/>
      <c r="FC48" s="1013"/>
      <c r="FD48" s="1013"/>
      <c r="FE48" s="1013"/>
      <c r="FF48" s="1013"/>
      <c r="FG48" s="1013"/>
      <c r="FH48" s="1013"/>
      <c r="FI48" s="1013"/>
      <c r="FJ48" s="1013"/>
      <c r="FK48" s="1013"/>
      <c r="FL48" s="1013"/>
      <c r="FM48" s="1013"/>
      <c r="FN48" s="1013"/>
      <c r="FO48" s="1013"/>
      <c r="FP48" s="1013"/>
      <c r="FQ48" s="1013"/>
      <c r="FR48" s="1013"/>
      <c r="FS48" s="1013"/>
      <c r="FT48" s="1013"/>
      <c r="FU48" s="1013"/>
      <c r="FV48" s="1013"/>
      <c r="FW48" s="1013"/>
      <c r="FX48" s="1013"/>
      <c r="FZ48" s="1018"/>
      <c r="GA48" s="1013"/>
      <c r="GB48" s="1013"/>
      <c r="GC48" s="1013"/>
      <c r="GD48" s="1013"/>
      <c r="GE48" s="1013"/>
      <c r="GG48" s="1019"/>
      <c r="GH48" s="1020"/>
      <c r="GI48" s="1020"/>
      <c r="GJ48" s="1020"/>
      <c r="GK48" s="1020"/>
      <c r="GL48" s="1020"/>
      <c r="GM48" s="1020"/>
      <c r="GN48" s="1020"/>
      <c r="GO48" s="1020"/>
      <c r="GP48" s="1020"/>
      <c r="GQ48" s="1020"/>
      <c r="GR48" s="1020"/>
      <c r="GS48" s="1020"/>
      <c r="GT48" s="1020"/>
      <c r="GU48" s="1020"/>
      <c r="GV48" s="1020"/>
      <c r="GW48" s="1020"/>
      <c r="GX48" s="1020"/>
      <c r="GY48" s="1020"/>
      <c r="GZ48" s="1020"/>
      <c r="HA48" s="1020"/>
      <c r="HB48" s="1020"/>
      <c r="HC48" s="1020"/>
      <c r="HD48" s="1020"/>
      <c r="HE48" s="1020"/>
      <c r="HF48" s="1020"/>
      <c r="HG48" s="1020"/>
      <c r="HH48" s="1020"/>
      <c r="HI48" s="1020"/>
      <c r="HJ48" s="1020"/>
      <c r="HK48" s="1020"/>
      <c r="HL48" s="1020"/>
      <c r="HM48" s="1020"/>
      <c r="HN48" s="1020"/>
      <c r="HO48" s="1020"/>
      <c r="HP48" s="1020"/>
      <c r="HQ48" s="1020"/>
      <c r="HT48" s="1019"/>
      <c r="HU48" s="1013"/>
      <c r="HV48" s="1020"/>
      <c r="HW48" s="1020"/>
      <c r="HX48" s="1020"/>
      <c r="HY48" s="1020"/>
    </row>
    <row r="49" spans="4:233" ht="15">
      <c r="D49" s="1023"/>
      <c r="E49" s="1010"/>
      <c r="F49" s="1010"/>
      <c r="G49" s="1010"/>
      <c r="H49" s="1010"/>
      <c r="I49" s="1010"/>
      <c r="J49" s="1010"/>
      <c r="K49" s="1010"/>
      <c r="L49" s="1010"/>
      <c r="M49" s="1010"/>
      <c r="N49" s="1010"/>
      <c r="O49" s="1010"/>
      <c r="P49" s="1010"/>
      <c r="Q49" s="1010"/>
      <c r="R49" s="1010"/>
      <c r="S49" s="1010"/>
      <c r="T49" s="1010"/>
      <c r="U49" s="1010"/>
      <c r="V49" s="1010"/>
      <c r="W49" s="1010"/>
      <c r="X49" s="1010"/>
      <c r="Y49" s="1010"/>
      <c r="Z49" s="1010"/>
      <c r="AA49" s="1010"/>
      <c r="AB49" s="1010"/>
      <c r="AC49" s="1010"/>
      <c r="AD49" s="1010"/>
      <c r="AE49" s="1010"/>
      <c r="AF49" s="1010"/>
      <c r="AG49" s="1010"/>
      <c r="AH49" s="1010"/>
      <c r="AI49" s="1010"/>
      <c r="AJ49" s="1010"/>
      <c r="AK49" s="1010"/>
      <c r="AL49" s="1010"/>
      <c r="AM49" s="1010"/>
      <c r="AN49" s="1010"/>
      <c r="AO49" s="984"/>
      <c r="AP49" s="1023"/>
      <c r="AQ49" s="1010"/>
      <c r="AR49" s="1010"/>
      <c r="AS49" s="1010"/>
      <c r="AT49" s="1010"/>
      <c r="AU49" s="1010"/>
      <c r="AV49" s="984"/>
      <c r="AW49" s="984"/>
      <c r="AX49" s="1009"/>
      <c r="AY49" s="1010"/>
      <c r="AZ49" s="1010"/>
      <c r="BA49" s="1010"/>
      <c r="BB49" s="1010"/>
      <c r="BC49" s="1010"/>
      <c r="BD49" s="1010"/>
      <c r="BE49" s="1010"/>
      <c r="BF49" s="1010"/>
      <c r="BG49" s="1010"/>
      <c r="BH49" s="1010"/>
      <c r="BI49" s="1010"/>
      <c r="BJ49" s="1010"/>
      <c r="BK49" s="1010"/>
      <c r="BL49" s="1010"/>
      <c r="BM49" s="1010"/>
      <c r="BN49" s="1010"/>
      <c r="BO49" s="1010"/>
      <c r="BP49" s="1010"/>
      <c r="BQ49" s="1010"/>
      <c r="BR49" s="1010"/>
      <c r="BS49" s="1010"/>
      <c r="BT49" s="1010"/>
      <c r="BU49" s="1010"/>
      <c r="BV49" s="1010"/>
      <c r="BW49" s="1010"/>
      <c r="BX49" s="1010"/>
      <c r="BY49" s="1010"/>
      <c r="BZ49" s="1010"/>
      <c r="CA49" s="1010"/>
      <c r="CB49" s="1010"/>
      <c r="CC49" s="1010"/>
      <c r="CD49" s="1010"/>
      <c r="CE49" s="1010"/>
      <c r="CF49" s="1010"/>
      <c r="CG49" s="1010"/>
      <c r="CH49" s="1010"/>
      <c r="CI49" s="989"/>
      <c r="CK49" s="1009"/>
      <c r="CL49" s="1010"/>
      <c r="CM49" s="1010"/>
      <c r="CN49" s="1010"/>
      <c r="CO49" s="1010"/>
      <c r="CP49" s="1010"/>
      <c r="CQ49" s="989"/>
      <c r="CS49" s="1011"/>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c r="EC49" s="1010"/>
      <c r="EE49" s="1011"/>
      <c r="EF49" s="1010"/>
      <c r="EG49" s="1010"/>
      <c r="EH49" s="1010"/>
      <c r="EI49" s="1010"/>
      <c r="EJ49" s="1010"/>
      <c r="EN49" s="1018"/>
      <c r="EO49" s="1013"/>
      <c r="EP49" s="1013"/>
      <c r="EQ49" s="1013"/>
      <c r="ER49" s="1013"/>
      <c r="ES49" s="1013"/>
      <c r="ET49" s="1013"/>
      <c r="EU49" s="1013"/>
      <c r="EV49" s="1013"/>
      <c r="EW49" s="1013"/>
      <c r="EX49" s="1013"/>
      <c r="EY49" s="1013"/>
      <c r="EZ49" s="1013"/>
      <c r="FA49" s="1013"/>
      <c r="FB49" s="1013"/>
      <c r="FC49" s="1013"/>
      <c r="FD49" s="1013"/>
      <c r="FE49" s="1013"/>
      <c r="FF49" s="1013"/>
      <c r="FG49" s="1013"/>
      <c r="FH49" s="1013"/>
      <c r="FI49" s="1013"/>
      <c r="FJ49" s="1013"/>
      <c r="FK49" s="1013"/>
      <c r="FL49" s="1013"/>
      <c r="FM49" s="1013"/>
      <c r="FN49" s="1013"/>
      <c r="FO49" s="1013"/>
      <c r="FP49" s="1013"/>
      <c r="FQ49" s="1013"/>
      <c r="FR49" s="1013"/>
      <c r="FS49" s="1013"/>
      <c r="FT49" s="1013"/>
      <c r="FU49" s="1013"/>
      <c r="FV49" s="1013"/>
      <c r="FW49" s="1013"/>
      <c r="FX49" s="1013"/>
      <c r="FZ49" s="1018"/>
      <c r="GA49" s="1013"/>
      <c r="GB49" s="1013"/>
      <c r="GC49" s="1013"/>
      <c r="GD49" s="1013"/>
      <c r="GE49" s="1013"/>
      <c r="GG49" s="1019"/>
      <c r="GH49" s="1020"/>
      <c r="GI49" s="1020"/>
      <c r="GJ49" s="1020"/>
      <c r="GK49" s="1020"/>
      <c r="GL49" s="1020"/>
      <c r="GM49" s="1020"/>
      <c r="GN49" s="1020"/>
      <c r="GO49" s="1020"/>
      <c r="GP49" s="1020"/>
      <c r="GQ49" s="1020"/>
      <c r="GR49" s="1020"/>
      <c r="GS49" s="1020"/>
      <c r="GT49" s="1020"/>
      <c r="GU49" s="1020"/>
      <c r="GV49" s="1020"/>
      <c r="GW49" s="1020"/>
      <c r="GX49" s="1020"/>
      <c r="GY49" s="1020"/>
      <c r="GZ49" s="1020"/>
      <c r="HA49" s="1020"/>
      <c r="HB49" s="1020"/>
      <c r="HC49" s="1020"/>
      <c r="HD49" s="1020"/>
      <c r="HE49" s="1020"/>
      <c r="HF49" s="1020"/>
      <c r="HG49" s="1020"/>
      <c r="HH49" s="1020"/>
      <c r="HI49" s="1020"/>
      <c r="HJ49" s="1020"/>
      <c r="HK49" s="1020"/>
      <c r="HL49" s="1020"/>
      <c r="HM49" s="1020"/>
      <c r="HN49" s="1020"/>
      <c r="HO49" s="1020"/>
      <c r="HP49" s="1020"/>
      <c r="HQ49" s="1020"/>
      <c r="HT49" s="1019"/>
      <c r="HU49" s="1013"/>
      <c r="HV49" s="1020"/>
      <c r="HW49" s="1020"/>
      <c r="HX49" s="1020"/>
      <c r="HY49" s="1020"/>
    </row>
    <row r="50" spans="4:233" ht="15.75">
      <c r="D50" s="1023"/>
      <c r="E50" s="1010"/>
      <c r="F50" s="1010"/>
      <c r="G50" s="1010"/>
      <c r="H50" s="1010"/>
      <c r="I50" s="1010"/>
      <c r="J50" s="1010"/>
      <c r="K50" s="1010"/>
      <c r="L50" s="1010"/>
      <c r="M50" s="1010"/>
      <c r="N50" s="1010"/>
      <c r="O50" s="1010"/>
      <c r="P50" s="1010"/>
      <c r="Q50" s="1010"/>
      <c r="R50" s="1010"/>
      <c r="S50" s="1010"/>
      <c r="T50" s="1010"/>
      <c r="U50" s="1010"/>
      <c r="V50" s="1010"/>
      <c r="W50" s="1010"/>
      <c r="X50" s="1010"/>
      <c r="Y50" s="1010"/>
      <c r="Z50" s="1010"/>
      <c r="AA50" s="1010"/>
      <c r="AB50" s="1010"/>
      <c r="AC50" s="1010"/>
      <c r="AD50" s="1010"/>
      <c r="AE50" s="1010"/>
      <c r="AF50" s="1010"/>
      <c r="AG50" s="1010"/>
      <c r="AH50" s="1010"/>
      <c r="AI50" s="1010"/>
      <c r="AJ50" s="1010"/>
      <c r="AK50" s="1010"/>
      <c r="AL50" s="1010"/>
      <c r="AM50" s="1010"/>
      <c r="AN50" s="1010"/>
      <c r="AO50" s="984"/>
      <c r="AP50" s="1023"/>
      <c r="AQ50" s="1010"/>
      <c r="AR50" s="1010"/>
      <c r="AS50" s="1010"/>
      <c r="AT50" s="1010"/>
      <c r="AU50" s="1010"/>
      <c r="AV50" s="984"/>
      <c r="AW50" s="984"/>
      <c r="AX50" s="1009"/>
      <c r="AY50" s="1010"/>
      <c r="AZ50" s="1010"/>
      <c r="BA50" s="1010"/>
      <c r="BB50" s="1010"/>
      <c r="BC50" s="1010"/>
      <c r="BD50" s="1010"/>
      <c r="BE50" s="1010"/>
      <c r="BF50" s="1010"/>
      <c r="BG50" s="1010"/>
      <c r="BH50" s="1010"/>
      <c r="BI50" s="1010"/>
      <c r="BJ50" s="1010"/>
      <c r="BK50" s="1010"/>
      <c r="BL50" s="1010"/>
      <c r="BM50" s="1010"/>
      <c r="BN50" s="1010"/>
      <c r="BO50" s="1010"/>
      <c r="BP50" s="1010"/>
      <c r="BQ50" s="1010"/>
      <c r="BR50" s="1010"/>
      <c r="BS50" s="1010"/>
      <c r="BT50" s="1010"/>
      <c r="BU50" s="1010"/>
      <c r="BV50" s="1010"/>
      <c r="BW50" s="1010"/>
      <c r="BX50" s="1010"/>
      <c r="BY50" s="1010"/>
      <c r="BZ50" s="1010"/>
      <c r="CA50" s="1010"/>
      <c r="CB50" s="1010"/>
      <c r="CC50" s="1010"/>
      <c r="CD50" s="1010"/>
      <c r="CE50" s="1010"/>
      <c r="CF50" s="1010"/>
      <c r="CG50" s="1010"/>
      <c r="CH50" s="1010"/>
      <c r="CI50" s="989"/>
      <c r="CK50" s="1009"/>
      <c r="CL50" s="1010"/>
      <c r="CM50" s="1010"/>
      <c r="CN50" s="1010"/>
      <c r="CO50" s="1010"/>
      <c r="CP50" s="1010"/>
      <c r="CQ50" s="989"/>
      <c r="CS50" s="1011"/>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c r="EC50" s="1010"/>
      <c r="EE50" s="1011"/>
      <c r="EF50" s="1010"/>
      <c r="EG50" s="1010"/>
      <c r="EH50" s="1010"/>
      <c r="EI50" s="1010"/>
      <c r="EJ50" s="1010"/>
      <c r="EN50" s="1024"/>
      <c r="EO50" s="1013"/>
      <c r="EP50" s="1013"/>
      <c r="EQ50" s="1013"/>
      <c r="ER50" s="1013"/>
      <c r="ES50" s="1013"/>
      <c r="ET50" s="1013"/>
      <c r="EU50" s="1013"/>
      <c r="EV50" s="1013"/>
      <c r="EW50" s="1013"/>
      <c r="EX50" s="1013"/>
      <c r="EY50" s="1013"/>
      <c r="EZ50" s="1013"/>
      <c r="FA50" s="1013"/>
      <c r="FB50" s="1013"/>
      <c r="FC50" s="1013"/>
      <c r="FD50" s="1013"/>
      <c r="FE50" s="1013"/>
      <c r="FF50" s="1013"/>
      <c r="FG50" s="1013"/>
      <c r="FH50" s="1013"/>
      <c r="FI50" s="1013"/>
      <c r="FJ50" s="1013"/>
      <c r="FK50" s="1013"/>
      <c r="FL50" s="1013"/>
      <c r="FM50" s="1013"/>
      <c r="FN50" s="1013"/>
      <c r="FO50" s="1013"/>
      <c r="FP50" s="1013"/>
      <c r="FQ50" s="1013"/>
      <c r="FR50" s="1013"/>
      <c r="FS50" s="1013"/>
      <c r="FT50" s="1013"/>
      <c r="FU50" s="1013"/>
      <c r="FV50" s="1013"/>
      <c r="FW50" s="1013"/>
      <c r="FX50" s="1013"/>
      <c r="FZ50" s="1024"/>
      <c r="GA50" s="1013"/>
      <c r="GB50" s="1013"/>
      <c r="GC50" s="1013"/>
      <c r="GD50" s="1013"/>
      <c r="GE50" s="1013"/>
      <c r="GG50" s="1014"/>
      <c r="GH50" s="908"/>
      <c r="GI50" s="908"/>
      <c r="GJ50" s="908"/>
      <c r="GK50" s="908"/>
      <c r="GL50" s="908"/>
      <c r="GM50" s="908"/>
      <c r="GN50" s="908"/>
      <c r="GO50" s="908"/>
      <c r="GP50" s="908"/>
      <c r="GQ50" s="908"/>
      <c r="GR50" s="908"/>
      <c r="GS50" s="908"/>
      <c r="GT50" s="908"/>
      <c r="GU50" s="908"/>
      <c r="GV50" s="908"/>
      <c r="GW50" s="908"/>
      <c r="GX50" s="908"/>
      <c r="GY50" s="908"/>
      <c r="GZ50" s="908"/>
      <c r="HA50" s="908"/>
      <c r="HB50" s="908"/>
      <c r="HC50" s="908"/>
      <c r="HD50" s="908"/>
      <c r="HE50" s="908"/>
      <c r="HF50" s="908"/>
      <c r="HG50" s="908"/>
      <c r="HH50" s="908"/>
      <c r="HI50" s="908"/>
      <c r="HJ50" s="908"/>
      <c r="HK50" s="908"/>
      <c r="HL50" s="908"/>
      <c r="HM50" s="908"/>
      <c r="HN50" s="908"/>
      <c r="HO50" s="908"/>
      <c r="HP50" s="908"/>
      <c r="HQ50" s="908"/>
      <c r="HT50" s="1014"/>
      <c r="HU50" s="1015"/>
    </row>
    <row r="51" spans="4:233" ht="15">
      <c r="D51" s="1011"/>
      <c r="E51" s="1010"/>
      <c r="F51" s="1010"/>
      <c r="G51" s="1010"/>
      <c r="H51" s="1010"/>
      <c r="I51" s="1010"/>
      <c r="J51" s="1010"/>
      <c r="K51" s="1010"/>
      <c r="L51" s="1010"/>
      <c r="M51" s="1010"/>
      <c r="N51" s="1010"/>
      <c r="O51" s="1010"/>
      <c r="P51" s="1010"/>
      <c r="Q51" s="1010"/>
      <c r="R51" s="1010"/>
      <c r="S51" s="1010"/>
      <c r="T51" s="1010"/>
      <c r="U51" s="1010"/>
      <c r="V51" s="1010"/>
      <c r="W51" s="1010"/>
      <c r="X51" s="1010"/>
      <c r="Y51" s="1010"/>
      <c r="Z51" s="1010"/>
      <c r="AA51" s="1010"/>
      <c r="AB51" s="1010"/>
      <c r="AC51" s="1010"/>
      <c r="AD51" s="1010"/>
      <c r="AE51" s="1010"/>
      <c r="AF51" s="1010"/>
      <c r="AG51" s="1010"/>
      <c r="AH51" s="1010"/>
      <c r="AI51" s="1010"/>
      <c r="AJ51" s="1010"/>
      <c r="AK51" s="1010"/>
      <c r="AL51" s="1010"/>
      <c r="AM51" s="1010"/>
      <c r="AN51" s="1010"/>
      <c r="AO51" s="984"/>
      <c r="AP51" s="1011"/>
      <c r="AQ51" s="1010"/>
      <c r="AR51" s="1010"/>
      <c r="AS51" s="1010"/>
      <c r="AT51" s="1010"/>
      <c r="AU51" s="1010"/>
      <c r="AV51" s="984"/>
      <c r="AW51" s="984"/>
      <c r="AX51" s="1025"/>
      <c r="AY51" s="1026"/>
      <c r="AZ51" s="1026"/>
      <c r="BA51" s="1026"/>
      <c r="BB51" s="1026"/>
      <c r="BC51" s="1026"/>
      <c r="BD51" s="1026"/>
      <c r="BE51" s="1026"/>
      <c r="BF51" s="1026"/>
      <c r="BG51" s="1026"/>
      <c r="BH51" s="1026"/>
      <c r="BI51" s="1026"/>
      <c r="BJ51" s="1026"/>
      <c r="BK51" s="1026"/>
      <c r="BL51" s="1026"/>
      <c r="BM51" s="1026"/>
      <c r="BN51" s="1026"/>
      <c r="BO51" s="1026"/>
      <c r="BP51" s="1026"/>
      <c r="BQ51" s="1026"/>
      <c r="BR51" s="1026"/>
      <c r="BS51" s="1026"/>
      <c r="BT51" s="1026"/>
      <c r="BU51" s="1026"/>
      <c r="BV51" s="1026"/>
      <c r="BW51" s="1026"/>
      <c r="BX51" s="1026"/>
      <c r="BY51" s="1026"/>
      <c r="BZ51" s="1026"/>
      <c r="CA51" s="1026"/>
      <c r="CB51" s="1026"/>
      <c r="CC51" s="1026"/>
      <c r="CD51" s="1026"/>
      <c r="CE51" s="1026"/>
      <c r="CF51" s="1026"/>
      <c r="CG51" s="1026"/>
      <c r="CH51" s="1026"/>
      <c r="CI51" s="989"/>
      <c r="CK51" s="1025"/>
      <c r="CL51" s="1026"/>
      <c r="CM51" s="1026"/>
      <c r="CN51" s="1026"/>
      <c r="CO51" s="1026"/>
      <c r="CP51" s="1026"/>
      <c r="CQ51" s="989"/>
      <c r="CS51" s="1011"/>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c r="EC51" s="1010"/>
      <c r="EE51" s="1011"/>
      <c r="EF51" s="1010"/>
      <c r="EG51" s="1010"/>
      <c r="EH51" s="1010"/>
      <c r="EI51" s="1010"/>
      <c r="EJ51" s="1010"/>
      <c r="EN51" s="1024"/>
      <c r="EO51" s="1013"/>
      <c r="EP51" s="1013"/>
      <c r="EQ51" s="1013"/>
      <c r="ER51" s="1013"/>
      <c r="ES51" s="1013"/>
      <c r="ET51" s="1013"/>
      <c r="EU51" s="1013"/>
      <c r="EV51" s="1013"/>
      <c r="EW51" s="1013"/>
      <c r="EX51" s="1013"/>
      <c r="EY51" s="1013"/>
      <c r="EZ51" s="1013"/>
      <c r="FA51" s="1013"/>
      <c r="FB51" s="1013"/>
      <c r="FC51" s="1013"/>
      <c r="FD51" s="1013"/>
      <c r="FE51" s="1013"/>
      <c r="FF51" s="1013"/>
      <c r="FG51" s="1013"/>
      <c r="FH51" s="1013"/>
      <c r="FI51" s="1013"/>
      <c r="FJ51" s="1013"/>
      <c r="FK51" s="1013"/>
      <c r="FL51" s="1013"/>
      <c r="FM51" s="1013"/>
      <c r="FN51" s="1013"/>
      <c r="FO51" s="1013"/>
      <c r="FP51" s="1013"/>
      <c r="FQ51" s="1013"/>
      <c r="FR51" s="1013"/>
      <c r="FS51" s="1013"/>
      <c r="FT51" s="1013"/>
      <c r="FU51" s="1013"/>
      <c r="FV51" s="1013"/>
      <c r="FW51" s="1013"/>
      <c r="FX51" s="1013"/>
      <c r="FZ51" s="1024"/>
      <c r="GA51" s="1013"/>
      <c r="GB51" s="1013"/>
      <c r="GC51" s="1013"/>
      <c r="GD51" s="1013"/>
      <c r="GE51" s="1013"/>
      <c r="GG51" s="1027"/>
      <c r="GH51" s="1020"/>
      <c r="GI51" s="1020"/>
      <c r="GJ51" s="1020"/>
      <c r="GK51" s="1020"/>
      <c r="GL51" s="1020"/>
      <c r="GM51" s="1020"/>
      <c r="GN51" s="1020"/>
      <c r="GO51" s="1020"/>
      <c r="GP51" s="1020"/>
      <c r="GQ51" s="1020"/>
      <c r="GR51" s="1020"/>
      <c r="GS51" s="1020"/>
      <c r="GT51" s="1020"/>
      <c r="GU51" s="1020"/>
      <c r="GV51" s="1020"/>
      <c r="GW51" s="1020"/>
      <c r="GX51" s="1020"/>
      <c r="GY51" s="1020"/>
      <c r="GZ51" s="1020"/>
      <c r="HA51" s="1020"/>
      <c r="HB51" s="1020"/>
      <c r="HC51" s="1020"/>
      <c r="HD51" s="1020"/>
      <c r="HE51" s="1020"/>
      <c r="HF51" s="1020"/>
      <c r="HG51" s="1020"/>
      <c r="HH51" s="1020"/>
      <c r="HI51" s="1020"/>
      <c r="HJ51" s="1020"/>
      <c r="HK51" s="1020"/>
      <c r="HL51" s="1020"/>
      <c r="HM51" s="1020"/>
      <c r="HN51" s="1020"/>
      <c r="HO51" s="1020"/>
      <c r="HP51" s="1020"/>
      <c r="HQ51" s="1020"/>
      <c r="HT51" s="1027"/>
      <c r="HU51" s="1013"/>
      <c r="HV51" s="1020"/>
      <c r="HW51" s="1020"/>
      <c r="HX51" s="1020"/>
      <c r="HY51" s="1020"/>
    </row>
    <row r="52" spans="4:233" ht="15">
      <c r="D52" s="1028"/>
      <c r="E52" s="1010"/>
      <c r="F52" s="1010"/>
      <c r="G52" s="1010"/>
      <c r="H52" s="1010"/>
      <c r="I52" s="1010"/>
      <c r="J52" s="1010"/>
      <c r="K52" s="1010"/>
      <c r="L52" s="1010"/>
      <c r="M52" s="1010"/>
      <c r="N52" s="1010"/>
      <c r="O52" s="1010"/>
      <c r="P52" s="1010"/>
      <c r="Q52" s="1010"/>
      <c r="R52" s="1010"/>
      <c r="S52" s="1010"/>
      <c r="T52" s="1010"/>
      <c r="U52" s="1010"/>
      <c r="V52" s="1010"/>
      <c r="W52" s="1010"/>
      <c r="X52" s="1010"/>
      <c r="Y52" s="1010"/>
      <c r="Z52" s="1010"/>
      <c r="AA52" s="1010"/>
      <c r="AB52" s="1010"/>
      <c r="AC52" s="1010"/>
      <c r="AD52" s="1010"/>
      <c r="AE52" s="1010"/>
      <c r="AF52" s="1010"/>
      <c r="AG52" s="1010"/>
      <c r="AH52" s="1010"/>
      <c r="AI52" s="1010"/>
      <c r="AJ52" s="1010"/>
      <c r="AK52" s="1010"/>
      <c r="AL52" s="1010"/>
      <c r="AM52" s="1010"/>
      <c r="AN52" s="1010"/>
      <c r="AO52" s="984"/>
      <c r="AP52" s="1028"/>
      <c r="AQ52" s="1010"/>
      <c r="AR52" s="1010"/>
      <c r="AS52" s="1010"/>
      <c r="AT52" s="1010"/>
      <c r="AU52" s="1010"/>
      <c r="AV52" s="984"/>
      <c r="AW52" s="984"/>
      <c r="AX52" s="1029"/>
      <c r="AY52" s="1030"/>
      <c r="AZ52" s="1030"/>
      <c r="BA52" s="1030"/>
      <c r="BB52" s="1030"/>
      <c r="BC52" s="1030"/>
      <c r="BD52" s="1030"/>
      <c r="BE52" s="1030"/>
      <c r="BF52" s="1030"/>
      <c r="BG52" s="1030"/>
      <c r="BH52" s="1030"/>
      <c r="BI52" s="1030"/>
      <c r="BJ52" s="1030"/>
      <c r="BK52" s="1030"/>
      <c r="BL52" s="1030"/>
      <c r="BM52" s="1030"/>
      <c r="BN52" s="1030"/>
      <c r="BO52" s="1030"/>
      <c r="BP52" s="1030"/>
      <c r="BQ52" s="1030"/>
      <c r="BR52" s="1030"/>
      <c r="BS52" s="1030"/>
      <c r="BT52" s="1030"/>
      <c r="BU52" s="1030"/>
      <c r="BV52" s="1030"/>
      <c r="BW52" s="1030"/>
      <c r="BX52" s="1030"/>
      <c r="BY52" s="1030"/>
      <c r="BZ52" s="1030"/>
      <c r="CA52" s="1030"/>
      <c r="CB52" s="1030"/>
      <c r="CC52" s="1030"/>
      <c r="CD52" s="1030"/>
      <c r="CE52" s="1030"/>
      <c r="CF52" s="1030"/>
      <c r="CG52" s="1030"/>
      <c r="CH52" s="1030"/>
      <c r="CI52" s="989"/>
      <c r="CK52" s="1029"/>
      <c r="CL52" s="1030"/>
      <c r="CM52" s="1030"/>
      <c r="CN52" s="1030"/>
      <c r="CO52" s="1030"/>
      <c r="CP52" s="1030"/>
      <c r="CQ52" s="989"/>
      <c r="CS52" s="1011"/>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c r="EC52" s="1010"/>
      <c r="EE52" s="1011"/>
      <c r="EF52" s="1010"/>
      <c r="EG52" s="1010"/>
      <c r="EH52" s="1010"/>
      <c r="EI52" s="1010"/>
      <c r="EJ52" s="1010"/>
      <c r="GG52" s="1027"/>
      <c r="GH52" s="1020"/>
      <c r="GI52" s="1020"/>
      <c r="GJ52" s="1020"/>
      <c r="GK52" s="1020"/>
      <c r="GL52" s="1020"/>
      <c r="GM52" s="1020"/>
      <c r="GN52" s="1020"/>
      <c r="GO52" s="1020"/>
      <c r="GP52" s="1020"/>
      <c r="GQ52" s="1020"/>
      <c r="GR52" s="1020"/>
      <c r="GS52" s="1020"/>
      <c r="GT52" s="1020"/>
      <c r="GU52" s="1020"/>
      <c r="GV52" s="1020"/>
      <c r="GW52" s="1020"/>
      <c r="GX52" s="1020"/>
      <c r="GY52" s="1020"/>
      <c r="GZ52" s="1020"/>
      <c r="HA52" s="1020"/>
      <c r="HB52" s="1020"/>
      <c r="HC52" s="1020"/>
      <c r="HD52" s="1020"/>
      <c r="HE52" s="1020"/>
      <c r="HF52" s="1020"/>
      <c r="HG52" s="1020"/>
      <c r="HH52" s="1020"/>
      <c r="HI52" s="1020"/>
      <c r="HJ52" s="1020"/>
      <c r="HK52" s="1020"/>
      <c r="HL52" s="1020"/>
      <c r="HM52" s="1020"/>
      <c r="HN52" s="1020"/>
      <c r="HO52" s="1020"/>
      <c r="HP52" s="1020"/>
      <c r="HQ52" s="1020"/>
      <c r="HT52" s="1027"/>
      <c r="HU52" s="1013"/>
      <c r="HV52" s="1020"/>
      <c r="HW52" s="1020"/>
      <c r="HX52" s="1020"/>
      <c r="HY52" s="1020"/>
    </row>
    <row r="53" spans="4:233" ht="15">
      <c r="D53" s="1011"/>
      <c r="E53" s="1002"/>
      <c r="F53" s="1002"/>
      <c r="G53" s="1002"/>
      <c r="H53" s="1002"/>
      <c r="I53" s="1002"/>
      <c r="J53" s="1002"/>
      <c r="K53" s="1002"/>
      <c r="L53" s="1002"/>
      <c r="M53" s="1002"/>
      <c r="N53" s="1002"/>
      <c r="O53" s="1002"/>
      <c r="P53" s="1002"/>
      <c r="Q53" s="1002"/>
      <c r="R53" s="1002"/>
      <c r="S53" s="1002"/>
      <c r="T53" s="1002"/>
      <c r="U53" s="1002"/>
      <c r="V53" s="1002"/>
      <c r="W53" s="1002"/>
      <c r="X53" s="1002"/>
      <c r="Y53" s="1002"/>
      <c r="Z53" s="1002"/>
      <c r="AA53" s="1002"/>
      <c r="AB53" s="1002"/>
      <c r="AC53" s="1002"/>
      <c r="AD53" s="1002"/>
      <c r="AE53" s="1002"/>
      <c r="AF53" s="1002"/>
      <c r="AG53" s="1002"/>
      <c r="AH53" s="1002"/>
      <c r="AI53" s="1002"/>
      <c r="AJ53" s="1002"/>
      <c r="AK53" s="1002"/>
      <c r="AL53" s="1002"/>
      <c r="AM53" s="1002"/>
      <c r="AN53" s="1002"/>
      <c r="AO53" s="984"/>
      <c r="AP53" s="1011"/>
      <c r="AQ53" s="1002"/>
      <c r="AR53" s="1002"/>
      <c r="AS53" s="1002"/>
      <c r="AT53" s="1002"/>
      <c r="AU53" s="1002"/>
      <c r="AV53" s="984"/>
      <c r="AW53" s="984"/>
      <c r="AX53" s="1031"/>
      <c r="AY53" s="1002"/>
      <c r="AZ53" s="1002"/>
      <c r="BA53" s="1002"/>
      <c r="BB53" s="1002"/>
      <c r="BC53" s="1002"/>
      <c r="BD53" s="1002"/>
      <c r="BE53" s="1002"/>
      <c r="BF53" s="1002"/>
      <c r="BG53" s="1002"/>
      <c r="BH53" s="1002"/>
      <c r="BI53" s="1002"/>
      <c r="BJ53" s="1002"/>
      <c r="BK53" s="1002"/>
      <c r="BL53" s="1002"/>
      <c r="BM53" s="1002"/>
      <c r="BN53" s="1002"/>
      <c r="BO53" s="1002"/>
      <c r="BP53" s="1002"/>
      <c r="BQ53" s="1002"/>
      <c r="BR53" s="1002"/>
      <c r="BS53" s="1002"/>
      <c r="BT53" s="1002"/>
      <c r="BU53" s="1002"/>
      <c r="BV53" s="1002"/>
      <c r="BW53" s="1002"/>
      <c r="BX53" s="1002"/>
      <c r="BY53" s="1002"/>
      <c r="BZ53" s="1002"/>
      <c r="CA53" s="1002"/>
      <c r="CB53" s="1002"/>
      <c r="CC53" s="1002"/>
      <c r="CD53" s="1002"/>
      <c r="CE53" s="1002"/>
      <c r="CF53" s="1002"/>
      <c r="CG53" s="1002"/>
      <c r="CH53" s="1002"/>
      <c r="CI53" s="989"/>
      <c r="CK53" s="1031"/>
      <c r="CL53" s="1002"/>
      <c r="CM53" s="1002"/>
      <c r="CN53" s="1002"/>
      <c r="CO53" s="1002"/>
      <c r="CP53" s="1002"/>
      <c r="CQ53" s="989"/>
      <c r="CS53" s="1011"/>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c r="EC53" s="1010"/>
      <c r="EE53" s="1011"/>
      <c r="EF53" s="1010"/>
      <c r="EG53" s="1010"/>
      <c r="EH53" s="1010"/>
      <c r="EI53" s="1010"/>
      <c r="EJ53" s="1010"/>
      <c r="GG53" s="1027"/>
      <c r="GH53" s="1020"/>
      <c r="GI53" s="1020"/>
      <c r="GJ53" s="1020"/>
      <c r="GK53" s="1020"/>
      <c r="GL53" s="1020"/>
      <c r="GM53" s="1020"/>
      <c r="GN53" s="1020"/>
      <c r="GO53" s="1020"/>
      <c r="GP53" s="1020"/>
      <c r="GQ53" s="1020"/>
      <c r="GR53" s="1020"/>
      <c r="GS53" s="1020"/>
      <c r="GT53" s="1020"/>
      <c r="GU53" s="1020"/>
      <c r="GV53" s="1020"/>
      <c r="GW53" s="1020"/>
      <c r="GX53" s="1020"/>
      <c r="GY53" s="1020"/>
      <c r="GZ53" s="1020"/>
      <c r="HA53" s="1020"/>
      <c r="HB53" s="1020"/>
      <c r="HC53" s="1020"/>
      <c r="HD53" s="1020"/>
      <c r="HE53" s="1020"/>
      <c r="HF53" s="1020"/>
      <c r="HG53" s="1020"/>
      <c r="HH53" s="1020"/>
      <c r="HI53" s="1020"/>
      <c r="HJ53" s="1020"/>
      <c r="HK53" s="1020"/>
      <c r="HL53" s="1020"/>
      <c r="HM53" s="1020"/>
      <c r="HN53" s="1020"/>
      <c r="HO53" s="1020"/>
      <c r="HP53" s="1020"/>
      <c r="HQ53" s="1020"/>
      <c r="HT53" s="1027"/>
      <c r="HU53" s="1013"/>
      <c r="HV53" s="1020"/>
      <c r="HW53" s="1020"/>
      <c r="HX53" s="1020"/>
      <c r="HY53" s="1020"/>
    </row>
    <row r="54" spans="4:233" ht="15">
      <c r="D54" s="1009"/>
      <c r="E54" s="1032"/>
      <c r="F54" s="1032"/>
      <c r="G54" s="1032"/>
      <c r="H54" s="1032"/>
      <c r="I54" s="1032"/>
      <c r="J54" s="1032"/>
      <c r="K54" s="1032"/>
      <c r="L54" s="1032"/>
      <c r="M54" s="1032"/>
      <c r="N54" s="1032"/>
      <c r="O54" s="1032"/>
      <c r="P54" s="1032"/>
      <c r="Q54" s="1032"/>
      <c r="R54" s="1032"/>
      <c r="S54" s="1032"/>
      <c r="T54" s="1032"/>
      <c r="U54" s="1032"/>
      <c r="V54" s="1032"/>
      <c r="W54" s="1032"/>
      <c r="X54" s="1032"/>
      <c r="Y54" s="1032"/>
      <c r="Z54" s="1032"/>
      <c r="AA54" s="1032"/>
      <c r="AB54" s="1032"/>
      <c r="AC54" s="1032"/>
      <c r="AD54" s="1032"/>
      <c r="AE54" s="1032"/>
      <c r="AF54" s="1032"/>
      <c r="AG54" s="1032"/>
      <c r="AH54" s="1032"/>
      <c r="AI54" s="1032"/>
      <c r="AJ54" s="1032"/>
      <c r="AK54" s="1032"/>
      <c r="AL54" s="1032"/>
      <c r="AM54" s="1032"/>
      <c r="AN54" s="1032"/>
      <c r="AO54" s="984"/>
      <c r="AP54" s="1009"/>
      <c r="AQ54" s="1032"/>
      <c r="AR54" s="1032"/>
      <c r="AS54" s="1032"/>
      <c r="AT54" s="1032"/>
      <c r="AU54" s="1032"/>
      <c r="AV54" s="984"/>
      <c r="AW54" s="984"/>
      <c r="AX54" s="1031"/>
      <c r="AY54" s="1010"/>
      <c r="AZ54" s="1010"/>
      <c r="BA54" s="1010"/>
      <c r="BB54" s="1010"/>
      <c r="BC54" s="1010"/>
      <c r="BD54" s="1010"/>
      <c r="BE54" s="1010"/>
      <c r="BF54" s="1010"/>
      <c r="BG54" s="1010"/>
      <c r="BH54" s="1010"/>
      <c r="BI54" s="1010"/>
      <c r="BJ54" s="1010"/>
      <c r="BK54" s="1010"/>
      <c r="BL54" s="1010"/>
      <c r="BM54" s="1010"/>
      <c r="BN54" s="1010"/>
      <c r="BO54" s="1010"/>
      <c r="BP54" s="1010"/>
      <c r="BQ54" s="1010"/>
      <c r="BR54" s="1010"/>
      <c r="BS54" s="1010"/>
      <c r="BT54" s="1010"/>
      <c r="BU54" s="1010"/>
      <c r="BV54" s="1010"/>
      <c r="BW54" s="1010"/>
      <c r="BX54" s="1010"/>
      <c r="BY54" s="1010"/>
      <c r="BZ54" s="1010"/>
      <c r="CA54" s="1010"/>
      <c r="CB54" s="1010"/>
      <c r="CC54" s="1010"/>
      <c r="CD54" s="1010"/>
      <c r="CE54" s="1010"/>
      <c r="CF54" s="1010"/>
      <c r="CG54" s="1010"/>
      <c r="CH54" s="1010"/>
      <c r="CI54" s="989"/>
      <c r="CK54" s="1031"/>
      <c r="CL54" s="1010"/>
      <c r="CM54" s="1010"/>
      <c r="CN54" s="1010"/>
      <c r="CO54" s="1010"/>
      <c r="CP54" s="1010"/>
      <c r="CQ54" s="989"/>
      <c r="CS54" s="1011"/>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c r="EC54" s="1010"/>
      <c r="EE54" s="1011"/>
      <c r="EF54" s="1010"/>
      <c r="EG54" s="1010"/>
      <c r="EH54" s="1010"/>
      <c r="EI54" s="1010"/>
      <c r="EJ54" s="1010"/>
    </row>
    <row r="55" spans="4:233" ht="15">
      <c r="D55" s="1009"/>
      <c r="E55" s="1010"/>
      <c r="F55" s="1010"/>
      <c r="G55" s="1010"/>
      <c r="H55" s="1010"/>
      <c r="I55" s="1010"/>
      <c r="J55" s="1010"/>
      <c r="K55" s="1010"/>
      <c r="L55" s="1010"/>
      <c r="M55" s="1010"/>
      <c r="N55" s="1010"/>
      <c r="O55" s="1010"/>
      <c r="P55" s="1010"/>
      <c r="Q55" s="1010"/>
      <c r="R55" s="1010"/>
      <c r="S55" s="1010"/>
      <c r="T55" s="1010"/>
      <c r="U55" s="1010"/>
      <c r="V55" s="1010"/>
      <c r="W55" s="1010"/>
      <c r="X55" s="1010"/>
      <c r="Y55" s="1010"/>
      <c r="Z55" s="1010"/>
      <c r="AA55" s="1010"/>
      <c r="AB55" s="1010"/>
      <c r="AC55" s="1010"/>
      <c r="AD55" s="1010"/>
      <c r="AE55" s="1010"/>
      <c r="AF55" s="1010"/>
      <c r="AG55" s="1010"/>
      <c r="AH55" s="1010"/>
      <c r="AI55" s="1010"/>
      <c r="AJ55" s="1010"/>
      <c r="AK55" s="1010"/>
      <c r="AL55" s="1010"/>
      <c r="AM55" s="1010"/>
      <c r="AN55" s="1010"/>
      <c r="AO55" s="984"/>
      <c r="AP55" s="1009"/>
      <c r="AQ55" s="1010"/>
      <c r="AR55" s="1010"/>
      <c r="AS55" s="1010"/>
      <c r="AT55" s="1010"/>
      <c r="AU55" s="1010"/>
      <c r="AV55" s="984"/>
      <c r="AW55" s="984"/>
      <c r="AX55" s="1016"/>
      <c r="AY55" s="1033"/>
      <c r="AZ55" s="1033"/>
      <c r="BA55" s="1033"/>
      <c r="BB55" s="1033"/>
      <c r="BC55" s="1033"/>
      <c r="BD55" s="1033"/>
      <c r="BE55" s="1033"/>
      <c r="BF55" s="1033"/>
      <c r="BG55" s="1033"/>
      <c r="BH55" s="1033"/>
      <c r="BI55" s="1033"/>
      <c r="BJ55" s="1033"/>
      <c r="BK55" s="1033"/>
      <c r="BL55" s="1033"/>
      <c r="BM55" s="1033"/>
      <c r="BN55" s="1033"/>
      <c r="BO55" s="1033"/>
      <c r="BP55" s="1033"/>
      <c r="BQ55" s="1033"/>
      <c r="BR55" s="1033"/>
      <c r="BS55" s="1033"/>
      <c r="BT55" s="1033"/>
      <c r="BU55" s="1033"/>
      <c r="BV55" s="1033"/>
      <c r="BW55" s="1033"/>
      <c r="BX55" s="1033"/>
      <c r="BY55" s="1033"/>
      <c r="BZ55" s="1033"/>
      <c r="CA55" s="1033"/>
      <c r="CB55" s="1033"/>
      <c r="CC55" s="1033"/>
      <c r="CD55" s="1033"/>
      <c r="CE55" s="1033"/>
      <c r="CF55" s="1033"/>
      <c r="CG55" s="1033"/>
      <c r="CH55" s="1033"/>
      <c r="CI55" s="989"/>
      <c r="CK55" s="1016"/>
      <c r="CL55" s="1033"/>
      <c r="CM55" s="1033"/>
      <c r="CN55" s="1033"/>
      <c r="CO55" s="1033"/>
      <c r="CP55" s="1033"/>
      <c r="CQ55" s="989"/>
      <c r="CS55" s="1034"/>
      <c r="CT55" s="1022"/>
      <c r="CU55" s="1022"/>
      <c r="CV55" s="1022"/>
      <c r="CW55" s="1022"/>
      <c r="CX55" s="1022"/>
      <c r="CY55" s="1022"/>
      <c r="CZ55" s="1022"/>
      <c r="DA55" s="1022"/>
      <c r="DB55" s="1022"/>
      <c r="DC55" s="1022"/>
      <c r="DD55" s="1022"/>
      <c r="DE55" s="1022"/>
      <c r="DF55" s="1022"/>
      <c r="DG55" s="1022"/>
      <c r="DH55" s="1022"/>
      <c r="DI55" s="1022"/>
      <c r="DJ55" s="1022"/>
      <c r="DK55" s="1022"/>
      <c r="DL55" s="1022"/>
      <c r="DM55" s="1022"/>
      <c r="DN55" s="1022"/>
      <c r="DO55" s="1022"/>
      <c r="DP55" s="1022"/>
      <c r="DQ55" s="1022"/>
      <c r="DR55" s="1022"/>
      <c r="DS55" s="1022"/>
      <c r="DT55" s="1022"/>
      <c r="DU55" s="1022"/>
      <c r="DV55" s="1022"/>
      <c r="DW55" s="1022"/>
      <c r="DX55" s="1022"/>
      <c r="DY55" s="1022"/>
      <c r="DZ55" s="1022"/>
      <c r="EA55" s="1022"/>
      <c r="EB55" s="1022"/>
      <c r="EC55" s="1022"/>
      <c r="EE55" s="1034"/>
      <c r="EF55" s="1022"/>
      <c r="EG55" s="1022"/>
      <c r="EH55" s="1022"/>
      <c r="EI55" s="1022"/>
      <c r="EJ55" s="1022"/>
      <c r="GG55" s="1005"/>
      <c r="GH55" s="1005"/>
      <c r="GI55" s="1005"/>
      <c r="GJ55" s="1005"/>
      <c r="GK55" s="1005"/>
      <c r="GL55" s="1005"/>
      <c r="GM55" s="1005"/>
      <c r="GN55" s="1005"/>
      <c r="GO55" s="1005"/>
      <c r="GP55" s="1005"/>
      <c r="GQ55" s="1005"/>
      <c r="GR55" s="1005"/>
      <c r="GS55" s="1005"/>
      <c r="GT55" s="1005"/>
      <c r="GU55" s="1005"/>
      <c r="GV55" s="1005"/>
      <c r="GW55" s="1005"/>
      <c r="GX55" s="1005"/>
      <c r="GY55" s="1005"/>
      <c r="GZ55" s="1005"/>
      <c r="HA55" s="1005"/>
      <c r="HB55" s="1005"/>
      <c r="HC55" s="1005"/>
      <c r="HD55" s="1005"/>
      <c r="HE55" s="1005"/>
      <c r="HF55" s="1005"/>
      <c r="HG55" s="1005"/>
      <c r="HH55" s="1005"/>
      <c r="HI55" s="1005"/>
      <c r="HJ55" s="1005"/>
      <c r="HK55" s="1005"/>
      <c r="HL55" s="1005"/>
      <c r="HM55" s="1005"/>
      <c r="HN55" s="1005"/>
      <c r="HO55" s="1005"/>
      <c r="HP55" s="1005"/>
      <c r="HQ55" s="1005"/>
      <c r="HT55" s="1005"/>
      <c r="HU55" s="1005"/>
      <c r="HV55" s="1005"/>
      <c r="HW55" s="1005"/>
      <c r="HX55" s="1005"/>
      <c r="HY55" s="1005"/>
    </row>
    <row r="56" spans="4:233" ht="15">
      <c r="D56" s="1023"/>
      <c r="E56" s="1010"/>
      <c r="F56" s="1010"/>
      <c r="G56" s="1010"/>
      <c r="H56" s="1010"/>
      <c r="I56" s="1010"/>
      <c r="J56" s="1010"/>
      <c r="K56" s="1010"/>
      <c r="L56" s="1010"/>
      <c r="M56" s="1010"/>
      <c r="N56" s="1010"/>
      <c r="O56" s="1010"/>
      <c r="P56" s="1010"/>
      <c r="Q56" s="1010"/>
      <c r="R56" s="1010"/>
      <c r="S56" s="1010"/>
      <c r="T56" s="1010"/>
      <c r="U56" s="1010"/>
      <c r="V56" s="1010"/>
      <c r="W56" s="1010"/>
      <c r="X56" s="1010"/>
      <c r="Y56" s="1010"/>
      <c r="Z56" s="1010"/>
      <c r="AA56" s="1010"/>
      <c r="AB56" s="1010"/>
      <c r="AC56" s="1010"/>
      <c r="AD56" s="1010"/>
      <c r="AE56" s="1010"/>
      <c r="AF56" s="1010"/>
      <c r="AG56" s="1010"/>
      <c r="AH56" s="1010"/>
      <c r="AI56" s="1010"/>
      <c r="AJ56" s="1010"/>
      <c r="AK56" s="1010"/>
      <c r="AL56" s="1010"/>
      <c r="AM56" s="1010"/>
      <c r="AN56" s="1010"/>
      <c r="AO56" s="984"/>
      <c r="AP56" s="1023"/>
      <c r="AQ56" s="1010"/>
      <c r="AR56" s="1010"/>
      <c r="AS56" s="1010"/>
      <c r="AT56" s="1010"/>
      <c r="AU56" s="1010"/>
      <c r="AV56" s="984"/>
      <c r="AW56" s="984"/>
      <c r="AX56" s="1031"/>
      <c r="AY56" s="1022"/>
      <c r="AZ56" s="1022"/>
      <c r="BA56" s="1022"/>
      <c r="BB56" s="1022"/>
      <c r="BC56" s="1022"/>
      <c r="BD56" s="1022"/>
      <c r="BE56" s="1022"/>
      <c r="BF56" s="1022"/>
      <c r="BG56" s="1022"/>
      <c r="BH56" s="1022"/>
      <c r="BI56" s="1022"/>
      <c r="BJ56" s="1022"/>
      <c r="BK56" s="1022"/>
      <c r="BL56" s="1022"/>
      <c r="BM56" s="1022"/>
      <c r="BN56" s="1022"/>
      <c r="BO56" s="1022"/>
      <c r="BP56" s="1022"/>
      <c r="BQ56" s="1022"/>
      <c r="BR56" s="1022"/>
      <c r="BS56" s="1022"/>
      <c r="BT56" s="1022"/>
      <c r="BU56" s="1022"/>
      <c r="BV56" s="1022"/>
      <c r="BW56" s="1022"/>
      <c r="BX56" s="1022"/>
      <c r="BY56" s="1022"/>
      <c r="BZ56" s="1022"/>
      <c r="CA56" s="1022"/>
      <c r="CB56" s="1022"/>
      <c r="CC56" s="1022"/>
      <c r="CD56" s="1022"/>
      <c r="CE56" s="1022"/>
      <c r="CF56" s="1022"/>
      <c r="CG56" s="1022"/>
      <c r="CH56" s="1022"/>
      <c r="CI56" s="989"/>
      <c r="CK56" s="1031"/>
      <c r="CL56" s="1022"/>
      <c r="CM56" s="1022"/>
      <c r="CN56" s="1022"/>
      <c r="CO56" s="1022"/>
      <c r="CP56" s="1022"/>
      <c r="CQ56" s="989"/>
      <c r="CS56" s="1034"/>
      <c r="CT56" s="1022"/>
      <c r="CU56" s="1022"/>
      <c r="CV56" s="1022"/>
      <c r="CW56" s="1022"/>
      <c r="CX56" s="1022"/>
      <c r="CY56" s="1022"/>
      <c r="CZ56" s="1022"/>
      <c r="DA56" s="1022"/>
      <c r="DB56" s="1022"/>
      <c r="DC56" s="1022"/>
      <c r="DD56" s="1022"/>
      <c r="DE56" s="1022"/>
      <c r="DF56" s="1022"/>
      <c r="DG56" s="1022"/>
      <c r="DH56" s="1022"/>
      <c r="DI56" s="1022"/>
      <c r="DJ56" s="1022"/>
      <c r="DK56" s="1022"/>
      <c r="DL56" s="1022"/>
      <c r="DM56" s="1022"/>
      <c r="DN56" s="1022"/>
      <c r="DO56" s="1022"/>
      <c r="DP56" s="1022"/>
      <c r="DQ56" s="1022"/>
      <c r="DR56" s="1022"/>
      <c r="DS56" s="1022"/>
      <c r="DT56" s="1022"/>
      <c r="DU56" s="1022"/>
      <c r="DV56" s="1022"/>
      <c r="DW56" s="1022"/>
      <c r="DX56" s="1022"/>
      <c r="DY56" s="1022"/>
      <c r="DZ56" s="1022"/>
      <c r="EA56" s="1022"/>
      <c r="EB56" s="1022"/>
      <c r="EC56" s="1022"/>
      <c r="EE56" s="1034"/>
      <c r="EF56" s="1022"/>
      <c r="EG56" s="1022"/>
      <c r="EH56" s="1022"/>
      <c r="EI56" s="1022"/>
      <c r="EJ56" s="1022"/>
      <c r="GG56" s="1031"/>
      <c r="GH56" s="916"/>
      <c r="GI56" s="916"/>
      <c r="GJ56" s="916"/>
      <c r="GK56" s="916"/>
      <c r="GL56" s="916"/>
      <c r="GM56" s="916"/>
      <c r="GN56" s="916"/>
      <c r="GO56" s="916"/>
      <c r="GP56" s="916"/>
      <c r="GQ56" s="916"/>
      <c r="GR56" s="916"/>
      <c r="GS56" s="916"/>
      <c r="GT56" s="916"/>
      <c r="GU56" s="916"/>
      <c r="GV56" s="916"/>
      <c r="GW56" s="916"/>
      <c r="GX56" s="916"/>
      <c r="GY56" s="916"/>
      <c r="GZ56" s="916"/>
      <c r="HA56" s="916"/>
      <c r="HB56" s="916"/>
      <c r="HC56" s="916"/>
      <c r="HD56" s="916"/>
      <c r="HE56" s="916"/>
      <c r="HF56" s="916"/>
      <c r="HG56" s="916"/>
      <c r="HH56" s="916"/>
      <c r="HI56" s="916"/>
      <c r="HJ56" s="916"/>
      <c r="HK56" s="916"/>
      <c r="HL56" s="916"/>
      <c r="HM56" s="916"/>
      <c r="HN56" s="916"/>
      <c r="HO56" s="916"/>
      <c r="HP56" s="916"/>
      <c r="HQ56" s="916"/>
      <c r="HT56" s="1031"/>
      <c r="HU56" s="916"/>
      <c r="HV56" s="916"/>
      <c r="HW56" s="916"/>
      <c r="HX56" s="916"/>
      <c r="HY56" s="916"/>
    </row>
    <row r="57" spans="4:233" ht="15">
      <c r="D57" s="1009"/>
      <c r="E57" s="1002"/>
      <c r="F57" s="1002"/>
      <c r="G57" s="1002"/>
      <c r="H57" s="1002"/>
      <c r="I57" s="1002"/>
      <c r="J57" s="1002"/>
      <c r="K57" s="1002"/>
      <c r="L57" s="1002"/>
      <c r="M57" s="1002"/>
      <c r="N57" s="1002"/>
      <c r="O57" s="1002"/>
      <c r="P57" s="1002"/>
      <c r="Q57" s="1002"/>
      <c r="R57" s="1002"/>
      <c r="S57" s="1002"/>
      <c r="T57" s="1002"/>
      <c r="U57" s="1002"/>
      <c r="V57" s="1002"/>
      <c r="W57" s="1002"/>
      <c r="X57" s="1002"/>
      <c r="Y57" s="1002"/>
      <c r="Z57" s="1002"/>
      <c r="AA57" s="1002"/>
      <c r="AB57" s="1002"/>
      <c r="AC57" s="1002"/>
      <c r="AD57" s="1002"/>
      <c r="AE57" s="1002"/>
      <c r="AF57" s="1002"/>
      <c r="AG57" s="1002"/>
      <c r="AH57" s="1002"/>
      <c r="AI57" s="1002"/>
      <c r="AJ57" s="1002"/>
      <c r="AK57" s="1002"/>
      <c r="AL57" s="1002"/>
      <c r="AM57" s="1002"/>
      <c r="AN57" s="1002"/>
      <c r="AO57" s="984"/>
      <c r="AP57" s="1009"/>
      <c r="AQ57" s="1002"/>
      <c r="AR57" s="1002"/>
      <c r="AS57" s="1002"/>
      <c r="AT57" s="1002"/>
      <c r="AU57" s="1002"/>
      <c r="AV57" s="984"/>
      <c r="AW57" s="984"/>
      <c r="AX57" s="1031"/>
      <c r="AY57" s="1010"/>
      <c r="AZ57" s="1010"/>
      <c r="BA57" s="1010"/>
      <c r="BB57" s="1010"/>
      <c r="BC57" s="1010"/>
      <c r="BD57" s="1010"/>
      <c r="BE57" s="1010"/>
      <c r="BF57" s="1010"/>
      <c r="BG57" s="1010"/>
      <c r="BH57" s="1010"/>
      <c r="BI57" s="1010"/>
      <c r="BJ57" s="1010"/>
      <c r="BK57" s="1010"/>
      <c r="BL57" s="1010"/>
      <c r="BM57" s="1010"/>
      <c r="BN57" s="1010"/>
      <c r="BO57" s="1010"/>
      <c r="BP57" s="1010"/>
      <c r="BQ57" s="1010"/>
      <c r="BR57" s="1010"/>
      <c r="BS57" s="1010"/>
      <c r="BT57" s="1010"/>
      <c r="BU57" s="1010"/>
      <c r="BV57" s="1010"/>
      <c r="BW57" s="1010"/>
      <c r="BX57" s="1010"/>
      <c r="BY57" s="1010"/>
      <c r="BZ57" s="1010"/>
      <c r="CA57" s="1010"/>
      <c r="CB57" s="1010"/>
      <c r="CC57" s="1010"/>
      <c r="CD57" s="1010"/>
      <c r="CE57" s="1010"/>
      <c r="CF57" s="1010"/>
      <c r="CG57" s="1010"/>
      <c r="CH57" s="1010"/>
      <c r="CI57" s="989"/>
      <c r="CK57" s="1031"/>
      <c r="CL57" s="1010"/>
      <c r="CM57" s="1010"/>
      <c r="CN57" s="1010"/>
      <c r="CO57" s="1010"/>
      <c r="CP57" s="1010"/>
      <c r="CQ57" s="989"/>
      <c r="CS57" s="1035"/>
      <c r="CT57" s="1026"/>
      <c r="CU57" s="1026"/>
      <c r="CV57" s="1026"/>
      <c r="CW57" s="1026"/>
      <c r="CX57" s="1026"/>
      <c r="CY57" s="1026"/>
      <c r="CZ57" s="1026"/>
      <c r="DA57" s="1026"/>
      <c r="DB57" s="1026"/>
      <c r="DC57" s="1026"/>
      <c r="DD57" s="1026"/>
      <c r="DE57" s="1026"/>
      <c r="DF57" s="1026"/>
      <c r="DG57" s="1026"/>
      <c r="DH57" s="1026"/>
      <c r="DI57" s="1026"/>
      <c r="DJ57" s="1026"/>
      <c r="DK57" s="1026"/>
      <c r="DL57" s="1026"/>
      <c r="DM57" s="1026"/>
      <c r="DN57" s="1026"/>
      <c r="DO57" s="1026"/>
      <c r="DP57" s="1026"/>
      <c r="DQ57" s="1026"/>
      <c r="DR57" s="1026"/>
      <c r="DS57" s="1026"/>
      <c r="DT57" s="1026"/>
      <c r="DU57" s="1026"/>
      <c r="DV57" s="1026"/>
      <c r="DW57" s="1026"/>
      <c r="DX57" s="1026"/>
      <c r="DY57" s="1026"/>
      <c r="DZ57" s="1026"/>
      <c r="EA57" s="1026"/>
      <c r="EB57" s="1026"/>
      <c r="EC57" s="1026"/>
      <c r="EE57" s="1035"/>
      <c r="EF57" s="1026"/>
      <c r="EG57" s="1026"/>
      <c r="EH57" s="1026"/>
      <c r="EI57" s="1026"/>
      <c r="EJ57" s="1026"/>
      <c r="GG57" s="1031"/>
      <c r="GH57" s="1020"/>
      <c r="GI57" s="1020"/>
      <c r="GJ57" s="1020"/>
      <c r="GK57" s="1020"/>
      <c r="GL57" s="1020"/>
      <c r="GM57" s="1020"/>
      <c r="GN57" s="1020"/>
      <c r="GO57" s="1020"/>
      <c r="GP57" s="1020"/>
      <c r="GQ57" s="1020"/>
      <c r="GR57" s="1020"/>
      <c r="GS57" s="1020"/>
      <c r="GT57" s="1020"/>
      <c r="GU57" s="1020"/>
      <c r="GV57" s="1020"/>
      <c r="GW57" s="1020"/>
      <c r="GX57" s="1020"/>
      <c r="GY57" s="1020"/>
      <c r="GZ57" s="1020"/>
      <c r="HA57" s="1020"/>
      <c r="HB57" s="1020"/>
      <c r="HC57" s="1020"/>
      <c r="HD57" s="1020"/>
      <c r="HE57" s="1020"/>
      <c r="HF57" s="1020"/>
      <c r="HG57" s="1020"/>
      <c r="HH57" s="1020"/>
      <c r="HI57" s="1020"/>
      <c r="HJ57" s="1020"/>
      <c r="HK57" s="1020"/>
      <c r="HL57" s="1020"/>
      <c r="HM57" s="1020"/>
      <c r="HN57" s="1020"/>
      <c r="HO57" s="1020"/>
      <c r="HP57" s="1020"/>
      <c r="HQ57" s="1020"/>
      <c r="HT57" s="1031"/>
      <c r="HU57" s="1020"/>
      <c r="HV57" s="1020"/>
      <c r="HW57" s="1020"/>
      <c r="HX57" s="1020"/>
      <c r="HY57" s="1020"/>
    </row>
    <row r="58" spans="4:233" ht="15">
      <c r="D58" s="1009"/>
      <c r="E58" s="1032"/>
      <c r="F58" s="1032"/>
      <c r="G58" s="1032"/>
      <c r="H58" s="1032"/>
      <c r="I58" s="1032"/>
      <c r="J58" s="1032"/>
      <c r="K58" s="1032"/>
      <c r="L58" s="1032"/>
      <c r="M58" s="1032"/>
      <c r="N58" s="1032"/>
      <c r="O58" s="1032"/>
      <c r="P58" s="1032"/>
      <c r="Q58" s="1032"/>
      <c r="R58" s="1032"/>
      <c r="S58" s="1032"/>
      <c r="T58" s="1032"/>
      <c r="U58" s="1032"/>
      <c r="V58" s="1032"/>
      <c r="W58" s="1032"/>
      <c r="X58" s="1032"/>
      <c r="Y58" s="1032"/>
      <c r="Z58" s="1032"/>
      <c r="AA58" s="1032"/>
      <c r="AB58" s="1032"/>
      <c r="AC58" s="1032"/>
      <c r="AD58" s="1032"/>
      <c r="AE58" s="1032"/>
      <c r="AF58" s="1032"/>
      <c r="AG58" s="1032"/>
      <c r="AH58" s="1032"/>
      <c r="AI58" s="1032"/>
      <c r="AJ58" s="1032"/>
      <c r="AK58" s="1032"/>
      <c r="AL58" s="1032"/>
      <c r="AM58" s="1032"/>
      <c r="AN58" s="1032"/>
      <c r="AO58" s="984"/>
      <c r="AP58" s="1009"/>
      <c r="AQ58" s="1032"/>
      <c r="AR58" s="1032"/>
      <c r="AS58" s="1032"/>
      <c r="AT58" s="1032"/>
      <c r="AU58" s="1032"/>
      <c r="AV58" s="984"/>
      <c r="AW58" s="984"/>
      <c r="AX58" s="1031"/>
      <c r="AY58" s="1010"/>
      <c r="AZ58" s="1010"/>
      <c r="BA58" s="1010"/>
      <c r="BB58" s="1010"/>
      <c r="BC58" s="1010"/>
      <c r="BD58" s="1010"/>
      <c r="BE58" s="1010"/>
      <c r="BF58" s="1010"/>
      <c r="BG58" s="1010"/>
      <c r="BH58" s="1010"/>
      <c r="BI58" s="1010"/>
      <c r="BJ58" s="1010"/>
      <c r="BK58" s="1010"/>
      <c r="BL58" s="1010"/>
      <c r="BM58" s="1010"/>
      <c r="BN58" s="1010"/>
      <c r="BO58" s="1010"/>
      <c r="BP58" s="1010"/>
      <c r="BQ58" s="1010"/>
      <c r="BR58" s="1010"/>
      <c r="BS58" s="1010"/>
      <c r="BT58" s="1010"/>
      <c r="BU58" s="1010"/>
      <c r="BV58" s="1010"/>
      <c r="BW58" s="1010"/>
      <c r="BX58" s="1010"/>
      <c r="BY58" s="1010"/>
      <c r="BZ58" s="1010"/>
      <c r="CA58" s="1010"/>
      <c r="CB58" s="1010"/>
      <c r="CC58" s="1010"/>
      <c r="CD58" s="1010"/>
      <c r="CE58" s="1010"/>
      <c r="CF58" s="1010"/>
      <c r="CG58" s="1010"/>
      <c r="CH58" s="1010"/>
      <c r="CI58" s="989"/>
      <c r="CK58" s="1031"/>
      <c r="CL58" s="1010"/>
      <c r="CM58" s="1010"/>
      <c r="CN58" s="1010"/>
      <c r="CO58" s="1010"/>
      <c r="CP58" s="1010"/>
      <c r="CQ58" s="989"/>
      <c r="CS58" s="1036"/>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c r="EC58" s="1010"/>
      <c r="EE58" s="1036"/>
      <c r="EF58" s="1010"/>
      <c r="EG58" s="1010"/>
      <c r="EH58" s="1010"/>
      <c r="EI58" s="1010"/>
      <c r="EJ58" s="1010"/>
      <c r="GG58" s="1031"/>
      <c r="GH58" s="1020"/>
      <c r="GI58" s="1020"/>
      <c r="GJ58" s="1020"/>
      <c r="GK58" s="1020"/>
      <c r="GL58" s="1020"/>
      <c r="GM58" s="1020"/>
      <c r="GN58" s="1020"/>
      <c r="GO58" s="1020"/>
      <c r="GP58" s="1020"/>
      <c r="GQ58" s="1020"/>
      <c r="GR58" s="1020"/>
      <c r="GS58" s="1020"/>
      <c r="GT58" s="1020"/>
      <c r="GU58" s="1020"/>
      <c r="GV58" s="1020"/>
      <c r="GW58" s="1020"/>
      <c r="GX58" s="1020"/>
      <c r="GY58" s="1020"/>
      <c r="GZ58" s="1020"/>
      <c r="HA58" s="1020"/>
      <c r="HB58" s="1020"/>
      <c r="HC58" s="1020"/>
      <c r="HD58" s="1020"/>
      <c r="HE58" s="1020"/>
      <c r="HF58" s="1020"/>
      <c r="HG58" s="1020"/>
      <c r="HH58" s="1020"/>
      <c r="HI58" s="1020"/>
      <c r="HJ58" s="1020"/>
      <c r="HK58" s="1020"/>
      <c r="HL58" s="1020"/>
      <c r="HM58" s="1020"/>
      <c r="HN58" s="1020"/>
      <c r="HO58" s="1020"/>
      <c r="HP58" s="1020"/>
      <c r="HQ58" s="1020"/>
      <c r="HT58" s="1031"/>
      <c r="HU58" s="1020"/>
      <c r="HV58" s="1020"/>
      <c r="HW58" s="1020"/>
      <c r="HX58" s="1020"/>
      <c r="HY58" s="1020"/>
    </row>
    <row r="59" spans="4:233" ht="15">
      <c r="D59" s="1009"/>
      <c r="E59" s="1010"/>
      <c r="F59" s="1010"/>
      <c r="G59" s="1010"/>
      <c r="H59" s="1010"/>
      <c r="I59" s="1010"/>
      <c r="J59" s="1010"/>
      <c r="K59" s="1010"/>
      <c r="L59" s="1010"/>
      <c r="M59" s="1010"/>
      <c r="N59" s="1010"/>
      <c r="O59" s="1010"/>
      <c r="P59" s="1010"/>
      <c r="Q59" s="1010"/>
      <c r="R59" s="1010"/>
      <c r="S59" s="1010"/>
      <c r="T59" s="1010"/>
      <c r="U59" s="1010"/>
      <c r="V59" s="1010"/>
      <c r="W59" s="1010"/>
      <c r="X59" s="1010"/>
      <c r="Y59" s="1010"/>
      <c r="Z59" s="1010"/>
      <c r="AA59" s="1010"/>
      <c r="AB59" s="1010"/>
      <c r="AC59" s="1010"/>
      <c r="AD59" s="1010"/>
      <c r="AE59" s="1010"/>
      <c r="AF59" s="1010"/>
      <c r="AG59" s="1010"/>
      <c r="AH59" s="1010"/>
      <c r="AI59" s="1010"/>
      <c r="AJ59" s="1010"/>
      <c r="AK59" s="1010"/>
      <c r="AL59" s="1010"/>
      <c r="AM59" s="1010"/>
      <c r="AN59" s="1010"/>
      <c r="AO59" s="984"/>
      <c r="AP59" s="1009"/>
      <c r="AQ59" s="1010"/>
      <c r="AR59" s="1010"/>
      <c r="AS59" s="1010"/>
      <c r="AT59" s="1010"/>
      <c r="AU59" s="1010"/>
      <c r="AV59" s="984"/>
      <c r="AW59" s="984"/>
      <c r="AX59" s="1009"/>
      <c r="AY59" s="1010"/>
      <c r="AZ59" s="1010"/>
      <c r="BA59" s="1010"/>
      <c r="BB59" s="1010"/>
      <c r="BC59" s="1010"/>
      <c r="BD59" s="1010"/>
      <c r="BE59" s="1010"/>
      <c r="BF59" s="1010"/>
      <c r="BG59" s="1010"/>
      <c r="BH59" s="1010"/>
      <c r="BI59" s="1010"/>
      <c r="BJ59" s="1010"/>
      <c r="BK59" s="1010"/>
      <c r="BL59" s="1010"/>
      <c r="BM59" s="1010"/>
      <c r="BN59" s="1010"/>
      <c r="BO59" s="1010"/>
      <c r="BP59" s="1010"/>
      <c r="BQ59" s="1010"/>
      <c r="BR59" s="1010"/>
      <c r="BS59" s="1010"/>
      <c r="BT59" s="1010"/>
      <c r="BU59" s="1010"/>
      <c r="BV59" s="1010"/>
      <c r="BW59" s="1010"/>
      <c r="BX59" s="1010"/>
      <c r="BY59" s="1010"/>
      <c r="BZ59" s="1010"/>
      <c r="CA59" s="1010"/>
      <c r="CB59" s="1010"/>
      <c r="CC59" s="1010"/>
      <c r="CD59" s="1010"/>
      <c r="CE59" s="1010"/>
      <c r="CF59" s="1010"/>
      <c r="CG59" s="1010"/>
      <c r="CH59" s="1010"/>
      <c r="CI59" s="989"/>
      <c r="CK59" s="1009"/>
      <c r="CL59" s="1010"/>
      <c r="CM59" s="1010"/>
      <c r="CN59" s="1010"/>
      <c r="CO59" s="1010"/>
      <c r="CP59" s="1010"/>
      <c r="CQ59" s="989"/>
      <c r="CS59" s="1036"/>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c r="EC59" s="1010"/>
      <c r="EE59" s="1036"/>
      <c r="EF59" s="1010"/>
      <c r="EG59" s="1010"/>
      <c r="EH59" s="1010"/>
      <c r="EI59" s="1010"/>
      <c r="EJ59" s="1010"/>
      <c r="GG59" s="1031"/>
      <c r="GH59" s="1020"/>
      <c r="GI59" s="1020"/>
      <c r="GJ59" s="1020"/>
      <c r="GK59" s="1020"/>
      <c r="GL59" s="1020"/>
      <c r="GM59" s="1020"/>
      <c r="GN59" s="1020"/>
      <c r="GO59" s="1020"/>
      <c r="GP59" s="1020"/>
      <c r="GQ59" s="1020"/>
      <c r="GR59" s="1020"/>
      <c r="GS59" s="1020"/>
      <c r="GT59" s="1020"/>
      <c r="GU59" s="1020"/>
      <c r="GV59" s="1020"/>
      <c r="GW59" s="1020"/>
      <c r="GX59" s="1020"/>
      <c r="GY59" s="1020"/>
      <c r="GZ59" s="1020"/>
      <c r="HA59" s="1020"/>
      <c r="HB59" s="1020"/>
      <c r="HC59" s="1020"/>
      <c r="HD59" s="1020"/>
      <c r="HE59" s="1020"/>
      <c r="HF59" s="1020"/>
      <c r="HG59" s="1020"/>
      <c r="HH59" s="1020"/>
      <c r="HI59" s="1020"/>
      <c r="HJ59" s="1020"/>
      <c r="HK59" s="1020"/>
      <c r="HL59" s="1020"/>
      <c r="HM59" s="1020"/>
      <c r="HN59" s="1020"/>
      <c r="HO59" s="1020"/>
      <c r="HP59" s="1020"/>
      <c r="HQ59" s="1020"/>
      <c r="HT59" s="1031"/>
      <c r="HU59" s="1020"/>
      <c r="HV59" s="1020"/>
      <c r="HW59" s="1020"/>
      <c r="HX59" s="1020"/>
      <c r="HY59" s="1020"/>
    </row>
    <row r="60" spans="4:233" ht="15">
      <c r="D60" s="1009"/>
      <c r="E60" s="1010"/>
      <c r="F60" s="1010"/>
      <c r="G60" s="1010"/>
      <c r="H60" s="1010"/>
      <c r="I60" s="1010"/>
      <c r="J60" s="1010"/>
      <c r="K60" s="1010"/>
      <c r="L60" s="1010"/>
      <c r="M60" s="1010"/>
      <c r="N60" s="1010"/>
      <c r="O60" s="1010"/>
      <c r="P60" s="1010"/>
      <c r="Q60" s="1010"/>
      <c r="R60" s="1010"/>
      <c r="S60" s="1010"/>
      <c r="T60" s="1010"/>
      <c r="U60" s="1010"/>
      <c r="V60" s="1010"/>
      <c r="W60" s="1010"/>
      <c r="X60" s="1010"/>
      <c r="Y60" s="1010"/>
      <c r="Z60" s="1010"/>
      <c r="AA60" s="1010"/>
      <c r="AB60" s="1010"/>
      <c r="AC60" s="1010"/>
      <c r="AD60" s="1010"/>
      <c r="AE60" s="1010"/>
      <c r="AF60" s="1010"/>
      <c r="AG60" s="1010"/>
      <c r="AH60" s="1010"/>
      <c r="AI60" s="1010"/>
      <c r="AJ60" s="1010"/>
      <c r="AK60" s="1010"/>
      <c r="AL60" s="1010"/>
      <c r="AM60" s="1010"/>
      <c r="AN60" s="1010"/>
      <c r="AO60" s="984"/>
      <c r="AP60" s="1009"/>
      <c r="AQ60" s="1010"/>
      <c r="AR60" s="1010"/>
      <c r="AS60" s="1010"/>
      <c r="AT60" s="1010"/>
      <c r="AU60" s="1010"/>
      <c r="AV60" s="984"/>
      <c r="AW60" s="984"/>
      <c r="AX60" s="1031"/>
      <c r="AY60" s="1010"/>
      <c r="AZ60" s="1010"/>
      <c r="BA60" s="1010"/>
      <c r="BB60" s="1010"/>
      <c r="BC60" s="1010"/>
      <c r="BD60" s="1010"/>
      <c r="BE60" s="1010"/>
      <c r="BF60" s="1010"/>
      <c r="BG60" s="1010"/>
      <c r="BH60" s="1010"/>
      <c r="BI60" s="1010"/>
      <c r="BJ60" s="1010"/>
      <c r="BK60" s="1010"/>
      <c r="BL60" s="1010"/>
      <c r="BM60" s="1010"/>
      <c r="BN60" s="1010"/>
      <c r="BO60" s="1010"/>
      <c r="BP60" s="1010"/>
      <c r="BQ60" s="1010"/>
      <c r="BR60" s="1010"/>
      <c r="BS60" s="1010"/>
      <c r="BT60" s="1010"/>
      <c r="BU60" s="1010"/>
      <c r="BV60" s="1010"/>
      <c r="BW60" s="1010"/>
      <c r="BX60" s="1010"/>
      <c r="BY60" s="1010"/>
      <c r="BZ60" s="1010"/>
      <c r="CA60" s="1010"/>
      <c r="CB60" s="1010"/>
      <c r="CC60" s="1010"/>
      <c r="CD60" s="1010"/>
      <c r="CE60" s="1010"/>
      <c r="CF60" s="1010"/>
      <c r="CG60" s="1010"/>
      <c r="CH60" s="1010"/>
      <c r="CI60" s="989"/>
      <c r="CK60" s="1031"/>
      <c r="CL60" s="1010"/>
      <c r="CM60" s="1010"/>
      <c r="CN60" s="1010"/>
      <c r="CO60" s="1010"/>
      <c r="CP60" s="1010"/>
      <c r="CQ60" s="989"/>
      <c r="CS60" s="1036"/>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c r="EC60" s="1010"/>
      <c r="EE60" s="1036"/>
      <c r="EF60" s="1010"/>
      <c r="EG60" s="1010"/>
      <c r="EH60" s="1010"/>
      <c r="EI60" s="1010"/>
      <c r="EJ60" s="1010"/>
      <c r="GG60" s="1031"/>
      <c r="GH60" s="1020"/>
      <c r="GI60" s="1020"/>
      <c r="GJ60" s="1020"/>
      <c r="GK60" s="1020"/>
      <c r="GL60" s="1020"/>
      <c r="GM60" s="1020"/>
      <c r="GN60" s="1020"/>
      <c r="GO60" s="1020"/>
      <c r="GP60" s="1020"/>
      <c r="GQ60" s="1020"/>
      <c r="GR60" s="1020"/>
      <c r="GS60" s="1020"/>
      <c r="GT60" s="1020"/>
      <c r="GU60" s="1020"/>
      <c r="GV60" s="1020"/>
      <c r="GW60" s="1020"/>
      <c r="GX60" s="1020"/>
      <c r="GY60" s="1020"/>
      <c r="GZ60" s="1020"/>
      <c r="HA60" s="1020"/>
      <c r="HB60" s="1020"/>
      <c r="HC60" s="1020"/>
      <c r="HD60" s="1020"/>
      <c r="HE60" s="1020"/>
      <c r="HF60" s="1020"/>
      <c r="HG60" s="1020"/>
      <c r="HH60" s="1020"/>
      <c r="HI60" s="1020"/>
      <c r="HJ60" s="1020"/>
      <c r="HK60" s="1020"/>
      <c r="HL60" s="1020"/>
      <c r="HM60" s="1020"/>
      <c r="HN60" s="1020"/>
      <c r="HO60" s="1020"/>
      <c r="HP60" s="1020"/>
      <c r="HQ60" s="1020"/>
      <c r="HT60" s="1031"/>
      <c r="HU60" s="1020"/>
      <c r="HV60" s="1020"/>
      <c r="HW60" s="1020"/>
      <c r="HX60" s="1020"/>
      <c r="HY60" s="1020"/>
    </row>
    <row r="61" spans="4:233" ht="15">
      <c r="D61" s="1001"/>
      <c r="E61" s="1033"/>
      <c r="F61" s="1033"/>
      <c r="G61" s="1033"/>
      <c r="H61" s="1033"/>
      <c r="I61" s="1033"/>
      <c r="J61" s="1033"/>
      <c r="K61" s="1033"/>
      <c r="L61" s="1033"/>
      <c r="M61" s="1033"/>
      <c r="N61" s="1033"/>
      <c r="O61" s="1033"/>
      <c r="P61" s="1033"/>
      <c r="Q61" s="1033"/>
      <c r="R61" s="1033"/>
      <c r="S61" s="1033"/>
      <c r="T61" s="1033"/>
      <c r="U61" s="1033"/>
      <c r="V61" s="1033"/>
      <c r="W61" s="1033"/>
      <c r="X61" s="1033"/>
      <c r="Y61" s="1033"/>
      <c r="Z61" s="1033"/>
      <c r="AA61" s="1033"/>
      <c r="AB61" s="1033"/>
      <c r="AC61" s="1033"/>
      <c r="AD61" s="1033"/>
      <c r="AE61" s="1033"/>
      <c r="AF61" s="1033"/>
      <c r="AG61" s="1033"/>
      <c r="AH61" s="1033"/>
      <c r="AI61" s="1033"/>
      <c r="AJ61" s="1033"/>
      <c r="AK61" s="1033"/>
      <c r="AL61" s="1033"/>
      <c r="AM61" s="1033"/>
      <c r="AN61" s="1033"/>
      <c r="AO61" s="984"/>
      <c r="AP61" s="1001"/>
      <c r="AQ61" s="1033"/>
      <c r="AR61" s="1033"/>
      <c r="AS61" s="1033"/>
      <c r="AT61" s="1033"/>
      <c r="AU61" s="1033"/>
      <c r="AV61" s="984"/>
      <c r="AW61" s="984"/>
      <c r="AX61" s="1025"/>
      <c r="AY61" s="1026"/>
      <c r="AZ61" s="1026"/>
      <c r="BA61" s="1026"/>
      <c r="BB61" s="1026"/>
      <c r="BC61" s="1026"/>
      <c r="BD61" s="1026"/>
      <c r="BE61" s="1026"/>
      <c r="BF61" s="1026"/>
      <c r="BG61" s="1026"/>
      <c r="BH61" s="1026"/>
      <c r="BI61" s="1026"/>
      <c r="BJ61" s="1026"/>
      <c r="BK61" s="1026"/>
      <c r="BL61" s="1026"/>
      <c r="BM61" s="1026"/>
      <c r="BN61" s="1026"/>
      <c r="BO61" s="1026"/>
      <c r="BP61" s="1026"/>
      <c r="BQ61" s="1026"/>
      <c r="BR61" s="1026"/>
      <c r="BS61" s="1026"/>
      <c r="BT61" s="1026"/>
      <c r="BU61" s="1026"/>
      <c r="BV61" s="1026"/>
      <c r="BW61" s="1026"/>
      <c r="BX61" s="1026"/>
      <c r="BY61" s="1026"/>
      <c r="BZ61" s="1026"/>
      <c r="CA61" s="1026"/>
      <c r="CB61" s="1026"/>
      <c r="CC61" s="1026"/>
      <c r="CD61" s="1026"/>
      <c r="CE61" s="1026"/>
      <c r="CF61" s="1026"/>
      <c r="CG61" s="1026"/>
      <c r="CH61" s="1026"/>
      <c r="CI61" s="989"/>
      <c r="CK61" s="1025"/>
      <c r="CL61" s="1026"/>
      <c r="CM61" s="1026"/>
      <c r="CN61" s="1026"/>
      <c r="CO61" s="1026"/>
      <c r="CP61" s="1026"/>
      <c r="CQ61" s="989"/>
      <c r="CS61" s="1037"/>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c r="EC61" s="1002"/>
      <c r="EE61" s="1037"/>
      <c r="EF61" s="1002"/>
      <c r="EG61" s="1002"/>
      <c r="EH61" s="1002"/>
      <c r="EI61" s="1002"/>
      <c r="EJ61" s="1002"/>
      <c r="GG61" s="1031"/>
      <c r="GH61" s="916"/>
      <c r="GI61" s="916"/>
      <c r="GJ61" s="916"/>
      <c r="GK61" s="916"/>
      <c r="GL61" s="916"/>
      <c r="GM61" s="916"/>
      <c r="GN61" s="916"/>
      <c r="GO61" s="916"/>
      <c r="GP61" s="916"/>
      <c r="GQ61" s="916"/>
      <c r="GR61" s="916"/>
      <c r="GS61" s="916"/>
      <c r="GT61" s="916"/>
      <c r="GU61" s="916"/>
      <c r="GV61" s="916"/>
      <c r="GW61" s="916"/>
      <c r="GX61" s="916"/>
      <c r="GY61" s="916"/>
      <c r="GZ61" s="916"/>
      <c r="HA61" s="916"/>
      <c r="HB61" s="916"/>
      <c r="HC61" s="916"/>
      <c r="HD61" s="916"/>
      <c r="HE61" s="916"/>
      <c r="HF61" s="916"/>
      <c r="HG61" s="916"/>
      <c r="HH61" s="916"/>
      <c r="HI61" s="916"/>
      <c r="HJ61" s="916"/>
      <c r="HK61" s="916"/>
      <c r="HL61" s="916"/>
      <c r="HM61" s="916"/>
      <c r="HN61" s="916"/>
      <c r="HO61" s="916"/>
      <c r="HP61" s="916"/>
      <c r="HQ61" s="916"/>
      <c r="HT61" s="1031"/>
      <c r="HU61" s="916"/>
      <c r="HV61" s="916"/>
      <c r="HW61" s="916"/>
      <c r="HX61" s="916"/>
      <c r="HY61" s="916"/>
    </row>
    <row r="62" spans="4:233" ht="15">
      <c r="D62" s="1009"/>
      <c r="E62" s="1032"/>
      <c r="F62" s="1032"/>
      <c r="G62" s="1032"/>
      <c r="H62" s="1032"/>
      <c r="I62" s="1032"/>
      <c r="J62" s="1032"/>
      <c r="K62" s="1032"/>
      <c r="L62" s="1032"/>
      <c r="M62" s="1032"/>
      <c r="N62" s="1032"/>
      <c r="O62" s="1032"/>
      <c r="P62" s="1032"/>
      <c r="Q62" s="1032"/>
      <c r="R62" s="1032"/>
      <c r="S62" s="1032"/>
      <c r="T62" s="1032"/>
      <c r="U62" s="1032"/>
      <c r="V62" s="1032"/>
      <c r="W62" s="1032"/>
      <c r="X62" s="1032"/>
      <c r="Y62" s="1032"/>
      <c r="Z62" s="1032"/>
      <c r="AA62" s="1032"/>
      <c r="AB62" s="1032"/>
      <c r="AC62" s="1032"/>
      <c r="AD62" s="1032"/>
      <c r="AE62" s="1032"/>
      <c r="AF62" s="1032"/>
      <c r="AG62" s="1032"/>
      <c r="AH62" s="1032"/>
      <c r="AI62" s="1032"/>
      <c r="AJ62" s="1032"/>
      <c r="AK62" s="1032"/>
      <c r="AL62" s="1032"/>
      <c r="AM62" s="1032"/>
      <c r="AN62" s="1032"/>
      <c r="AO62" s="984"/>
      <c r="AP62" s="1009"/>
      <c r="AQ62" s="1032"/>
      <c r="AR62" s="1032"/>
      <c r="AS62" s="1032"/>
      <c r="AT62" s="1032"/>
      <c r="AU62" s="1032"/>
      <c r="AV62" s="984"/>
      <c r="AW62" s="984"/>
      <c r="AX62" s="1038"/>
      <c r="AY62" s="1030"/>
      <c r="AZ62" s="1030"/>
      <c r="BA62" s="1030"/>
      <c r="BB62" s="1030"/>
      <c r="BC62" s="1030"/>
      <c r="BD62" s="1030"/>
      <c r="BE62" s="1030"/>
      <c r="BF62" s="1030"/>
      <c r="BG62" s="1030"/>
      <c r="BH62" s="1030"/>
      <c r="BI62" s="1030"/>
      <c r="BJ62" s="1030"/>
      <c r="BK62" s="1030"/>
      <c r="BL62" s="1030"/>
      <c r="BM62" s="1030"/>
      <c r="BN62" s="1030"/>
      <c r="BO62" s="1030"/>
      <c r="BP62" s="1030"/>
      <c r="BQ62" s="1030"/>
      <c r="BR62" s="1030"/>
      <c r="BS62" s="1030"/>
      <c r="BT62" s="1030"/>
      <c r="BU62" s="1030"/>
      <c r="BV62" s="1030"/>
      <c r="BW62" s="1030"/>
      <c r="BX62" s="1030"/>
      <c r="BY62" s="1030"/>
      <c r="BZ62" s="1030"/>
      <c r="CA62" s="1030"/>
      <c r="CB62" s="1030"/>
      <c r="CC62" s="1030"/>
      <c r="CD62" s="1030"/>
      <c r="CE62" s="1030"/>
      <c r="CF62" s="1030"/>
      <c r="CG62" s="1030"/>
      <c r="CH62" s="1030"/>
      <c r="CK62" s="1038"/>
      <c r="CL62" s="1030"/>
      <c r="CM62" s="1030"/>
      <c r="CN62" s="1030"/>
      <c r="CO62" s="1030"/>
      <c r="CP62" s="1030"/>
      <c r="CS62" s="1011"/>
      <c r="CT62" s="1022"/>
      <c r="CU62" s="1022"/>
      <c r="CV62" s="1022"/>
      <c r="CW62" s="1022"/>
      <c r="CX62" s="1022"/>
      <c r="CY62" s="1022"/>
      <c r="CZ62" s="1022"/>
      <c r="DA62" s="1022"/>
      <c r="DB62" s="1022"/>
      <c r="DC62" s="1022"/>
      <c r="DD62" s="1022"/>
      <c r="DE62" s="1022"/>
      <c r="DF62" s="1022"/>
      <c r="DG62" s="1022"/>
      <c r="DH62" s="1022"/>
      <c r="DI62" s="1022"/>
      <c r="DJ62" s="1022"/>
      <c r="DK62" s="1022"/>
      <c r="DL62" s="1022"/>
      <c r="DM62" s="1022"/>
      <c r="DN62" s="1022"/>
      <c r="DO62" s="1022"/>
      <c r="DP62" s="1022"/>
      <c r="DQ62" s="1022"/>
      <c r="DR62" s="1022"/>
      <c r="DS62" s="1022"/>
      <c r="DT62" s="1022"/>
      <c r="DU62" s="1022"/>
      <c r="DV62" s="1022"/>
      <c r="DW62" s="1022"/>
      <c r="DX62" s="1022"/>
      <c r="DY62" s="1022"/>
      <c r="DZ62" s="1022"/>
      <c r="EA62" s="1022"/>
      <c r="EB62" s="1022"/>
      <c r="EC62" s="1022"/>
      <c r="EE62" s="1011"/>
      <c r="EF62" s="1022"/>
      <c r="EG62" s="1022"/>
      <c r="EH62" s="1022"/>
      <c r="EI62" s="1022"/>
      <c r="EJ62" s="1022"/>
      <c r="GG62" s="1031"/>
      <c r="GH62" s="916"/>
      <c r="GI62" s="916"/>
      <c r="GJ62" s="916"/>
      <c r="GK62" s="916"/>
      <c r="GL62" s="916"/>
      <c r="GM62" s="916"/>
      <c r="GN62" s="916"/>
      <c r="GO62" s="916"/>
      <c r="GP62" s="916"/>
      <c r="GQ62" s="916"/>
      <c r="GR62" s="916"/>
      <c r="GS62" s="916"/>
      <c r="GT62" s="916"/>
      <c r="GU62" s="916"/>
      <c r="GV62" s="916"/>
      <c r="GW62" s="916"/>
      <c r="GX62" s="916"/>
      <c r="GY62" s="916"/>
      <c r="GZ62" s="916"/>
      <c r="HA62" s="916"/>
      <c r="HB62" s="916"/>
      <c r="HC62" s="916"/>
      <c r="HD62" s="916"/>
      <c r="HE62" s="916"/>
      <c r="HF62" s="916"/>
      <c r="HG62" s="916"/>
      <c r="HH62" s="916"/>
      <c r="HI62" s="916"/>
      <c r="HJ62" s="916"/>
      <c r="HK62" s="916"/>
      <c r="HL62" s="916"/>
      <c r="HM62" s="916"/>
      <c r="HN62" s="916"/>
      <c r="HO62" s="916"/>
      <c r="HP62" s="916"/>
      <c r="HQ62" s="916"/>
      <c r="HT62" s="1031"/>
      <c r="HU62" s="916"/>
      <c r="HV62" s="916"/>
      <c r="HW62" s="916"/>
      <c r="HX62" s="916"/>
      <c r="HY62" s="916"/>
    </row>
    <row r="63" spans="4:233" ht="15">
      <c r="D63" s="1039"/>
      <c r="E63" s="1040"/>
      <c r="F63" s="1040"/>
      <c r="G63" s="1040"/>
      <c r="H63" s="1040"/>
      <c r="I63" s="1040"/>
      <c r="J63" s="1040"/>
      <c r="K63" s="1040"/>
      <c r="L63" s="1040"/>
      <c r="M63" s="1040"/>
      <c r="N63" s="1040"/>
      <c r="O63" s="1040"/>
      <c r="P63" s="1040"/>
      <c r="Q63" s="1040"/>
      <c r="R63" s="1040"/>
      <c r="S63" s="1040"/>
      <c r="T63" s="1040"/>
      <c r="U63" s="1040"/>
      <c r="V63" s="1040"/>
      <c r="W63" s="1040"/>
      <c r="X63" s="1040"/>
      <c r="Y63" s="1040"/>
      <c r="Z63" s="1040"/>
      <c r="AA63" s="1040"/>
      <c r="AB63" s="1040"/>
      <c r="AC63" s="1040"/>
      <c r="AD63" s="1040"/>
      <c r="AE63" s="1040"/>
      <c r="AF63" s="1040"/>
      <c r="AG63" s="1040"/>
      <c r="AH63" s="1040"/>
      <c r="AI63" s="1040"/>
      <c r="AJ63" s="1040"/>
      <c r="AK63" s="1040"/>
      <c r="AL63" s="1040"/>
      <c r="AM63" s="1040"/>
      <c r="AN63" s="1040"/>
      <c r="AP63" s="1039"/>
      <c r="AQ63" s="1040"/>
      <c r="AR63" s="1040"/>
      <c r="AS63" s="1040"/>
      <c r="AT63" s="1040"/>
      <c r="AU63" s="1040"/>
      <c r="AX63" s="1041"/>
      <c r="AY63" s="1002"/>
      <c r="AZ63" s="1002"/>
      <c r="BA63" s="1002"/>
      <c r="BB63" s="1002"/>
      <c r="BC63" s="1002"/>
      <c r="BD63" s="1002"/>
      <c r="BE63" s="1002"/>
      <c r="BF63" s="1002"/>
      <c r="BG63" s="1002"/>
      <c r="BH63" s="1002"/>
      <c r="BI63" s="1002"/>
      <c r="BJ63" s="1002"/>
      <c r="BK63" s="1002"/>
      <c r="BL63" s="1002"/>
      <c r="BM63" s="1002"/>
      <c r="BN63" s="1002"/>
      <c r="BO63" s="1002"/>
      <c r="BP63" s="1002"/>
      <c r="BQ63" s="1002"/>
      <c r="BR63" s="1002"/>
      <c r="BS63" s="1002"/>
      <c r="BT63" s="1002"/>
      <c r="BU63" s="1002"/>
      <c r="BV63" s="1002"/>
      <c r="BW63" s="1002"/>
      <c r="BX63" s="1002"/>
      <c r="BY63" s="1002"/>
      <c r="BZ63" s="1002"/>
      <c r="CA63" s="1002"/>
      <c r="CB63" s="1002"/>
      <c r="CC63" s="1002"/>
      <c r="CD63" s="1002"/>
      <c r="CE63" s="1002"/>
      <c r="CF63" s="1002"/>
      <c r="CG63" s="1002"/>
      <c r="CH63" s="1002"/>
      <c r="CK63" s="1041"/>
      <c r="CL63" s="1002"/>
      <c r="CM63" s="1002"/>
      <c r="CN63" s="1002"/>
      <c r="CO63" s="1002"/>
      <c r="CP63" s="1002"/>
      <c r="CS63" s="1011"/>
      <c r="CT63" s="1022"/>
      <c r="CU63" s="1022"/>
      <c r="CV63" s="1022"/>
      <c r="CW63" s="1022"/>
      <c r="CX63" s="1022"/>
      <c r="CY63" s="1022"/>
      <c r="CZ63" s="1022"/>
      <c r="DA63" s="1022"/>
      <c r="DB63" s="1022"/>
      <c r="DC63" s="1022"/>
      <c r="DD63" s="1022"/>
      <c r="DE63" s="1022"/>
      <c r="DF63" s="1022"/>
      <c r="DG63" s="1022"/>
      <c r="DH63" s="1022"/>
      <c r="DI63" s="1022"/>
      <c r="DJ63" s="1022"/>
      <c r="DK63" s="1022"/>
      <c r="DL63" s="1022"/>
      <c r="DM63" s="1022"/>
      <c r="DN63" s="1022"/>
      <c r="DO63" s="1022"/>
      <c r="DP63" s="1022"/>
      <c r="DQ63" s="1022"/>
      <c r="DR63" s="1022"/>
      <c r="DS63" s="1022"/>
      <c r="DT63" s="1022"/>
      <c r="DU63" s="1022"/>
      <c r="DV63" s="1022"/>
      <c r="DW63" s="1022"/>
      <c r="DX63" s="1022"/>
      <c r="DY63" s="1022"/>
      <c r="DZ63" s="1022"/>
      <c r="EA63" s="1022"/>
      <c r="EB63" s="1022"/>
      <c r="EC63" s="1022"/>
      <c r="EE63" s="1011"/>
      <c r="EF63" s="1022"/>
      <c r="EG63" s="1022"/>
      <c r="EH63" s="1022"/>
      <c r="EI63" s="1022"/>
      <c r="EJ63" s="1022"/>
      <c r="GG63" s="1031"/>
      <c r="GH63" s="1020"/>
      <c r="GI63" s="1020"/>
      <c r="GJ63" s="1020"/>
      <c r="GK63" s="1020"/>
      <c r="GL63" s="1020"/>
      <c r="GM63" s="1020"/>
      <c r="GN63" s="1020"/>
      <c r="GO63" s="1020"/>
      <c r="GP63" s="1020"/>
      <c r="GQ63" s="1020"/>
      <c r="GR63" s="1020"/>
      <c r="GS63" s="1020"/>
      <c r="GT63" s="1020"/>
      <c r="GU63" s="1020"/>
      <c r="GV63" s="1020"/>
      <c r="GW63" s="1020"/>
      <c r="GX63" s="1020"/>
      <c r="GY63" s="1020"/>
      <c r="GZ63" s="1020"/>
      <c r="HA63" s="1020"/>
      <c r="HB63" s="1020"/>
      <c r="HC63" s="1020"/>
      <c r="HD63" s="1020"/>
      <c r="HE63" s="1020"/>
      <c r="HF63" s="1020"/>
      <c r="HG63" s="1020"/>
      <c r="HH63" s="1020"/>
      <c r="HI63" s="1020"/>
      <c r="HJ63" s="1020"/>
      <c r="HK63" s="1020"/>
      <c r="HL63" s="1020"/>
      <c r="HM63" s="1020"/>
      <c r="HN63" s="1020"/>
      <c r="HO63" s="1020"/>
      <c r="HP63" s="1020"/>
      <c r="HQ63" s="1020"/>
      <c r="HT63" s="1031"/>
      <c r="HU63" s="1020"/>
      <c r="HV63" s="1020"/>
      <c r="HW63" s="1020"/>
      <c r="HX63" s="1020"/>
      <c r="HY63" s="1020"/>
    </row>
    <row r="64" spans="4:233" ht="15">
      <c r="D64" s="1009"/>
      <c r="E64" s="1010"/>
      <c r="F64" s="1010"/>
      <c r="G64" s="1010"/>
      <c r="H64" s="1010"/>
      <c r="I64" s="1010"/>
      <c r="J64" s="1010"/>
      <c r="K64" s="1010"/>
      <c r="L64" s="1010"/>
      <c r="M64" s="1010"/>
      <c r="N64" s="1010"/>
      <c r="O64" s="1010"/>
      <c r="P64" s="1010"/>
      <c r="Q64" s="1010"/>
      <c r="R64" s="1010"/>
      <c r="S64" s="1010"/>
      <c r="T64" s="1010"/>
      <c r="U64" s="1010"/>
      <c r="V64" s="1010"/>
      <c r="W64" s="1010"/>
      <c r="X64" s="1010"/>
      <c r="Y64" s="1010"/>
      <c r="Z64" s="1010"/>
      <c r="AA64" s="1010"/>
      <c r="AB64" s="1010"/>
      <c r="AC64" s="1010"/>
      <c r="AD64" s="1010"/>
      <c r="AE64" s="1010"/>
      <c r="AF64" s="1010"/>
      <c r="AG64" s="1010"/>
      <c r="AH64" s="1010"/>
      <c r="AI64" s="1010"/>
      <c r="AJ64" s="1010"/>
      <c r="AK64" s="1010"/>
      <c r="AL64" s="1010"/>
      <c r="AM64" s="1010"/>
      <c r="AN64" s="1010"/>
      <c r="AP64" s="1009"/>
      <c r="AQ64" s="1010"/>
      <c r="AR64" s="1010"/>
      <c r="AS64" s="1010"/>
      <c r="AT64" s="1010"/>
      <c r="AU64" s="1010"/>
      <c r="AX64" s="1016"/>
      <c r="AY64" s="1002"/>
      <c r="AZ64" s="1002"/>
      <c r="BA64" s="1002"/>
      <c r="BB64" s="1002"/>
      <c r="BC64" s="1002"/>
      <c r="BD64" s="1002"/>
      <c r="BE64" s="1002"/>
      <c r="BF64" s="1002"/>
      <c r="BG64" s="1002"/>
      <c r="BH64" s="1002"/>
      <c r="BI64" s="1002"/>
      <c r="BJ64" s="1002"/>
      <c r="BK64" s="1002"/>
      <c r="BL64" s="1002"/>
      <c r="BM64" s="1002"/>
      <c r="BN64" s="1002"/>
      <c r="BO64" s="1002"/>
      <c r="BP64" s="1002"/>
      <c r="BQ64" s="1002"/>
      <c r="BR64" s="1002"/>
      <c r="BS64" s="1002"/>
      <c r="BT64" s="1002"/>
      <c r="BU64" s="1002"/>
      <c r="BV64" s="1002"/>
      <c r="BW64" s="1002"/>
      <c r="BX64" s="1002"/>
      <c r="BY64" s="1002"/>
      <c r="BZ64" s="1002"/>
      <c r="CA64" s="1002"/>
      <c r="CB64" s="1002"/>
      <c r="CC64" s="1002"/>
      <c r="CD64" s="1002"/>
      <c r="CE64" s="1002"/>
      <c r="CF64" s="1002"/>
      <c r="CG64" s="1002"/>
      <c r="CH64" s="1002"/>
      <c r="CK64" s="1016"/>
      <c r="CL64" s="1002"/>
      <c r="CM64" s="1002"/>
      <c r="CN64" s="1002"/>
      <c r="CO64" s="1002"/>
      <c r="CP64" s="1002"/>
      <c r="CS64" s="1011"/>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c r="EC64" s="1010"/>
      <c r="EE64" s="1011"/>
      <c r="EF64" s="1010"/>
      <c r="EG64" s="1010"/>
      <c r="EH64" s="1010"/>
      <c r="EI64" s="1010"/>
      <c r="EJ64" s="1010"/>
      <c r="GG64" s="1031"/>
      <c r="GH64" s="1020"/>
      <c r="GI64" s="1020"/>
      <c r="GJ64" s="1020"/>
      <c r="GK64" s="1020"/>
      <c r="GL64" s="1020"/>
      <c r="GM64" s="1020"/>
      <c r="GN64" s="1020"/>
      <c r="GO64" s="1020"/>
      <c r="GP64" s="1020"/>
      <c r="GQ64" s="1020"/>
      <c r="GR64" s="1020"/>
      <c r="GS64" s="1020"/>
      <c r="GT64" s="1020"/>
      <c r="GU64" s="1020"/>
      <c r="GV64" s="1020"/>
      <c r="GW64" s="1020"/>
      <c r="GX64" s="1020"/>
      <c r="GY64" s="1020"/>
      <c r="GZ64" s="1020"/>
      <c r="HA64" s="1020"/>
      <c r="HB64" s="1020"/>
      <c r="HC64" s="1020"/>
      <c r="HD64" s="1020"/>
      <c r="HE64" s="1020"/>
      <c r="HF64" s="1020"/>
      <c r="HG64" s="1020"/>
      <c r="HH64" s="1020"/>
      <c r="HI64" s="1020"/>
      <c r="HJ64" s="1020"/>
      <c r="HK64" s="1020"/>
      <c r="HL64" s="1020"/>
      <c r="HM64" s="1020"/>
      <c r="HN64" s="1020"/>
      <c r="HO64" s="1020"/>
      <c r="HP64" s="1020"/>
      <c r="HQ64" s="1020"/>
      <c r="HT64" s="1031"/>
      <c r="HU64" s="1020"/>
      <c r="HV64" s="1020"/>
      <c r="HW64" s="1020"/>
      <c r="HX64" s="1020"/>
      <c r="HY64" s="1020"/>
    </row>
    <row r="65" spans="4:233" ht="15">
      <c r="D65" s="1023"/>
      <c r="E65" s="1010"/>
      <c r="F65" s="1010"/>
      <c r="G65" s="1010"/>
      <c r="H65" s="1010"/>
      <c r="I65" s="1010"/>
      <c r="J65" s="1010"/>
      <c r="K65" s="1010"/>
      <c r="L65" s="1010"/>
      <c r="M65" s="1010"/>
      <c r="N65" s="1010"/>
      <c r="O65" s="1010"/>
      <c r="P65" s="1010"/>
      <c r="Q65" s="1010"/>
      <c r="R65" s="1010"/>
      <c r="S65" s="1010"/>
      <c r="T65" s="1010"/>
      <c r="U65" s="1010"/>
      <c r="V65" s="1010"/>
      <c r="W65" s="1010"/>
      <c r="X65" s="1010"/>
      <c r="Y65" s="1010"/>
      <c r="Z65" s="1010"/>
      <c r="AA65" s="1010"/>
      <c r="AB65" s="1010"/>
      <c r="AC65" s="1010"/>
      <c r="AD65" s="1010"/>
      <c r="AE65" s="1010"/>
      <c r="AF65" s="1010"/>
      <c r="AG65" s="1010"/>
      <c r="AH65" s="1010"/>
      <c r="AI65" s="1010"/>
      <c r="AJ65" s="1010"/>
      <c r="AK65" s="1010"/>
      <c r="AL65" s="1010"/>
      <c r="AM65" s="1010"/>
      <c r="AN65" s="1010"/>
      <c r="AP65" s="1023"/>
      <c r="AQ65" s="1010"/>
      <c r="AR65" s="1010"/>
      <c r="AS65" s="1010"/>
      <c r="AT65" s="1010"/>
      <c r="AU65" s="1010"/>
      <c r="AX65" s="1042"/>
      <c r="AY65" s="1010"/>
      <c r="AZ65" s="1010"/>
      <c r="BA65" s="1010"/>
      <c r="BB65" s="1010"/>
      <c r="BC65" s="1010"/>
      <c r="BD65" s="1010"/>
      <c r="BE65" s="1010"/>
      <c r="BF65" s="1010"/>
      <c r="BG65" s="1010"/>
      <c r="BH65" s="1010"/>
      <c r="BI65" s="1010"/>
      <c r="BJ65" s="1010"/>
      <c r="BK65" s="1010"/>
      <c r="BL65" s="1010"/>
      <c r="BM65" s="1010"/>
      <c r="BN65" s="1010"/>
      <c r="BO65" s="1010"/>
      <c r="BP65" s="1010"/>
      <c r="BQ65" s="1010"/>
      <c r="BR65" s="1010"/>
      <c r="BS65" s="1010"/>
      <c r="BT65" s="1010"/>
      <c r="BU65" s="1010"/>
      <c r="BV65" s="1010"/>
      <c r="BW65" s="1010"/>
      <c r="BX65" s="1010"/>
      <c r="BY65" s="1010"/>
      <c r="BZ65" s="1010"/>
      <c r="CA65" s="1010"/>
      <c r="CB65" s="1010"/>
      <c r="CC65" s="1010"/>
      <c r="CD65" s="1010"/>
      <c r="CE65" s="1010"/>
      <c r="CF65" s="1010"/>
      <c r="CG65" s="1010"/>
      <c r="CH65" s="1010"/>
      <c r="CK65" s="1042"/>
      <c r="CL65" s="1010"/>
      <c r="CM65" s="1010"/>
      <c r="CN65" s="1010"/>
      <c r="CO65" s="1010"/>
      <c r="CP65" s="1010"/>
      <c r="CS65" s="1011"/>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c r="EC65" s="1010"/>
      <c r="EE65" s="1011"/>
      <c r="EF65" s="1010"/>
      <c r="EG65" s="1010"/>
      <c r="EH65" s="1010"/>
      <c r="EI65" s="1010"/>
      <c r="EJ65" s="1010"/>
      <c r="GG65" s="1031"/>
      <c r="GH65" s="1020"/>
      <c r="GI65" s="1020"/>
      <c r="GJ65" s="1020"/>
      <c r="GK65" s="1020"/>
      <c r="GL65" s="1020"/>
      <c r="GM65" s="1020"/>
      <c r="GN65" s="1020"/>
      <c r="GO65" s="1020"/>
      <c r="GP65" s="1020"/>
      <c r="GQ65" s="1020"/>
      <c r="GR65" s="1020"/>
      <c r="GS65" s="1020"/>
      <c r="GT65" s="1020"/>
      <c r="GU65" s="1020"/>
      <c r="GV65" s="1020"/>
      <c r="GW65" s="1020"/>
      <c r="GX65" s="1020"/>
      <c r="GY65" s="1020"/>
      <c r="GZ65" s="1020"/>
      <c r="HA65" s="1020"/>
      <c r="HB65" s="1020"/>
      <c r="HC65" s="1020"/>
      <c r="HD65" s="1020"/>
      <c r="HE65" s="1020"/>
      <c r="HF65" s="1020"/>
      <c r="HG65" s="1020"/>
      <c r="HH65" s="1020"/>
      <c r="HI65" s="1020"/>
      <c r="HJ65" s="1020"/>
      <c r="HK65" s="1020"/>
      <c r="HL65" s="1020"/>
      <c r="HM65" s="1020"/>
      <c r="HN65" s="1020"/>
      <c r="HO65" s="1020"/>
      <c r="HP65" s="1020"/>
      <c r="HQ65" s="1020"/>
      <c r="HT65" s="1031"/>
      <c r="HU65" s="1020"/>
      <c r="HV65" s="1020"/>
      <c r="HW65" s="1020"/>
      <c r="HX65" s="1020"/>
      <c r="HY65" s="1020"/>
    </row>
    <row r="66" spans="4:233" ht="15">
      <c r="D66" s="1023"/>
      <c r="E66" s="1010"/>
      <c r="F66" s="1010"/>
      <c r="G66" s="1010"/>
      <c r="H66" s="1010"/>
      <c r="I66" s="1010"/>
      <c r="J66" s="1010"/>
      <c r="K66" s="1010"/>
      <c r="L66" s="1010"/>
      <c r="M66" s="1010"/>
      <c r="N66" s="1010"/>
      <c r="O66" s="1010"/>
      <c r="P66" s="1010"/>
      <c r="Q66" s="1010"/>
      <c r="R66" s="1010"/>
      <c r="S66" s="1010"/>
      <c r="T66" s="1010"/>
      <c r="U66" s="1010"/>
      <c r="V66" s="1010"/>
      <c r="W66" s="1010"/>
      <c r="X66" s="1010"/>
      <c r="Y66" s="1010"/>
      <c r="Z66" s="1010"/>
      <c r="AA66" s="1010"/>
      <c r="AB66" s="1010"/>
      <c r="AC66" s="1010"/>
      <c r="AD66" s="1010"/>
      <c r="AE66" s="1010"/>
      <c r="AF66" s="1010"/>
      <c r="AG66" s="1010"/>
      <c r="AH66" s="1010"/>
      <c r="AI66" s="1010"/>
      <c r="AJ66" s="1010"/>
      <c r="AK66" s="1010"/>
      <c r="AL66" s="1010"/>
      <c r="AM66" s="1010"/>
      <c r="AN66" s="1010"/>
      <c r="AP66" s="1023"/>
      <c r="AQ66" s="1010"/>
      <c r="AR66" s="1010"/>
      <c r="AS66" s="1010"/>
      <c r="AT66" s="1010"/>
      <c r="AU66" s="1010"/>
      <c r="AX66" s="1042"/>
      <c r="AY66" s="1010"/>
      <c r="AZ66" s="1010"/>
      <c r="BA66" s="1010"/>
      <c r="BB66" s="1010"/>
      <c r="BC66" s="1010"/>
      <c r="BD66" s="1010"/>
      <c r="BE66" s="1010"/>
      <c r="BF66" s="1010"/>
      <c r="BG66" s="1010"/>
      <c r="BH66" s="1010"/>
      <c r="BI66" s="1010"/>
      <c r="BJ66" s="1010"/>
      <c r="BK66" s="1010"/>
      <c r="BL66" s="1010"/>
      <c r="BM66" s="1010"/>
      <c r="BN66" s="1010"/>
      <c r="BO66" s="1010"/>
      <c r="BP66" s="1010"/>
      <c r="BQ66" s="1010"/>
      <c r="BR66" s="1010"/>
      <c r="BS66" s="1010"/>
      <c r="BT66" s="1010"/>
      <c r="BU66" s="1010"/>
      <c r="BV66" s="1010"/>
      <c r="BW66" s="1010"/>
      <c r="BX66" s="1010"/>
      <c r="BY66" s="1010"/>
      <c r="BZ66" s="1010"/>
      <c r="CA66" s="1010"/>
      <c r="CB66" s="1010"/>
      <c r="CC66" s="1010"/>
      <c r="CD66" s="1010"/>
      <c r="CE66" s="1010"/>
      <c r="CF66" s="1010"/>
      <c r="CG66" s="1010"/>
      <c r="CH66" s="1010"/>
      <c r="CK66" s="1042"/>
      <c r="CL66" s="1010"/>
      <c r="CM66" s="1010"/>
      <c r="CN66" s="1010"/>
      <c r="CO66" s="1010"/>
      <c r="CP66" s="1010"/>
      <c r="CS66" s="1036"/>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c r="EC66" s="1010"/>
      <c r="EE66" s="1036"/>
      <c r="EF66" s="1010"/>
      <c r="EG66" s="1010"/>
      <c r="EH66" s="1010"/>
      <c r="EI66" s="1010"/>
      <c r="EJ66" s="1010"/>
      <c r="GG66" s="1031"/>
      <c r="GH66" s="1020"/>
      <c r="GI66" s="1020"/>
      <c r="GJ66" s="1020"/>
      <c r="GK66" s="1020"/>
      <c r="GL66" s="1020"/>
      <c r="GM66" s="1020"/>
      <c r="GN66" s="1020"/>
      <c r="GO66" s="1020"/>
      <c r="GP66" s="1020"/>
      <c r="GQ66" s="1020"/>
      <c r="GR66" s="1020"/>
      <c r="GS66" s="1020"/>
      <c r="GT66" s="1020"/>
      <c r="GU66" s="1020"/>
      <c r="GV66" s="1020"/>
      <c r="GW66" s="1020"/>
      <c r="GX66" s="1020"/>
      <c r="GY66" s="1020"/>
      <c r="GZ66" s="1020"/>
      <c r="HA66" s="1020"/>
      <c r="HB66" s="1020"/>
      <c r="HC66" s="1020"/>
      <c r="HD66" s="1020"/>
      <c r="HE66" s="1020"/>
      <c r="HF66" s="1020"/>
      <c r="HG66" s="1020"/>
      <c r="HH66" s="1020"/>
      <c r="HI66" s="1020"/>
      <c r="HJ66" s="1020"/>
      <c r="HK66" s="1020"/>
      <c r="HL66" s="1020"/>
      <c r="HM66" s="1020"/>
      <c r="HN66" s="1020"/>
      <c r="HO66" s="1020"/>
      <c r="HP66" s="1020"/>
      <c r="HQ66" s="1020"/>
      <c r="HT66" s="1031"/>
      <c r="HU66" s="1020"/>
      <c r="HV66" s="1020"/>
      <c r="HW66" s="1020"/>
      <c r="HX66" s="1020"/>
      <c r="HY66" s="1020"/>
    </row>
    <row r="67" spans="4:233" ht="15">
      <c r="D67" s="1009"/>
      <c r="E67" s="1002"/>
      <c r="F67" s="1002"/>
      <c r="G67" s="1002"/>
      <c r="H67" s="1002"/>
      <c r="I67" s="1002"/>
      <c r="J67" s="1002"/>
      <c r="K67" s="1002"/>
      <c r="L67" s="1002"/>
      <c r="M67" s="1002"/>
      <c r="N67" s="1002"/>
      <c r="O67" s="1002"/>
      <c r="P67" s="1002"/>
      <c r="Q67" s="1002"/>
      <c r="R67" s="1002"/>
      <c r="S67" s="1002"/>
      <c r="T67" s="1002"/>
      <c r="U67" s="1002"/>
      <c r="V67" s="1002"/>
      <c r="W67" s="1002"/>
      <c r="X67" s="1002"/>
      <c r="Y67" s="1002"/>
      <c r="Z67" s="1002"/>
      <c r="AA67" s="1002"/>
      <c r="AB67" s="1002"/>
      <c r="AC67" s="1002"/>
      <c r="AD67" s="1002"/>
      <c r="AE67" s="1002"/>
      <c r="AF67" s="1002"/>
      <c r="AG67" s="1002"/>
      <c r="AH67" s="1002"/>
      <c r="AI67" s="1002"/>
      <c r="AJ67" s="1002"/>
      <c r="AK67" s="1002"/>
      <c r="AL67" s="1002"/>
      <c r="AM67" s="1002"/>
      <c r="AN67" s="1002"/>
      <c r="AP67" s="1009"/>
      <c r="AQ67" s="1002"/>
      <c r="AR67" s="1002"/>
      <c r="AS67" s="1002"/>
      <c r="AT67" s="1002"/>
      <c r="AU67" s="1002"/>
      <c r="AX67" s="1042"/>
      <c r="AY67" s="1010"/>
      <c r="AZ67" s="1010"/>
      <c r="BA67" s="1010"/>
      <c r="BB67" s="1010"/>
      <c r="BC67" s="1010"/>
      <c r="BD67" s="1010"/>
      <c r="BE67" s="1010"/>
      <c r="BF67" s="1010"/>
      <c r="BG67" s="1010"/>
      <c r="BH67" s="1010"/>
      <c r="BI67" s="1010"/>
      <c r="BJ67" s="1010"/>
      <c r="BK67" s="1010"/>
      <c r="BL67" s="1010"/>
      <c r="BM67" s="1010"/>
      <c r="BN67" s="1010"/>
      <c r="BO67" s="1010"/>
      <c r="BP67" s="1010"/>
      <c r="BQ67" s="1010"/>
      <c r="BR67" s="1010"/>
      <c r="BS67" s="1010"/>
      <c r="BT67" s="1010"/>
      <c r="BU67" s="1010"/>
      <c r="BV67" s="1010"/>
      <c r="BW67" s="1010"/>
      <c r="BX67" s="1010"/>
      <c r="BY67" s="1010"/>
      <c r="BZ67" s="1010"/>
      <c r="CA67" s="1010"/>
      <c r="CB67" s="1010"/>
      <c r="CC67" s="1010"/>
      <c r="CD67" s="1010"/>
      <c r="CE67" s="1010"/>
      <c r="CF67" s="1010"/>
      <c r="CG67" s="1010"/>
      <c r="CH67" s="1010"/>
      <c r="CK67" s="1042"/>
      <c r="CL67" s="1010"/>
      <c r="CM67" s="1010"/>
      <c r="CN67" s="1010"/>
      <c r="CO67" s="1010"/>
      <c r="CP67" s="1010"/>
      <c r="CS67" s="1025"/>
      <c r="CT67" s="1026"/>
      <c r="CU67" s="1026"/>
      <c r="CV67" s="1026"/>
      <c r="CW67" s="1026"/>
      <c r="CX67" s="1026"/>
      <c r="CY67" s="1026"/>
      <c r="CZ67" s="1026"/>
      <c r="DA67" s="1026"/>
      <c r="DB67" s="1026"/>
      <c r="DC67" s="1026"/>
      <c r="DD67" s="1026"/>
      <c r="DE67" s="1026"/>
      <c r="DF67" s="1026"/>
      <c r="DG67" s="1026"/>
      <c r="DH67" s="1026"/>
      <c r="DI67" s="1026"/>
      <c r="DJ67" s="1026"/>
      <c r="DK67" s="1026"/>
      <c r="DL67" s="1026"/>
      <c r="DM67" s="1026"/>
      <c r="DN67" s="1026"/>
      <c r="DO67" s="1026"/>
      <c r="DP67" s="1026"/>
      <c r="DQ67" s="1026"/>
      <c r="DR67" s="1026"/>
      <c r="DS67" s="1026"/>
      <c r="DT67" s="1026"/>
      <c r="DU67" s="1026"/>
      <c r="DV67" s="1026"/>
      <c r="DW67" s="1026"/>
      <c r="DX67" s="1026"/>
      <c r="DY67" s="1026"/>
      <c r="DZ67" s="1026"/>
      <c r="EA67" s="1026"/>
      <c r="EB67" s="1026"/>
      <c r="EC67" s="1026"/>
      <c r="EE67" s="1025"/>
      <c r="EF67" s="1026"/>
      <c r="EG67" s="1026"/>
      <c r="EH67" s="1026"/>
      <c r="EI67" s="1026"/>
      <c r="EJ67" s="1026"/>
    </row>
    <row r="68" spans="4:233" ht="15">
      <c r="D68" s="1009"/>
      <c r="E68" s="1032"/>
      <c r="F68" s="1032"/>
      <c r="G68" s="1032"/>
      <c r="H68" s="1032"/>
      <c r="I68" s="1032"/>
      <c r="J68" s="1032"/>
      <c r="K68" s="1032"/>
      <c r="L68" s="1032"/>
      <c r="M68" s="1032"/>
      <c r="N68" s="1032"/>
      <c r="O68" s="1032"/>
      <c r="P68" s="1032"/>
      <c r="Q68" s="1032"/>
      <c r="R68" s="1032"/>
      <c r="S68" s="1032"/>
      <c r="T68" s="1032"/>
      <c r="U68" s="1032"/>
      <c r="V68" s="1032"/>
      <c r="W68" s="1032"/>
      <c r="X68" s="1032"/>
      <c r="Y68" s="1032"/>
      <c r="Z68" s="1032"/>
      <c r="AA68" s="1032"/>
      <c r="AB68" s="1032"/>
      <c r="AC68" s="1032"/>
      <c r="AD68" s="1032"/>
      <c r="AE68" s="1032"/>
      <c r="AF68" s="1032"/>
      <c r="AG68" s="1032"/>
      <c r="AH68" s="1032"/>
      <c r="AI68" s="1032"/>
      <c r="AJ68" s="1032"/>
      <c r="AK68" s="1032"/>
      <c r="AL68" s="1032"/>
      <c r="AM68" s="1032"/>
      <c r="AN68" s="1032"/>
      <c r="AP68" s="1009"/>
      <c r="AQ68" s="1032"/>
      <c r="AR68" s="1032"/>
      <c r="AS68" s="1032"/>
      <c r="AT68" s="1032"/>
      <c r="AU68" s="1032"/>
      <c r="AW68" s="984"/>
      <c r="AX68" s="1025"/>
      <c r="AY68" s="1026"/>
      <c r="AZ68" s="1026"/>
      <c r="BA68" s="1026"/>
      <c r="BB68" s="1026"/>
      <c r="BC68" s="1026"/>
      <c r="BD68" s="1026"/>
      <c r="BE68" s="1026"/>
      <c r="BF68" s="1026"/>
      <c r="BG68" s="1026"/>
      <c r="BH68" s="1026"/>
      <c r="BI68" s="1026"/>
      <c r="BJ68" s="1026"/>
      <c r="BK68" s="1026"/>
      <c r="BL68" s="1026"/>
      <c r="BM68" s="1026"/>
      <c r="BN68" s="1026"/>
      <c r="BO68" s="1026"/>
      <c r="BP68" s="1026"/>
      <c r="BQ68" s="1026"/>
      <c r="BR68" s="1026"/>
      <c r="BS68" s="1026"/>
      <c r="BT68" s="1026"/>
      <c r="BU68" s="1026"/>
      <c r="BV68" s="1026"/>
      <c r="BW68" s="1026"/>
      <c r="BX68" s="1026"/>
      <c r="BY68" s="1026"/>
      <c r="BZ68" s="1026"/>
      <c r="CA68" s="1026"/>
      <c r="CB68" s="1026"/>
      <c r="CC68" s="1026"/>
      <c r="CD68" s="1026"/>
      <c r="CE68" s="1026"/>
      <c r="CF68" s="1026"/>
      <c r="CG68" s="1026"/>
      <c r="CH68" s="1026"/>
      <c r="CK68" s="1025"/>
      <c r="CL68" s="1026"/>
      <c r="CM68" s="1026"/>
      <c r="CN68" s="1026"/>
      <c r="CO68" s="1026"/>
      <c r="CP68" s="1026"/>
      <c r="CS68" s="1043"/>
      <c r="CT68" s="1044"/>
      <c r="CU68" s="1044"/>
      <c r="CV68" s="1044"/>
      <c r="CW68" s="1044"/>
      <c r="CX68" s="1044"/>
      <c r="CY68" s="1044"/>
      <c r="CZ68" s="1044"/>
      <c r="DA68" s="1044"/>
      <c r="DB68" s="1044"/>
      <c r="DC68" s="1044"/>
      <c r="DD68" s="1044"/>
      <c r="DE68" s="1044"/>
      <c r="DF68" s="1044"/>
      <c r="DG68" s="1044"/>
      <c r="DH68" s="1044"/>
      <c r="DI68" s="1044"/>
      <c r="DJ68" s="1044"/>
      <c r="DK68" s="1044"/>
      <c r="DL68" s="1044"/>
      <c r="DM68" s="1044"/>
      <c r="DN68" s="1044"/>
      <c r="DO68" s="1044"/>
      <c r="DP68" s="1044"/>
      <c r="DQ68" s="1044"/>
      <c r="DR68" s="1044"/>
      <c r="DS68" s="1044"/>
      <c r="DT68" s="1044"/>
      <c r="DU68" s="1044"/>
      <c r="DV68" s="1044"/>
      <c r="DW68" s="1044"/>
      <c r="DX68" s="1044"/>
      <c r="DY68" s="1044"/>
      <c r="DZ68" s="1044"/>
      <c r="EA68" s="1044"/>
      <c r="EB68" s="1044"/>
      <c r="EC68" s="1044"/>
      <c r="EE68" s="1043"/>
      <c r="EF68" s="1044"/>
      <c r="EG68" s="1044"/>
      <c r="EH68" s="1044"/>
      <c r="EI68" s="1044"/>
      <c r="EJ68" s="1044"/>
    </row>
    <row r="69" spans="4:233" ht="15">
      <c r="D69" s="1009"/>
      <c r="E69" s="1002"/>
      <c r="F69" s="1002"/>
      <c r="G69" s="1002"/>
      <c r="H69" s="1002"/>
      <c r="I69" s="1002"/>
      <c r="J69" s="1002"/>
      <c r="K69" s="1002"/>
      <c r="L69" s="1002"/>
      <c r="M69" s="1002"/>
      <c r="N69" s="1002"/>
      <c r="O69" s="1002"/>
      <c r="P69" s="1002"/>
      <c r="Q69" s="1002"/>
      <c r="R69" s="1002"/>
      <c r="S69" s="1002"/>
      <c r="T69" s="1002"/>
      <c r="U69" s="1002"/>
      <c r="V69" s="1002"/>
      <c r="W69" s="1002"/>
      <c r="X69" s="1002"/>
      <c r="Y69" s="1002"/>
      <c r="Z69" s="1002"/>
      <c r="AA69" s="1002"/>
      <c r="AB69" s="1002"/>
      <c r="AC69" s="1002"/>
      <c r="AD69" s="1002"/>
      <c r="AE69" s="1002"/>
      <c r="AF69" s="1002"/>
      <c r="AG69" s="1002"/>
      <c r="AH69" s="1002"/>
      <c r="AI69" s="1002"/>
      <c r="AJ69" s="1002"/>
      <c r="AK69" s="1002"/>
      <c r="AL69" s="1002"/>
      <c r="AM69" s="1002"/>
      <c r="AN69" s="1002"/>
      <c r="AP69" s="1009"/>
      <c r="AQ69" s="1002"/>
      <c r="AR69" s="1002"/>
      <c r="AS69" s="1002"/>
      <c r="AT69" s="1002"/>
      <c r="AU69" s="1002"/>
      <c r="AX69" s="1038"/>
      <c r="AY69" s="1030"/>
      <c r="AZ69" s="1030"/>
      <c r="BA69" s="1030"/>
      <c r="BB69" s="1030"/>
      <c r="BC69" s="1030"/>
      <c r="BD69" s="1030"/>
      <c r="BE69" s="1030"/>
      <c r="BF69" s="1030"/>
      <c r="BG69" s="1030"/>
      <c r="BH69" s="1030"/>
      <c r="BI69" s="1030"/>
      <c r="BJ69" s="1030"/>
      <c r="BK69" s="1030"/>
      <c r="BL69" s="1030"/>
      <c r="BM69" s="1030"/>
      <c r="BN69" s="1030"/>
      <c r="BO69" s="1030"/>
      <c r="BP69" s="1030"/>
      <c r="BQ69" s="1030"/>
      <c r="BR69" s="1030"/>
      <c r="BS69" s="1030"/>
      <c r="BT69" s="1030"/>
      <c r="BU69" s="1030"/>
      <c r="BV69" s="1030"/>
      <c r="BW69" s="1030"/>
      <c r="BX69" s="1030"/>
      <c r="BY69" s="1030"/>
      <c r="BZ69" s="1030"/>
      <c r="CA69" s="1030"/>
      <c r="CB69" s="1030"/>
      <c r="CC69" s="1030"/>
      <c r="CD69" s="1030"/>
      <c r="CE69" s="1030"/>
      <c r="CF69" s="1030"/>
      <c r="CG69" s="1030"/>
      <c r="CH69" s="1030"/>
      <c r="CK69" s="1038"/>
      <c r="CL69" s="1030"/>
      <c r="CM69" s="1030"/>
      <c r="CN69" s="1030"/>
      <c r="CO69" s="1030"/>
      <c r="CP69" s="1030"/>
      <c r="CS69" s="1045"/>
      <c r="CT69" s="1046"/>
      <c r="CU69" s="1046"/>
      <c r="CV69" s="1046"/>
      <c r="CW69" s="1046"/>
      <c r="CX69" s="1046"/>
      <c r="CY69" s="1046"/>
      <c r="CZ69" s="1046"/>
      <c r="DA69" s="1046"/>
      <c r="DB69" s="1046"/>
      <c r="DC69" s="1046"/>
      <c r="DD69" s="1046"/>
      <c r="DE69" s="1046"/>
      <c r="DF69" s="1046"/>
      <c r="DG69" s="1046"/>
      <c r="DH69" s="1046"/>
      <c r="DI69" s="1046"/>
      <c r="DJ69" s="1046"/>
      <c r="DK69" s="1046"/>
      <c r="DL69" s="1046"/>
      <c r="DM69" s="1046"/>
      <c r="DN69" s="1046"/>
      <c r="DO69" s="1046"/>
      <c r="DP69" s="1046"/>
      <c r="DQ69" s="1046"/>
      <c r="DR69" s="1046"/>
      <c r="DS69" s="1046"/>
      <c r="DT69" s="1046"/>
      <c r="DU69" s="1046"/>
      <c r="DV69" s="1046"/>
      <c r="DW69" s="1046"/>
      <c r="DX69" s="1046"/>
      <c r="DY69" s="1046"/>
      <c r="DZ69" s="1046"/>
      <c r="EA69" s="1046"/>
      <c r="EB69" s="1046"/>
      <c r="EC69" s="1046"/>
      <c r="EE69" s="1045"/>
      <c r="EF69" s="1046"/>
      <c r="EG69" s="1046"/>
      <c r="EH69" s="1046"/>
      <c r="EI69" s="1046"/>
      <c r="EJ69" s="1046"/>
      <c r="GG69" s="1031"/>
    </row>
    <row r="70" spans="4:233" ht="15">
      <c r="D70" s="1028"/>
      <c r="E70" s="1010"/>
      <c r="F70" s="1010"/>
      <c r="G70" s="1010"/>
      <c r="H70" s="1010"/>
      <c r="I70" s="1010"/>
      <c r="J70" s="1010"/>
      <c r="K70" s="1010"/>
      <c r="L70" s="1010"/>
      <c r="M70" s="1010"/>
      <c r="N70" s="1010"/>
      <c r="O70" s="1010"/>
      <c r="P70" s="1010"/>
      <c r="Q70" s="1010"/>
      <c r="R70" s="1010"/>
      <c r="S70" s="1010"/>
      <c r="T70" s="1010"/>
      <c r="U70" s="1010"/>
      <c r="V70" s="1010"/>
      <c r="W70" s="1010"/>
      <c r="X70" s="1010"/>
      <c r="Y70" s="1010"/>
      <c r="Z70" s="1010"/>
      <c r="AA70" s="1010"/>
      <c r="AB70" s="1010"/>
      <c r="AC70" s="1010"/>
      <c r="AD70" s="1010"/>
      <c r="AE70" s="1010"/>
      <c r="AF70" s="1010"/>
      <c r="AG70" s="1010"/>
      <c r="AH70" s="1010"/>
      <c r="AI70" s="1010"/>
      <c r="AJ70" s="1010"/>
      <c r="AK70" s="1010"/>
      <c r="AL70" s="1010"/>
      <c r="AM70" s="1010"/>
      <c r="AN70" s="1010"/>
      <c r="AP70" s="1028"/>
      <c r="AQ70" s="1010"/>
      <c r="AR70" s="1010"/>
      <c r="AS70" s="1010"/>
      <c r="AT70" s="1010"/>
      <c r="AU70" s="1010"/>
      <c r="AX70" s="1031"/>
      <c r="AY70" s="1002"/>
      <c r="AZ70" s="1002"/>
      <c r="BA70" s="1002"/>
      <c r="BB70" s="1002"/>
      <c r="BC70" s="1002"/>
      <c r="BD70" s="1002"/>
      <c r="BE70" s="1002"/>
      <c r="BF70" s="1002"/>
      <c r="BG70" s="1002"/>
      <c r="BH70" s="1002"/>
      <c r="BI70" s="1002"/>
      <c r="BJ70" s="1002"/>
      <c r="BK70" s="1002"/>
      <c r="BL70" s="1002"/>
      <c r="BM70" s="1002"/>
      <c r="BN70" s="1002"/>
      <c r="BO70" s="1002"/>
      <c r="BP70" s="1002"/>
      <c r="BQ70" s="1002"/>
      <c r="BR70" s="1002"/>
      <c r="BS70" s="1002"/>
      <c r="BT70" s="1002"/>
      <c r="BU70" s="1002"/>
      <c r="BV70" s="1002"/>
      <c r="BW70" s="1002"/>
      <c r="BX70" s="1002"/>
      <c r="BY70" s="1002"/>
      <c r="BZ70" s="1002"/>
      <c r="CA70" s="1002"/>
      <c r="CB70" s="1002"/>
      <c r="CC70" s="1002"/>
      <c r="CD70" s="1002"/>
      <c r="CE70" s="1002"/>
      <c r="CF70" s="1002"/>
      <c r="CG70" s="1002"/>
      <c r="CH70" s="1002"/>
      <c r="CK70" s="1031"/>
      <c r="CL70" s="1002"/>
      <c r="CM70" s="1002"/>
      <c r="CN70" s="1002"/>
      <c r="CO70" s="1002"/>
      <c r="CP70" s="1002"/>
      <c r="CS70" s="1035"/>
      <c r="CT70" s="1047"/>
      <c r="CU70" s="1047"/>
      <c r="CV70" s="1047"/>
      <c r="CW70" s="1047"/>
      <c r="CX70" s="1047"/>
      <c r="CY70" s="1047"/>
      <c r="CZ70" s="1047"/>
      <c r="DA70" s="1047"/>
      <c r="DB70" s="1047"/>
      <c r="DC70" s="1047"/>
      <c r="DD70" s="1047"/>
      <c r="DE70" s="1047"/>
      <c r="DF70" s="1047"/>
      <c r="DG70" s="1047"/>
      <c r="DH70" s="1047"/>
      <c r="DI70" s="1047"/>
      <c r="DJ70" s="1047"/>
      <c r="DK70" s="1047"/>
      <c r="DL70" s="1047"/>
      <c r="DM70" s="1047"/>
      <c r="DN70" s="1047"/>
      <c r="DO70" s="1047"/>
      <c r="DP70" s="1047"/>
      <c r="DQ70" s="1047"/>
      <c r="DR70" s="1047"/>
      <c r="DS70" s="1047"/>
      <c r="DT70" s="1047"/>
      <c r="DU70" s="1047"/>
      <c r="DV70" s="1047"/>
      <c r="DW70" s="1047"/>
      <c r="DX70" s="1047"/>
      <c r="DY70" s="1047"/>
      <c r="DZ70" s="1047"/>
      <c r="EA70" s="1047"/>
      <c r="EB70" s="1047"/>
      <c r="EC70" s="1047"/>
      <c r="EE70" s="1035"/>
      <c r="EF70" s="1047"/>
      <c r="EG70" s="1047"/>
      <c r="EH70" s="1047"/>
      <c r="EI70" s="1047"/>
      <c r="EJ70" s="1047"/>
      <c r="GH70" s="916"/>
      <c r="GI70" s="916"/>
      <c r="GJ70" s="916"/>
      <c r="GK70" s="916"/>
      <c r="GL70" s="916"/>
      <c r="GM70" s="916"/>
      <c r="GN70" s="916"/>
      <c r="GO70" s="916"/>
      <c r="GP70" s="916"/>
      <c r="GQ70" s="916"/>
      <c r="GR70" s="916"/>
      <c r="GS70" s="916"/>
      <c r="GT70" s="916"/>
      <c r="GU70" s="916"/>
      <c r="GV70" s="916"/>
      <c r="GW70" s="916"/>
      <c r="GX70" s="916"/>
      <c r="GY70" s="916"/>
      <c r="GZ70" s="916"/>
      <c r="HA70" s="916"/>
      <c r="HB70" s="916"/>
      <c r="HC70" s="916"/>
      <c r="HD70" s="916"/>
      <c r="HE70" s="916"/>
      <c r="HF70" s="916"/>
      <c r="HG70" s="916"/>
      <c r="HH70" s="916"/>
      <c r="HI70" s="916"/>
      <c r="HJ70" s="916"/>
      <c r="HK70" s="916"/>
      <c r="HL70" s="916"/>
      <c r="HM70" s="916"/>
      <c r="HN70" s="916"/>
      <c r="HO70" s="916"/>
      <c r="HP70" s="916"/>
      <c r="HQ70" s="916"/>
      <c r="HU70" s="916"/>
      <c r="HV70" s="916"/>
      <c r="HW70" s="916"/>
      <c r="HX70" s="916"/>
      <c r="HY70" s="916"/>
    </row>
    <row r="71" spans="4:233" ht="15.75">
      <c r="D71" s="1028"/>
      <c r="E71" s="1010"/>
      <c r="F71" s="1010"/>
      <c r="G71" s="1010"/>
      <c r="H71" s="1010"/>
      <c r="I71" s="1010"/>
      <c r="J71" s="1010"/>
      <c r="K71" s="1010"/>
      <c r="L71" s="1010"/>
      <c r="M71" s="1010"/>
      <c r="N71" s="1010"/>
      <c r="O71" s="1010"/>
      <c r="P71" s="1010"/>
      <c r="Q71" s="1010"/>
      <c r="R71" s="1010"/>
      <c r="S71" s="1010"/>
      <c r="T71" s="1010"/>
      <c r="U71" s="1010"/>
      <c r="V71" s="1010"/>
      <c r="W71" s="1010"/>
      <c r="X71" s="1010"/>
      <c r="Y71" s="1010"/>
      <c r="Z71" s="1010"/>
      <c r="AA71" s="1010"/>
      <c r="AB71" s="1010"/>
      <c r="AC71" s="1010"/>
      <c r="AD71" s="1010"/>
      <c r="AE71" s="1010"/>
      <c r="AF71" s="1010"/>
      <c r="AG71" s="1010"/>
      <c r="AH71" s="1010"/>
      <c r="AI71" s="1010"/>
      <c r="AJ71" s="1010"/>
      <c r="AK71" s="1010"/>
      <c r="AL71" s="1010"/>
      <c r="AM71" s="1010"/>
      <c r="AN71" s="1010"/>
      <c r="AP71" s="1028"/>
      <c r="AQ71" s="1010"/>
      <c r="AR71" s="1010"/>
      <c r="AS71" s="1010"/>
      <c r="AT71" s="1010"/>
      <c r="AU71" s="1010"/>
      <c r="AX71" s="1031"/>
      <c r="AY71" s="1010"/>
      <c r="AZ71" s="1010"/>
      <c r="BA71" s="1010"/>
      <c r="BB71" s="1010"/>
      <c r="BC71" s="1010"/>
      <c r="BD71" s="1010"/>
      <c r="BE71" s="1010"/>
      <c r="BF71" s="1010"/>
      <c r="BG71" s="1010"/>
      <c r="BH71" s="1010"/>
      <c r="BI71" s="1010"/>
      <c r="BJ71" s="1010"/>
      <c r="BK71" s="1010"/>
      <c r="BL71" s="1010"/>
      <c r="BM71" s="1010"/>
      <c r="BN71" s="1010"/>
      <c r="BO71" s="1010"/>
      <c r="BP71" s="1010"/>
      <c r="BQ71" s="1010"/>
      <c r="BR71" s="1010"/>
      <c r="BS71" s="1010"/>
      <c r="BT71" s="1010"/>
      <c r="BU71" s="1010"/>
      <c r="BV71" s="1010"/>
      <c r="BW71" s="1010"/>
      <c r="BX71" s="1010"/>
      <c r="BY71" s="1010"/>
      <c r="BZ71" s="1010"/>
      <c r="CA71" s="1010"/>
      <c r="CB71" s="1010"/>
      <c r="CC71" s="1010"/>
      <c r="CD71" s="1010"/>
      <c r="CE71" s="1010"/>
      <c r="CF71" s="1010"/>
      <c r="CG71" s="1010"/>
      <c r="CH71" s="1010"/>
      <c r="CK71" s="1031"/>
      <c r="CL71" s="1010"/>
      <c r="CM71" s="1010"/>
      <c r="CN71" s="1010"/>
      <c r="CO71" s="1010"/>
      <c r="CP71" s="1010"/>
      <c r="CS71" s="908"/>
      <c r="ED71" s="908"/>
      <c r="GH71" s="1020"/>
      <c r="GI71" s="1020"/>
      <c r="GJ71" s="1020"/>
      <c r="GK71" s="1020"/>
      <c r="GL71" s="1020"/>
      <c r="GM71" s="1020"/>
      <c r="GN71" s="1020"/>
      <c r="GO71" s="1020"/>
      <c r="GP71" s="1020"/>
      <c r="GQ71" s="1020"/>
      <c r="GR71" s="1020"/>
      <c r="GS71" s="1020"/>
      <c r="GT71" s="1020"/>
      <c r="GU71" s="1020"/>
      <c r="GV71" s="1020"/>
      <c r="GW71" s="1020"/>
      <c r="GX71" s="1020"/>
      <c r="GY71" s="1020"/>
      <c r="GZ71" s="1020"/>
      <c r="HA71" s="1020"/>
      <c r="HB71" s="1020"/>
      <c r="HC71" s="1020"/>
      <c r="HD71" s="1020"/>
      <c r="HE71" s="1020"/>
      <c r="HF71" s="1020"/>
      <c r="HG71" s="1020"/>
      <c r="HH71" s="1020"/>
      <c r="HI71" s="1020"/>
      <c r="HJ71" s="1020"/>
      <c r="HK71" s="1020"/>
      <c r="HL71" s="1020"/>
      <c r="HM71" s="1020"/>
      <c r="HN71" s="1020"/>
      <c r="HO71" s="1020"/>
      <c r="HP71" s="1020"/>
      <c r="HQ71" s="1020"/>
      <c r="HU71" s="1020"/>
      <c r="HV71" s="1020"/>
      <c r="HW71" s="1020"/>
      <c r="HX71" s="1020"/>
      <c r="HY71" s="1020"/>
    </row>
    <row r="72" spans="4:233" ht="15">
      <c r="D72" s="1028"/>
      <c r="E72" s="1010"/>
      <c r="F72" s="1010"/>
      <c r="G72" s="1010"/>
      <c r="H72" s="1010"/>
      <c r="I72" s="1010"/>
      <c r="J72" s="1010"/>
      <c r="K72" s="1010"/>
      <c r="L72" s="1010"/>
      <c r="M72" s="1010"/>
      <c r="N72" s="1010"/>
      <c r="O72" s="1010"/>
      <c r="P72" s="1010"/>
      <c r="Q72" s="1010"/>
      <c r="R72" s="1010"/>
      <c r="S72" s="1010"/>
      <c r="T72" s="1010"/>
      <c r="U72" s="1010"/>
      <c r="V72" s="1010"/>
      <c r="W72" s="1010"/>
      <c r="X72" s="1010"/>
      <c r="Y72" s="1010"/>
      <c r="Z72" s="1010"/>
      <c r="AA72" s="1010"/>
      <c r="AB72" s="1010"/>
      <c r="AC72" s="1010"/>
      <c r="AD72" s="1010"/>
      <c r="AE72" s="1010"/>
      <c r="AF72" s="1010"/>
      <c r="AG72" s="1010"/>
      <c r="AH72" s="1010"/>
      <c r="AI72" s="1010"/>
      <c r="AJ72" s="1010"/>
      <c r="AK72" s="1010"/>
      <c r="AL72" s="1010"/>
      <c r="AM72" s="1010"/>
      <c r="AN72" s="1010"/>
      <c r="AP72" s="1028"/>
      <c r="AQ72" s="1010"/>
      <c r="AR72" s="1010"/>
      <c r="AS72" s="1010"/>
      <c r="AT72" s="1010"/>
      <c r="AU72" s="1010"/>
      <c r="AX72" s="1031"/>
      <c r="AY72" s="1010"/>
      <c r="AZ72" s="1010"/>
      <c r="BA72" s="1010"/>
      <c r="BB72" s="1010"/>
      <c r="BC72" s="1010"/>
      <c r="BD72" s="1010"/>
      <c r="BE72" s="1010"/>
      <c r="BF72" s="1010"/>
      <c r="BG72" s="1010"/>
      <c r="BH72" s="1010"/>
      <c r="BI72" s="1010"/>
      <c r="BJ72" s="1010"/>
      <c r="BK72" s="1010"/>
      <c r="BL72" s="1010"/>
      <c r="BM72" s="1010"/>
      <c r="BN72" s="1010"/>
      <c r="BO72" s="1010"/>
      <c r="BP72" s="1010"/>
      <c r="BQ72" s="1010"/>
      <c r="BR72" s="1010"/>
      <c r="BS72" s="1010"/>
      <c r="BT72" s="1010"/>
      <c r="BU72" s="1010"/>
      <c r="BV72" s="1010"/>
      <c r="BW72" s="1010"/>
      <c r="BX72" s="1010"/>
      <c r="BY72" s="1010"/>
      <c r="BZ72" s="1010"/>
      <c r="CA72" s="1010"/>
      <c r="CB72" s="1010"/>
      <c r="CC72" s="1010"/>
      <c r="CD72" s="1010"/>
      <c r="CE72" s="1010"/>
      <c r="CF72" s="1010"/>
      <c r="CG72" s="1010"/>
      <c r="CH72" s="1010"/>
      <c r="CK72" s="1031"/>
      <c r="CL72" s="1010"/>
      <c r="CM72" s="1010"/>
      <c r="CN72" s="1010"/>
      <c r="CO72" s="1010"/>
      <c r="CP72" s="1010"/>
      <c r="GH72" s="916"/>
      <c r="GI72" s="916"/>
      <c r="GJ72" s="916"/>
      <c r="GK72" s="916"/>
      <c r="GL72" s="916"/>
      <c r="GM72" s="916"/>
      <c r="GN72" s="916"/>
      <c r="GO72" s="916"/>
      <c r="GP72" s="916"/>
      <c r="GQ72" s="916"/>
      <c r="GR72" s="916"/>
      <c r="GS72" s="916"/>
      <c r="GT72" s="916"/>
      <c r="GU72" s="916"/>
      <c r="GV72" s="916"/>
      <c r="GW72" s="916"/>
      <c r="GX72" s="916"/>
      <c r="GY72" s="916"/>
      <c r="GZ72" s="916"/>
      <c r="HA72" s="916"/>
      <c r="HB72" s="916"/>
      <c r="HC72" s="916"/>
      <c r="HD72" s="916"/>
      <c r="HE72" s="916"/>
      <c r="HF72" s="916"/>
      <c r="HG72" s="916"/>
      <c r="HH72" s="916"/>
      <c r="HI72" s="916"/>
      <c r="HJ72" s="916"/>
      <c r="HK72" s="916"/>
      <c r="HL72" s="916"/>
      <c r="HM72" s="916"/>
      <c r="HN72" s="916"/>
      <c r="HO72" s="916"/>
      <c r="HP72" s="916"/>
      <c r="HQ72" s="916"/>
      <c r="HU72" s="916"/>
      <c r="HV72" s="916"/>
      <c r="HW72" s="916"/>
      <c r="HX72" s="916"/>
      <c r="HY72" s="916"/>
    </row>
    <row r="73" spans="4:233" ht="15">
      <c r="D73" s="1028"/>
      <c r="E73" s="1010"/>
      <c r="F73" s="1010"/>
      <c r="G73" s="1010"/>
      <c r="H73" s="1010"/>
      <c r="I73" s="1010"/>
      <c r="J73" s="1010"/>
      <c r="K73" s="1010"/>
      <c r="L73" s="1010"/>
      <c r="M73" s="1010"/>
      <c r="N73" s="1010"/>
      <c r="O73" s="1010"/>
      <c r="P73" s="1010"/>
      <c r="Q73" s="1010"/>
      <c r="R73" s="1010"/>
      <c r="S73" s="1010"/>
      <c r="T73" s="1010"/>
      <c r="U73" s="1010"/>
      <c r="V73" s="1010"/>
      <c r="W73" s="1010"/>
      <c r="X73" s="1010"/>
      <c r="Y73" s="1010"/>
      <c r="Z73" s="1010"/>
      <c r="AA73" s="1010"/>
      <c r="AB73" s="1010"/>
      <c r="AC73" s="1010"/>
      <c r="AD73" s="1010"/>
      <c r="AE73" s="1010"/>
      <c r="AF73" s="1010"/>
      <c r="AG73" s="1010"/>
      <c r="AH73" s="1010"/>
      <c r="AI73" s="1010"/>
      <c r="AJ73" s="1010"/>
      <c r="AK73" s="1010"/>
      <c r="AL73" s="1010"/>
      <c r="AM73" s="1010"/>
      <c r="AN73" s="1010"/>
      <c r="AP73" s="1028"/>
      <c r="AQ73" s="1010"/>
      <c r="AR73" s="1010"/>
      <c r="AS73" s="1010"/>
      <c r="AT73" s="1010"/>
      <c r="AU73" s="1010"/>
      <c r="AX73" s="1016"/>
      <c r="AY73" s="1033"/>
      <c r="AZ73" s="1033"/>
      <c r="BA73" s="1033"/>
      <c r="BB73" s="1033"/>
      <c r="BC73" s="1033"/>
      <c r="BD73" s="1033"/>
      <c r="BE73" s="1033"/>
      <c r="BF73" s="1033"/>
      <c r="BG73" s="1033"/>
      <c r="BH73" s="1033"/>
      <c r="BI73" s="1033"/>
      <c r="BJ73" s="1033"/>
      <c r="BK73" s="1033"/>
      <c r="BL73" s="1033"/>
      <c r="BM73" s="1033"/>
      <c r="BN73" s="1033"/>
      <c r="BO73" s="1033"/>
      <c r="BP73" s="1033"/>
      <c r="BQ73" s="1033"/>
      <c r="BR73" s="1033"/>
      <c r="BS73" s="1033"/>
      <c r="BT73" s="1033"/>
      <c r="BU73" s="1033"/>
      <c r="BV73" s="1033"/>
      <c r="BW73" s="1033"/>
      <c r="BX73" s="1033"/>
      <c r="BY73" s="1033"/>
      <c r="BZ73" s="1033"/>
      <c r="CA73" s="1033"/>
      <c r="CB73" s="1033"/>
      <c r="CC73" s="1033"/>
      <c r="CD73" s="1033"/>
      <c r="CE73" s="1033"/>
      <c r="CF73" s="1033"/>
      <c r="CG73" s="1033"/>
      <c r="CH73" s="1033"/>
      <c r="CK73" s="1016"/>
      <c r="CL73" s="1033"/>
      <c r="CM73" s="1033"/>
      <c r="CN73" s="1033"/>
      <c r="CO73" s="1033"/>
      <c r="CP73" s="1033"/>
      <c r="GH73" s="1020"/>
      <c r="GI73" s="1020"/>
      <c r="GJ73" s="1020"/>
      <c r="GK73" s="1020"/>
      <c r="GL73" s="1020"/>
      <c r="GM73" s="1020"/>
      <c r="GN73" s="1020"/>
      <c r="GO73" s="1020"/>
      <c r="GP73" s="1020"/>
      <c r="GQ73" s="1020"/>
      <c r="GR73" s="1020"/>
      <c r="GS73" s="1020"/>
      <c r="GT73" s="1020"/>
      <c r="GU73" s="1020"/>
      <c r="GV73" s="1020"/>
      <c r="GW73" s="1020"/>
      <c r="GX73" s="1020"/>
      <c r="GY73" s="1020"/>
      <c r="GZ73" s="1020"/>
      <c r="HA73" s="1020"/>
      <c r="HB73" s="1020"/>
      <c r="HC73" s="1020"/>
      <c r="HD73" s="1020"/>
      <c r="HE73" s="1020"/>
      <c r="HF73" s="1020"/>
      <c r="HG73" s="1020"/>
      <c r="HH73" s="1020"/>
      <c r="HI73" s="1020"/>
      <c r="HJ73" s="1020"/>
      <c r="HK73" s="1020"/>
      <c r="HL73" s="1020"/>
      <c r="HM73" s="1020"/>
      <c r="HN73" s="1020"/>
      <c r="HO73" s="1020"/>
      <c r="HP73" s="1020"/>
      <c r="HQ73" s="1020"/>
      <c r="HU73" s="1020"/>
      <c r="HV73" s="1020"/>
      <c r="HW73" s="1020"/>
      <c r="HX73" s="1020"/>
      <c r="HY73" s="1020"/>
    </row>
    <row r="74" spans="4:233" ht="15">
      <c r="D74" s="1001"/>
      <c r="E74" s="1033"/>
      <c r="F74" s="1033"/>
      <c r="G74" s="1033"/>
      <c r="H74" s="1033"/>
      <c r="I74" s="1033"/>
      <c r="J74" s="1033"/>
      <c r="K74" s="1033"/>
      <c r="L74" s="1033"/>
      <c r="M74" s="1033"/>
      <c r="N74" s="1033"/>
      <c r="O74" s="1033"/>
      <c r="P74" s="1033"/>
      <c r="Q74" s="1033"/>
      <c r="R74" s="1033"/>
      <c r="S74" s="1033"/>
      <c r="T74" s="1033"/>
      <c r="U74" s="1033"/>
      <c r="V74" s="1033"/>
      <c r="W74" s="1033"/>
      <c r="X74" s="1033"/>
      <c r="Y74" s="1033"/>
      <c r="Z74" s="1033"/>
      <c r="AA74" s="1033"/>
      <c r="AB74" s="1033"/>
      <c r="AC74" s="1033"/>
      <c r="AD74" s="1033"/>
      <c r="AE74" s="1033"/>
      <c r="AF74" s="1033"/>
      <c r="AG74" s="1033"/>
      <c r="AH74" s="1033"/>
      <c r="AI74" s="1033"/>
      <c r="AJ74" s="1033"/>
      <c r="AK74" s="1033"/>
      <c r="AL74" s="1033"/>
      <c r="AM74" s="1033"/>
      <c r="AN74" s="1033"/>
      <c r="AP74" s="1001"/>
      <c r="AQ74" s="1033"/>
      <c r="AR74" s="1033"/>
      <c r="AS74" s="1033"/>
      <c r="AT74" s="1033"/>
      <c r="AU74" s="1033"/>
      <c r="AX74" s="1031"/>
      <c r="AY74" s="1002"/>
      <c r="AZ74" s="1002"/>
      <c r="BA74" s="1002"/>
      <c r="BB74" s="1002"/>
      <c r="BC74" s="1002"/>
      <c r="BD74" s="1002"/>
      <c r="BE74" s="1002"/>
      <c r="BF74" s="1002"/>
      <c r="BG74" s="1002"/>
      <c r="BH74" s="1002"/>
      <c r="BI74" s="1002"/>
      <c r="BJ74" s="1002"/>
      <c r="BK74" s="1002"/>
      <c r="BL74" s="1002"/>
      <c r="BM74" s="1002"/>
      <c r="BN74" s="1002"/>
      <c r="BO74" s="1002"/>
      <c r="BP74" s="1002"/>
      <c r="BQ74" s="1002"/>
      <c r="BR74" s="1002"/>
      <c r="BS74" s="1002"/>
      <c r="BT74" s="1002"/>
      <c r="BU74" s="1002"/>
      <c r="BV74" s="1002"/>
      <c r="BW74" s="1002"/>
      <c r="BX74" s="1002"/>
      <c r="BY74" s="1002"/>
      <c r="BZ74" s="1002"/>
      <c r="CA74" s="1002"/>
      <c r="CB74" s="1002"/>
      <c r="CC74" s="1002"/>
      <c r="CD74" s="1002"/>
      <c r="CE74" s="1002"/>
      <c r="CF74" s="1002"/>
      <c r="CG74" s="1002"/>
      <c r="CH74" s="1002"/>
      <c r="CK74" s="1031"/>
      <c r="CL74" s="1002"/>
      <c r="CM74" s="1002"/>
      <c r="CN74" s="1002"/>
      <c r="CO74" s="1002"/>
      <c r="CP74" s="1002"/>
      <c r="GH74" s="1020"/>
      <c r="GI74" s="1020"/>
      <c r="GJ74" s="1020"/>
      <c r="GK74" s="1020"/>
      <c r="GL74" s="1020"/>
      <c r="GM74" s="1020"/>
      <c r="GN74" s="1020"/>
      <c r="GO74" s="1020"/>
      <c r="GP74" s="1020"/>
      <c r="GQ74" s="1020"/>
      <c r="GR74" s="1020"/>
      <c r="GS74" s="1020"/>
      <c r="GT74" s="1020"/>
      <c r="GU74" s="1020"/>
      <c r="GV74" s="1020"/>
      <c r="GW74" s="1020"/>
      <c r="GX74" s="1020"/>
      <c r="GY74" s="1020"/>
      <c r="GZ74" s="1020"/>
      <c r="HA74" s="1020"/>
      <c r="HB74" s="1020"/>
      <c r="HC74" s="1020"/>
      <c r="HD74" s="1020"/>
      <c r="HE74" s="1020"/>
      <c r="HF74" s="1020"/>
      <c r="HG74" s="1020"/>
      <c r="HH74" s="1020"/>
      <c r="HI74" s="1020"/>
      <c r="HJ74" s="1020"/>
      <c r="HK74" s="1020"/>
      <c r="HL74" s="1020"/>
      <c r="HM74" s="1020"/>
      <c r="HN74" s="1020"/>
      <c r="HO74" s="1020"/>
      <c r="HP74" s="1020"/>
      <c r="HQ74" s="1020"/>
      <c r="HU74" s="1020"/>
      <c r="HV74" s="1020"/>
      <c r="HW74" s="1020"/>
      <c r="HX74" s="1020"/>
      <c r="HY74" s="1020"/>
    </row>
    <row r="75" spans="4:233" ht="15">
      <c r="D75" s="1009"/>
      <c r="E75" s="1032"/>
      <c r="F75" s="1032"/>
      <c r="G75" s="1032"/>
      <c r="H75" s="1032"/>
      <c r="I75" s="1032"/>
      <c r="J75" s="1032"/>
      <c r="K75" s="1032"/>
      <c r="L75" s="1032"/>
      <c r="M75" s="1032"/>
      <c r="N75" s="1032"/>
      <c r="O75" s="1032"/>
      <c r="P75" s="1032"/>
      <c r="Q75" s="1032"/>
      <c r="R75" s="1032"/>
      <c r="S75" s="1032"/>
      <c r="T75" s="1032"/>
      <c r="U75" s="1032"/>
      <c r="V75" s="1032"/>
      <c r="W75" s="1032"/>
      <c r="X75" s="1032"/>
      <c r="Y75" s="1032"/>
      <c r="Z75" s="1032"/>
      <c r="AA75" s="1032"/>
      <c r="AB75" s="1032"/>
      <c r="AC75" s="1032"/>
      <c r="AD75" s="1032"/>
      <c r="AE75" s="1032"/>
      <c r="AF75" s="1032"/>
      <c r="AG75" s="1032"/>
      <c r="AH75" s="1032"/>
      <c r="AI75" s="1032"/>
      <c r="AJ75" s="1032"/>
      <c r="AK75" s="1032"/>
      <c r="AL75" s="1032"/>
      <c r="AM75" s="1032"/>
      <c r="AN75" s="1032"/>
      <c r="AP75" s="1009"/>
      <c r="AQ75" s="1032"/>
      <c r="AR75" s="1032"/>
      <c r="AS75" s="1032"/>
      <c r="AT75" s="1032"/>
      <c r="AU75" s="1032"/>
      <c r="AW75" s="984"/>
      <c r="AX75" s="1025"/>
      <c r="AY75" s="1026"/>
      <c r="AZ75" s="1026"/>
      <c r="BA75" s="1026"/>
      <c r="BB75" s="1026"/>
      <c r="BC75" s="1026"/>
      <c r="BD75" s="1026"/>
      <c r="BE75" s="1026"/>
      <c r="BF75" s="1026"/>
      <c r="BG75" s="1026"/>
      <c r="BH75" s="1026"/>
      <c r="BI75" s="1026"/>
      <c r="BJ75" s="1026"/>
      <c r="BK75" s="1026"/>
      <c r="BL75" s="1026"/>
      <c r="BM75" s="1026"/>
      <c r="BN75" s="1026"/>
      <c r="BO75" s="1026"/>
      <c r="BP75" s="1026"/>
      <c r="BQ75" s="1026"/>
      <c r="BR75" s="1026"/>
      <c r="BS75" s="1026"/>
      <c r="BT75" s="1026"/>
      <c r="BU75" s="1026"/>
      <c r="BV75" s="1026"/>
      <c r="BW75" s="1026"/>
      <c r="BX75" s="1026"/>
      <c r="BY75" s="1026"/>
      <c r="BZ75" s="1026"/>
      <c r="CA75" s="1026"/>
      <c r="CB75" s="1026"/>
      <c r="CC75" s="1026"/>
      <c r="CD75" s="1026"/>
      <c r="CE75" s="1026"/>
      <c r="CF75" s="1026"/>
      <c r="CG75" s="1026"/>
      <c r="CH75" s="1026"/>
      <c r="CK75" s="1025"/>
      <c r="CL75" s="1026"/>
      <c r="CM75" s="1026"/>
      <c r="CN75" s="1026"/>
      <c r="CO75" s="1026"/>
      <c r="CP75" s="1026"/>
    </row>
    <row r="76" spans="4:233" ht="15">
      <c r="D76" s="1003"/>
      <c r="E76" s="1004"/>
      <c r="F76" s="1004"/>
      <c r="G76" s="1004"/>
      <c r="H76" s="1004"/>
      <c r="I76" s="1004"/>
      <c r="J76" s="1004"/>
      <c r="K76" s="1004"/>
      <c r="L76" s="1004"/>
      <c r="M76" s="1004"/>
      <c r="N76" s="1004"/>
      <c r="O76" s="1004"/>
      <c r="P76" s="1004"/>
      <c r="Q76" s="1004"/>
      <c r="R76" s="1004"/>
      <c r="S76" s="1004"/>
      <c r="T76" s="1004"/>
      <c r="U76" s="1004"/>
      <c r="V76" s="1004"/>
      <c r="W76" s="1004"/>
      <c r="X76" s="1004"/>
      <c r="Y76" s="1004"/>
      <c r="Z76" s="1004"/>
      <c r="AA76" s="1004"/>
      <c r="AB76" s="1004"/>
      <c r="AC76" s="1004"/>
      <c r="AD76" s="1004"/>
      <c r="AE76" s="1004"/>
      <c r="AF76" s="1004"/>
      <c r="AG76" s="1004"/>
      <c r="AH76" s="1004"/>
      <c r="AI76" s="1004"/>
      <c r="AJ76" s="1004"/>
      <c r="AK76" s="1004"/>
      <c r="AL76" s="1004"/>
      <c r="AM76" s="1004"/>
      <c r="AN76" s="1004"/>
      <c r="AP76" s="1003"/>
      <c r="AQ76" s="1004"/>
      <c r="AR76" s="1004"/>
      <c r="AS76" s="1004"/>
      <c r="AT76" s="1004"/>
      <c r="AU76" s="1004"/>
      <c r="AX76" s="1038"/>
      <c r="AY76" s="1030"/>
      <c r="AZ76" s="1030"/>
      <c r="BA76" s="1030"/>
      <c r="BB76" s="1030"/>
      <c r="BC76" s="1030"/>
      <c r="BD76" s="1030"/>
      <c r="BE76" s="1030"/>
      <c r="BF76" s="1030"/>
      <c r="BG76" s="1030"/>
      <c r="BH76" s="1030"/>
      <c r="BI76" s="1030"/>
      <c r="BJ76" s="1030"/>
      <c r="BK76" s="1030"/>
      <c r="BL76" s="1030"/>
      <c r="BM76" s="1030"/>
      <c r="BN76" s="1030"/>
      <c r="BO76" s="1030"/>
      <c r="BP76" s="1030"/>
      <c r="BQ76" s="1030"/>
      <c r="BR76" s="1030"/>
      <c r="BS76" s="1030"/>
      <c r="BT76" s="1030"/>
      <c r="BU76" s="1030"/>
      <c r="BV76" s="1030"/>
      <c r="BW76" s="1030"/>
      <c r="BX76" s="1030"/>
      <c r="BY76" s="1030"/>
      <c r="BZ76" s="1030"/>
      <c r="CA76" s="1030"/>
      <c r="CB76" s="1030"/>
      <c r="CC76" s="1030"/>
      <c r="CD76" s="1030"/>
      <c r="CE76" s="1030"/>
      <c r="CF76" s="1030"/>
      <c r="CG76" s="1030"/>
      <c r="CH76" s="1030"/>
      <c r="CK76" s="1038"/>
      <c r="CL76" s="1030"/>
      <c r="CM76" s="1030"/>
      <c r="CN76" s="1030"/>
      <c r="CO76" s="1030"/>
      <c r="CP76" s="1030"/>
    </row>
    <row r="77" spans="4:233" ht="15">
      <c r="D77" s="1009"/>
      <c r="E77" s="1032"/>
      <c r="F77" s="1032"/>
      <c r="G77" s="1032"/>
      <c r="H77" s="1032"/>
      <c r="I77" s="1032"/>
      <c r="J77" s="1032"/>
      <c r="K77" s="1032"/>
      <c r="L77" s="1032"/>
      <c r="M77" s="1032"/>
      <c r="N77" s="1032"/>
      <c r="O77" s="1032"/>
      <c r="P77" s="1032"/>
      <c r="Q77" s="1032"/>
      <c r="R77" s="1032"/>
      <c r="S77" s="1032"/>
      <c r="T77" s="1032"/>
      <c r="U77" s="1032"/>
      <c r="V77" s="1032"/>
      <c r="W77" s="1032"/>
      <c r="X77" s="1032"/>
      <c r="Y77" s="1032"/>
      <c r="Z77" s="1032"/>
      <c r="AA77" s="1032"/>
      <c r="AB77" s="1032"/>
      <c r="AC77" s="1032"/>
      <c r="AD77" s="1032"/>
      <c r="AE77" s="1032"/>
      <c r="AF77" s="1032"/>
      <c r="AG77" s="1032"/>
      <c r="AH77" s="1032"/>
      <c r="AI77" s="1032"/>
      <c r="AJ77" s="1032"/>
      <c r="AK77" s="1032"/>
      <c r="AL77" s="1032"/>
      <c r="AM77" s="1032"/>
      <c r="AN77" s="1032"/>
      <c r="AP77" s="1009"/>
      <c r="AQ77" s="1032"/>
      <c r="AR77" s="1032"/>
      <c r="AS77" s="1032"/>
      <c r="AT77" s="1032"/>
      <c r="AU77" s="1032"/>
      <c r="AX77" s="1038"/>
      <c r="AY77" s="1002"/>
      <c r="AZ77" s="1002"/>
      <c r="BA77" s="1002"/>
      <c r="BB77" s="1002"/>
      <c r="BC77" s="1002"/>
      <c r="BD77" s="1002"/>
      <c r="BE77" s="1002"/>
      <c r="BF77" s="1002"/>
      <c r="BG77" s="1002"/>
      <c r="BH77" s="1002"/>
      <c r="BI77" s="1002"/>
      <c r="BJ77" s="1002"/>
      <c r="BK77" s="1002"/>
      <c r="BL77" s="1002"/>
      <c r="BM77" s="1002"/>
      <c r="BN77" s="1002"/>
      <c r="BO77" s="1002"/>
      <c r="BP77" s="1002"/>
      <c r="BQ77" s="1002"/>
      <c r="BR77" s="1002"/>
      <c r="BS77" s="1002"/>
      <c r="BT77" s="1002"/>
      <c r="BU77" s="1002"/>
      <c r="BV77" s="1002"/>
      <c r="BW77" s="1002"/>
      <c r="BX77" s="1002"/>
      <c r="BY77" s="1002"/>
      <c r="BZ77" s="1002"/>
      <c r="CA77" s="1002"/>
      <c r="CB77" s="1002"/>
      <c r="CC77" s="1002"/>
      <c r="CD77" s="1002"/>
      <c r="CE77" s="1002"/>
      <c r="CF77" s="1002"/>
      <c r="CG77" s="1002"/>
      <c r="CH77" s="1002"/>
      <c r="CK77" s="1038"/>
      <c r="CL77" s="1002"/>
      <c r="CM77" s="1002"/>
      <c r="CN77" s="1002"/>
      <c r="CO77" s="1002"/>
      <c r="CP77" s="1002"/>
    </row>
    <row r="78" spans="4:233" ht="15">
      <c r="D78" s="1025"/>
      <c r="E78" s="1048"/>
      <c r="F78" s="1048"/>
      <c r="G78" s="1048"/>
      <c r="H78" s="1048"/>
      <c r="I78" s="1048"/>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P78" s="1025"/>
      <c r="AQ78" s="1048"/>
      <c r="AR78" s="1048"/>
      <c r="AS78" s="1048"/>
      <c r="AT78" s="1048"/>
      <c r="AU78" s="1048"/>
      <c r="AX78" s="1009"/>
      <c r="AY78" s="1010"/>
      <c r="AZ78" s="1010"/>
      <c r="BA78" s="1010"/>
      <c r="BB78" s="1010"/>
      <c r="BC78" s="1010"/>
      <c r="BD78" s="1010"/>
      <c r="BE78" s="1010"/>
      <c r="BF78" s="1010"/>
      <c r="BG78" s="1010"/>
      <c r="BH78" s="1010"/>
      <c r="BI78" s="1010"/>
      <c r="BJ78" s="1010"/>
      <c r="BK78" s="1010"/>
      <c r="BL78" s="1010"/>
      <c r="BM78" s="1010"/>
      <c r="BN78" s="1010"/>
      <c r="BO78" s="1010"/>
      <c r="BP78" s="1010"/>
      <c r="BQ78" s="1010"/>
      <c r="BR78" s="1010"/>
      <c r="BS78" s="1010"/>
      <c r="BT78" s="1010"/>
      <c r="BU78" s="1010"/>
      <c r="BV78" s="1010"/>
      <c r="BW78" s="1010"/>
      <c r="BX78" s="1010"/>
      <c r="BY78" s="1010"/>
      <c r="BZ78" s="1010"/>
      <c r="CA78" s="1010"/>
      <c r="CB78" s="1010"/>
      <c r="CC78" s="1010"/>
      <c r="CD78" s="1010"/>
      <c r="CE78" s="1010"/>
      <c r="CF78" s="1010"/>
      <c r="CG78" s="1010"/>
      <c r="CH78" s="1010"/>
      <c r="CK78" s="1009"/>
      <c r="CL78" s="1010"/>
      <c r="CM78" s="1010"/>
      <c r="CN78" s="1010"/>
      <c r="CO78" s="1010"/>
      <c r="CP78" s="1010"/>
    </row>
    <row r="79" spans="4:233" ht="15">
      <c r="D79" s="1009"/>
      <c r="E79" s="1032"/>
      <c r="F79" s="1032"/>
      <c r="G79" s="1032"/>
      <c r="H79" s="1032"/>
      <c r="I79" s="1032"/>
      <c r="J79" s="1032"/>
      <c r="K79" s="1032"/>
      <c r="L79" s="1032"/>
      <c r="M79" s="1032"/>
      <c r="N79" s="1032"/>
      <c r="O79" s="1032"/>
      <c r="P79" s="1032"/>
      <c r="Q79" s="1032"/>
      <c r="R79" s="1032"/>
      <c r="S79" s="1032"/>
      <c r="T79" s="1032"/>
      <c r="U79" s="1032"/>
      <c r="V79" s="1032"/>
      <c r="W79" s="1032"/>
      <c r="X79" s="1032"/>
      <c r="Y79" s="1032"/>
      <c r="Z79" s="1032"/>
      <c r="AA79" s="1032"/>
      <c r="AB79" s="1032"/>
      <c r="AC79" s="1032"/>
      <c r="AD79" s="1032"/>
      <c r="AE79" s="1032"/>
      <c r="AF79" s="1032"/>
      <c r="AG79" s="1032"/>
      <c r="AH79" s="1032"/>
      <c r="AI79" s="1032"/>
      <c r="AJ79" s="1032"/>
      <c r="AK79" s="1032"/>
      <c r="AL79" s="1032"/>
      <c r="AM79" s="1032"/>
      <c r="AN79" s="1032"/>
      <c r="AP79" s="1009"/>
      <c r="AQ79" s="1032"/>
      <c r="AR79" s="1032"/>
      <c r="AS79" s="1032"/>
      <c r="AT79" s="1032"/>
      <c r="AU79" s="1032"/>
      <c r="AW79" s="984"/>
      <c r="AX79" s="1025"/>
      <c r="AY79" s="1026"/>
      <c r="AZ79" s="1026"/>
      <c r="BA79" s="1026"/>
      <c r="BB79" s="1026"/>
      <c r="BC79" s="1026"/>
      <c r="BD79" s="1026"/>
      <c r="BE79" s="1026"/>
      <c r="BF79" s="1026"/>
      <c r="BG79" s="1026"/>
      <c r="BH79" s="1026"/>
      <c r="BI79" s="1026"/>
      <c r="BJ79" s="1026"/>
      <c r="BK79" s="1026"/>
      <c r="BL79" s="1026"/>
      <c r="BM79" s="1026"/>
      <c r="BN79" s="1026"/>
      <c r="BO79" s="1026"/>
      <c r="BP79" s="1026"/>
      <c r="BQ79" s="1026"/>
      <c r="BR79" s="1026"/>
      <c r="BS79" s="1026"/>
      <c r="BT79" s="1026"/>
      <c r="BU79" s="1026"/>
      <c r="BV79" s="1026"/>
      <c r="BW79" s="1026"/>
      <c r="BX79" s="1026"/>
      <c r="BY79" s="1026"/>
      <c r="BZ79" s="1026"/>
      <c r="CA79" s="1026"/>
      <c r="CB79" s="1026"/>
      <c r="CC79" s="1026"/>
      <c r="CD79" s="1026"/>
      <c r="CE79" s="1026"/>
      <c r="CF79" s="1026"/>
      <c r="CG79" s="1026"/>
      <c r="CH79" s="1026"/>
      <c r="CK79" s="1025"/>
      <c r="CL79" s="1026"/>
      <c r="CM79" s="1026"/>
      <c r="CN79" s="1026"/>
      <c r="CO79" s="1026"/>
      <c r="CP79" s="1026"/>
    </row>
    <row r="80" spans="4:233" ht="15">
      <c r="D80" s="1039"/>
      <c r="E80" s="1040"/>
      <c r="F80" s="1040"/>
      <c r="G80" s="1040"/>
      <c r="H80" s="1040"/>
      <c r="I80" s="1040"/>
      <c r="J80" s="1040"/>
      <c r="K80" s="1040"/>
      <c r="L80" s="1040"/>
      <c r="M80" s="1040"/>
      <c r="N80" s="1040"/>
      <c r="O80" s="1040"/>
      <c r="P80" s="1040"/>
      <c r="Q80" s="1040"/>
      <c r="R80" s="1040"/>
      <c r="S80" s="1040"/>
      <c r="T80" s="1040"/>
      <c r="U80" s="1040"/>
      <c r="V80" s="1040"/>
      <c r="W80" s="1040"/>
      <c r="X80" s="1040"/>
      <c r="Y80" s="1040"/>
      <c r="Z80" s="1040"/>
      <c r="AA80" s="1040"/>
      <c r="AB80" s="1040"/>
      <c r="AC80" s="1040"/>
      <c r="AD80" s="1040"/>
      <c r="AE80" s="1040"/>
      <c r="AF80" s="1040"/>
      <c r="AG80" s="1040"/>
      <c r="AH80" s="1040"/>
      <c r="AI80" s="1040"/>
      <c r="AJ80" s="1040"/>
      <c r="AK80" s="1040"/>
      <c r="AL80" s="1040"/>
      <c r="AM80" s="1040"/>
      <c r="AN80" s="1040"/>
      <c r="AP80" s="1039"/>
      <c r="AQ80" s="1040"/>
      <c r="AR80" s="1040"/>
      <c r="AS80" s="1040"/>
      <c r="AT80" s="1040"/>
      <c r="AU80" s="1040"/>
      <c r="AX80" s="1038"/>
      <c r="AY80" s="1030"/>
      <c r="AZ80" s="1030"/>
      <c r="BA80" s="1030"/>
      <c r="BB80" s="1030"/>
      <c r="BC80" s="1030"/>
      <c r="BD80" s="1030"/>
      <c r="BE80" s="1030"/>
      <c r="BF80" s="1030"/>
      <c r="BG80" s="1030"/>
      <c r="BH80" s="1030"/>
      <c r="BI80" s="1030"/>
      <c r="BJ80" s="1030"/>
      <c r="BK80" s="1030"/>
      <c r="BL80" s="1030"/>
      <c r="BM80" s="1030"/>
      <c r="BN80" s="1030"/>
      <c r="BO80" s="1030"/>
      <c r="BP80" s="1030"/>
      <c r="BQ80" s="1030"/>
      <c r="BR80" s="1030"/>
      <c r="BS80" s="1030"/>
      <c r="BT80" s="1030"/>
      <c r="BU80" s="1030"/>
      <c r="BV80" s="1030"/>
      <c r="BW80" s="1030"/>
      <c r="BX80" s="1030"/>
      <c r="BY80" s="1030"/>
      <c r="BZ80" s="1030"/>
      <c r="CA80" s="1030"/>
      <c r="CB80" s="1030"/>
      <c r="CC80" s="1030"/>
      <c r="CD80" s="1030"/>
      <c r="CE80" s="1030"/>
      <c r="CF80" s="1030"/>
      <c r="CG80" s="1030"/>
      <c r="CH80" s="1030"/>
      <c r="CK80" s="1038"/>
      <c r="CL80" s="1030"/>
      <c r="CM80" s="1030"/>
      <c r="CN80" s="1030"/>
      <c r="CO80" s="1030"/>
      <c r="CP80" s="1030"/>
    </row>
    <row r="81" spans="4:94" ht="15">
      <c r="D81" s="1009"/>
      <c r="E81" s="1002"/>
      <c r="F81" s="1002"/>
      <c r="G81" s="1002"/>
      <c r="H81" s="1002"/>
      <c r="I81" s="1002"/>
      <c r="J81" s="1002"/>
      <c r="K81" s="1002"/>
      <c r="L81" s="1002"/>
      <c r="M81" s="1002"/>
      <c r="N81" s="1002"/>
      <c r="O81" s="1002"/>
      <c r="P81" s="1002"/>
      <c r="Q81" s="1002"/>
      <c r="R81" s="1002"/>
      <c r="S81" s="1002"/>
      <c r="T81" s="1002"/>
      <c r="U81" s="1002"/>
      <c r="V81" s="1002"/>
      <c r="W81" s="1002"/>
      <c r="X81" s="1002"/>
      <c r="Y81" s="1002"/>
      <c r="Z81" s="1002"/>
      <c r="AA81" s="1002"/>
      <c r="AB81" s="1002"/>
      <c r="AC81" s="1002"/>
      <c r="AD81" s="1002"/>
      <c r="AE81" s="1002"/>
      <c r="AF81" s="1002"/>
      <c r="AG81" s="1002"/>
      <c r="AH81" s="1002"/>
      <c r="AI81" s="1002"/>
      <c r="AJ81" s="1002"/>
      <c r="AK81" s="1002"/>
      <c r="AL81" s="1002"/>
      <c r="AM81" s="1002"/>
      <c r="AN81" s="1002"/>
      <c r="AP81" s="1009"/>
      <c r="AQ81" s="1002"/>
      <c r="AR81" s="1002"/>
      <c r="AS81" s="1002"/>
      <c r="AT81" s="1002"/>
      <c r="AU81" s="1002"/>
      <c r="AX81" s="1009"/>
      <c r="AY81" s="1010"/>
      <c r="AZ81" s="1010"/>
      <c r="BA81" s="1010"/>
      <c r="BB81" s="1010"/>
      <c r="BC81" s="1010"/>
      <c r="BD81" s="1010"/>
      <c r="BE81" s="1010"/>
      <c r="BF81" s="1010"/>
      <c r="BG81" s="1010"/>
      <c r="BH81" s="1010"/>
      <c r="BI81" s="1010"/>
      <c r="BJ81" s="1010"/>
      <c r="BK81" s="1010"/>
      <c r="BL81" s="1010"/>
      <c r="BM81" s="1010"/>
      <c r="BN81" s="1010"/>
      <c r="BO81" s="1010"/>
      <c r="BP81" s="1010"/>
      <c r="BQ81" s="1010"/>
      <c r="BR81" s="1010"/>
      <c r="BS81" s="1010"/>
      <c r="BT81" s="1010"/>
      <c r="BU81" s="1010"/>
      <c r="BV81" s="1010"/>
      <c r="BW81" s="1010"/>
      <c r="BX81" s="1010"/>
      <c r="BY81" s="1010"/>
      <c r="BZ81" s="1010"/>
      <c r="CA81" s="1010"/>
      <c r="CB81" s="1010"/>
      <c r="CC81" s="1010"/>
      <c r="CD81" s="1010"/>
      <c r="CE81" s="1010"/>
      <c r="CF81" s="1010"/>
      <c r="CG81" s="1010"/>
      <c r="CH81" s="1010"/>
      <c r="CK81" s="1009"/>
      <c r="CL81" s="1010"/>
      <c r="CM81" s="1010"/>
      <c r="CN81" s="1010"/>
      <c r="CO81" s="1010"/>
      <c r="CP81" s="1010"/>
    </row>
    <row r="82" spans="4:94" ht="15">
      <c r="D82" s="1029"/>
      <c r="E82" s="1010"/>
      <c r="F82" s="1010"/>
      <c r="G82" s="1010"/>
      <c r="H82" s="1010"/>
      <c r="I82" s="1010"/>
      <c r="J82" s="1010"/>
      <c r="K82" s="1010"/>
      <c r="L82" s="1010"/>
      <c r="M82" s="1010"/>
      <c r="N82" s="1010"/>
      <c r="O82" s="1010"/>
      <c r="P82" s="1010"/>
      <c r="Q82" s="1010"/>
      <c r="R82" s="1010"/>
      <c r="S82" s="1010"/>
      <c r="T82" s="1010"/>
      <c r="U82" s="1010"/>
      <c r="V82" s="1010"/>
      <c r="W82" s="1010"/>
      <c r="X82" s="1010"/>
      <c r="Y82" s="1010"/>
      <c r="Z82" s="1010"/>
      <c r="AA82" s="1010"/>
      <c r="AB82" s="1010"/>
      <c r="AC82" s="1010"/>
      <c r="AD82" s="1010"/>
      <c r="AE82" s="1010"/>
      <c r="AF82" s="1010"/>
      <c r="AG82" s="1010"/>
      <c r="AH82" s="1010"/>
      <c r="AI82" s="1010"/>
      <c r="AJ82" s="1010"/>
      <c r="AK82" s="1010"/>
      <c r="AL82" s="1010"/>
      <c r="AM82" s="1010"/>
      <c r="AN82" s="1010"/>
      <c r="AP82" s="1029"/>
      <c r="AQ82" s="1010"/>
      <c r="AR82" s="1010"/>
      <c r="AS82" s="1010"/>
      <c r="AT82" s="1010"/>
      <c r="AU82" s="1010"/>
      <c r="AW82" s="984"/>
      <c r="AX82" s="1025"/>
      <c r="AY82" s="1026"/>
      <c r="AZ82" s="1026"/>
      <c r="BA82" s="1026"/>
      <c r="BB82" s="1026"/>
      <c r="BC82" s="1026"/>
      <c r="BD82" s="1026"/>
      <c r="BE82" s="1026"/>
      <c r="BF82" s="1026"/>
      <c r="BG82" s="1026"/>
      <c r="BH82" s="1026"/>
      <c r="BI82" s="1026"/>
      <c r="BJ82" s="1026"/>
      <c r="BK82" s="1026"/>
      <c r="BL82" s="1026"/>
      <c r="BM82" s="1026"/>
      <c r="BN82" s="1026"/>
      <c r="BO82" s="1026"/>
      <c r="BP82" s="1026"/>
      <c r="BQ82" s="1026"/>
      <c r="BR82" s="1026"/>
      <c r="BS82" s="1026"/>
      <c r="BT82" s="1026"/>
      <c r="BU82" s="1026"/>
      <c r="BV82" s="1026"/>
      <c r="BW82" s="1026"/>
      <c r="BX82" s="1026"/>
      <c r="BY82" s="1026"/>
      <c r="BZ82" s="1026"/>
      <c r="CA82" s="1026"/>
      <c r="CB82" s="1026"/>
      <c r="CC82" s="1026"/>
      <c r="CD82" s="1026"/>
      <c r="CE82" s="1026"/>
      <c r="CF82" s="1026"/>
      <c r="CG82" s="1026"/>
      <c r="CH82" s="1026"/>
      <c r="CK82" s="1025"/>
      <c r="CL82" s="1026"/>
      <c r="CM82" s="1026"/>
      <c r="CN82" s="1026"/>
      <c r="CO82" s="1026"/>
      <c r="CP82" s="1026"/>
    </row>
    <row r="83" spans="4:94" ht="15">
      <c r="D83" s="1029"/>
      <c r="E83" s="1010"/>
      <c r="F83" s="1010"/>
      <c r="G83" s="1010"/>
      <c r="H83" s="1010"/>
      <c r="I83" s="1010"/>
      <c r="J83" s="1010"/>
      <c r="K83" s="1010"/>
      <c r="L83" s="1010"/>
      <c r="M83" s="1010"/>
      <c r="N83" s="1010"/>
      <c r="O83" s="1010"/>
      <c r="P83" s="1010"/>
      <c r="Q83" s="1010"/>
      <c r="R83" s="1010"/>
      <c r="S83" s="1010"/>
      <c r="T83" s="1010"/>
      <c r="U83" s="1010"/>
      <c r="V83" s="1010"/>
      <c r="W83" s="1010"/>
      <c r="X83" s="1010"/>
      <c r="Y83" s="1010"/>
      <c r="Z83" s="1010"/>
      <c r="AA83" s="1010"/>
      <c r="AB83" s="1010"/>
      <c r="AC83" s="1010"/>
      <c r="AD83" s="1010"/>
      <c r="AE83" s="1010"/>
      <c r="AF83" s="1010"/>
      <c r="AG83" s="1010"/>
      <c r="AH83" s="1010"/>
      <c r="AI83" s="1010"/>
      <c r="AJ83" s="1010"/>
      <c r="AK83" s="1010"/>
      <c r="AL83" s="1010"/>
      <c r="AM83" s="1010"/>
      <c r="AN83" s="1010"/>
      <c r="AP83" s="1029"/>
      <c r="AQ83" s="1010"/>
      <c r="AR83" s="1010"/>
      <c r="AS83" s="1010"/>
      <c r="AT83" s="1010"/>
      <c r="AU83" s="1010"/>
      <c r="AX83" s="1038"/>
      <c r="AY83" s="1030"/>
      <c r="AZ83" s="1030"/>
      <c r="BA83" s="1030"/>
      <c r="BB83" s="1030"/>
      <c r="BC83" s="1030"/>
      <c r="BD83" s="1030"/>
      <c r="BE83" s="1030"/>
      <c r="BF83" s="1030"/>
      <c r="BG83" s="1030"/>
      <c r="BH83" s="1030"/>
      <c r="BI83" s="1030"/>
      <c r="BJ83" s="1030"/>
      <c r="BK83" s="1030"/>
      <c r="BL83" s="1030"/>
      <c r="BM83" s="1030"/>
      <c r="BN83" s="1030"/>
      <c r="BO83" s="1030"/>
      <c r="BP83" s="1030"/>
      <c r="BQ83" s="1030"/>
      <c r="BR83" s="1030"/>
      <c r="BS83" s="1030"/>
      <c r="BT83" s="1030"/>
      <c r="BU83" s="1030"/>
      <c r="BV83" s="1030"/>
      <c r="BW83" s="1030"/>
      <c r="BX83" s="1030"/>
      <c r="BY83" s="1030"/>
      <c r="BZ83" s="1030"/>
      <c r="CA83" s="1030"/>
      <c r="CB83" s="1030"/>
      <c r="CC83" s="1030"/>
      <c r="CD83" s="1030"/>
      <c r="CE83" s="1030"/>
      <c r="CF83" s="1030"/>
      <c r="CG83" s="1030"/>
      <c r="CH83" s="1030"/>
      <c r="CK83" s="1038"/>
      <c r="CL83" s="1030"/>
      <c r="CM83" s="1030"/>
      <c r="CN83" s="1030"/>
      <c r="CO83" s="1030"/>
      <c r="CP83" s="1030"/>
    </row>
    <row r="84" spans="4:94" ht="15">
      <c r="D84" s="1011"/>
      <c r="E84" s="1010"/>
      <c r="F84" s="1010"/>
      <c r="G84" s="1010"/>
      <c r="H84" s="1010"/>
      <c r="I84" s="1010"/>
      <c r="J84" s="1010"/>
      <c r="K84" s="1010"/>
      <c r="L84" s="1010"/>
      <c r="M84" s="1010"/>
      <c r="N84" s="1010"/>
      <c r="O84" s="1010"/>
      <c r="P84" s="1010"/>
      <c r="Q84" s="1010"/>
      <c r="R84" s="1010"/>
      <c r="S84" s="1010"/>
      <c r="T84" s="1010"/>
      <c r="U84" s="1010"/>
      <c r="V84" s="1010"/>
      <c r="W84" s="1010"/>
      <c r="X84" s="1010"/>
      <c r="Y84" s="1010"/>
      <c r="Z84" s="1010"/>
      <c r="AA84" s="1010"/>
      <c r="AB84" s="1010"/>
      <c r="AC84" s="1010"/>
      <c r="AD84" s="1010"/>
      <c r="AE84" s="1010"/>
      <c r="AF84" s="1010"/>
      <c r="AG84" s="1010"/>
      <c r="AH84" s="1010"/>
      <c r="AI84" s="1010"/>
      <c r="AJ84" s="1010"/>
      <c r="AK84" s="1010"/>
      <c r="AL84" s="1010"/>
      <c r="AM84" s="1010"/>
      <c r="AN84" s="1010"/>
      <c r="AP84" s="1011"/>
      <c r="AQ84" s="1010"/>
      <c r="AR84" s="1010"/>
      <c r="AS84" s="1010"/>
      <c r="AT84" s="1010"/>
      <c r="AU84" s="1010"/>
      <c r="AW84" s="1049"/>
      <c r="AX84" s="1009"/>
      <c r="AY84" s="1010"/>
      <c r="AZ84" s="1010"/>
      <c r="BA84" s="1010"/>
      <c r="BB84" s="1010"/>
      <c r="BC84" s="1010"/>
      <c r="BD84" s="1010"/>
      <c r="BE84" s="1010"/>
      <c r="BF84" s="1010"/>
      <c r="BG84" s="1010"/>
      <c r="BH84" s="1010"/>
      <c r="BI84" s="1010"/>
      <c r="BJ84" s="1010"/>
      <c r="BK84" s="1010"/>
      <c r="BL84" s="1010"/>
      <c r="BM84" s="1010"/>
      <c r="BN84" s="1010"/>
      <c r="BO84" s="1010"/>
      <c r="BP84" s="1010"/>
      <c r="BQ84" s="1010"/>
      <c r="BR84" s="1010"/>
      <c r="BS84" s="1010"/>
      <c r="BT84" s="1010"/>
      <c r="BU84" s="1010"/>
      <c r="BV84" s="1010"/>
      <c r="BW84" s="1010"/>
      <c r="BX84" s="1010"/>
      <c r="BY84" s="1010"/>
      <c r="BZ84" s="1010"/>
      <c r="CA84" s="1010"/>
      <c r="CB84" s="1010"/>
      <c r="CC84" s="1010"/>
      <c r="CD84" s="1010"/>
      <c r="CE84" s="1010"/>
      <c r="CF84" s="1010"/>
      <c r="CG84" s="1010"/>
      <c r="CH84" s="1010"/>
      <c r="CK84" s="1009"/>
      <c r="CL84" s="1010"/>
      <c r="CM84" s="1010"/>
      <c r="CN84" s="1010"/>
      <c r="CO84" s="1010"/>
      <c r="CP84" s="1010"/>
    </row>
    <row r="85" spans="4:94" ht="15">
      <c r="D85" s="1031"/>
      <c r="E85" s="1022"/>
      <c r="F85" s="1022"/>
      <c r="G85" s="1022"/>
      <c r="H85" s="1022"/>
      <c r="I85" s="1022"/>
      <c r="J85" s="1022"/>
      <c r="K85" s="1022"/>
      <c r="L85" s="1022"/>
      <c r="M85" s="1022"/>
      <c r="N85" s="1022"/>
      <c r="O85" s="1022"/>
      <c r="P85" s="1022"/>
      <c r="Q85" s="1022"/>
      <c r="R85" s="1022"/>
      <c r="S85" s="1022"/>
      <c r="T85" s="1022"/>
      <c r="U85" s="1022"/>
      <c r="V85" s="1022"/>
      <c r="W85" s="1022"/>
      <c r="X85" s="1022"/>
      <c r="Y85" s="1022"/>
      <c r="Z85" s="1022"/>
      <c r="AA85" s="1022"/>
      <c r="AB85" s="1022"/>
      <c r="AC85" s="1022"/>
      <c r="AD85" s="1022"/>
      <c r="AE85" s="1022"/>
      <c r="AF85" s="1022"/>
      <c r="AG85" s="1022"/>
      <c r="AH85" s="1022"/>
      <c r="AI85" s="1022"/>
      <c r="AJ85" s="1022"/>
      <c r="AK85" s="1022"/>
      <c r="AL85" s="1022"/>
      <c r="AM85" s="1022"/>
      <c r="AN85" s="1022"/>
      <c r="AP85" s="1031"/>
      <c r="AQ85" s="1022"/>
      <c r="AR85" s="1022"/>
      <c r="AS85" s="1022"/>
      <c r="AT85" s="1022"/>
      <c r="AU85" s="1022"/>
      <c r="AX85" s="1009"/>
      <c r="AY85" s="1010"/>
      <c r="AZ85" s="1010"/>
      <c r="BA85" s="1010"/>
      <c r="BB85" s="1010"/>
      <c r="BC85" s="1010"/>
      <c r="BD85" s="1010"/>
      <c r="BE85" s="1010"/>
      <c r="BF85" s="1010"/>
      <c r="BG85" s="1010"/>
      <c r="BH85" s="1010"/>
      <c r="BI85" s="1010"/>
      <c r="BJ85" s="1010"/>
      <c r="BK85" s="1010"/>
      <c r="BL85" s="1010"/>
      <c r="BM85" s="1010"/>
      <c r="BN85" s="1010"/>
      <c r="BO85" s="1010"/>
      <c r="BP85" s="1010"/>
      <c r="BQ85" s="1010"/>
      <c r="BR85" s="1010"/>
      <c r="BS85" s="1010"/>
      <c r="BT85" s="1010"/>
      <c r="BU85" s="1010"/>
      <c r="BV85" s="1010"/>
      <c r="BW85" s="1010"/>
      <c r="BX85" s="1010"/>
      <c r="BY85" s="1010"/>
      <c r="BZ85" s="1010"/>
      <c r="CA85" s="1010"/>
      <c r="CB85" s="1010"/>
      <c r="CC85" s="1010"/>
      <c r="CD85" s="1010"/>
      <c r="CE85" s="1010"/>
      <c r="CF85" s="1010"/>
      <c r="CG85" s="1010"/>
      <c r="CH85" s="1010"/>
      <c r="CK85" s="1009"/>
      <c r="CL85" s="1010"/>
      <c r="CM85" s="1010"/>
      <c r="CN85" s="1010"/>
      <c r="CO85" s="1010"/>
      <c r="CP85" s="1010"/>
    </row>
    <row r="86" spans="4:94" ht="15">
      <c r="D86" s="1023"/>
      <c r="E86" s="1010"/>
      <c r="F86" s="1010"/>
      <c r="G86" s="1010"/>
      <c r="H86" s="1010"/>
      <c r="I86" s="1010"/>
      <c r="J86" s="1010"/>
      <c r="K86" s="1010"/>
      <c r="L86" s="1010"/>
      <c r="M86" s="1010"/>
      <c r="N86" s="1010"/>
      <c r="O86" s="1010"/>
      <c r="P86" s="1010"/>
      <c r="Q86" s="1010"/>
      <c r="R86" s="1010"/>
      <c r="S86" s="1010"/>
      <c r="T86" s="1010"/>
      <c r="U86" s="1010"/>
      <c r="V86" s="1010"/>
      <c r="W86" s="1010"/>
      <c r="X86" s="1010"/>
      <c r="Y86" s="1010"/>
      <c r="Z86" s="1010"/>
      <c r="AA86" s="1010"/>
      <c r="AB86" s="1010"/>
      <c r="AC86" s="1010"/>
      <c r="AD86" s="1010"/>
      <c r="AE86" s="1010"/>
      <c r="AF86" s="1010"/>
      <c r="AG86" s="1010"/>
      <c r="AH86" s="1010"/>
      <c r="AI86" s="1010"/>
      <c r="AJ86" s="1010"/>
      <c r="AK86" s="1010"/>
      <c r="AL86" s="1010"/>
      <c r="AM86" s="1010"/>
      <c r="AN86" s="1010"/>
      <c r="AP86" s="1023"/>
      <c r="AQ86" s="1010"/>
      <c r="AR86" s="1010"/>
      <c r="AS86" s="1010"/>
      <c r="AT86" s="1010"/>
      <c r="AU86" s="1010"/>
      <c r="AW86" s="1049"/>
      <c r="AX86" s="1009"/>
      <c r="AY86" s="1010"/>
      <c r="AZ86" s="1010"/>
      <c r="BA86" s="1010"/>
      <c r="BB86" s="1010"/>
      <c r="BC86" s="1010"/>
      <c r="BD86" s="1010"/>
      <c r="BE86" s="1010"/>
      <c r="BF86" s="1010"/>
      <c r="BG86" s="1010"/>
      <c r="BH86" s="1010"/>
      <c r="BI86" s="1010"/>
      <c r="BJ86" s="1010"/>
      <c r="BK86" s="1010"/>
      <c r="BL86" s="1010"/>
      <c r="BM86" s="1010"/>
      <c r="BN86" s="1010"/>
      <c r="BO86" s="1010"/>
      <c r="BP86" s="1010"/>
      <c r="BQ86" s="1010"/>
      <c r="BR86" s="1010"/>
      <c r="BS86" s="1010"/>
      <c r="BT86" s="1010"/>
      <c r="BU86" s="1010"/>
      <c r="BV86" s="1010"/>
      <c r="BW86" s="1010"/>
      <c r="BX86" s="1010"/>
      <c r="BY86" s="1010"/>
      <c r="BZ86" s="1010"/>
      <c r="CA86" s="1010"/>
      <c r="CB86" s="1010"/>
      <c r="CC86" s="1010"/>
      <c r="CD86" s="1010"/>
      <c r="CE86" s="1010"/>
      <c r="CF86" s="1010"/>
      <c r="CG86" s="1010"/>
      <c r="CH86" s="1010"/>
      <c r="CK86" s="1009"/>
      <c r="CL86" s="1010"/>
      <c r="CM86" s="1010"/>
      <c r="CN86" s="1010"/>
      <c r="CO86" s="1010"/>
      <c r="CP86" s="1010"/>
    </row>
    <row r="87" spans="4:94" ht="15">
      <c r="D87" s="1023"/>
      <c r="E87" s="1010"/>
      <c r="F87" s="1010"/>
      <c r="G87" s="1010"/>
      <c r="H87" s="1010"/>
      <c r="I87" s="1010"/>
      <c r="J87" s="1010"/>
      <c r="K87" s="1010"/>
      <c r="L87" s="1010"/>
      <c r="M87" s="1010"/>
      <c r="N87" s="1010"/>
      <c r="O87" s="1010"/>
      <c r="P87" s="1010"/>
      <c r="Q87" s="1010"/>
      <c r="R87" s="1010"/>
      <c r="S87" s="1010"/>
      <c r="T87" s="1010"/>
      <c r="U87" s="1010"/>
      <c r="V87" s="1010"/>
      <c r="W87" s="1010"/>
      <c r="X87" s="1010"/>
      <c r="Y87" s="1010"/>
      <c r="Z87" s="1010"/>
      <c r="AA87" s="1010"/>
      <c r="AB87" s="1010"/>
      <c r="AC87" s="1010"/>
      <c r="AD87" s="1010"/>
      <c r="AE87" s="1010"/>
      <c r="AF87" s="1010"/>
      <c r="AG87" s="1010"/>
      <c r="AH87" s="1010"/>
      <c r="AI87" s="1010"/>
      <c r="AJ87" s="1010"/>
      <c r="AK87" s="1010"/>
      <c r="AL87" s="1010"/>
      <c r="AM87" s="1010"/>
      <c r="AN87" s="1010"/>
      <c r="AP87" s="1023"/>
      <c r="AQ87" s="1010"/>
      <c r="AR87" s="1010"/>
      <c r="AS87" s="1010"/>
      <c r="AT87" s="1010"/>
      <c r="AU87" s="1010"/>
      <c r="AW87" s="984"/>
      <c r="AX87" s="1003"/>
      <c r="AY87" s="1006"/>
      <c r="AZ87" s="1006"/>
      <c r="BA87" s="1006"/>
      <c r="BB87" s="1006"/>
      <c r="BC87" s="1006"/>
      <c r="BD87" s="1006"/>
      <c r="BE87" s="1006"/>
      <c r="BF87" s="1006"/>
      <c r="BG87" s="1006"/>
      <c r="BH87" s="1006"/>
      <c r="BI87" s="1006"/>
      <c r="BJ87" s="1006"/>
      <c r="BK87" s="1006"/>
      <c r="BL87" s="1006"/>
      <c r="BM87" s="1006"/>
      <c r="BN87" s="1006"/>
      <c r="BO87" s="1006"/>
      <c r="BP87" s="1006"/>
      <c r="BQ87" s="1006"/>
      <c r="BR87" s="1006"/>
      <c r="BS87" s="1006"/>
      <c r="BT87" s="1006"/>
      <c r="BU87" s="1006"/>
      <c r="BV87" s="1006"/>
      <c r="BW87" s="1006"/>
      <c r="BX87" s="1006"/>
      <c r="BY87" s="1006"/>
      <c r="BZ87" s="1006"/>
      <c r="CA87" s="1006"/>
      <c r="CB87" s="1006"/>
      <c r="CC87" s="1006"/>
      <c r="CD87" s="1006"/>
      <c r="CE87" s="1006"/>
      <c r="CF87" s="1006"/>
      <c r="CG87" s="1006"/>
      <c r="CH87" s="1006"/>
      <c r="CK87" s="1003"/>
      <c r="CL87" s="1006"/>
      <c r="CM87" s="1006"/>
      <c r="CN87" s="1006"/>
      <c r="CO87" s="1006"/>
      <c r="CP87" s="1006"/>
    </row>
    <row r="88" spans="4:94" ht="15">
      <c r="D88" s="1011"/>
      <c r="E88" s="1010"/>
      <c r="F88" s="1010"/>
      <c r="G88" s="1010"/>
      <c r="H88" s="1010"/>
      <c r="I88" s="1010"/>
      <c r="J88" s="1010"/>
      <c r="K88" s="1010"/>
      <c r="L88" s="1010"/>
      <c r="M88" s="1010"/>
      <c r="N88" s="1010"/>
      <c r="O88" s="1010"/>
      <c r="P88" s="1010"/>
      <c r="Q88" s="1010"/>
      <c r="R88" s="1010"/>
      <c r="S88" s="1010"/>
      <c r="T88" s="1010"/>
      <c r="U88" s="1010"/>
      <c r="V88" s="1010"/>
      <c r="W88" s="1010"/>
      <c r="X88" s="1010"/>
      <c r="Y88" s="1010"/>
      <c r="Z88" s="1010"/>
      <c r="AA88" s="1010"/>
      <c r="AB88" s="1010"/>
      <c r="AC88" s="1010"/>
      <c r="AD88" s="1010"/>
      <c r="AE88" s="1010"/>
      <c r="AF88" s="1010"/>
      <c r="AG88" s="1010"/>
      <c r="AH88" s="1010"/>
      <c r="AI88" s="1010"/>
      <c r="AJ88" s="1010"/>
      <c r="AK88" s="1010"/>
      <c r="AL88" s="1010"/>
      <c r="AM88" s="1010"/>
      <c r="AN88" s="1010"/>
      <c r="AP88" s="1011"/>
      <c r="AQ88" s="1010"/>
      <c r="AR88" s="1010"/>
      <c r="AS88" s="1010"/>
      <c r="AT88" s="1010"/>
      <c r="AU88" s="1010"/>
      <c r="AX88" s="1050"/>
      <c r="AY88" s="1051"/>
      <c r="AZ88" s="1051"/>
      <c r="BA88" s="1051"/>
      <c r="BB88" s="1051"/>
      <c r="BC88" s="1051"/>
      <c r="BD88" s="1051"/>
      <c r="BE88" s="1051"/>
      <c r="BF88" s="1051"/>
      <c r="BG88" s="1051"/>
      <c r="BH88" s="1051"/>
      <c r="BI88" s="1051"/>
      <c r="BJ88" s="1051"/>
      <c r="BK88" s="1051"/>
      <c r="BL88" s="1051"/>
      <c r="BM88" s="1051"/>
      <c r="BN88" s="1051"/>
      <c r="BO88" s="1051"/>
      <c r="BP88" s="1051"/>
      <c r="BQ88" s="1051"/>
      <c r="BR88" s="1051"/>
      <c r="BS88" s="1051"/>
      <c r="BT88" s="1051"/>
      <c r="BU88" s="1051"/>
      <c r="BV88" s="1051"/>
      <c r="BW88" s="1051"/>
      <c r="BX88" s="1051"/>
      <c r="BY88" s="1051"/>
      <c r="BZ88" s="1051"/>
      <c r="CA88" s="1051"/>
      <c r="CB88" s="1051"/>
      <c r="CC88" s="1051"/>
      <c r="CD88" s="1051"/>
      <c r="CE88" s="1051"/>
      <c r="CF88" s="1051"/>
      <c r="CG88" s="1051"/>
      <c r="CH88" s="1051"/>
      <c r="CK88" s="1050"/>
      <c r="CL88" s="1051"/>
      <c r="CM88" s="1051"/>
      <c r="CN88" s="1051"/>
      <c r="CO88" s="1051"/>
      <c r="CP88" s="1051"/>
    </row>
    <row r="89" spans="4:94" ht="15">
      <c r="D89" s="1009"/>
      <c r="E89" s="1010"/>
      <c r="F89" s="1010"/>
      <c r="G89" s="1010"/>
      <c r="H89" s="1010"/>
      <c r="I89" s="1010"/>
      <c r="J89" s="1010"/>
      <c r="K89" s="1010"/>
      <c r="L89" s="1010"/>
      <c r="M89" s="1010"/>
      <c r="N89" s="1010"/>
      <c r="O89" s="1010"/>
      <c r="P89" s="1010"/>
      <c r="Q89" s="1010"/>
      <c r="R89" s="1010"/>
      <c r="S89" s="1010"/>
      <c r="T89" s="1010"/>
      <c r="U89" s="1010"/>
      <c r="V89" s="1010"/>
      <c r="W89" s="1010"/>
      <c r="X89" s="1010"/>
      <c r="Y89" s="1010"/>
      <c r="Z89" s="1010"/>
      <c r="AA89" s="1010"/>
      <c r="AB89" s="1010"/>
      <c r="AC89" s="1010"/>
      <c r="AD89" s="1010"/>
      <c r="AE89" s="1010"/>
      <c r="AF89" s="1010"/>
      <c r="AG89" s="1010"/>
      <c r="AH89" s="1010"/>
      <c r="AI89" s="1010"/>
      <c r="AJ89" s="1010"/>
      <c r="AK89" s="1010"/>
      <c r="AL89" s="1010"/>
      <c r="AM89" s="1010"/>
      <c r="AN89" s="1010"/>
      <c r="AP89" s="1009"/>
      <c r="AQ89" s="1010"/>
      <c r="AR89" s="1010"/>
      <c r="AS89" s="1010"/>
      <c r="AT89" s="1010"/>
      <c r="AU89" s="1010"/>
      <c r="AX89" s="1052"/>
      <c r="AY89" s="1053"/>
      <c r="AZ89" s="1053"/>
      <c r="BA89" s="1053"/>
      <c r="BB89" s="1053"/>
      <c r="BC89" s="1053"/>
      <c r="BD89" s="1053"/>
      <c r="BE89" s="1053"/>
      <c r="BF89" s="1053"/>
      <c r="BG89" s="1053"/>
      <c r="BH89" s="1053"/>
      <c r="BI89" s="1053"/>
      <c r="BJ89" s="1053"/>
      <c r="BK89" s="1053"/>
      <c r="BL89" s="1053"/>
      <c r="BM89" s="1053"/>
      <c r="BN89" s="1053"/>
      <c r="BO89" s="1053"/>
      <c r="BP89" s="1053"/>
      <c r="BQ89" s="1053"/>
      <c r="BR89" s="1053"/>
      <c r="BS89" s="1053"/>
      <c r="BT89" s="1053"/>
      <c r="BU89" s="1053"/>
      <c r="BV89" s="1053"/>
      <c r="BW89" s="1053"/>
      <c r="BX89" s="1053"/>
      <c r="BY89" s="1053"/>
      <c r="BZ89" s="1053"/>
      <c r="CA89" s="1053"/>
      <c r="CB89" s="1053"/>
      <c r="CC89" s="1053"/>
      <c r="CD89" s="1053"/>
      <c r="CE89" s="1053"/>
      <c r="CF89" s="1053"/>
      <c r="CG89" s="1053"/>
      <c r="CH89" s="1053"/>
      <c r="CK89" s="1052"/>
      <c r="CL89" s="1053"/>
      <c r="CM89" s="1053"/>
      <c r="CN89" s="1053"/>
      <c r="CO89" s="1053"/>
      <c r="CP89" s="1053"/>
    </row>
    <row r="90" spans="4:94" ht="15">
      <c r="D90" s="1001"/>
      <c r="E90" s="1033"/>
      <c r="F90" s="1033"/>
      <c r="G90" s="1033"/>
      <c r="H90" s="1033"/>
      <c r="I90" s="1033"/>
      <c r="J90" s="1033"/>
      <c r="K90" s="1033"/>
      <c r="L90" s="1033"/>
      <c r="M90" s="1033"/>
      <c r="N90" s="1033"/>
      <c r="O90" s="1033"/>
      <c r="P90" s="1033"/>
      <c r="Q90" s="1033"/>
      <c r="R90" s="1033"/>
      <c r="S90" s="1033"/>
      <c r="T90" s="1033"/>
      <c r="U90" s="1033"/>
      <c r="V90" s="1033"/>
      <c r="W90" s="1033"/>
      <c r="X90" s="1033"/>
      <c r="Y90" s="1033"/>
      <c r="Z90" s="1033"/>
      <c r="AA90" s="1033"/>
      <c r="AB90" s="1033"/>
      <c r="AC90" s="1033"/>
      <c r="AD90" s="1033"/>
      <c r="AE90" s="1033"/>
      <c r="AF90" s="1033"/>
      <c r="AG90" s="1033"/>
      <c r="AH90" s="1033"/>
      <c r="AI90" s="1033"/>
      <c r="AJ90" s="1033"/>
      <c r="AK90" s="1033"/>
      <c r="AL90" s="1033"/>
      <c r="AM90" s="1033"/>
      <c r="AN90" s="1033"/>
      <c r="AP90" s="1001"/>
      <c r="AQ90" s="1033"/>
      <c r="AR90" s="1033"/>
      <c r="AS90" s="1033"/>
      <c r="AT90" s="1033"/>
      <c r="AU90" s="1033"/>
      <c r="AX90" s="1011"/>
      <c r="AY90" s="1010"/>
      <c r="AZ90" s="1010"/>
      <c r="BA90" s="1010"/>
      <c r="BB90" s="1010"/>
      <c r="BC90" s="1010"/>
      <c r="BD90" s="1010"/>
      <c r="BE90" s="1010"/>
      <c r="BF90" s="1010"/>
      <c r="BG90" s="1010"/>
      <c r="BH90" s="1010"/>
      <c r="BI90" s="1010"/>
      <c r="BJ90" s="1010"/>
      <c r="BK90" s="1010"/>
      <c r="BL90" s="1010"/>
      <c r="BM90" s="1010"/>
      <c r="BN90" s="1010"/>
      <c r="BO90" s="1010"/>
      <c r="BP90" s="1010"/>
      <c r="BQ90" s="1010"/>
      <c r="BR90" s="1010"/>
      <c r="BS90" s="1010"/>
      <c r="BT90" s="1010"/>
      <c r="BU90" s="1010"/>
      <c r="BV90" s="1010"/>
      <c r="BW90" s="1010"/>
      <c r="BX90" s="1010"/>
      <c r="BY90" s="1010"/>
      <c r="BZ90" s="1010"/>
      <c r="CA90" s="1010"/>
      <c r="CB90" s="1010"/>
      <c r="CC90" s="1010"/>
      <c r="CD90" s="1010"/>
      <c r="CE90" s="1010"/>
      <c r="CF90" s="1010"/>
      <c r="CG90" s="1010"/>
      <c r="CH90" s="1010"/>
      <c r="CK90" s="1011"/>
      <c r="CL90" s="1010"/>
      <c r="CM90" s="1010"/>
      <c r="CN90" s="1010"/>
      <c r="CO90" s="1010"/>
      <c r="CP90" s="1010"/>
    </row>
    <row r="91" spans="4:94" ht="15">
      <c r="D91" s="1009"/>
      <c r="E91" s="1032"/>
      <c r="F91" s="1032"/>
      <c r="G91" s="1032"/>
      <c r="H91" s="1032"/>
      <c r="I91" s="1032"/>
      <c r="J91" s="1032"/>
      <c r="K91" s="1032"/>
      <c r="L91" s="1032"/>
      <c r="M91" s="1032"/>
      <c r="N91" s="1032"/>
      <c r="O91" s="1032"/>
      <c r="P91" s="1032"/>
      <c r="Q91" s="1032"/>
      <c r="R91" s="1032"/>
      <c r="S91" s="1032"/>
      <c r="T91" s="1032"/>
      <c r="U91" s="1032"/>
      <c r="V91" s="1032"/>
      <c r="W91" s="1032"/>
      <c r="X91" s="1032"/>
      <c r="Y91" s="1032"/>
      <c r="Z91" s="1032"/>
      <c r="AA91" s="1032"/>
      <c r="AB91" s="1032"/>
      <c r="AC91" s="1032"/>
      <c r="AD91" s="1032"/>
      <c r="AE91" s="1032"/>
      <c r="AF91" s="1032"/>
      <c r="AG91" s="1032"/>
      <c r="AH91" s="1032"/>
      <c r="AI91" s="1032"/>
      <c r="AJ91" s="1032"/>
      <c r="AK91" s="1032"/>
      <c r="AL91" s="1032"/>
      <c r="AM91" s="1032"/>
      <c r="AN91" s="1032"/>
      <c r="AP91" s="1009"/>
      <c r="AQ91" s="1032"/>
      <c r="AR91" s="1032"/>
      <c r="AS91" s="1032"/>
      <c r="AT91" s="1032"/>
      <c r="AU91" s="1032"/>
      <c r="AX91" s="1011"/>
      <c r="AY91" s="1010"/>
      <c r="AZ91" s="1010"/>
      <c r="BA91" s="1010"/>
      <c r="BB91" s="1010"/>
      <c r="BC91" s="1010"/>
      <c r="BD91" s="1010"/>
      <c r="BE91" s="1010"/>
      <c r="BF91" s="1010"/>
      <c r="BG91" s="1010"/>
      <c r="BH91" s="1010"/>
      <c r="BI91" s="1010"/>
      <c r="BJ91" s="1010"/>
      <c r="BK91" s="1010"/>
      <c r="BL91" s="1010"/>
      <c r="BM91" s="1010"/>
      <c r="BN91" s="1010"/>
      <c r="BO91" s="1010"/>
      <c r="BP91" s="1010"/>
      <c r="BQ91" s="1010"/>
      <c r="BR91" s="1010"/>
      <c r="BS91" s="1010"/>
      <c r="BT91" s="1010"/>
      <c r="BU91" s="1010"/>
      <c r="BV91" s="1010"/>
      <c r="BW91" s="1010"/>
      <c r="BX91" s="1010"/>
      <c r="BY91" s="1010"/>
      <c r="BZ91" s="1010"/>
      <c r="CA91" s="1010"/>
      <c r="CB91" s="1010"/>
      <c r="CC91" s="1010"/>
      <c r="CD91" s="1010"/>
      <c r="CE91" s="1010"/>
      <c r="CF91" s="1010"/>
      <c r="CG91" s="1010"/>
      <c r="CH91" s="1010"/>
      <c r="CK91" s="1011"/>
      <c r="CL91" s="1010"/>
      <c r="CM91" s="1010"/>
      <c r="CN91" s="1010"/>
      <c r="CO91" s="1010"/>
      <c r="CP91" s="1010"/>
    </row>
    <row r="92" spans="4:94" ht="15">
      <c r="D92" s="1039"/>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0"/>
      <c r="AB92" s="1040"/>
      <c r="AC92" s="1040"/>
      <c r="AD92" s="1040"/>
      <c r="AE92" s="1040"/>
      <c r="AF92" s="1040"/>
      <c r="AG92" s="1040"/>
      <c r="AH92" s="1040"/>
      <c r="AI92" s="1040"/>
      <c r="AJ92" s="1040"/>
      <c r="AK92" s="1040"/>
      <c r="AL92" s="1040"/>
      <c r="AM92" s="1040"/>
      <c r="AN92" s="1040"/>
      <c r="AP92" s="1039"/>
      <c r="AQ92" s="1040"/>
      <c r="AR92" s="1040"/>
      <c r="AS92" s="1040"/>
      <c r="AT92" s="1040"/>
      <c r="AU92" s="1040"/>
      <c r="AX92" s="1003"/>
      <c r="AY92" s="1006"/>
      <c r="AZ92" s="1006"/>
      <c r="BA92" s="1006"/>
      <c r="BB92" s="1006"/>
      <c r="BC92" s="1006"/>
      <c r="BD92" s="1006"/>
      <c r="BE92" s="1006"/>
      <c r="BF92" s="1006"/>
      <c r="BG92" s="1006"/>
      <c r="BH92" s="1006"/>
      <c r="BI92" s="1006"/>
      <c r="BJ92" s="1006"/>
      <c r="BK92" s="1006"/>
      <c r="BL92" s="1006"/>
      <c r="BM92" s="1006"/>
      <c r="BN92" s="1006"/>
      <c r="BO92" s="1006"/>
      <c r="BP92" s="1006"/>
      <c r="BQ92" s="1006"/>
      <c r="BR92" s="1006"/>
      <c r="BS92" s="1006"/>
      <c r="BT92" s="1006"/>
      <c r="BU92" s="1006"/>
      <c r="BV92" s="1006"/>
      <c r="BW92" s="1006"/>
      <c r="BX92" s="1006"/>
      <c r="BY92" s="1006"/>
      <c r="BZ92" s="1006"/>
      <c r="CA92" s="1006"/>
      <c r="CB92" s="1006"/>
      <c r="CC92" s="1006"/>
      <c r="CD92" s="1006"/>
      <c r="CE92" s="1006"/>
      <c r="CF92" s="1006"/>
      <c r="CG92" s="1006"/>
      <c r="CH92" s="1006"/>
      <c r="CK92" s="1003"/>
      <c r="CL92" s="1006"/>
      <c r="CM92" s="1006"/>
      <c r="CN92" s="1006"/>
      <c r="CO92" s="1006"/>
      <c r="CP92" s="1006"/>
    </row>
    <row r="93" spans="4:94" ht="15">
      <c r="D93" s="1009"/>
      <c r="E93" s="1022"/>
      <c r="F93" s="1022"/>
      <c r="G93" s="1022"/>
      <c r="H93" s="1022"/>
      <c r="I93" s="1022"/>
      <c r="J93" s="1022"/>
      <c r="K93" s="1022"/>
      <c r="L93" s="1022"/>
      <c r="M93" s="1022"/>
      <c r="N93" s="1022"/>
      <c r="O93" s="1022"/>
      <c r="P93" s="1022"/>
      <c r="Q93" s="1022"/>
      <c r="R93" s="1022"/>
      <c r="S93" s="1022"/>
      <c r="T93" s="1022"/>
      <c r="U93" s="1022"/>
      <c r="V93" s="1022"/>
      <c r="W93" s="1022"/>
      <c r="X93" s="1022"/>
      <c r="Y93" s="1022"/>
      <c r="Z93" s="1022"/>
      <c r="AA93" s="1022"/>
      <c r="AB93" s="1022"/>
      <c r="AC93" s="1022"/>
      <c r="AD93" s="1022"/>
      <c r="AE93" s="1022"/>
      <c r="AF93" s="1022"/>
      <c r="AG93" s="1022"/>
      <c r="AH93" s="1022"/>
      <c r="AI93" s="1022"/>
      <c r="AJ93" s="1022"/>
      <c r="AK93" s="1022"/>
      <c r="AL93" s="1022"/>
      <c r="AM93" s="1022"/>
      <c r="AN93" s="1022"/>
      <c r="AP93" s="1009"/>
      <c r="AQ93" s="1022"/>
      <c r="AR93" s="1022"/>
      <c r="AS93" s="1022"/>
      <c r="AT93" s="1022"/>
      <c r="AU93" s="1022"/>
    </row>
    <row r="94" spans="4:94" ht="15">
      <c r="D94" s="1023"/>
      <c r="E94" s="1010"/>
      <c r="F94" s="1010"/>
      <c r="G94" s="1010"/>
      <c r="H94" s="1010"/>
      <c r="I94" s="1010"/>
      <c r="J94" s="1010"/>
      <c r="K94" s="1010"/>
      <c r="L94" s="1010"/>
      <c r="M94" s="1010"/>
      <c r="N94" s="1010"/>
      <c r="O94" s="1010"/>
      <c r="P94" s="1010"/>
      <c r="Q94" s="1010"/>
      <c r="R94" s="1010"/>
      <c r="S94" s="1010"/>
      <c r="T94" s="1010"/>
      <c r="U94" s="1010"/>
      <c r="V94" s="1010"/>
      <c r="W94" s="1010"/>
      <c r="X94" s="1010"/>
      <c r="Y94" s="1010"/>
      <c r="Z94" s="1010"/>
      <c r="AA94" s="1010"/>
      <c r="AB94" s="1010"/>
      <c r="AC94" s="1010"/>
      <c r="AD94" s="1010"/>
      <c r="AE94" s="1010"/>
      <c r="AF94" s="1010"/>
      <c r="AG94" s="1010"/>
      <c r="AH94" s="1010"/>
      <c r="AI94" s="1010"/>
      <c r="AJ94" s="1010"/>
      <c r="AK94" s="1010"/>
      <c r="AL94" s="1010"/>
      <c r="AM94" s="1010"/>
      <c r="AN94" s="1010"/>
      <c r="AP94" s="1023"/>
      <c r="AQ94" s="1010"/>
      <c r="AR94" s="1010"/>
      <c r="AS94" s="1010"/>
      <c r="AT94" s="1010"/>
      <c r="AU94" s="1010"/>
    </row>
    <row r="95" spans="4:94" ht="15">
      <c r="D95" s="1023"/>
      <c r="E95" s="1002"/>
      <c r="F95" s="1002"/>
      <c r="G95" s="1002"/>
      <c r="H95" s="1002"/>
      <c r="I95" s="1002"/>
      <c r="J95" s="1002"/>
      <c r="K95" s="1002"/>
      <c r="L95" s="1002"/>
      <c r="M95" s="1002"/>
      <c r="N95" s="1002"/>
      <c r="O95" s="1002"/>
      <c r="P95" s="1002"/>
      <c r="Q95" s="1002"/>
      <c r="R95" s="1002"/>
      <c r="S95" s="1002"/>
      <c r="T95" s="1002"/>
      <c r="U95" s="1002"/>
      <c r="V95" s="1002"/>
      <c r="W95" s="1002"/>
      <c r="X95" s="1002"/>
      <c r="Y95" s="1002"/>
      <c r="Z95" s="1002"/>
      <c r="AA95" s="1002"/>
      <c r="AB95" s="1002"/>
      <c r="AC95" s="1002"/>
      <c r="AD95" s="1002"/>
      <c r="AE95" s="1002"/>
      <c r="AF95" s="1002"/>
      <c r="AG95" s="1002"/>
      <c r="AH95" s="1002"/>
      <c r="AI95" s="1002"/>
      <c r="AJ95" s="1002"/>
      <c r="AK95" s="1002"/>
      <c r="AL95" s="1002"/>
      <c r="AM95" s="1002"/>
      <c r="AN95" s="1002"/>
      <c r="AP95" s="1023"/>
      <c r="AQ95" s="1002"/>
      <c r="AR95" s="1002"/>
      <c r="AS95" s="1002"/>
      <c r="AT95" s="1002"/>
      <c r="AU95" s="1002"/>
    </row>
    <row r="96" spans="4:94" ht="15">
      <c r="D96" s="1054"/>
      <c r="E96" s="1010"/>
      <c r="F96" s="1010"/>
      <c r="G96" s="1010"/>
      <c r="H96" s="1010"/>
      <c r="I96" s="1010"/>
      <c r="J96" s="1010"/>
      <c r="K96" s="1010"/>
      <c r="L96" s="1010"/>
      <c r="M96" s="1010"/>
      <c r="N96" s="1010"/>
      <c r="O96" s="1010"/>
      <c r="P96" s="1010"/>
      <c r="Q96" s="1010"/>
      <c r="R96" s="1010"/>
      <c r="S96" s="1010"/>
      <c r="T96" s="1010"/>
      <c r="U96" s="1010"/>
      <c r="V96" s="1010"/>
      <c r="W96" s="1010"/>
      <c r="X96" s="1010"/>
      <c r="Y96" s="1010"/>
      <c r="Z96" s="1010"/>
      <c r="AA96" s="1010"/>
      <c r="AB96" s="1010"/>
      <c r="AC96" s="1010"/>
      <c r="AD96" s="1010"/>
      <c r="AE96" s="1010"/>
      <c r="AF96" s="1010"/>
      <c r="AG96" s="1010"/>
      <c r="AH96" s="1010"/>
      <c r="AI96" s="1010"/>
      <c r="AJ96" s="1010"/>
      <c r="AK96" s="1010"/>
      <c r="AL96" s="1010"/>
      <c r="AM96" s="1010"/>
      <c r="AN96" s="1010"/>
      <c r="AP96" s="1055"/>
      <c r="AQ96" s="1010"/>
      <c r="AR96" s="1010"/>
      <c r="AS96" s="1010"/>
      <c r="AT96" s="1010"/>
      <c r="AU96" s="1010"/>
    </row>
    <row r="97" spans="4:47" ht="15">
      <c r="D97" s="1056"/>
      <c r="E97" s="1010"/>
      <c r="F97" s="1010"/>
      <c r="G97" s="1010"/>
      <c r="H97" s="1010"/>
      <c r="I97" s="1010"/>
      <c r="J97" s="1010"/>
      <c r="K97" s="1010"/>
      <c r="L97" s="1010"/>
      <c r="M97" s="1010"/>
      <c r="N97" s="1010"/>
      <c r="O97" s="1010"/>
      <c r="P97" s="1010"/>
      <c r="Q97" s="1010"/>
      <c r="R97" s="1010"/>
      <c r="S97" s="1010"/>
      <c r="T97" s="1010"/>
      <c r="U97" s="1010"/>
      <c r="V97" s="1010"/>
      <c r="W97" s="1010"/>
      <c r="X97" s="1010"/>
      <c r="Y97" s="1010"/>
      <c r="Z97" s="1010"/>
      <c r="AA97" s="1010"/>
      <c r="AB97" s="1010"/>
      <c r="AC97" s="1010"/>
      <c r="AD97" s="1010"/>
      <c r="AE97" s="1010"/>
      <c r="AF97" s="1010"/>
      <c r="AG97" s="1010"/>
      <c r="AH97" s="1010"/>
      <c r="AI97" s="1010"/>
      <c r="AJ97" s="1010"/>
      <c r="AK97" s="1010"/>
      <c r="AL97" s="1010"/>
      <c r="AM97" s="1010"/>
      <c r="AN97" s="1010"/>
      <c r="AP97" s="1057"/>
      <c r="AQ97" s="1010"/>
      <c r="AR97" s="1010"/>
      <c r="AS97" s="1010"/>
      <c r="AT97" s="1010"/>
      <c r="AU97" s="1010"/>
    </row>
    <row r="98" spans="4:47" ht="15">
      <c r="D98" s="1056"/>
      <c r="E98" s="1010"/>
      <c r="F98" s="1010"/>
      <c r="G98" s="1010"/>
      <c r="H98" s="1010"/>
      <c r="I98" s="1010"/>
      <c r="J98" s="1010"/>
      <c r="K98" s="1010"/>
      <c r="L98" s="1010"/>
      <c r="M98" s="1010"/>
      <c r="N98" s="1010"/>
      <c r="O98" s="1010"/>
      <c r="P98" s="1010"/>
      <c r="Q98" s="1010"/>
      <c r="R98" s="1010"/>
      <c r="S98" s="1010"/>
      <c r="T98" s="1010"/>
      <c r="U98" s="1010"/>
      <c r="V98" s="1010"/>
      <c r="W98" s="1010"/>
      <c r="X98" s="1010"/>
      <c r="Y98" s="1010"/>
      <c r="Z98" s="1010"/>
      <c r="AA98" s="1010"/>
      <c r="AB98" s="1010"/>
      <c r="AC98" s="1010"/>
      <c r="AD98" s="1010"/>
      <c r="AE98" s="1010"/>
      <c r="AF98" s="1010"/>
      <c r="AG98" s="1010"/>
      <c r="AH98" s="1010"/>
      <c r="AI98" s="1010"/>
      <c r="AJ98" s="1010"/>
      <c r="AK98" s="1010"/>
      <c r="AL98" s="1010"/>
      <c r="AM98" s="1010"/>
      <c r="AN98" s="1010"/>
      <c r="AP98" s="1057"/>
      <c r="AQ98" s="1010"/>
      <c r="AR98" s="1010"/>
      <c r="AS98" s="1010"/>
      <c r="AT98" s="1010"/>
      <c r="AU98" s="1010"/>
    </row>
    <row r="99" spans="4:47" ht="15">
      <c r="D99" s="1009"/>
      <c r="E99" s="1022"/>
      <c r="F99" s="1022"/>
      <c r="G99" s="1022"/>
      <c r="H99" s="1022"/>
      <c r="I99" s="1022"/>
      <c r="J99" s="1022"/>
      <c r="K99" s="1022"/>
      <c r="L99" s="1022"/>
      <c r="M99" s="1022"/>
      <c r="N99" s="1022"/>
      <c r="O99" s="1022"/>
      <c r="P99" s="1022"/>
      <c r="Q99" s="1022"/>
      <c r="R99" s="1022"/>
      <c r="S99" s="1022"/>
      <c r="T99" s="1022"/>
      <c r="U99" s="1022"/>
      <c r="V99" s="1022"/>
      <c r="W99" s="1022"/>
      <c r="X99" s="1022"/>
      <c r="Y99" s="1022"/>
      <c r="Z99" s="1022"/>
      <c r="AA99" s="1022"/>
      <c r="AB99" s="1022"/>
      <c r="AC99" s="1022"/>
      <c r="AD99" s="1022"/>
      <c r="AE99" s="1022"/>
      <c r="AF99" s="1022"/>
      <c r="AG99" s="1022"/>
      <c r="AH99" s="1022"/>
      <c r="AI99" s="1022"/>
      <c r="AJ99" s="1022"/>
      <c r="AK99" s="1022"/>
      <c r="AL99" s="1022"/>
      <c r="AM99" s="1022"/>
      <c r="AN99" s="1022"/>
      <c r="AP99" s="1009"/>
      <c r="AQ99" s="1022"/>
      <c r="AR99" s="1022"/>
      <c r="AS99" s="1022"/>
      <c r="AT99" s="1022"/>
      <c r="AU99" s="1022"/>
    </row>
    <row r="100" spans="4:47" ht="15">
      <c r="D100" s="1023"/>
      <c r="E100" s="1010"/>
      <c r="F100" s="1010"/>
      <c r="G100" s="1010"/>
      <c r="H100" s="1010"/>
      <c r="I100" s="1010"/>
      <c r="J100" s="1010"/>
      <c r="K100" s="1010"/>
      <c r="L100" s="1010"/>
      <c r="M100" s="1010"/>
      <c r="N100" s="1010"/>
      <c r="O100" s="1010"/>
      <c r="P100" s="1010"/>
      <c r="Q100" s="1010"/>
      <c r="R100" s="1010"/>
      <c r="S100" s="1010"/>
      <c r="T100" s="1010"/>
      <c r="U100" s="1010"/>
      <c r="V100" s="1010"/>
      <c r="W100" s="1010"/>
      <c r="X100" s="1010"/>
      <c r="Y100" s="1010"/>
      <c r="Z100" s="1010"/>
      <c r="AA100" s="1010"/>
      <c r="AB100" s="1010"/>
      <c r="AC100" s="1010"/>
      <c r="AD100" s="1010"/>
      <c r="AE100" s="1010"/>
      <c r="AF100" s="1010"/>
      <c r="AG100" s="1010"/>
      <c r="AH100" s="1010"/>
      <c r="AI100" s="1010"/>
      <c r="AJ100" s="1010"/>
      <c r="AK100" s="1010"/>
      <c r="AL100" s="1010"/>
      <c r="AM100" s="1010"/>
      <c r="AN100" s="1010"/>
      <c r="AP100" s="1023"/>
      <c r="AQ100" s="1010"/>
      <c r="AR100" s="1010"/>
      <c r="AS100" s="1010"/>
      <c r="AT100" s="1010"/>
      <c r="AU100" s="1010"/>
    </row>
    <row r="101" spans="4:47" ht="15">
      <c r="D101" s="1023"/>
      <c r="E101" s="1010"/>
      <c r="F101" s="1010"/>
      <c r="G101" s="1010"/>
      <c r="H101" s="1010"/>
      <c r="I101" s="1010"/>
      <c r="J101" s="1010"/>
      <c r="K101" s="1010"/>
      <c r="L101" s="1010"/>
      <c r="M101" s="1010"/>
      <c r="N101" s="1010"/>
      <c r="O101" s="1010"/>
      <c r="P101" s="1010"/>
      <c r="Q101" s="1010"/>
      <c r="R101" s="1010"/>
      <c r="S101" s="1010"/>
      <c r="T101" s="1010"/>
      <c r="U101" s="1010"/>
      <c r="V101" s="1010"/>
      <c r="W101" s="1010"/>
      <c r="X101" s="1010"/>
      <c r="Y101" s="1010"/>
      <c r="Z101" s="1010"/>
      <c r="AA101" s="1010"/>
      <c r="AB101" s="1010"/>
      <c r="AC101" s="1010"/>
      <c r="AD101" s="1010"/>
      <c r="AE101" s="1010"/>
      <c r="AF101" s="1010"/>
      <c r="AG101" s="1010"/>
      <c r="AH101" s="1010"/>
      <c r="AI101" s="1010"/>
      <c r="AJ101" s="1010"/>
      <c r="AK101" s="1010"/>
      <c r="AL101" s="1010"/>
      <c r="AM101" s="1010"/>
      <c r="AN101" s="1010"/>
      <c r="AP101" s="1023"/>
      <c r="AQ101" s="1010"/>
      <c r="AR101" s="1010"/>
      <c r="AS101" s="1010"/>
      <c r="AT101" s="1010"/>
      <c r="AU101" s="1010"/>
    </row>
    <row r="102" spans="4:47" ht="15">
      <c r="D102" s="1058"/>
      <c r="E102" s="1010"/>
      <c r="F102" s="1010"/>
      <c r="G102" s="1010"/>
      <c r="H102" s="1010"/>
      <c r="I102" s="1010"/>
      <c r="J102" s="1010"/>
      <c r="K102" s="1010"/>
      <c r="L102" s="1010"/>
      <c r="M102" s="1010"/>
      <c r="N102" s="1010"/>
      <c r="O102" s="1010"/>
      <c r="P102" s="1010"/>
      <c r="Q102" s="1010"/>
      <c r="R102" s="1010"/>
      <c r="S102" s="1010"/>
      <c r="T102" s="1010"/>
      <c r="U102" s="1010"/>
      <c r="V102" s="1010"/>
      <c r="W102" s="1010"/>
      <c r="X102" s="1010"/>
      <c r="Y102" s="1010"/>
      <c r="Z102" s="1010"/>
      <c r="AA102" s="1010"/>
      <c r="AB102" s="1010"/>
      <c r="AC102" s="1010"/>
      <c r="AD102" s="1010"/>
      <c r="AE102" s="1010"/>
      <c r="AF102" s="1010"/>
      <c r="AG102" s="1010"/>
      <c r="AH102" s="1010"/>
      <c r="AI102" s="1010"/>
      <c r="AJ102" s="1010"/>
      <c r="AK102" s="1010"/>
      <c r="AL102" s="1010"/>
      <c r="AM102" s="1010"/>
      <c r="AN102" s="1010"/>
      <c r="AP102" s="1058"/>
      <c r="AQ102" s="1010"/>
      <c r="AR102" s="1010"/>
      <c r="AS102" s="1010"/>
      <c r="AT102" s="1010"/>
      <c r="AU102" s="1010"/>
    </row>
    <row r="103" spans="4:47" ht="15">
      <c r="D103" s="1001"/>
      <c r="E103" s="1033"/>
      <c r="F103" s="1033"/>
      <c r="G103" s="1033"/>
      <c r="H103" s="1033"/>
      <c r="I103" s="1033"/>
      <c r="J103" s="1033"/>
      <c r="K103" s="1033"/>
      <c r="L103" s="1033"/>
      <c r="M103" s="1033"/>
      <c r="N103" s="1033"/>
      <c r="O103" s="1033"/>
      <c r="P103" s="1033"/>
      <c r="Q103" s="1033"/>
      <c r="R103" s="1033"/>
      <c r="S103" s="1033"/>
      <c r="T103" s="1033"/>
      <c r="U103" s="1033"/>
      <c r="V103" s="1033"/>
      <c r="W103" s="1033"/>
      <c r="X103" s="1033"/>
      <c r="Y103" s="1033"/>
      <c r="Z103" s="1033"/>
      <c r="AA103" s="1033"/>
      <c r="AB103" s="1033"/>
      <c r="AC103" s="1033"/>
      <c r="AD103" s="1033"/>
      <c r="AE103" s="1033"/>
      <c r="AF103" s="1033"/>
      <c r="AG103" s="1033"/>
      <c r="AH103" s="1033"/>
      <c r="AI103" s="1033"/>
      <c r="AJ103" s="1033"/>
      <c r="AK103" s="1033"/>
      <c r="AL103" s="1033"/>
      <c r="AM103" s="1033"/>
      <c r="AN103" s="1033"/>
      <c r="AP103" s="1001"/>
      <c r="AQ103" s="1033"/>
      <c r="AR103" s="1033"/>
      <c r="AS103" s="1033"/>
      <c r="AT103" s="1033"/>
      <c r="AU103" s="1033"/>
    </row>
    <row r="104" spans="4:47" ht="15">
      <c r="D104" s="1001"/>
      <c r="E104" s="1059"/>
      <c r="F104" s="1059"/>
      <c r="G104" s="1059"/>
      <c r="H104" s="1059"/>
      <c r="I104" s="1059"/>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P104" s="1001"/>
      <c r="AQ104" s="1059"/>
      <c r="AR104" s="1059"/>
      <c r="AS104" s="1059"/>
      <c r="AT104" s="1059"/>
      <c r="AU104" s="1059"/>
    </row>
    <row r="105" spans="4:47" ht="15">
      <c r="D105" s="1025"/>
      <c r="E105" s="1026"/>
      <c r="F105" s="1026"/>
      <c r="G105" s="1026"/>
      <c r="H105" s="1026"/>
      <c r="I105" s="1026"/>
      <c r="J105" s="1026"/>
      <c r="K105" s="1026"/>
      <c r="L105" s="1026"/>
      <c r="M105" s="1026"/>
      <c r="N105" s="1026"/>
      <c r="O105" s="1026"/>
      <c r="P105" s="1026"/>
      <c r="Q105" s="1026"/>
      <c r="R105" s="1026"/>
      <c r="S105" s="1026"/>
      <c r="T105" s="1026"/>
      <c r="U105" s="1026"/>
      <c r="V105" s="1026"/>
      <c r="W105" s="1026"/>
      <c r="X105" s="1026"/>
      <c r="Y105" s="1026"/>
      <c r="Z105" s="1026"/>
      <c r="AA105" s="1026"/>
      <c r="AB105" s="1026"/>
      <c r="AC105" s="1026"/>
      <c r="AD105" s="1026"/>
      <c r="AE105" s="1026"/>
      <c r="AF105" s="1026"/>
      <c r="AG105" s="1026"/>
      <c r="AH105" s="1026"/>
      <c r="AI105" s="1026"/>
      <c r="AJ105" s="1026"/>
      <c r="AK105" s="1026"/>
      <c r="AL105" s="1026"/>
      <c r="AM105" s="1026"/>
      <c r="AN105" s="1026"/>
      <c r="AP105" s="1025"/>
      <c r="AQ105" s="1026"/>
      <c r="AR105" s="1026"/>
      <c r="AS105" s="1026"/>
      <c r="AT105" s="1026"/>
      <c r="AU105" s="1026"/>
    </row>
    <row r="106" spans="4:47" ht="15">
      <c r="D106" s="1009"/>
      <c r="E106" s="1032"/>
      <c r="F106" s="1032"/>
      <c r="G106" s="1032"/>
      <c r="H106" s="1032"/>
      <c r="I106" s="1032"/>
      <c r="J106" s="1032"/>
      <c r="K106" s="1032"/>
      <c r="L106" s="1032"/>
      <c r="M106" s="1032"/>
      <c r="N106" s="1032"/>
      <c r="O106" s="1032"/>
      <c r="P106" s="1032"/>
      <c r="Q106" s="1032"/>
      <c r="R106" s="1032"/>
      <c r="S106" s="1032"/>
      <c r="T106" s="1032"/>
      <c r="U106" s="1032"/>
      <c r="V106" s="1032"/>
      <c r="W106" s="1032"/>
      <c r="X106" s="1032"/>
      <c r="Y106" s="1032"/>
      <c r="Z106" s="1032"/>
      <c r="AA106" s="1032"/>
      <c r="AB106" s="1032"/>
      <c r="AC106" s="1032"/>
      <c r="AD106" s="1032"/>
      <c r="AE106" s="1032"/>
      <c r="AF106" s="1032"/>
      <c r="AG106" s="1032"/>
      <c r="AH106" s="1032"/>
      <c r="AI106" s="1032"/>
      <c r="AJ106" s="1032"/>
      <c r="AK106" s="1032"/>
      <c r="AL106" s="1032"/>
      <c r="AM106" s="1032"/>
      <c r="AN106" s="1032"/>
      <c r="AP106" s="1009"/>
      <c r="AQ106" s="1032"/>
      <c r="AR106" s="1032"/>
      <c r="AS106" s="1032"/>
      <c r="AT106" s="1032"/>
      <c r="AU106" s="1032"/>
    </row>
    <row r="107" spans="4:47" ht="15">
      <c r="D107" s="1025"/>
      <c r="E107" s="1048"/>
      <c r="F107" s="1048"/>
      <c r="G107" s="1048"/>
      <c r="H107" s="1048"/>
      <c r="I107" s="1048"/>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P107" s="1025"/>
      <c r="AQ107" s="1048"/>
      <c r="AR107" s="1048"/>
      <c r="AS107" s="1048"/>
      <c r="AT107" s="1048"/>
      <c r="AU107" s="1048"/>
    </row>
    <row r="108" spans="4:47" ht="15">
      <c r="D108" s="1001"/>
      <c r="E108" s="1032"/>
      <c r="F108" s="1032"/>
      <c r="G108" s="1032"/>
      <c r="H108" s="1032"/>
      <c r="I108" s="1032"/>
      <c r="J108" s="1032"/>
      <c r="K108" s="1032"/>
      <c r="L108" s="1032"/>
      <c r="M108" s="1032"/>
      <c r="N108" s="1032"/>
      <c r="O108" s="1032"/>
      <c r="P108" s="1032"/>
      <c r="Q108" s="1032"/>
      <c r="R108" s="1032"/>
      <c r="S108" s="1032"/>
      <c r="T108" s="1032"/>
      <c r="U108" s="1032"/>
      <c r="V108" s="1032"/>
      <c r="W108" s="1032"/>
      <c r="X108" s="1032"/>
      <c r="Y108" s="1032"/>
      <c r="Z108" s="1032"/>
      <c r="AA108" s="1032"/>
      <c r="AB108" s="1032"/>
      <c r="AC108" s="1032"/>
      <c r="AD108" s="1032"/>
      <c r="AE108" s="1032"/>
      <c r="AF108" s="1032"/>
      <c r="AG108" s="1032"/>
      <c r="AH108" s="1032"/>
      <c r="AI108" s="1032"/>
      <c r="AJ108" s="1032"/>
      <c r="AK108" s="1032"/>
      <c r="AL108" s="1032"/>
      <c r="AM108" s="1032"/>
      <c r="AN108" s="1032"/>
      <c r="AP108" s="1001"/>
      <c r="AQ108" s="1032"/>
      <c r="AR108" s="1032"/>
      <c r="AS108" s="1032"/>
      <c r="AT108" s="1032"/>
      <c r="AU108" s="1032"/>
    </row>
    <row r="109" spans="4:47" ht="15">
      <c r="D109" s="1009"/>
      <c r="E109" s="1010"/>
      <c r="F109" s="1010"/>
      <c r="G109" s="1010"/>
      <c r="H109" s="1010"/>
      <c r="I109" s="1010"/>
      <c r="J109" s="1010"/>
      <c r="K109" s="1010"/>
      <c r="L109" s="1010"/>
      <c r="M109" s="1010"/>
      <c r="N109" s="1010"/>
      <c r="O109" s="1010"/>
      <c r="P109" s="1010"/>
      <c r="Q109" s="1010"/>
      <c r="R109" s="1010"/>
      <c r="S109" s="1010"/>
      <c r="T109" s="1010"/>
      <c r="U109" s="1010"/>
      <c r="V109" s="1010"/>
      <c r="W109" s="1010"/>
      <c r="X109" s="1010"/>
      <c r="Y109" s="1010"/>
      <c r="Z109" s="1010"/>
      <c r="AA109" s="1010"/>
      <c r="AB109" s="1010"/>
      <c r="AC109" s="1010"/>
      <c r="AD109" s="1010"/>
      <c r="AE109" s="1010"/>
      <c r="AF109" s="1010"/>
      <c r="AG109" s="1010"/>
      <c r="AH109" s="1010"/>
      <c r="AI109" s="1010"/>
      <c r="AJ109" s="1010"/>
      <c r="AK109" s="1010"/>
      <c r="AL109" s="1010"/>
      <c r="AM109" s="1010"/>
      <c r="AN109" s="1010"/>
      <c r="AP109" s="1009"/>
      <c r="AQ109" s="1010"/>
      <c r="AR109" s="1010"/>
      <c r="AS109" s="1010"/>
      <c r="AT109" s="1010"/>
      <c r="AU109" s="1010"/>
    </row>
    <row r="110" spans="4:47" ht="15">
      <c r="D110" s="1009"/>
      <c r="E110" s="1022"/>
      <c r="F110" s="1022"/>
      <c r="G110" s="1022"/>
      <c r="H110" s="1022"/>
      <c r="I110" s="1022"/>
      <c r="J110" s="1022"/>
      <c r="K110" s="1022"/>
      <c r="L110" s="1022"/>
      <c r="M110" s="1022"/>
      <c r="N110" s="1022"/>
      <c r="O110" s="1022"/>
      <c r="P110" s="1022"/>
      <c r="Q110" s="1022"/>
      <c r="R110" s="1022"/>
      <c r="S110" s="1022"/>
      <c r="T110" s="1022"/>
      <c r="U110" s="1022"/>
      <c r="V110" s="1022"/>
      <c r="W110" s="1022"/>
      <c r="X110" s="1022"/>
      <c r="Y110" s="1022"/>
      <c r="Z110" s="1022"/>
      <c r="AA110" s="1022"/>
      <c r="AB110" s="1022"/>
      <c r="AC110" s="1022"/>
      <c r="AD110" s="1022"/>
      <c r="AE110" s="1022"/>
      <c r="AF110" s="1022"/>
      <c r="AG110" s="1022"/>
      <c r="AH110" s="1022"/>
      <c r="AI110" s="1022"/>
      <c r="AJ110" s="1022"/>
      <c r="AK110" s="1022"/>
      <c r="AL110" s="1022"/>
      <c r="AM110" s="1022"/>
      <c r="AN110" s="1022"/>
      <c r="AP110" s="1009"/>
      <c r="AQ110" s="1022"/>
      <c r="AR110" s="1022"/>
      <c r="AS110" s="1022"/>
      <c r="AT110" s="1022"/>
      <c r="AU110" s="1022"/>
    </row>
    <row r="111" spans="4:47" ht="15">
      <c r="D111" s="1023"/>
      <c r="E111" s="1010"/>
      <c r="F111" s="1010"/>
      <c r="G111" s="1010"/>
      <c r="H111" s="1010"/>
      <c r="I111" s="1010"/>
      <c r="J111" s="1010"/>
      <c r="K111" s="1010"/>
      <c r="L111" s="1010"/>
      <c r="M111" s="1010"/>
      <c r="N111" s="1010"/>
      <c r="O111" s="1010"/>
      <c r="P111" s="1010"/>
      <c r="Q111" s="1010"/>
      <c r="R111" s="1010"/>
      <c r="S111" s="1010"/>
      <c r="T111" s="1010"/>
      <c r="U111" s="1010"/>
      <c r="V111" s="1010"/>
      <c r="W111" s="1010"/>
      <c r="X111" s="1010"/>
      <c r="Y111" s="1010"/>
      <c r="Z111" s="1010"/>
      <c r="AA111" s="1010"/>
      <c r="AB111" s="1010"/>
      <c r="AC111" s="1010"/>
      <c r="AD111" s="1010"/>
      <c r="AE111" s="1010"/>
      <c r="AF111" s="1010"/>
      <c r="AG111" s="1010"/>
      <c r="AH111" s="1010"/>
      <c r="AI111" s="1010"/>
      <c r="AJ111" s="1010"/>
      <c r="AK111" s="1010"/>
      <c r="AL111" s="1010"/>
      <c r="AM111" s="1010"/>
      <c r="AN111" s="1010"/>
      <c r="AP111" s="1023"/>
      <c r="AQ111" s="1010"/>
      <c r="AR111" s="1010"/>
      <c r="AS111" s="1010"/>
      <c r="AT111" s="1010"/>
      <c r="AU111" s="1010"/>
    </row>
    <row r="112" spans="4:47" ht="15">
      <c r="D112" s="1023"/>
      <c r="E112" s="1010"/>
      <c r="F112" s="1010"/>
      <c r="G112" s="1010"/>
      <c r="H112" s="1010"/>
      <c r="I112" s="1010"/>
      <c r="J112" s="1010"/>
      <c r="K112" s="1010"/>
      <c r="L112" s="1010"/>
      <c r="M112" s="1010"/>
      <c r="N112" s="1010"/>
      <c r="O112" s="1010"/>
      <c r="P112" s="1010"/>
      <c r="Q112" s="1010"/>
      <c r="R112" s="1010"/>
      <c r="S112" s="1010"/>
      <c r="T112" s="1010"/>
      <c r="U112" s="1010"/>
      <c r="V112" s="1010"/>
      <c r="W112" s="1010"/>
      <c r="X112" s="1010"/>
      <c r="Y112" s="1010"/>
      <c r="Z112" s="1010"/>
      <c r="AA112" s="1010"/>
      <c r="AB112" s="1010"/>
      <c r="AC112" s="1010"/>
      <c r="AD112" s="1010"/>
      <c r="AE112" s="1010"/>
      <c r="AF112" s="1010"/>
      <c r="AG112" s="1010"/>
      <c r="AH112" s="1010"/>
      <c r="AI112" s="1010"/>
      <c r="AJ112" s="1010"/>
      <c r="AK112" s="1010"/>
      <c r="AL112" s="1010"/>
      <c r="AM112" s="1010"/>
      <c r="AN112" s="1010"/>
      <c r="AP112" s="1023"/>
      <c r="AQ112" s="1010"/>
      <c r="AR112" s="1010"/>
      <c r="AS112" s="1010"/>
      <c r="AT112" s="1010"/>
      <c r="AU112" s="1010"/>
    </row>
    <row r="113" spans="4:233" ht="15">
      <c r="D113" s="1009"/>
      <c r="E113" s="1010"/>
      <c r="F113" s="1010"/>
      <c r="G113" s="1010"/>
      <c r="H113" s="1010"/>
      <c r="I113" s="1010"/>
      <c r="J113" s="1010"/>
      <c r="K113" s="1010"/>
      <c r="L113" s="1010"/>
      <c r="M113" s="1010"/>
      <c r="N113" s="1010"/>
      <c r="O113" s="1010"/>
      <c r="P113" s="1010"/>
      <c r="Q113" s="1010"/>
      <c r="R113" s="1010"/>
      <c r="S113" s="1010"/>
      <c r="T113" s="1010"/>
      <c r="U113" s="1010"/>
      <c r="V113" s="1010"/>
      <c r="W113" s="1010"/>
      <c r="X113" s="1010"/>
      <c r="Y113" s="1010"/>
      <c r="Z113" s="1010"/>
      <c r="AA113" s="1010"/>
      <c r="AB113" s="1010"/>
      <c r="AC113" s="1010"/>
      <c r="AD113" s="1010"/>
      <c r="AE113" s="1010"/>
      <c r="AF113" s="1010"/>
      <c r="AG113" s="1010"/>
      <c r="AH113" s="1010"/>
      <c r="AI113" s="1010"/>
      <c r="AJ113" s="1010"/>
      <c r="AK113" s="1010"/>
      <c r="AL113" s="1010"/>
      <c r="AM113" s="1010"/>
      <c r="AN113" s="1010"/>
      <c r="AP113" s="1009"/>
      <c r="AQ113" s="1010"/>
      <c r="AR113" s="1010"/>
      <c r="AS113" s="1010"/>
      <c r="AT113" s="1010"/>
      <c r="AU113" s="1010"/>
    </row>
    <row r="114" spans="4:233" ht="15">
      <c r="D114" s="1060"/>
      <c r="E114" s="1002"/>
      <c r="F114" s="1002"/>
      <c r="G114" s="1002"/>
      <c r="H114" s="1002"/>
      <c r="I114" s="1002"/>
      <c r="J114" s="1002"/>
      <c r="K114" s="1002"/>
      <c r="L114" s="1002"/>
      <c r="M114" s="1002"/>
      <c r="N114" s="1002"/>
      <c r="O114" s="1002"/>
      <c r="P114" s="1002"/>
      <c r="Q114" s="1002"/>
      <c r="R114" s="1002"/>
      <c r="S114" s="1002"/>
      <c r="T114" s="1002"/>
      <c r="U114" s="1002"/>
      <c r="V114" s="1002"/>
      <c r="W114" s="1002"/>
      <c r="X114" s="1002"/>
      <c r="Y114" s="1002"/>
      <c r="Z114" s="1002"/>
      <c r="AA114" s="1002"/>
      <c r="AB114" s="1002"/>
      <c r="AC114" s="1002"/>
      <c r="AD114" s="1002"/>
      <c r="AE114" s="1002"/>
      <c r="AF114" s="1002"/>
      <c r="AG114" s="1002"/>
      <c r="AH114" s="1002"/>
      <c r="AI114" s="1002"/>
      <c r="AJ114" s="1002"/>
      <c r="AK114" s="1002"/>
      <c r="AL114" s="1002"/>
      <c r="AM114" s="1002"/>
      <c r="AN114" s="1002"/>
      <c r="AP114" s="1060"/>
      <c r="AQ114" s="1002"/>
      <c r="AR114" s="1002"/>
      <c r="AS114" s="1002"/>
      <c r="AT114" s="1002"/>
      <c r="AU114" s="1002"/>
    </row>
    <row r="115" spans="4:233" ht="15">
      <c r="D115" s="1023"/>
      <c r="E115" s="1010"/>
      <c r="F115" s="1010"/>
      <c r="G115" s="1010"/>
      <c r="H115" s="1010"/>
      <c r="I115" s="1010"/>
      <c r="J115" s="1010"/>
      <c r="K115" s="1010"/>
      <c r="L115" s="1010"/>
      <c r="M115" s="1010"/>
      <c r="N115" s="1010"/>
      <c r="O115" s="1010"/>
      <c r="P115" s="1010"/>
      <c r="Q115" s="1010"/>
      <c r="R115" s="1010"/>
      <c r="S115" s="1010"/>
      <c r="T115" s="1010"/>
      <c r="U115" s="1010"/>
      <c r="V115" s="1010"/>
      <c r="W115" s="1010"/>
      <c r="X115" s="1010"/>
      <c r="Y115" s="1010"/>
      <c r="Z115" s="1010"/>
      <c r="AA115" s="1010"/>
      <c r="AB115" s="1010"/>
      <c r="AC115" s="1010"/>
      <c r="AD115" s="1010"/>
      <c r="AE115" s="1010"/>
      <c r="AF115" s="1010"/>
      <c r="AG115" s="1010"/>
      <c r="AH115" s="1010"/>
      <c r="AI115" s="1010"/>
      <c r="AJ115" s="1010"/>
      <c r="AK115" s="1010"/>
      <c r="AL115" s="1010"/>
      <c r="AM115" s="1010"/>
      <c r="AN115" s="1010"/>
      <c r="AP115" s="1023"/>
      <c r="AQ115" s="1010"/>
      <c r="AR115" s="1010"/>
      <c r="AS115" s="1010"/>
      <c r="AT115" s="1010"/>
      <c r="AU115" s="1010"/>
    </row>
    <row r="116" spans="4:233" ht="15">
      <c r="D116" s="1023"/>
      <c r="E116" s="1010"/>
      <c r="F116" s="1010"/>
      <c r="G116" s="1010"/>
      <c r="H116" s="1010"/>
      <c r="I116" s="1010"/>
      <c r="J116" s="1010"/>
      <c r="K116" s="1010"/>
      <c r="L116" s="1010"/>
      <c r="M116" s="1010"/>
      <c r="N116" s="1010"/>
      <c r="O116" s="1010"/>
      <c r="P116" s="1010"/>
      <c r="Q116" s="1010"/>
      <c r="R116" s="1010"/>
      <c r="S116" s="1010"/>
      <c r="T116" s="1010"/>
      <c r="U116" s="1010"/>
      <c r="V116" s="1010"/>
      <c r="W116" s="1010"/>
      <c r="X116" s="1010"/>
      <c r="Y116" s="1010"/>
      <c r="Z116" s="1010"/>
      <c r="AA116" s="1010"/>
      <c r="AB116" s="1010"/>
      <c r="AC116" s="1010"/>
      <c r="AD116" s="1010"/>
      <c r="AE116" s="1010"/>
      <c r="AF116" s="1010"/>
      <c r="AG116" s="1010"/>
      <c r="AH116" s="1010"/>
      <c r="AI116" s="1010"/>
      <c r="AJ116" s="1010"/>
      <c r="AK116" s="1010"/>
      <c r="AL116" s="1010"/>
      <c r="AM116" s="1010"/>
      <c r="AN116" s="1010"/>
      <c r="AP116" s="1023"/>
      <c r="AQ116" s="1010"/>
      <c r="AR116" s="1010"/>
      <c r="AS116" s="1010"/>
      <c r="AT116" s="1010"/>
      <c r="AU116" s="1010"/>
    </row>
    <row r="117" spans="4:233" ht="15">
      <c r="D117" s="1025"/>
      <c r="E117" s="1026"/>
      <c r="F117" s="1026"/>
      <c r="G117" s="1026"/>
      <c r="H117" s="1026"/>
      <c r="I117" s="1026"/>
      <c r="J117" s="1026"/>
      <c r="K117" s="1026"/>
      <c r="L117" s="1026"/>
      <c r="M117" s="1026"/>
      <c r="N117" s="1026"/>
      <c r="O117" s="1026"/>
      <c r="P117" s="1026"/>
      <c r="Q117" s="1026"/>
      <c r="R117" s="1026"/>
      <c r="S117" s="1026"/>
      <c r="T117" s="1026"/>
      <c r="U117" s="1026"/>
      <c r="V117" s="1026"/>
      <c r="W117" s="1026"/>
      <c r="X117" s="1026"/>
      <c r="Y117" s="1026"/>
      <c r="Z117" s="1026"/>
      <c r="AA117" s="1026"/>
      <c r="AB117" s="1026"/>
      <c r="AC117" s="1026"/>
      <c r="AD117" s="1026"/>
      <c r="AE117" s="1026"/>
      <c r="AF117" s="1026"/>
      <c r="AG117" s="1026"/>
      <c r="AH117" s="1026"/>
      <c r="AI117" s="1026"/>
      <c r="AJ117" s="1026"/>
      <c r="AK117" s="1026"/>
      <c r="AL117" s="1026"/>
      <c r="AM117" s="1026"/>
      <c r="AN117" s="1026"/>
      <c r="AP117" s="1025"/>
      <c r="AQ117" s="1026"/>
      <c r="AR117" s="1026"/>
      <c r="AS117" s="1026"/>
      <c r="AT117" s="1026"/>
      <c r="AU117" s="1026"/>
    </row>
    <row r="118" spans="4:233" ht="15">
      <c r="D118" s="1001"/>
      <c r="E118" s="1032"/>
      <c r="F118" s="1032"/>
      <c r="G118" s="1032"/>
      <c r="H118" s="1032"/>
      <c r="I118" s="1032"/>
      <c r="J118" s="1032"/>
      <c r="K118" s="1032"/>
      <c r="L118" s="1032"/>
      <c r="M118" s="1032"/>
      <c r="N118" s="1032"/>
      <c r="O118" s="1032"/>
      <c r="P118" s="1032"/>
      <c r="Q118" s="1032"/>
      <c r="R118" s="1032"/>
      <c r="S118" s="1032"/>
      <c r="T118" s="1032"/>
      <c r="U118" s="1032"/>
      <c r="V118" s="1032"/>
      <c r="W118" s="1032"/>
      <c r="X118" s="1032"/>
      <c r="Y118" s="1032"/>
      <c r="Z118" s="1032"/>
      <c r="AA118" s="1032"/>
      <c r="AB118" s="1032"/>
      <c r="AC118" s="1032"/>
      <c r="AD118" s="1032"/>
      <c r="AE118" s="1032"/>
      <c r="AF118" s="1032"/>
      <c r="AG118" s="1032"/>
      <c r="AH118" s="1032"/>
      <c r="AI118" s="1032"/>
      <c r="AJ118" s="1032"/>
      <c r="AK118" s="1032"/>
      <c r="AL118" s="1032"/>
      <c r="AM118" s="1032"/>
      <c r="AN118" s="1032"/>
      <c r="AP118" s="1001"/>
      <c r="AQ118" s="1032"/>
      <c r="AR118" s="1032"/>
      <c r="AS118" s="1032"/>
      <c r="AT118" s="1032"/>
      <c r="AU118" s="1032"/>
    </row>
    <row r="119" spans="4:233" ht="15">
      <c r="D119" s="1003"/>
      <c r="E119" s="1004"/>
      <c r="F119" s="1004"/>
      <c r="G119" s="1004"/>
      <c r="H119" s="1004"/>
      <c r="I119" s="1004"/>
      <c r="J119" s="1004"/>
      <c r="K119" s="1004"/>
      <c r="L119" s="1004"/>
      <c r="M119" s="1004"/>
      <c r="N119" s="1004"/>
      <c r="O119" s="1004"/>
      <c r="P119" s="1004"/>
      <c r="Q119" s="1004"/>
      <c r="R119" s="1004"/>
      <c r="S119" s="1004"/>
      <c r="T119" s="1004"/>
      <c r="U119" s="1004"/>
      <c r="V119" s="1004"/>
      <c r="W119" s="1004"/>
      <c r="X119" s="1004"/>
      <c r="Y119" s="1004"/>
      <c r="Z119" s="1004"/>
      <c r="AA119" s="1004"/>
      <c r="AB119" s="1004"/>
      <c r="AC119" s="1004"/>
      <c r="AD119" s="1004"/>
      <c r="AE119" s="1004"/>
      <c r="AF119" s="1004"/>
      <c r="AG119" s="1004"/>
      <c r="AH119" s="1004"/>
      <c r="AI119" s="1004"/>
      <c r="AJ119" s="1004"/>
      <c r="AK119" s="1004"/>
      <c r="AL119" s="1004"/>
      <c r="AM119" s="1004"/>
      <c r="AN119" s="1004"/>
      <c r="AP119" s="1003"/>
      <c r="AQ119" s="1004"/>
      <c r="AR119" s="1004"/>
      <c r="AS119" s="1004"/>
      <c r="AT119" s="1004"/>
      <c r="AU119" s="1004"/>
    </row>
    <row r="121" spans="4:233" ht="13.5" thickBot="1">
      <c r="CL121" s="915"/>
      <c r="CM121" s="915"/>
      <c r="CN121" s="915"/>
      <c r="CO121" s="915"/>
      <c r="CP121" s="915"/>
    </row>
    <row r="122" spans="4:233" ht="20.25" customHeight="1" thickBot="1">
      <c r="D122" s="922"/>
      <c r="E122" s="923"/>
      <c r="F122" s="923"/>
      <c r="G122" s="923"/>
      <c r="H122" s="923"/>
      <c r="I122" s="923"/>
      <c r="J122" s="923"/>
      <c r="K122" s="923"/>
      <c r="L122" s="923"/>
      <c r="M122" s="923"/>
      <c r="N122" s="923"/>
      <c r="O122" s="923"/>
      <c r="P122" s="923"/>
      <c r="Q122" s="923"/>
      <c r="R122" s="923"/>
      <c r="S122" s="923"/>
      <c r="T122" s="923"/>
      <c r="U122" s="923"/>
      <c r="V122" s="923"/>
      <c r="W122" s="923"/>
      <c r="X122" s="923"/>
      <c r="Y122" s="923"/>
      <c r="Z122" s="923"/>
      <c r="AA122" s="923"/>
      <c r="AB122" s="923"/>
      <c r="AC122" s="923"/>
      <c r="AD122" s="923"/>
      <c r="AE122" s="923"/>
      <c r="AF122" s="923"/>
      <c r="AG122" s="923"/>
      <c r="AH122" s="923"/>
      <c r="AI122" s="923"/>
      <c r="AJ122" s="923"/>
      <c r="AK122" s="923"/>
      <c r="AL122" s="923"/>
      <c r="AM122" s="923"/>
      <c r="AN122" s="923"/>
      <c r="AP122" s="922"/>
      <c r="AQ122" s="923"/>
      <c r="AR122" s="923"/>
      <c r="AS122" s="923"/>
      <c r="AT122" s="923"/>
      <c r="AU122" s="923"/>
      <c r="AW122" s="923"/>
      <c r="AX122" s="924"/>
      <c r="AY122" s="923"/>
      <c r="AZ122" s="923"/>
      <c r="BA122" s="923"/>
      <c r="BB122" s="923"/>
      <c r="BC122" s="923"/>
      <c r="BD122" s="923"/>
      <c r="BE122" s="923"/>
      <c r="BF122" s="923"/>
      <c r="BG122" s="923"/>
      <c r="BH122" s="923"/>
      <c r="BI122" s="923"/>
      <c r="BJ122" s="923"/>
      <c r="BK122" s="923"/>
      <c r="BL122" s="923"/>
      <c r="BM122" s="923"/>
      <c r="BN122" s="923"/>
      <c r="BO122" s="923"/>
      <c r="BP122" s="923"/>
      <c r="BQ122" s="923"/>
      <c r="BR122" s="923"/>
      <c r="BS122" s="923"/>
      <c r="BT122" s="923"/>
      <c r="BU122" s="923"/>
      <c r="BV122" s="923"/>
      <c r="BW122" s="923"/>
      <c r="BX122" s="923"/>
      <c r="BY122" s="923"/>
      <c r="BZ122" s="923"/>
      <c r="CA122" s="923"/>
      <c r="CB122" s="923"/>
      <c r="CC122" s="923"/>
      <c r="CD122" s="923"/>
      <c r="CE122" s="923"/>
      <c r="CF122" s="923"/>
      <c r="CG122" s="923"/>
      <c r="CH122" s="923"/>
      <c r="CK122" s="924"/>
      <c r="CL122" s="923"/>
      <c r="CM122" s="923"/>
      <c r="CN122" s="923"/>
      <c r="CO122" s="923"/>
      <c r="CP122" s="923"/>
      <c r="CS122" s="924"/>
      <c r="CT122" s="923"/>
      <c r="CU122" s="923"/>
      <c r="CV122" s="923"/>
      <c r="CW122" s="923"/>
      <c r="CX122" s="923"/>
      <c r="CY122" s="923"/>
      <c r="CZ122" s="923"/>
      <c r="DA122" s="923"/>
      <c r="DB122" s="923"/>
      <c r="DC122" s="923"/>
      <c r="DD122" s="923"/>
      <c r="DE122" s="923"/>
      <c r="DF122" s="923"/>
      <c r="DG122" s="923"/>
      <c r="DH122" s="923"/>
      <c r="DI122" s="923"/>
      <c r="DJ122" s="923"/>
      <c r="DK122" s="923"/>
      <c r="DL122" s="923"/>
      <c r="DM122" s="923"/>
      <c r="DN122" s="923"/>
      <c r="DO122" s="923"/>
      <c r="DP122" s="923"/>
      <c r="DQ122" s="923"/>
      <c r="DR122" s="923"/>
      <c r="DS122" s="923"/>
      <c r="DT122" s="923"/>
      <c r="DU122" s="923"/>
      <c r="DV122" s="923"/>
      <c r="DW122" s="923"/>
      <c r="DX122" s="923"/>
      <c r="DY122" s="923"/>
      <c r="DZ122" s="923"/>
      <c r="EA122" s="923"/>
      <c r="EB122" s="923"/>
      <c r="EC122" s="923"/>
      <c r="EE122" s="924"/>
      <c r="EF122" s="923"/>
      <c r="EG122" s="923"/>
      <c r="EH122" s="923"/>
      <c r="EI122" s="923"/>
      <c r="EJ122" s="923"/>
      <c r="EN122" s="924"/>
      <c r="EO122" s="923"/>
      <c r="EP122" s="923"/>
      <c r="EQ122" s="923"/>
      <c r="ER122" s="923"/>
      <c r="ES122" s="923"/>
      <c r="ET122" s="923"/>
      <c r="EU122" s="923"/>
      <c r="EV122" s="923"/>
      <c r="EW122" s="923"/>
      <c r="EX122" s="923"/>
      <c r="EY122" s="923"/>
      <c r="EZ122" s="923"/>
      <c r="FA122" s="923"/>
      <c r="FB122" s="923"/>
      <c r="FC122" s="923"/>
      <c r="FD122" s="923"/>
      <c r="FE122" s="923"/>
      <c r="FF122" s="923"/>
      <c r="FG122" s="923"/>
      <c r="FH122" s="923"/>
      <c r="FI122" s="923"/>
      <c r="FJ122" s="923"/>
      <c r="FK122" s="923"/>
      <c r="FL122" s="923"/>
      <c r="FM122" s="923"/>
      <c r="FN122" s="923"/>
      <c r="FO122" s="923"/>
      <c r="FP122" s="923"/>
      <c r="FQ122" s="923"/>
      <c r="FR122" s="923"/>
      <c r="FS122" s="923"/>
      <c r="FT122" s="923"/>
      <c r="FU122" s="923"/>
      <c r="FV122" s="923"/>
      <c r="FW122" s="923"/>
      <c r="FX122" s="923"/>
      <c r="FZ122" s="924"/>
      <c r="GA122" s="923"/>
      <c r="GB122" s="923"/>
      <c r="GC122" s="923"/>
      <c r="GD122" s="923"/>
      <c r="GE122" s="923"/>
      <c r="GG122" s="923"/>
      <c r="GH122" s="923"/>
      <c r="GI122" s="923"/>
      <c r="GJ122" s="923"/>
      <c r="GK122" s="923"/>
      <c r="GL122" s="923"/>
      <c r="GM122" s="923"/>
      <c r="GN122" s="923"/>
      <c r="GO122" s="923"/>
      <c r="GP122" s="923"/>
      <c r="GQ122" s="923"/>
      <c r="GR122" s="923"/>
      <c r="GS122" s="923"/>
      <c r="GT122" s="923"/>
      <c r="GU122" s="923"/>
      <c r="GV122" s="923"/>
      <c r="GW122" s="923"/>
      <c r="GX122" s="923"/>
      <c r="GY122" s="923"/>
      <c r="GZ122" s="923"/>
      <c r="HA122" s="923"/>
      <c r="HB122" s="923"/>
      <c r="HC122" s="923"/>
      <c r="HD122" s="923"/>
      <c r="HE122" s="923"/>
      <c r="HF122" s="923"/>
      <c r="HG122" s="923"/>
      <c r="HH122" s="923"/>
      <c r="HI122" s="923"/>
      <c r="HJ122" s="923"/>
      <c r="HK122" s="923"/>
      <c r="HL122" s="923"/>
      <c r="HM122" s="923"/>
      <c r="HN122" s="923"/>
      <c r="HO122" s="923"/>
      <c r="HP122" s="923"/>
      <c r="HQ122" s="923"/>
      <c r="HT122" s="923"/>
      <c r="HU122" s="923"/>
      <c r="HV122" s="923"/>
      <c r="HW122" s="923"/>
      <c r="HX122" s="923"/>
      <c r="HY122" s="923"/>
    </row>
    <row r="123" spans="4:233" ht="15.75" thickBot="1">
      <c r="D123" s="926"/>
      <c r="E123" s="928"/>
      <c r="F123" s="928"/>
      <c r="G123" s="928"/>
      <c r="H123" s="928"/>
      <c r="I123" s="928"/>
      <c r="J123" s="928"/>
      <c r="K123" s="928"/>
      <c r="L123" s="928"/>
      <c r="M123" s="928"/>
      <c r="N123" s="928"/>
      <c r="O123" s="928"/>
      <c r="P123" s="928"/>
      <c r="Q123" s="928"/>
      <c r="R123" s="928"/>
      <c r="S123" s="928"/>
      <c r="T123" s="928"/>
      <c r="U123" s="928"/>
      <c r="V123" s="928"/>
      <c r="W123" s="928"/>
      <c r="X123" s="928"/>
      <c r="Y123" s="928"/>
      <c r="Z123" s="928"/>
      <c r="AA123" s="928"/>
      <c r="AB123" s="928"/>
      <c r="AC123" s="928"/>
      <c r="AD123" s="928"/>
      <c r="AE123" s="928"/>
      <c r="AF123" s="928"/>
      <c r="AG123" s="928"/>
      <c r="AH123" s="928"/>
      <c r="AI123" s="928"/>
      <c r="AJ123" s="928"/>
      <c r="AK123" s="928"/>
      <c r="AL123" s="928"/>
      <c r="AM123" s="928"/>
      <c r="AN123" s="928"/>
      <c r="AP123" s="926"/>
      <c r="AQ123" s="928"/>
      <c r="AR123" s="928"/>
      <c r="AS123" s="928"/>
      <c r="AT123" s="928"/>
      <c r="AU123" s="928"/>
      <c r="AW123" s="984"/>
      <c r="AX123" s="929"/>
      <c r="AY123" s="930"/>
      <c r="AZ123" s="930"/>
      <c r="BA123" s="930"/>
      <c r="BB123" s="930"/>
      <c r="BC123" s="930"/>
      <c r="BD123" s="930"/>
      <c r="BE123" s="930"/>
      <c r="BF123" s="930"/>
      <c r="BG123" s="930"/>
      <c r="BH123" s="930"/>
      <c r="BI123" s="930"/>
      <c r="BJ123" s="930"/>
      <c r="BK123" s="930"/>
      <c r="BL123" s="930"/>
      <c r="BM123" s="930"/>
      <c r="BN123" s="930"/>
      <c r="BO123" s="930"/>
      <c r="BP123" s="930"/>
      <c r="BQ123" s="930"/>
      <c r="BR123" s="930"/>
      <c r="BS123" s="930"/>
      <c r="BT123" s="930"/>
      <c r="BU123" s="930"/>
      <c r="BV123" s="930"/>
      <c r="BW123" s="930"/>
      <c r="BX123" s="930"/>
      <c r="BY123" s="930"/>
      <c r="BZ123" s="930"/>
      <c r="CA123" s="930"/>
      <c r="CB123" s="930"/>
      <c r="CC123" s="930"/>
      <c r="CD123" s="930"/>
      <c r="CE123" s="930"/>
      <c r="CF123" s="930"/>
      <c r="CG123" s="930"/>
      <c r="CH123" s="930"/>
      <c r="CK123" s="929"/>
      <c r="CL123" s="930"/>
      <c r="CM123" s="930"/>
      <c r="CN123" s="930"/>
      <c r="CO123" s="930"/>
      <c r="CP123" s="930"/>
      <c r="CS123" s="931"/>
      <c r="CT123" s="934"/>
      <c r="CU123" s="934"/>
      <c r="CV123" s="934"/>
      <c r="CW123" s="934"/>
      <c r="CX123" s="934"/>
      <c r="CY123" s="934"/>
      <c r="CZ123" s="934"/>
      <c r="DA123" s="934"/>
      <c r="DB123" s="934"/>
      <c r="DC123" s="934"/>
      <c r="DD123" s="934"/>
      <c r="DE123" s="934"/>
      <c r="DF123" s="934"/>
      <c r="DG123" s="934"/>
      <c r="DH123" s="934"/>
      <c r="DI123" s="934"/>
      <c r="DJ123" s="934"/>
      <c r="DK123" s="934"/>
      <c r="DL123" s="934"/>
      <c r="DM123" s="934"/>
      <c r="DN123" s="934"/>
      <c r="DO123" s="934"/>
      <c r="DP123" s="934"/>
      <c r="DQ123" s="934"/>
      <c r="DR123" s="934"/>
      <c r="DS123" s="934"/>
      <c r="DT123" s="934"/>
      <c r="DU123" s="934"/>
      <c r="DV123" s="934"/>
      <c r="DW123" s="934"/>
      <c r="DX123" s="934"/>
      <c r="DY123" s="934"/>
      <c r="DZ123" s="934"/>
      <c r="EA123" s="934"/>
      <c r="EB123" s="934"/>
      <c r="EC123" s="934"/>
      <c r="EE123" s="931"/>
      <c r="EF123" s="934"/>
      <c r="EG123" s="934"/>
      <c r="EH123" s="934"/>
      <c r="EI123" s="934"/>
      <c r="EJ123" s="934"/>
      <c r="EN123" s="935"/>
      <c r="EO123" s="936"/>
      <c r="EP123" s="937"/>
      <c r="EQ123" s="937"/>
      <c r="ER123" s="937"/>
      <c r="ES123" s="937"/>
      <c r="ET123" s="937"/>
      <c r="EU123" s="937"/>
      <c r="EV123" s="937"/>
      <c r="EW123" s="937"/>
      <c r="EX123" s="937"/>
      <c r="EY123" s="937"/>
      <c r="EZ123" s="937"/>
      <c r="FA123" s="937"/>
      <c r="FB123" s="937"/>
      <c r="FC123" s="937"/>
      <c r="FD123" s="937"/>
      <c r="FE123" s="937"/>
      <c r="FF123" s="937"/>
      <c r="FG123" s="937"/>
      <c r="FH123" s="937"/>
      <c r="FI123" s="937"/>
      <c r="FJ123" s="937"/>
      <c r="FK123" s="937"/>
      <c r="FL123" s="937"/>
      <c r="FM123" s="937"/>
      <c r="FN123" s="937"/>
      <c r="FO123" s="937"/>
      <c r="FP123" s="937"/>
      <c r="FQ123" s="937"/>
      <c r="FR123" s="937"/>
      <c r="FS123" s="937"/>
      <c r="FT123" s="937"/>
      <c r="FU123" s="937"/>
      <c r="FV123" s="937"/>
      <c r="FW123" s="937"/>
      <c r="FX123" s="938"/>
      <c r="FZ123" s="935"/>
      <c r="GA123" s="938"/>
      <c r="GB123" s="938"/>
      <c r="GC123" s="938"/>
      <c r="GD123" s="938"/>
      <c r="GE123" s="938"/>
      <c r="GG123" s="935"/>
      <c r="GH123" s="936"/>
      <c r="GI123" s="937"/>
      <c r="GJ123" s="937"/>
      <c r="GK123" s="937"/>
      <c r="GL123" s="937"/>
      <c r="GM123" s="937"/>
      <c r="GN123" s="937"/>
      <c r="GO123" s="937"/>
      <c r="GP123" s="937"/>
      <c r="GQ123" s="937"/>
      <c r="GR123" s="937"/>
      <c r="GS123" s="937"/>
      <c r="GT123" s="937"/>
      <c r="GU123" s="937"/>
      <c r="GV123" s="937"/>
      <c r="GW123" s="937"/>
      <c r="GX123" s="937"/>
      <c r="GY123" s="937"/>
      <c r="GZ123" s="937"/>
      <c r="HA123" s="937"/>
      <c r="HB123" s="937"/>
      <c r="HC123" s="937"/>
      <c r="HD123" s="937"/>
      <c r="HE123" s="937"/>
      <c r="HF123" s="937"/>
      <c r="HG123" s="937"/>
      <c r="HH123" s="937"/>
      <c r="HI123" s="937"/>
      <c r="HJ123" s="937"/>
      <c r="HK123" s="937"/>
      <c r="HL123" s="937"/>
      <c r="HM123" s="937"/>
      <c r="HN123" s="937"/>
      <c r="HO123" s="937"/>
      <c r="HP123" s="937"/>
      <c r="HQ123" s="938"/>
      <c r="HT123" s="935"/>
      <c r="HU123" s="936"/>
      <c r="HV123" s="937"/>
      <c r="HW123" s="937"/>
      <c r="HX123" s="937"/>
      <c r="HY123" s="937"/>
    </row>
    <row r="124" spans="4:233">
      <c r="D124" s="940"/>
      <c r="E124" s="930"/>
      <c r="F124" s="930"/>
      <c r="G124" s="930"/>
      <c r="H124" s="930"/>
      <c r="I124" s="930"/>
      <c r="J124" s="930"/>
      <c r="K124" s="930"/>
      <c r="L124" s="930"/>
      <c r="M124" s="930"/>
      <c r="N124" s="930"/>
      <c r="O124" s="930"/>
      <c r="P124" s="930"/>
      <c r="Q124" s="930"/>
      <c r="R124" s="930"/>
      <c r="S124" s="930"/>
      <c r="T124" s="930"/>
      <c r="U124" s="930"/>
      <c r="V124" s="930"/>
      <c r="W124" s="930"/>
      <c r="X124" s="930"/>
      <c r="Y124" s="930"/>
      <c r="Z124" s="930"/>
      <c r="AA124" s="930"/>
      <c r="AB124" s="930"/>
      <c r="AC124" s="930"/>
      <c r="AD124" s="930"/>
      <c r="AE124" s="930"/>
      <c r="AF124" s="930"/>
      <c r="AG124" s="930"/>
      <c r="AH124" s="930"/>
      <c r="AI124" s="930"/>
      <c r="AJ124" s="930"/>
      <c r="AK124" s="930"/>
      <c r="AL124" s="930"/>
      <c r="AM124" s="930"/>
      <c r="AN124" s="930"/>
      <c r="AP124" s="940"/>
      <c r="AQ124" s="930"/>
      <c r="AR124" s="930"/>
      <c r="AS124" s="930"/>
      <c r="AT124" s="930"/>
      <c r="AU124" s="930"/>
      <c r="AW124" s="984"/>
      <c r="AX124" s="941"/>
      <c r="AY124" s="930"/>
      <c r="AZ124" s="930"/>
      <c r="BA124" s="930"/>
      <c r="BB124" s="930"/>
      <c r="BC124" s="930"/>
      <c r="BD124" s="930"/>
      <c r="BE124" s="930"/>
      <c r="BF124" s="930"/>
      <c r="BG124" s="930"/>
      <c r="BH124" s="930"/>
      <c r="BI124" s="930"/>
      <c r="BJ124" s="930"/>
      <c r="BK124" s="930"/>
      <c r="BL124" s="930"/>
      <c r="BM124" s="930"/>
      <c r="BN124" s="930"/>
      <c r="BO124" s="930"/>
      <c r="BP124" s="930"/>
      <c r="BQ124" s="930"/>
      <c r="BR124" s="930"/>
      <c r="BS124" s="930"/>
      <c r="BT124" s="930"/>
      <c r="BU124" s="930"/>
      <c r="BV124" s="930"/>
      <c r="BW124" s="930"/>
      <c r="BX124" s="930"/>
      <c r="BY124" s="930"/>
      <c r="BZ124" s="930"/>
      <c r="CA124" s="930"/>
      <c r="CB124" s="930"/>
      <c r="CC124" s="930"/>
      <c r="CD124" s="930"/>
      <c r="CE124" s="930"/>
      <c r="CF124" s="930"/>
      <c r="CG124" s="930"/>
      <c r="CH124" s="930"/>
      <c r="CK124" s="941"/>
      <c r="CL124" s="930"/>
      <c r="CM124" s="930"/>
      <c r="CN124" s="930"/>
      <c r="CO124" s="930"/>
      <c r="CP124" s="930"/>
      <c r="CS124" s="941"/>
      <c r="CT124" s="930"/>
      <c r="CU124" s="930"/>
      <c r="CV124" s="930"/>
      <c r="CW124" s="930"/>
      <c r="CX124" s="930"/>
      <c r="CY124" s="930"/>
      <c r="CZ124" s="930"/>
      <c r="DA124" s="930"/>
      <c r="DB124" s="930"/>
      <c r="DC124" s="930"/>
      <c r="DD124" s="930"/>
      <c r="DE124" s="930"/>
      <c r="DF124" s="930"/>
      <c r="DG124" s="930"/>
      <c r="DH124" s="930"/>
      <c r="DI124" s="930"/>
      <c r="DJ124" s="930"/>
      <c r="DK124" s="930"/>
      <c r="DL124" s="930"/>
      <c r="DM124" s="930"/>
      <c r="DN124" s="930"/>
      <c r="DO124" s="930"/>
      <c r="DP124" s="930"/>
      <c r="DQ124" s="930"/>
      <c r="DR124" s="930"/>
      <c r="DS124" s="930"/>
      <c r="DT124" s="930"/>
      <c r="DU124" s="930"/>
      <c r="DV124" s="930"/>
      <c r="DW124" s="930"/>
      <c r="DX124" s="930"/>
      <c r="DY124" s="930"/>
      <c r="DZ124" s="930"/>
      <c r="EA124" s="930"/>
      <c r="EB124" s="930"/>
      <c r="EC124" s="930"/>
      <c r="EE124" s="941"/>
      <c r="EF124" s="930"/>
      <c r="EG124" s="930"/>
      <c r="EH124" s="930"/>
      <c r="EI124" s="930"/>
      <c r="EJ124" s="930"/>
      <c r="EM124" s="942"/>
      <c r="EN124" s="943"/>
      <c r="EO124" s="930"/>
      <c r="EP124" s="930"/>
      <c r="EQ124" s="930"/>
      <c r="ER124" s="930"/>
      <c r="ES124" s="930"/>
      <c r="ET124" s="930"/>
      <c r="EU124" s="930"/>
      <c r="EV124" s="930"/>
      <c r="EW124" s="930"/>
      <c r="EX124" s="930"/>
      <c r="EY124" s="930"/>
      <c r="EZ124" s="930"/>
      <c r="FA124" s="930"/>
      <c r="FB124" s="930"/>
      <c r="FC124" s="930"/>
      <c r="FD124" s="930"/>
      <c r="FE124" s="930"/>
      <c r="FF124" s="930"/>
      <c r="FG124" s="930"/>
      <c r="FH124" s="930"/>
      <c r="FI124" s="930"/>
      <c r="FJ124" s="930"/>
      <c r="FK124" s="930"/>
      <c r="FL124" s="930"/>
      <c r="FM124" s="930"/>
      <c r="FN124" s="930"/>
      <c r="FO124" s="930"/>
      <c r="FP124" s="930"/>
      <c r="FQ124" s="930"/>
      <c r="FR124" s="930"/>
      <c r="FS124" s="930"/>
      <c r="FT124" s="930"/>
      <c r="FU124" s="930"/>
      <c r="FV124" s="930"/>
      <c r="FW124" s="930"/>
      <c r="FX124" s="930"/>
      <c r="FZ124" s="943"/>
      <c r="GA124" s="930"/>
      <c r="GB124" s="930"/>
      <c r="GC124" s="930"/>
      <c r="GD124" s="930"/>
      <c r="GE124" s="930"/>
      <c r="GG124" s="1061"/>
      <c r="GH124" s="930"/>
      <c r="GI124" s="930"/>
      <c r="GJ124" s="930"/>
      <c r="GK124" s="930"/>
      <c r="GL124" s="930"/>
      <c r="GM124" s="930"/>
      <c r="GN124" s="930"/>
      <c r="GO124" s="930"/>
      <c r="GP124" s="930"/>
      <c r="GQ124" s="930"/>
      <c r="GR124" s="930"/>
      <c r="GS124" s="930"/>
      <c r="GT124" s="930"/>
      <c r="GU124" s="930"/>
      <c r="GV124" s="930"/>
      <c r="GW124" s="930"/>
      <c r="GX124" s="930"/>
      <c r="GY124" s="930"/>
      <c r="GZ124" s="930"/>
      <c r="HA124" s="930"/>
      <c r="HB124" s="930"/>
      <c r="HC124" s="930"/>
      <c r="HD124" s="930"/>
      <c r="HE124" s="930"/>
      <c r="HF124" s="930"/>
      <c r="HG124" s="930"/>
      <c r="HH124" s="930"/>
      <c r="HI124" s="930"/>
      <c r="HJ124" s="930"/>
      <c r="HK124" s="930"/>
      <c r="HL124" s="930"/>
      <c r="HM124" s="930"/>
      <c r="HN124" s="930"/>
      <c r="HO124" s="930"/>
      <c r="HP124" s="930"/>
      <c r="HQ124" s="930"/>
      <c r="HT124" s="1061"/>
      <c r="HU124" s="930"/>
      <c r="HV124" s="930"/>
      <c r="HW124" s="930"/>
      <c r="HX124" s="930"/>
      <c r="HY124" s="930"/>
    </row>
    <row r="125" spans="4:233" ht="15">
      <c r="D125" s="945"/>
      <c r="E125" s="930"/>
      <c r="F125" s="930"/>
      <c r="G125" s="930"/>
      <c r="H125" s="930"/>
      <c r="I125" s="930"/>
      <c r="J125" s="930"/>
      <c r="K125" s="930"/>
      <c r="L125" s="930"/>
      <c r="M125" s="930"/>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0"/>
      <c r="AJ125" s="930"/>
      <c r="AK125" s="930"/>
      <c r="AL125" s="930"/>
      <c r="AM125" s="930"/>
      <c r="AN125" s="930"/>
      <c r="AP125" s="945"/>
      <c r="AQ125" s="930"/>
      <c r="AR125" s="930"/>
      <c r="AS125" s="930"/>
      <c r="AT125" s="930"/>
      <c r="AU125" s="930"/>
      <c r="AW125" s="984"/>
      <c r="AX125" s="941"/>
      <c r="AY125" s="930"/>
      <c r="AZ125" s="930"/>
      <c r="BA125" s="930"/>
      <c r="BB125" s="930"/>
      <c r="BC125" s="930"/>
      <c r="BD125" s="930"/>
      <c r="BE125" s="930"/>
      <c r="BF125" s="930"/>
      <c r="BG125" s="930"/>
      <c r="BH125" s="930"/>
      <c r="BI125" s="930"/>
      <c r="BJ125" s="930"/>
      <c r="BK125" s="930"/>
      <c r="BL125" s="930"/>
      <c r="BM125" s="930"/>
      <c r="BN125" s="930"/>
      <c r="BO125" s="930"/>
      <c r="BP125" s="930"/>
      <c r="BQ125" s="930"/>
      <c r="BR125" s="930"/>
      <c r="BS125" s="930"/>
      <c r="BT125" s="930"/>
      <c r="BU125" s="930"/>
      <c r="BV125" s="930"/>
      <c r="BW125" s="930"/>
      <c r="BX125" s="930"/>
      <c r="BY125" s="930"/>
      <c r="BZ125" s="930"/>
      <c r="CA125" s="930"/>
      <c r="CB125" s="930"/>
      <c r="CC125" s="930"/>
      <c r="CD125" s="930"/>
      <c r="CE125" s="930"/>
      <c r="CF125" s="930"/>
      <c r="CG125" s="930"/>
      <c r="CH125" s="930"/>
      <c r="CK125" s="941"/>
      <c r="CL125" s="930"/>
      <c r="CM125" s="930"/>
      <c r="CN125" s="930"/>
      <c r="CO125" s="930"/>
      <c r="CP125" s="930"/>
      <c r="CS125" s="941"/>
      <c r="CT125" s="930"/>
      <c r="CU125" s="930"/>
      <c r="CV125" s="930"/>
      <c r="CW125" s="930"/>
      <c r="CX125" s="930"/>
      <c r="CY125" s="930"/>
      <c r="CZ125" s="930"/>
      <c r="DA125" s="930"/>
      <c r="DB125" s="930"/>
      <c r="DC125" s="930"/>
      <c r="DD125" s="930"/>
      <c r="DE125" s="930"/>
      <c r="DF125" s="930"/>
      <c r="DG125" s="930"/>
      <c r="DH125" s="930"/>
      <c r="DI125" s="930"/>
      <c r="DJ125" s="930"/>
      <c r="DK125" s="930"/>
      <c r="DL125" s="930"/>
      <c r="DM125" s="930"/>
      <c r="DN125" s="930"/>
      <c r="DO125" s="930"/>
      <c r="DP125" s="930"/>
      <c r="DQ125" s="930"/>
      <c r="DR125" s="930"/>
      <c r="DS125" s="930"/>
      <c r="DT125" s="930"/>
      <c r="DU125" s="930"/>
      <c r="DV125" s="930"/>
      <c r="DW125" s="930"/>
      <c r="DX125" s="930"/>
      <c r="DY125" s="930"/>
      <c r="DZ125" s="930"/>
      <c r="EA125" s="930"/>
      <c r="EB125" s="930"/>
      <c r="EC125" s="930"/>
      <c r="EE125" s="941"/>
      <c r="EF125" s="930"/>
      <c r="EG125" s="930"/>
      <c r="EH125" s="930"/>
      <c r="EI125" s="930"/>
      <c r="EJ125" s="930"/>
      <c r="EM125" s="942"/>
      <c r="EN125" s="941"/>
      <c r="EO125" s="930"/>
      <c r="EP125" s="930"/>
      <c r="EQ125" s="930"/>
      <c r="ER125" s="930"/>
      <c r="ES125" s="930"/>
      <c r="ET125" s="930"/>
      <c r="EU125" s="930"/>
      <c r="EV125" s="930"/>
      <c r="EW125" s="930"/>
      <c r="EX125" s="930"/>
      <c r="EY125" s="930"/>
      <c r="EZ125" s="930"/>
      <c r="FA125" s="930"/>
      <c r="FB125" s="930"/>
      <c r="FC125" s="930"/>
      <c r="FD125" s="930"/>
      <c r="FE125" s="930"/>
      <c r="FF125" s="930"/>
      <c r="FG125" s="930"/>
      <c r="FH125" s="930"/>
      <c r="FI125" s="930"/>
      <c r="FJ125" s="930"/>
      <c r="FK125" s="930"/>
      <c r="FL125" s="930"/>
      <c r="FM125" s="930"/>
      <c r="FN125" s="930"/>
      <c r="FO125" s="930"/>
      <c r="FP125" s="930"/>
      <c r="FQ125" s="930"/>
      <c r="FR125" s="930"/>
      <c r="FS125" s="930"/>
      <c r="FT125" s="930"/>
      <c r="FU125" s="930"/>
      <c r="FV125" s="930"/>
      <c r="FW125" s="930"/>
      <c r="FX125" s="930"/>
      <c r="FZ125" s="941"/>
      <c r="GA125" s="930"/>
      <c r="GB125" s="930"/>
      <c r="GC125" s="930"/>
      <c r="GD125" s="930"/>
      <c r="GE125" s="930"/>
      <c r="GG125" s="946"/>
      <c r="GH125" s="930"/>
      <c r="GI125" s="930"/>
      <c r="GJ125" s="930"/>
      <c r="GK125" s="930"/>
      <c r="GL125" s="930"/>
      <c r="GM125" s="930"/>
      <c r="GN125" s="930"/>
      <c r="GO125" s="930"/>
      <c r="GP125" s="930"/>
      <c r="GQ125" s="930"/>
      <c r="GR125" s="930"/>
      <c r="GS125" s="930"/>
      <c r="GT125" s="930"/>
      <c r="GU125" s="930"/>
      <c r="GV125" s="930"/>
      <c r="GW125" s="930"/>
      <c r="GX125" s="930"/>
      <c r="GY125" s="930"/>
      <c r="GZ125" s="930"/>
      <c r="HA125" s="930"/>
      <c r="HB125" s="930"/>
      <c r="HC125" s="930"/>
      <c r="HD125" s="930"/>
      <c r="HE125" s="930"/>
      <c r="HF125" s="930"/>
      <c r="HG125" s="930"/>
      <c r="HH125" s="930"/>
      <c r="HI125" s="930"/>
      <c r="HJ125" s="930"/>
      <c r="HK125" s="930"/>
      <c r="HL125" s="930"/>
      <c r="HM125" s="930"/>
      <c r="HN125" s="930"/>
      <c r="HO125" s="930"/>
      <c r="HP125" s="930"/>
      <c r="HQ125" s="930"/>
      <c r="HT125" s="946"/>
      <c r="HU125" s="930"/>
      <c r="HV125" s="930"/>
      <c r="HW125" s="930"/>
      <c r="HX125" s="930"/>
      <c r="HY125" s="930"/>
    </row>
    <row r="126" spans="4:233" ht="15">
      <c r="D126" s="945"/>
      <c r="E126" s="930"/>
      <c r="F126" s="930"/>
      <c r="G126" s="930"/>
      <c r="H126" s="930"/>
      <c r="I126" s="930"/>
      <c r="J126" s="930"/>
      <c r="K126" s="930"/>
      <c r="L126" s="930"/>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0"/>
      <c r="AJ126" s="930"/>
      <c r="AK126" s="930"/>
      <c r="AL126" s="930"/>
      <c r="AM126" s="930"/>
      <c r="AN126" s="930"/>
      <c r="AP126" s="945"/>
      <c r="AQ126" s="930"/>
      <c r="AR126" s="930"/>
      <c r="AS126" s="930"/>
      <c r="AT126" s="930"/>
      <c r="AU126" s="930"/>
      <c r="AW126" s="984"/>
      <c r="AX126" s="947"/>
      <c r="AY126" s="930"/>
      <c r="AZ126" s="930"/>
      <c r="BA126" s="930"/>
      <c r="BB126" s="930"/>
      <c r="BC126" s="930"/>
      <c r="BD126" s="930"/>
      <c r="BE126" s="930"/>
      <c r="BF126" s="930"/>
      <c r="BG126" s="930"/>
      <c r="BH126" s="930"/>
      <c r="BI126" s="930"/>
      <c r="BJ126" s="930"/>
      <c r="BK126" s="930"/>
      <c r="BL126" s="930"/>
      <c r="BM126" s="930"/>
      <c r="BN126" s="930"/>
      <c r="BO126" s="930"/>
      <c r="BP126" s="930"/>
      <c r="BQ126" s="930"/>
      <c r="BR126" s="930"/>
      <c r="BS126" s="930"/>
      <c r="BT126" s="930"/>
      <c r="BU126" s="930"/>
      <c r="BV126" s="930"/>
      <c r="BW126" s="930"/>
      <c r="BX126" s="930"/>
      <c r="BY126" s="930"/>
      <c r="BZ126" s="930"/>
      <c r="CA126" s="930"/>
      <c r="CB126" s="930"/>
      <c r="CC126" s="930"/>
      <c r="CD126" s="930"/>
      <c r="CE126" s="930"/>
      <c r="CF126" s="930"/>
      <c r="CG126" s="930"/>
      <c r="CH126" s="930"/>
      <c r="CK126" s="947"/>
      <c r="CL126" s="930"/>
      <c r="CM126" s="930"/>
      <c r="CN126" s="930"/>
      <c r="CO126" s="930"/>
      <c r="CP126" s="930"/>
      <c r="CS126" s="948"/>
      <c r="CT126" s="955"/>
      <c r="CU126" s="955"/>
      <c r="CV126" s="955"/>
      <c r="CW126" s="955"/>
      <c r="CX126" s="955"/>
      <c r="CY126" s="955"/>
      <c r="CZ126" s="955"/>
      <c r="DA126" s="955"/>
      <c r="DB126" s="955"/>
      <c r="DC126" s="955"/>
      <c r="DD126" s="955"/>
      <c r="DE126" s="955"/>
      <c r="DF126" s="955"/>
      <c r="DG126" s="955"/>
      <c r="DH126" s="955"/>
      <c r="DI126" s="955"/>
      <c r="DJ126" s="955"/>
      <c r="DK126" s="955"/>
      <c r="DL126" s="955"/>
      <c r="DM126" s="955"/>
      <c r="DN126" s="955"/>
      <c r="DO126" s="955"/>
      <c r="DP126" s="955"/>
      <c r="DQ126" s="955"/>
      <c r="DR126" s="955"/>
      <c r="DS126" s="955"/>
      <c r="DT126" s="955"/>
      <c r="DU126" s="955"/>
      <c r="DV126" s="955"/>
      <c r="DW126" s="955"/>
      <c r="DX126" s="955"/>
      <c r="DY126" s="955"/>
      <c r="DZ126" s="955"/>
      <c r="EA126" s="955"/>
      <c r="EB126" s="955"/>
      <c r="EC126" s="955"/>
      <c r="EE126" s="948"/>
      <c r="EF126" s="955"/>
      <c r="EG126" s="955"/>
      <c r="EH126" s="955"/>
      <c r="EI126" s="955"/>
      <c r="EJ126" s="955"/>
      <c r="EM126" s="942"/>
      <c r="EN126" s="941"/>
      <c r="EO126" s="930"/>
      <c r="EP126" s="930"/>
      <c r="EQ126" s="930"/>
      <c r="ER126" s="930"/>
      <c r="ES126" s="930"/>
      <c r="ET126" s="930"/>
      <c r="EU126" s="930"/>
      <c r="EV126" s="930"/>
      <c r="EW126" s="930"/>
      <c r="EX126" s="930"/>
      <c r="EY126" s="930"/>
      <c r="EZ126" s="930"/>
      <c r="FA126" s="930"/>
      <c r="FB126" s="930"/>
      <c r="FC126" s="930"/>
      <c r="FD126" s="930"/>
      <c r="FE126" s="930"/>
      <c r="FF126" s="930"/>
      <c r="FG126" s="930"/>
      <c r="FH126" s="930"/>
      <c r="FI126" s="930"/>
      <c r="FJ126" s="930"/>
      <c r="FK126" s="930"/>
      <c r="FL126" s="930"/>
      <c r="FM126" s="930"/>
      <c r="FN126" s="930"/>
      <c r="FO126" s="930"/>
      <c r="FP126" s="930"/>
      <c r="FQ126" s="930"/>
      <c r="FR126" s="930"/>
      <c r="FS126" s="930"/>
      <c r="FT126" s="930"/>
      <c r="FU126" s="930"/>
      <c r="FV126" s="930"/>
      <c r="FW126" s="930"/>
      <c r="FX126" s="930"/>
      <c r="FZ126" s="941"/>
      <c r="GA126" s="930"/>
      <c r="GB126" s="930"/>
      <c r="GC126" s="930"/>
      <c r="GD126" s="930"/>
      <c r="GE126" s="930"/>
      <c r="GG126" s="951"/>
      <c r="GH126" s="930"/>
      <c r="GI126" s="930"/>
      <c r="GJ126" s="930"/>
      <c r="GK126" s="930"/>
      <c r="GL126" s="930"/>
      <c r="GM126" s="930"/>
      <c r="GN126" s="930"/>
      <c r="GO126" s="930"/>
      <c r="GP126" s="930"/>
      <c r="GQ126" s="930"/>
      <c r="GR126" s="930"/>
      <c r="GS126" s="930"/>
      <c r="GT126" s="930"/>
      <c r="GU126" s="930"/>
      <c r="GV126" s="930"/>
      <c r="GW126" s="930"/>
      <c r="GX126" s="930"/>
      <c r="GY126" s="930"/>
      <c r="GZ126" s="930"/>
      <c r="HA126" s="930"/>
      <c r="HB126" s="930"/>
      <c r="HC126" s="930"/>
      <c r="HD126" s="930"/>
      <c r="HE126" s="930"/>
      <c r="HF126" s="930"/>
      <c r="HG126" s="930"/>
      <c r="HH126" s="930"/>
      <c r="HI126" s="930"/>
      <c r="HJ126" s="930"/>
      <c r="HK126" s="930"/>
      <c r="HL126" s="930"/>
      <c r="HM126" s="930"/>
      <c r="HN126" s="930"/>
      <c r="HO126" s="930"/>
      <c r="HP126" s="930"/>
      <c r="HQ126" s="930"/>
      <c r="HT126" s="951"/>
      <c r="HU126" s="930"/>
      <c r="HV126" s="930"/>
      <c r="HW126" s="930"/>
      <c r="HX126" s="930"/>
      <c r="HY126" s="930"/>
    </row>
    <row r="127" spans="4:233" ht="15">
      <c r="D127" s="945"/>
      <c r="E127" s="930"/>
      <c r="F127" s="930"/>
      <c r="G127" s="930"/>
      <c r="H127" s="930"/>
      <c r="I127" s="930"/>
      <c r="J127" s="930"/>
      <c r="K127" s="930"/>
      <c r="L127" s="930"/>
      <c r="M127" s="930"/>
      <c r="N127" s="930"/>
      <c r="O127" s="930"/>
      <c r="P127" s="930"/>
      <c r="Q127" s="930"/>
      <c r="R127" s="930"/>
      <c r="S127" s="930"/>
      <c r="T127" s="930"/>
      <c r="U127" s="930"/>
      <c r="V127" s="930"/>
      <c r="W127" s="930"/>
      <c r="X127" s="930"/>
      <c r="Y127" s="930"/>
      <c r="Z127" s="930"/>
      <c r="AA127" s="930"/>
      <c r="AB127" s="930"/>
      <c r="AC127" s="930"/>
      <c r="AD127" s="930"/>
      <c r="AE127" s="930"/>
      <c r="AF127" s="930"/>
      <c r="AG127" s="930"/>
      <c r="AH127" s="930"/>
      <c r="AI127" s="930"/>
      <c r="AJ127" s="930"/>
      <c r="AK127" s="930"/>
      <c r="AL127" s="930"/>
      <c r="AM127" s="930"/>
      <c r="AN127" s="930"/>
      <c r="AP127" s="945"/>
      <c r="AQ127" s="930"/>
      <c r="AR127" s="930"/>
      <c r="AS127" s="930"/>
      <c r="AT127" s="930"/>
      <c r="AU127" s="930"/>
      <c r="AW127" s="984"/>
      <c r="AX127" s="949"/>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K127" s="949"/>
      <c r="CL127" s="950"/>
      <c r="CM127" s="950"/>
      <c r="CN127" s="950"/>
      <c r="CO127" s="950"/>
      <c r="CP127" s="950"/>
      <c r="CS127" s="947"/>
      <c r="CT127" s="930"/>
      <c r="CU127" s="930"/>
      <c r="CV127" s="930"/>
      <c r="CW127" s="930"/>
      <c r="CX127" s="930"/>
      <c r="CY127" s="930"/>
      <c r="CZ127" s="930"/>
      <c r="DA127" s="930"/>
      <c r="DB127" s="930"/>
      <c r="DC127" s="930"/>
      <c r="DD127" s="930"/>
      <c r="DE127" s="930"/>
      <c r="DF127" s="930"/>
      <c r="DG127" s="930"/>
      <c r="DH127" s="930"/>
      <c r="DI127" s="930"/>
      <c r="DJ127" s="930"/>
      <c r="DK127" s="930"/>
      <c r="DL127" s="930"/>
      <c r="DM127" s="930"/>
      <c r="DN127" s="930"/>
      <c r="DO127" s="930"/>
      <c r="DP127" s="930"/>
      <c r="DQ127" s="930"/>
      <c r="DR127" s="930"/>
      <c r="DS127" s="930"/>
      <c r="DT127" s="930"/>
      <c r="DU127" s="930"/>
      <c r="DV127" s="930"/>
      <c r="DW127" s="930"/>
      <c r="DX127" s="930"/>
      <c r="DY127" s="930"/>
      <c r="DZ127" s="930"/>
      <c r="EA127" s="930"/>
      <c r="EB127" s="930"/>
      <c r="EC127" s="930"/>
      <c r="EE127" s="947"/>
      <c r="EF127" s="930"/>
      <c r="EG127" s="930"/>
      <c r="EH127" s="930"/>
      <c r="EI127" s="930"/>
      <c r="EJ127" s="930"/>
      <c r="EM127" s="942"/>
      <c r="EN127" s="947"/>
      <c r="EO127" s="930"/>
      <c r="EP127" s="930"/>
      <c r="EQ127" s="930"/>
      <c r="ER127" s="930"/>
      <c r="ES127" s="930"/>
      <c r="ET127" s="930"/>
      <c r="EU127" s="930"/>
      <c r="EV127" s="930"/>
      <c r="EW127" s="930"/>
      <c r="EX127" s="930"/>
      <c r="EY127" s="930"/>
      <c r="EZ127" s="930"/>
      <c r="FA127" s="930"/>
      <c r="FB127" s="930"/>
      <c r="FC127" s="930"/>
      <c r="FD127" s="930"/>
      <c r="FE127" s="930"/>
      <c r="FF127" s="930"/>
      <c r="FG127" s="930"/>
      <c r="FH127" s="930"/>
      <c r="FI127" s="930"/>
      <c r="FJ127" s="930"/>
      <c r="FK127" s="930"/>
      <c r="FL127" s="930"/>
      <c r="FM127" s="930"/>
      <c r="FN127" s="930"/>
      <c r="FO127" s="930"/>
      <c r="FP127" s="930"/>
      <c r="FQ127" s="930"/>
      <c r="FR127" s="930"/>
      <c r="FS127" s="930"/>
      <c r="FT127" s="930"/>
      <c r="FU127" s="930"/>
      <c r="FV127" s="930"/>
      <c r="FW127" s="930"/>
      <c r="FX127" s="930"/>
      <c r="FZ127" s="947"/>
      <c r="GA127" s="930"/>
      <c r="GB127" s="930"/>
      <c r="GC127" s="930"/>
      <c r="GD127" s="930"/>
      <c r="GE127" s="930"/>
      <c r="GG127" s="946"/>
      <c r="GH127" s="930"/>
      <c r="GI127" s="930"/>
      <c r="GJ127" s="930"/>
      <c r="GK127" s="930"/>
      <c r="GL127" s="930"/>
      <c r="GM127" s="930"/>
      <c r="GN127" s="930"/>
      <c r="GO127" s="930"/>
      <c r="GP127" s="930"/>
      <c r="GQ127" s="930"/>
      <c r="GR127" s="930"/>
      <c r="GS127" s="930"/>
      <c r="GT127" s="930"/>
      <c r="GU127" s="930"/>
      <c r="GV127" s="930"/>
      <c r="GW127" s="930"/>
      <c r="GX127" s="930"/>
      <c r="GY127" s="930"/>
      <c r="GZ127" s="930"/>
      <c r="HA127" s="930"/>
      <c r="HB127" s="930"/>
      <c r="HC127" s="930"/>
      <c r="HD127" s="930"/>
      <c r="HE127" s="930"/>
      <c r="HF127" s="930"/>
      <c r="HG127" s="930"/>
      <c r="HH127" s="930"/>
      <c r="HI127" s="930"/>
      <c r="HJ127" s="930"/>
      <c r="HK127" s="930"/>
      <c r="HL127" s="930"/>
      <c r="HM127" s="930"/>
      <c r="HN127" s="930"/>
      <c r="HO127" s="930"/>
      <c r="HP127" s="930"/>
      <c r="HQ127" s="930"/>
      <c r="HT127" s="946"/>
      <c r="HU127" s="930"/>
      <c r="HV127" s="930"/>
      <c r="HW127" s="930"/>
      <c r="HX127" s="930"/>
      <c r="HY127" s="930"/>
    </row>
    <row r="128" spans="4:233" ht="13.5" thickBot="1">
      <c r="D128" s="940"/>
      <c r="E128" s="930"/>
      <c r="F128" s="930"/>
      <c r="G128" s="930"/>
      <c r="H128" s="930"/>
      <c r="I128" s="930"/>
      <c r="J128" s="930"/>
      <c r="K128" s="930"/>
      <c r="L128" s="930"/>
      <c r="M128" s="930"/>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0"/>
      <c r="AJ128" s="930"/>
      <c r="AK128" s="930"/>
      <c r="AL128" s="930"/>
      <c r="AM128" s="930"/>
      <c r="AN128" s="930"/>
      <c r="AP128" s="940"/>
      <c r="AQ128" s="930"/>
      <c r="AR128" s="930"/>
      <c r="AS128" s="930"/>
      <c r="AT128" s="930"/>
      <c r="AU128" s="930"/>
      <c r="AX128" s="952"/>
      <c r="AY128" s="953"/>
      <c r="AZ128" s="953"/>
      <c r="BA128" s="953"/>
      <c r="BB128" s="953"/>
      <c r="BC128" s="953"/>
      <c r="BD128" s="953"/>
      <c r="BE128" s="953"/>
      <c r="BF128" s="953"/>
      <c r="BG128" s="953"/>
      <c r="BH128" s="953"/>
      <c r="BI128" s="953"/>
      <c r="BJ128" s="953"/>
      <c r="BK128" s="953"/>
      <c r="BL128" s="953"/>
      <c r="BM128" s="953"/>
      <c r="BN128" s="953"/>
      <c r="BO128" s="953"/>
      <c r="BP128" s="953"/>
      <c r="BQ128" s="953"/>
      <c r="BR128" s="953"/>
      <c r="BS128" s="953"/>
      <c r="BT128" s="953"/>
      <c r="BU128" s="953"/>
      <c r="BV128" s="953"/>
      <c r="BW128" s="953"/>
      <c r="BX128" s="953"/>
      <c r="BY128" s="953"/>
      <c r="BZ128" s="953"/>
      <c r="CA128" s="953"/>
      <c r="CB128" s="953"/>
      <c r="CC128" s="953"/>
      <c r="CD128" s="953"/>
      <c r="CE128" s="953"/>
      <c r="CF128" s="953"/>
      <c r="CG128" s="953"/>
      <c r="CH128" s="953"/>
      <c r="CK128" s="952"/>
      <c r="CL128" s="953"/>
      <c r="CM128" s="953"/>
      <c r="CN128" s="953"/>
      <c r="CO128" s="953"/>
      <c r="CP128" s="953"/>
      <c r="CS128" s="947"/>
      <c r="CT128" s="930"/>
      <c r="CU128" s="930"/>
      <c r="CV128" s="930"/>
      <c r="CW128" s="930"/>
      <c r="CX128" s="930"/>
      <c r="CY128" s="930"/>
      <c r="CZ128" s="930"/>
      <c r="DA128" s="930"/>
      <c r="DB128" s="930"/>
      <c r="DC128" s="930"/>
      <c r="DD128" s="930"/>
      <c r="DE128" s="930"/>
      <c r="DF128" s="930"/>
      <c r="DG128" s="930"/>
      <c r="DH128" s="930"/>
      <c r="DI128" s="930"/>
      <c r="DJ128" s="930"/>
      <c r="DK128" s="930"/>
      <c r="DL128" s="930"/>
      <c r="DM128" s="930"/>
      <c r="DN128" s="930"/>
      <c r="DO128" s="930"/>
      <c r="DP128" s="930"/>
      <c r="DQ128" s="930"/>
      <c r="DR128" s="930"/>
      <c r="DS128" s="930"/>
      <c r="DT128" s="930"/>
      <c r="DU128" s="930"/>
      <c r="DV128" s="930"/>
      <c r="DW128" s="930"/>
      <c r="DX128" s="930"/>
      <c r="DY128" s="930"/>
      <c r="DZ128" s="930"/>
      <c r="EA128" s="930"/>
      <c r="EB128" s="930"/>
      <c r="EC128" s="930"/>
      <c r="EE128" s="947"/>
      <c r="EF128" s="930"/>
      <c r="EG128" s="930"/>
      <c r="EH128" s="930"/>
      <c r="EI128" s="930"/>
      <c r="EJ128" s="930"/>
      <c r="EM128" s="942"/>
      <c r="EN128" s="947"/>
      <c r="EO128" s="930"/>
      <c r="EP128" s="930"/>
      <c r="EQ128" s="930"/>
      <c r="ER128" s="930"/>
      <c r="ES128" s="930"/>
      <c r="ET128" s="930"/>
      <c r="EU128" s="930"/>
      <c r="EV128" s="930"/>
      <c r="EW128" s="930"/>
      <c r="EX128" s="930"/>
      <c r="EY128" s="930"/>
      <c r="EZ128" s="930"/>
      <c r="FA128" s="930"/>
      <c r="FB128" s="930"/>
      <c r="FC128" s="930"/>
      <c r="FD128" s="930"/>
      <c r="FE128" s="930"/>
      <c r="FF128" s="930"/>
      <c r="FG128" s="930"/>
      <c r="FH128" s="930"/>
      <c r="FI128" s="930"/>
      <c r="FJ128" s="930"/>
      <c r="FK128" s="930"/>
      <c r="FL128" s="930"/>
      <c r="FM128" s="930"/>
      <c r="FN128" s="930"/>
      <c r="FO128" s="930"/>
      <c r="FP128" s="930"/>
      <c r="FQ128" s="930"/>
      <c r="FR128" s="930"/>
      <c r="FS128" s="930"/>
      <c r="FT128" s="930"/>
      <c r="FU128" s="930"/>
      <c r="FV128" s="930"/>
      <c r="FW128" s="930"/>
      <c r="FX128" s="930"/>
      <c r="FZ128" s="947"/>
      <c r="GA128" s="930"/>
      <c r="GB128" s="930"/>
      <c r="GC128" s="930"/>
      <c r="GD128" s="930"/>
      <c r="GE128" s="930"/>
      <c r="GG128" s="957"/>
      <c r="GH128" s="930"/>
      <c r="GI128" s="930"/>
      <c r="GJ128" s="930"/>
      <c r="GK128" s="930"/>
      <c r="GL128" s="930"/>
      <c r="GM128" s="930"/>
      <c r="GN128" s="930"/>
      <c r="GO128" s="930"/>
      <c r="GP128" s="930"/>
      <c r="GQ128" s="930"/>
      <c r="GR128" s="930"/>
      <c r="GS128" s="930"/>
      <c r="GT128" s="930"/>
      <c r="GU128" s="930"/>
      <c r="GV128" s="930"/>
      <c r="GW128" s="930"/>
      <c r="GX128" s="930"/>
      <c r="GY128" s="930"/>
      <c r="GZ128" s="930"/>
      <c r="HA128" s="930"/>
      <c r="HB128" s="930"/>
      <c r="HC128" s="930"/>
      <c r="HD128" s="930"/>
      <c r="HE128" s="930"/>
      <c r="HF128" s="930"/>
      <c r="HG128" s="930"/>
      <c r="HH128" s="930"/>
      <c r="HI128" s="930"/>
      <c r="HJ128" s="930"/>
      <c r="HK128" s="930"/>
      <c r="HL128" s="930"/>
      <c r="HM128" s="930"/>
      <c r="HN128" s="930"/>
      <c r="HO128" s="930"/>
      <c r="HP128" s="930"/>
      <c r="HQ128" s="930"/>
      <c r="HT128" s="957"/>
      <c r="HU128" s="930"/>
      <c r="HV128" s="930"/>
      <c r="HW128" s="930"/>
      <c r="HX128" s="930"/>
      <c r="HY128" s="930"/>
    </row>
    <row r="129" spans="4:187" ht="13.5" thickBot="1">
      <c r="D129" s="940"/>
      <c r="E129" s="930"/>
      <c r="F129" s="930"/>
      <c r="G129" s="930"/>
      <c r="H129" s="930"/>
      <c r="I129" s="930"/>
      <c r="J129" s="930"/>
      <c r="K129" s="930"/>
      <c r="L129" s="930"/>
      <c r="M129" s="930"/>
      <c r="N129" s="930"/>
      <c r="O129" s="930"/>
      <c r="P129" s="930"/>
      <c r="Q129" s="930"/>
      <c r="R129" s="930"/>
      <c r="S129" s="930"/>
      <c r="T129" s="930"/>
      <c r="U129" s="930"/>
      <c r="V129" s="930"/>
      <c r="W129" s="930"/>
      <c r="X129" s="930"/>
      <c r="Y129" s="930"/>
      <c r="Z129" s="930"/>
      <c r="AA129" s="930"/>
      <c r="AB129" s="930"/>
      <c r="AC129" s="930"/>
      <c r="AD129" s="930"/>
      <c r="AE129" s="930"/>
      <c r="AF129" s="930"/>
      <c r="AG129" s="930"/>
      <c r="AH129" s="930"/>
      <c r="AI129" s="930"/>
      <c r="AJ129" s="930"/>
      <c r="AK129" s="930"/>
      <c r="AL129" s="930"/>
      <c r="AM129" s="930"/>
      <c r="AN129" s="930"/>
      <c r="AP129" s="940"/>
      <c r="AQ129" s="930"/>
      <c r="AR129" s="930"/>
      <c r="AS129" s="930"/>
      <c r="AT129" s="930"/>
      <c r="AU129" s="930"/>
      <c r="AX129" s="954"/>
      <c r="AY129" s="955"/>
      <c r="AZ129" s="955"/>
      <c r="BA129" s="955"/>
      <c r="BB129" s="955"/>
      <c r="BC129" s="955"/>
      <c r="BD129" s="955"/>
      <c r="BE129" s="955"/>
      <c r="BF129" s="955"/>
      <c r="BG129" s="955"/>
      <c r="BH129" s="955"/>
      <c r="BI129" s="955"/>
      <c r="BJ129" s="955"/>
      <c r="BK129" s="955"/>
      <c r="BL129" s="955"/>
      <c r="BM129" s="955"/>
      <c r="BN129" s="955"/>
      <c r="BO129" s="955"/>
      <c r="BP129" s="955"/>
      <c r="BQ129" s="955"/>
      <c r="BR129" s="955"/>
      <c r="BS129" s="955"/>
      <c r="BT129" s="955"/>
      <c r="BU129" s="955"/>
      <c r="BV129" s="955"/>
      <c r="BW129" s="955"/>
      <c r="BX129" s="955"/>
      <c r="BY129" s="955"/>
      <c r="BZ129" s="955"/>
      <c r="CA129" s="955"/>
      <c r="CB129" s="955"/>
      <c r="CC129" s="955"/>
      <c r="CD129" s="955"/>
      <c r="CE129" s="955"/>
      <c r="CF129" s="955"/>
      <c r="CG129" s="955"/>
      <c r="CH129" s="955"/>
      <c r="CK129" s="954"/>
      <c r="CL129" s="955"/>
      <c r="CM129" s="955"/>
      <c r="CN129" s="955"/>
      <c r="CO129" s="955"/>
      <c r="CP129" s="955"/>
      <c r="CS129" s="947"/>
      <c r="CT129" s="930"/>
      <c r="CU129" s="930"/>
      <c r="CV129" s="930"/>
      <c r="CW129" s="930"/>
      <c r="CX129" s="930"/>
      <c r="CY129" s="930"/>
      <c r="CZ129" s="930"/>
      <c r="DA129" s="930"/>
      <c r="DB129" s="930"/>
      <c r="DC129" s="930"/>
      <c r="DD129" s="930"/>
      <c r="DE129" s="930"/>
      <c r="DF129" s="930"/>
      <c r="DG129" s="930"/>
      <c r="DH129" s="930"/>
      <c r="DI129" s="930"/>
      <c r="DJ129" s="930"/>
      <c r="DK129" s="930"/>
      <c r="DL129" s="930"/>
      <c r="DM129" s="930"/>
      <c r="DN129" s="930"/>
      <c r="DO129" s="930"/>
      <c r="DP129" s="930"/>
      <c r="DQ129" s="930"/>
      <c r="DR129" s="930"/>
      <c r="DS129" s="930"/>
      <c r="DT129" s="930"/>
      <c r="DU129" s="930"/>
      <c r="DV129" s="930"/>
      <c r="DW129" s="930"/>
      <c r="DX129" s="930"/>
      <c r="DY129" s="930"/>
      <c r="DZ129" s="930"/>
      <c r="EA129" s="930"/>
      <c r="EB129" s="930"/>
      <c r="EC129" s="930"/>
      <c r="EE129" s="947"/>
      <c r="EF129" s="930"/>
      <c r="EG129" s="930"/>
      <c r="EH129" s="930"/>
      <c r="EI129" s="930"/>
      <c r="EJ129" s="930"/>
      <c r="EM129" s="942"/>
      <c r="EN129" s="956"/>
      <c r="EO129" s="930"/>
      <c r="EP129" s="930"/>
      <c r="EQ129" s="930"/>
      <c r="ER129" s="930"/>
      <c r="ES129" s="930"/>
      <c r="ET129" s="930"/>
      <c r="EU129" s="930"/>
      <c r="EV129" s="930"/>
      <c r="EW129" s="930"/>
      <c r="EX129" s="930"/>
      <c r="EY129" s="930"/>
      <c r="EZ129" s="930"/>
      <c r="FA129" s="930"/>
      <c r="FB129" s="930"/>
      <c r="FC129" s="930"/>
      <c r="FD129" s="930"/>
      <c r="FE129" s="930"/>
      <c r="FF129" s="930"/>
      <c r="FG129" s="930"/>
      <c r="FH129" s="930"/>
      <c r="FI129" s="930"/>
      <c r="FJ129" s="930"/>
      <c r="FK129" s="930"/>
      <c r="FL129" s="930"/>
      <c r="FM129" s="930"/>
      <c r="FN129" s="930"/>
      <c r="FO129" s="930"/>
      <c r="FP129" s="930"/>
      <c r="FQ129" s="930"/>
      <c r="FR129" s="930"/>
      <c r="FS129" s="930"/>
      <c r="FT129" s="930"/>
      <c r="FU129" s="930"/>
      <c r="FV129" s="930"/>
      <c r="FW129" s="930"/>
      <c r="FX129" s="930"/>
      <c r="FZ129" s="956"/>
      <c r="GA129" s="930"/>
      <c r="GB129" s="930"/>
      <c r="GC129" s="930"/>
      <c r="GD129" s="930"/>
      <c r="GE129" s="930"/>
    </row>
    <row r="130" spans="4:187">
      <c r="D130" s="940"/>
      <c r="E130" s="930"/>
      <c r="F130" s="930"/>
      <c r="G130" s="930"/>
      <c r="H130" s="930"/>
      <c r="I130" s="930"/>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0"/>
      <c r="AJ130" s="930"/>
      <c r="AK130" s="930"/>
      <c r="AL130" s="930"/>
      <c r="AM130" s="930"/>
      <c r="AN130" s="930"/>
      <c r="AP130" s="940"/>
      <c r="AQ130" s="930"/>
      <c r="AR130" s="930"/>
      <c r="AS130" s="930"/>
      <c r="AT130" s="930"/>
      <c r="AU130" s="930"/>
      <c r="AW130" s="984"/>
      <c r="AX130" s="958"/>
      <c r="AY130" s="930"/>
      <c r="AZ130" s="930"/>
      <c r="BA130" s="930"/>
      <c r="BB130" s="930"/>
      <c r="BC130" s="930"/>
      <c r="BD130" s="930"/>
      <c r="BE130" s="930"/>
      <c r="BF130" s="930"/>
      <c r="BG130" s="930"/>
      <c r="BH130" s="930"/>
      <c r="BI130" s="930"/>
      <c r="BJ130" s="930"/>
      <c r="BK130" s="930"/>
      <c r="BL130" s="930"/>
      <c r="BM130" s="930"/>
      <c r="BN130" s="930"/>
      <c r="BO130" s="930"/>
      <c r="BP130" s="930"/>
      <c r="BQ130" s="930"/>
      <c r="BR130" s="930"/>
      <c r="BS130" s="930"/>
      <c r="BT130" s="930"/>
      <c r="BU130" s="930"/>
      <c r="BV130" s="930"/>
      <c r="BW130" s="930"/>
      <c r="BX130" s="930"/>
      <c r="BY130" s="930"/>
      <c r="BZ130" s="930"/>
      <c r="CA130" s="930"/>
      <c r="CB130" s="930"/>
      <c r="CC130" s="930"/>
      <c r="CD130" s="930"/>
      <c r="CE130" s="930"/>
      <c r="CF130" s="930"/>
      <c r="CG130" s="930"/>
      <c r="CH130" s="930"/>
      <c r="CK130" s="958"/>
      <c r="CL130" s="930"/>
      <c r="CM130" s="930"/>
      <c r="CN130" s="930"/>
      <c r="CO130" s="930"/>
      <c r="CP130" s="930"/>
      <c r="CS130" s="947"/>
      <c r="CT130" s="930"/>
      <c r="CU130" s="930"/>
      <c r="CV130" s="930"/>
      <c r="CW130" s="930"/>
      <c r="CX130" s="930"/>
      <c r="CY130" s="930"/>
      <c r="CZ130" s="930"/>
      <c r="DA130" s="930"/>
      <c r="DB130" s="930"/>
      <c r="DC130" s="930"/>
      <c r="DD130" s="930"/>
      <c r="DE130" s="930"/>
      <c r="DF130" s="930"/>
      <c r="DG130" s="930"/>
      <c r="DH130" s="930"/>
      <c r="DI130" s="930"/>
      <c r="DJ130" s="930"/>
      <c r="DK130" s="930"/>
      <c r="DL130" s="930"/>
      <c r="DM130" s="930"/>
      <c r="DN130" s="930"/>
      <c r="DO130" s="930"/>
      <c r="DP130" s="930"/>
      <c r="DQ130" s="930"/>
      <c r="DR130" s="930"/>
      <c r="DS130" s="930"/>
      <c r="DT130" s="930"/>
      <c r="DU130" s="930"/>
      <c r="DV130" s="930"/>
      <c r="DW130" s="930"/>
      <c r="DX130" s="930"/>
      <c r="DY130" s="930"/>
      <c r="DZ130" s="930"/>
      <c r="EA130" s="930"/>
      <c r="EB130" s="930"/>
      <c r="EC130" s="930"/>
      <c r="EE130" s="947"/>
      <c r="EF130" s="930"/>
      <c r="EG130" s="930"/>
      <c r="EH130" s="930"/>
      <c r="EI130" s="930"/>
      <c r="EJ130" s="930"/>
      <c r="EM130" s="942"/>
    </row>
    <row r="131" spans="4:187" ht="15">
      <c r="D131" s="959"/>
      <c r="E131" s="960"/>
      <c r="F131" s="960"/>
      <c r="G131" s="960"/>
      <c r="H131" s="960"/>
      <c r="I131" s="960"/>
      <c r="J131" s="960"/>
      <c r="K131" s="960"/>
      <c r="L131" s="960"/>
      <c r="M131" s="960"/>
      <c r="N131" s="960"/>
      <c r="O131" s="960"/>
      <c r="P131" s="960"/>
      <c r="Q131" s="960"/>
      <c r="R131" s="960"/>
      <c r="S131" s="960"/>
      <c r="T131" s="960"/>
      <c r="U131" s="960"/>
      <c r="V131" s="960"/>
      <c r="W131" s="960"/>
      <c r="X131" s="960"/>
      <c r="Y131" s="960"/>
      <c r="Z131" s="960"/>
      <c r="AA131" s="960"/>
      <c r="AB131" s="960"/>
      <c r="AC131" s="960"/>
      <c r="AD131" s="960"/>
      <c r="AE131" s="960"/>
      <c r="AF131" s="960"/>
      <c r="AG131" s="960"/>
      <c r="AH131" s="960"/>
      <c r="AI131" s="960"/>
      <c r="AJ131" s="960"/>
      <c r="AK131" s="960"/>
      <c r="AL131" s="960"/>
      <c r="AM131" s="960"/>
      <c r="AN131" s="960"/>
      <c r="AP131" s="959"/>
      <c r="AQ131" s="960"/>
      <c r="AR131" s="960"/>
      <c r="AS131" s="960"/>
      <c r="AT131" s="960"/>
      <c r="AU131" s="960"/>
      <c r="AX131" s="958"/>
      <c r="AY131" s="930"/>
      <c r="AZ131" s="930"/>
      <c r="BA131" s="930"/>
      <c r="BB131" s="930"/>
      <c r="BC131" s="930"/>
      <c r="BD131" s="930"/>
      <c r="BE131" s="930"/>
      <c r="BF131" s="930"/>
      <c r="BG131" s="930"/>
      <c r="BH131" s="930"/>
      <c r="BI131" s="930"/>
      <c r="BJ131" s="930"/>
      <c r="BK131" s="930"/>
      <c r="BL131" s="930"/>
      <c r="BM131" s="930"/>
      <c r="BN131" s="930"/>
      <c r="BO131" s="930"/>
      <c r="BP131" s="930"/>
      <c r="BQ131" s="930"/>
      <c r="BR131" s="930"/>
      <c r="BS131" s="930"/>
      <c r="BT131" s="930"/>
      <c r="BU131" s="930"/>
      <c r="BV131" s="930"/>
      <c r="BW131" s="930"/>
      <c r="BX131" s="930"/>
      <c r="BY131" s="930"/>
      <c r="BZ131" s="930"/>
      <c r="CA131" s="930"/>
      <c r="CB131" s="930"/>
      <c r="CC131" s="930"/>
      <c r="CD131" s="930"/>
      <c r="CE131" s="930"/>
      <c r="CF131" s="930"/>
      <c r="CG131" s="930"/>
      <c r="CH131" s="930"/>
      <c r="CK131" s="958"/>
      <c r="CL131" s="930"/>
      <c r="CM131" s="930"/>
      <c r="CN131" s="930"/>
      <c r="CO131" s="930"/>
      <c r="CP131" s="930"/>
      <c r="CS131" s="947"/>
      <c r="CT131" s="930"/>
      <c r="CU131" s="930"/>
      <c r="CV131" s="930"/>
      <c r="CW131" s="930"/>
      <c r="CX131" s="930"/>
      <c r="CY131" s="930"/>
      <c r="CZ131" s="930"/>
      <c r="DA131" s="930"/>
      <c r="DB131" s="930"/>
      <c r="DC131" s="930"/>
      <c r="DD131" s="930"/>
      <c r="DE131" s="930"/>
      <c r="DF131" s="930"/>
      <c r="DG131" s="930"/>
      <c r="DH131" s="930"/>
      <c r="DI131" s="930"/>
      <c r="DJ131" s="930"/>
      <c r="DK131" s="930"/>
      <c r="DL131" s="930"/>
      <c r="DM131" s="930"/>
      <c r="DN131" s="930"/>
      <c r="DO131" s="930"/>
      <c r="DP131" s="930"/>
      <c r="DQ131" s="930"/>
      <c r="DR131" s="930"/>
      <c r="DS131" s="930"/>
      <c r="DT131" s="930"/>
      <c r="DU131" s="930"/>
      <c r="DV131" s="930"/>
      <c r="DW131" s="930"/>
      <c r="DX131" s="930"/>
      <c r="DY131" s="930"/>
      <c r="DZ131" s="930"/>
      <c r="EA131" s="930"/>
      <c r="EB131" s="930"/>
      <c r="EC131" s="930"/>
      <c r="EE131" s="947"/>
      <c r="EF131" s="930"/>
      <c r="EG131" s="930"/>
      <c r="EH131" s="930"/>
      <c r="EI131" s="930"/>
      <c r="EJ131" s="930"/>
      <c r="EM131" s="942"/>
    </row>
    <row r="132" spans="4:187">
      <c r="D132" s="961"/>
      <c r="E132" s="962"/>
      <c r="F132" s="962"/>
      <c r="G132" s="962"/>
      <c r="H132" s="962"/>
      <c r="I132" s="962"/>
      <c r="J132" s="962"/>
      <c r="K132" s="962"/>
      <c r="L132" s="962"/>
      <c r="M132" s="962"/>
      <c r="N132" s="962"/>
      <c r="O132" s="962"/>
      <c r="P132" s="962"/>
      <c r="Q132" s="962"/>
      <c r="R132" s="962"/>
      <c r="S132" s="962"/>
      <c r="T132" s="962"/>
      <c r="U132" s="962"/>
      <c r="V132" s="962"/>
      <c r="W132" s="962"/>
      <c r="X132" s="962"/>
      <c r="Y132" s="962"/>
      <c r="Z132" s="962"/>
      <c r="AA132" s="962"/>
      <c r="AB132" s="962"/>
      <c r="AC132" s="962"/>
      <c r="AD132" s="962"/>
      <c r="AE132" s="962"/>
      <c r="AF132" s="962"/>
      <c r="AG132" s="962"/>
      <c r="AH132" s="962"/>
      <c r="AI132" s="962"/>
      <c r="AJ132" s="962"/>
      <c r="AK132" s="962"/>
      <c r="AL132" s="962"/>
      <c r="AM132" s="962"/>
      <c r="AN132" s="962"/>
      <c r="AP132" s="961"/>
      <c r="AQ132" s="962"/>
      <c r="AR132" s="962"/>
      <c r="AS132" s="962"/>
      <c r="AT132" s="962"/>
      <c r="AU132" s="962"/>
      <c r="AW132" s="984"/>
      <c r="AX132" s="949"/>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K132" s="949"/>
      <c r="CL132" s="950"/>
      <c r="CM132" s="950"/>
      <c r="CN132" s="950"/>
      <c r="CO132" s="950"/>
      <c r="CP132" s="950"/>
      <c r="CS132" s="947"/>
      <c r="CT132" s="930"/>
      <c r="CU132" s="930"/>
      <c r="CV132" s="930"/>
      <c r="CW132" s="930"/>
      <c r="CX132" s="930"/>
      <c r="CY132" s="930"/>
      <c r="CZ132" s="930"/>
      <c r="DA132" s="930"/>
      <c r="DB132" s="930"/>
      <c r="DC132" s="930"/>
      <c r="DD132" s="930"/>
      <c r="DE132" s="930"/>
      <c r="DF132" s="930"/>
      <c r="DG132" s="930"/>
      <c r="DH132" s="930"/>
      <c r="DI132" s="930"/>
      <c r="DJ132" s="930"/>
      <c r="DK132" s="930"/>
      <c r="DL132" s="930"/>
      <c r="DM132" s="930"/>
      <c r="DN132" s="930"/>
      <c r="DO132" s="930"/>
      <c r="DP132" s="930"/>
      <c r="DQ132" s="930"/>
      <c r="DR132" s="930"/>
      <c r="DS132" s="930"/>
      <c r="DT132" s="930"/>
      <c r="DU132" s="930"/>
      <c r="DV132" s="930"/>
      <c r="DW132" s="930"/>
      <c r="DX132" s="930"/>
      <c r="DY132" s="930"/>
      <c r="DZ132" s="930"/>
      <c r="EA132" s="930"/>
      <c r="EB132" s="930"/>
      <c r="EC132" s="930"/>
      <c r="EE132" s="947"/>
      <c r="EF132" s="930"/>
      <c r="EG132" s="930"/>
      <c r="EH132" s="930"/>
      <c r="EI132" s="930"/>
      <c r="EJ132" s="930"/>
      <c r="EM132" s="942"/>
    </row>
    <row r="133" spans="4:187" ht="15">
      <c r="D133" s="963"/>
      <c r="E133" s="962"/>
      <c r="F133" s="962"/>
      <c r="G133" s="962"/>
      <c r="H133" s="962"/>
      <c r="I133" s="962"/>
      <c r="J133" s="962"/>
      <c r="K133" s="962"/>
      <c r="L133" s="962"/>
      <c r="M133" s="962"/>
      <c r="N133" s="962"/>
      <c r="O133" s="962"/>
      <c r="P133" s="962"/>
      <c r="Q133" s="962"/>
      <c r="R133" s="962"/>
      <c r="S133" s="962"/>
      <c r="T133" s="962"/>
      <c r="U133" s="962"/>
      <c r="V133" s="962"/>
      <c r="W133" s="962"/>
      <c r="X133" s="962"/>
      <c r="Y133" s="962"/>
      <c r="Z133" s="962"/>
      <c r="AA133" s="962"/>
      <c r="AB133" s="962"/>
      <c r="AC133" s="962"/>
      <c r="AD133" s="962"/>
      <c r="AE133" s="962"/>
      <c r="AF133" s="962"/>
      <c r="AG133" s="962"/>
      <c r="AH133" s="962"/>
      <c r="AI133" s="962"/>
      <c r="AJ133" s="962"/>
      <c r="AK133" s="962"/>
      <c r="AL133" s="962"/>
      <c r="AM133" s="962"/>
      <c r="AN133" s="962"/>
      <c r="AP133" s="963"/>
      <c r="AQ133" s="962"/>
      <c r="AR133" s="962"/>
      <c r="AS133" s="962"/>
      <c r="AT133" s="962"/>
      <c r="AU133" s="962"/>
      <c r="AX133" s="952"/>
      <c r="AY133" s="953"/>
      <c r="AZ133" s="953"/>
      <c r="BA133" s="953"/>
      <c r="BB133" s="953"/>
      <c r="BC133" s="953"/>
      <c r="BD133" s="953"/>
      <c r="BE133" s="953"/>
      <c r="BF133" s="953"/>
      <c r="BG133" s="953"/>
      <c r="BH133" s="953"/>
      <c r="BI133" s="953"/>
      <c r="BJ133" s="953"/>
      <c r="BK133" s="953"/>
      <c r="BL133" s="953"/>
      <c r="BM133" s="953"/>
      <c r="BN133" s="953"/>
      <c r="BO133" s="953"/>
      <c r="BP133" s="953"/>
      <c r="BQ133" s="953"/>
      <c r="BR133" s="953"/>
      <c r="BS133" s="953"/>
      <c r="BT133" s="953"/>
      <c r="BU133" s="953"/>
      <c r="BV133" s="953"/>
      <c r="BW133" s="953"/>
      <c r="BX133" s="953"/>
      <c r="BY133" s="953"/>
      <c r="BZ133" s="953"/>
      <c r="CA133" s="953"/>
      <c r="CB133" s="953"/>
      <c r="CC133" s="953"/>
      <c r="CD133" s="953"/>
      <c r="CE133" s="953"/>
      <c r="CF133" s="953"/>
      <c r="CG133" s="953"/>
      <c r="CH133" s="953"/>
      <c r="CK133" s="952"/>
      <c r="CL133" s="953"/>
      <c r="CM133" s="953"/>
      <c r="CN133" s="953"/>
      <c r="CO133" s="953"/>
      <c r="CP133" s="953"/>
      <c r="CS133" s="947"/>
      <c r="CT133" s="930"/>
      <c r="CU133" s="930"/>
      <c r="CV133" s="930"/>
      <c r="CW133" s="930"/>
      <c r="CX133" s="930"/>
      <c r="CY133" s="930"/>
      <c r="CZ133" s="930"/>
      <c r="DA133" s="930"/>
      <c r="DB133" s="930"/>
      <c r="DC133" s="930"/>
      <c r="DD133" s="930"/>
      <c r="DE133" s="930"/>
      <c r="DF133" s="930"/>
      <c r="DG133" s="930"/>
      <c r="DH133" s="930"/>
      <c r="DI133" s="930"/>
      <c r="DJ133" s="930"/>
      <c r="DK133" s="930"/>
      <c r="DL133" s="930"/>
      <c r="DM133" s="930"/>
      <c r="DN133" s="930"/>
      <c r="DO133" s="930"/>
      <c r="DP133" s="930"/>
      <c r="DQ133" s="930"/>
      <c r="DR133" s="930"/>
      <c r="DS133" s="930"/>
      <c r="DT133" s="930"/>
      <c r="DU133" s="930"/>
      <c r="DV133" s="930"/>
      <c r="DW133" s="930"/>
      <c r="DX133" s="930"/>
      <c r="DY133" s="930"/>
      <c r="DZ133" s="930"/>
      <c r="EA133" s="930"/>
      <c r="EB133" s="930"/>
      <c r="EC133" s="930"/>
      <c r="EE133" s="947"/>
      <c r="EF133" s="930"/>
      <c r="EG133" s="930"/>
      <c r="EH133" s="930"/>
      <c r="EI133" s="930"/>
      <c r="EJ133" s="930"/>
      <c r="EM133" s="942"/>
    </row>
    <row r="134" spans="4:187">
      <c r="D134" s="940"/>
      <c r="E134" s="930"/>
      <c r="F134" s="930"/>
      <c r="G134" s="930"/>
      <c r="H134" s="930"/>
      <c r="I134" s="930"/>
      <c r="J134" s="930"/>
      <c r="K134" s="930"/>
      <c r="L134" s="930"/>
      <c r="M134" s="930"/>
      <c r="N134" s="930"/>
      <c r="O134" s="930"/>
      <c r="P134" s="930"/>
      <c r="Q134" s="930"/>
      <c r="R134" s="930"/>
      <c r="S134" s="930"/>
      <c r="T134" s="930"/>
      <c r="U134" s="930"/>
      <c r="V134" s="930"/>
      <c r="W134" s="930"/>
      <c r="X134" s="930"/>
      <c r="Y134" s="930"/>
      <c r="Z134" s="930"/>
      <c r="AA134" s="930"/>
      <c r="AB134" s="930"/>
      <c r="AC134" s="930"/>
      <c r="AD134" s="930"/>
      <c r="AE134" s="930"/>
      <c r="AF134" s="930"/>
      <c r="AG134" s="930"/>
      <c r="AH134" s="930"/>
      <c r="AI134" s="930"/>
      <c r="AJ134" s="930"/>
      <c r="AK134" s="930"/>
      <c r="AL134" s="930"/>
      <c r="AM134" s="930"/>
      <c r="AN134" s="930"/>
      <c r="AP134" s="940"/>
      <c r="AQ134" s="930"/>
      <c r="AR134" s="930"/>
      <c r="AS134" s="930"/>
      <c r="AT134" s="930"/>
      <c r="AU134" s="930"/>
      <c r="AX134" s="964"/>
      <c r="AY134" s="955"/>
      <c r="AZ134" s="955"/>
      <c r="BA134" s="955"/>
      <c r="BB134" s="955"/>
      <c r="BC134" s="955"/>
      <c r="BD134" s="955"/>
      <c r="BE134" s="955"/>
      <c r="BF134" s="955"/>
      <c r="BG134" s="955"/>
      <c r="BH134" s="955"/>
      <c r="BI134" s="955"/>
      <c r="BJ134" s="955"/>
      <c r="BK134" s="955"/>
      <c r="BL134" s="955"/>
      <c r="BM134" s="955"/>
      <c r="BN134" s="955"/>
      <c r="BO134" s="955"/>
      <c r="BP134" s="955"/>
      <c r="BQ134" s="955"/>
      <c r="BR134" s="955"/>
      <c r="BS134" s="955"/>
      <c r="BT134" s="955"/>
      <c r="BU134" s="955"/>
      <c r="BV134" s="955"/>
      <c r="BW134" s="955"/>
      <c r="BX134" s="955"/>
      <c r="BY134" s="955"/>
      <c r="BZ134" s="955"/>
      <c r="CA134" s="955"/>
      <c r="CB134" s="955"/>
      <c r="CC134" s="955"/>
      <c r="CD134" s="955"/>
      <c r="CE134" s="955"/>
      <c r="CF134" s="955"/>
      <c r="CG134" s="955"/>
      <c r="CH134" s="955"/>
      <c r="CK134" s="964"/>
      <c r="CL134" s="955"/>
      <c r="CM134" s="955"/>
      <c r="CN134" s="955"/>
      <c r="CO134" s="955"/>
      <c r="CP134" s="955"/>
      <c r="CS134" s="965"/>
      <c r="CT134" s="955"/>
      <c r="CU134" s="955"/>
      <c r="CV134" s="955"/>
      <c r="CW134" s="955"/>
      <c r="CX134" s="955"/>
      <c r="CY134" s="955"/>
      <c r="CZ134" s="955"/>
      <c r="DA134" s="955"/>
      <c r="DB134" s="955"/>
      <c r="DC134" s="955"/>
      <c r="DD134" s="955"/>
      <c r="DE134" s="955"/>
      <c r="DF134" s="955"/>
      <c r="DG134" s="955"/>
      <c r="DH134" s="955"/>
      <c r="DI134" s="955"/>
      <c r="DJ134" s="955"/>
      <c r="DK134" s="955"/>
      <c r="DL134" s="955"/>
      <c r="DM134" s="955"/>
      <c r="DN134" s="955"/>
      <c r="DO134" s="955"/>
      <c r="DP134" s="955"/>
      <c r="DQ134" s="955"/>
      <c r="DR134" s="955"/>
      <c r="DS134" s="955"/>
      <c r="DT134" s="955"/>
      <c r="DU134" s="955"/>
      <c r="DV134" s="955"/>
      <c r="DW134" s="955"/>
      <c r="DX134" s="955"/>
      <c r="DY134" s="955"/>
      <c r="DZ134" s="955"/>
      <c r="EA134" s="955"/>
      <c r="EB134" s="955"/>
      <c r="EC134" s="955"/>
      <c r="EE134" s="965"/>
      <c r="EF134" s="955"/>
      <c r="EG134" s="955"/>
      <c r="EH134" s="955"/>
      <c r="EI134" s="955"/>
      <c r="EJ134" s="955"/>
      <c r="EM134" s="942"/>
    </row>
    <row r="135" spans="4:187" ht="13.5" thickBot="1">
      <c r="D135" s="961"/>
      <c r="E135" s="930"/>
      <c r="F135" s="930"/>
      <c r="G135" s="930"/>
      <c r="H135" s="930"/>
      <c r="I135" s="930"/>
      <c r="J135" s="930"/>
      <c r="K135" s="930"/>
      <c r="L135" s="930"/>
      <c r="M135" s="930"/>
      <c r="N135" s="930"/>
      <c r="O135" s="930"/>
      <c r="P135" s="930"/>
      <c r="Q135" s="930"/>
      <c r="R135" s="930"/>
      <c r="S135" s="930"/>
      <c r="T135" s="930"/>
      <c r="U135" s="930"/>
      <c r="V135" s="930"/>
      <c r="W135" s="930"/>
      <c r="X135" s="930"/>
      <c r="Y135" s="930"/>
      <c r="Z135" s="930"/>
      <c r="AA135" s="930"/>
      <c r="AB135" s="930"/>
      <c r="AC135" s="930"/>
      <c r="AD135" s="930"/>
      <c r="AE135" s="930"/>
      <c r="AF135" s="930"/>
      <c r="AG135" s="930"/>
      <c r="AH135" s="930"/>
      <c r="AI135" s="930"/>
      <c r="AJ135" s="930"/>
      <c r="AK135" s="930"/>
      <c r="AL135" s="930"/>
      <c r="AM135" s="930"/>
      <c r="AN135" s="930"/>
      <c r="AP135" s="961"/>
      <c r="AQ135" s="930"/>
      <c r="AR135" s="930"/>
      <c r="AS135" s="930"/>
      <c r="AT135" s="930"/>
      <c r="AU135" s="930"/>
      <c r="AX135" s="966"/>
      <c r="AY135" s="930"/>
      <c r="AZ135" s="930"/>
      <c r="BA135" s="930"/>
      <c r="BB135" s="930"/>
      <c r="BC135" s="930"/>
      <c r="BD135" s="930"/>
      <c r="BE135" s="930"/>
      <c r="BF135" s="930"/>
      <c r="BG135" s="930"/>
      <c r="BH135" s="930"/>
      <c r="BI135" s="930"/>
      <c r="BJ135" s="930"/>
      <c r="BK135" s="930"/>
      <c r="BL135" s="930"/>
      <c r="BM135" s="930"/>
      <c r="BN135" s="930"/>
      <c r="BO135" s="930"/>
      <c r="BP135" s="930"/>
      <c r="BQ135" s="930"/>
      <c r="BR135" s="930"/>
      <c r="BS135" s="930"/>
      <c r="BT135" s="930"/>
      <c r="BU135" s="930"/>
      <c r="BV135" s="930"/>
      <c r="BW135" s="930"/>
      <c r="BX135" s="930"/>
      <c r="BY135" s="930"/>
      <c r="BZ135" s="930"/>
      <c r="CA135" s="930"/>
      <c r="CB135" s="930"/>
      <c r="CC135" s="930"/>
      <c r="CD135" s="930"/>
      <c r="CE135" s="930"/>
      <c r="CF135" s="930"/>
      <c r="CG135" s="930"/>
      <c r="CH135" s="930"/>
      <c r="CK135" s="966"/>
      <c r="CL135" s="930"/>
      <c r="CM135" s="930"/>
      <c r="CN135" s="930"/>
      <c r="CO135" s="930"/>
      <c r="CP135" s="930"/>
      <c r="CS135" s="967"/>
      <c r="CT135" s="968"/>
      <c r="CU135" s="968"/>
      <c r="CV135" s="968"/>
      <c r="CW135" s="968"/>
      <c r="CX135" s="968"/>
      <c r="CY135" s="968"/>
      <c r="CZ135" s="968"/>
      <c r="DA135" s="968"/>
      <c r="DB135" s="968"/>
      <c r="DC135" s="968"/>
      <c r="DD135" s="968"/>
      <c r="DE135" s="968"/>
      <c r="DF135" s="968"/>
      <c r="DG135" s="968"/>
      <c r="DH135" s="968"/>
      <c r="DI135" s="968"/>
      <c r="DJ135" s="968"/>
      <c r="DK135" s="968"/>
      <c r="DL135" s="968"/>
      <c r="DM135" s="968"/>
      <c r="DN135" s="968"/>
      <c r="DO135" s="968"/>
      <c r="DP135" s="968"/>
      <c r="DQ135" s="968"/>
      <c r="DR135" s="968"/>
      <c r="DS135" s="968"/>
      <c r="DT135" s="968"/>
      <c r="DU135" s="968"/>
      <c r="DV135" s="968"/>
      <c r="DW135" s="968"/>
      <c r="DX135" s="968"/>
      <c r="DY135" s="968"/>
      <c r="DZ135" s="968"/>
      <c r="EA135" s="968"/>
      <c r="EB135" s="968"/>
      <c r="EC135" s="968"/>
      <c r="EE135" s="967"/>
      <c r="EF135" s="968"/>
      <c r="EG135" s="968"/>
      <c r="EH135" s="968"/>
      <c r="EI135" s="968"/>
      <c r="EJ135" s="968"/>
    </row>
    <row r="136" spans="4:187" ht="15">
      <c r="D136" s="945"/>
      <c r="E136" s="930"/>
      <c r="F136" s="930"/>
      <c r="G136" s="930"/>
      <c r="H136" s="930"/>
      <c r="I136" s="930"/>
      <c r="J136" s="930"/>
      <c r="K136" s="930"/>
      <c r="L136" s="930"/>
      <c r="M136" s="930"/>
      <c r="N136" s="930"/>
      <c r="O136" s="930"/>
      <c r="P136" s="930"/>
      <c r="Q136" s="930"/>
      <c r="R136" s="930"/>
      <c r="S136" s="930"/>
      <c r="T136" s="930"/>
      <c r="U136" s="930"/>
      <c r="V136" s="930"/>
      <c r="W136" s="930"/>
      <c r="X136" s="930"/>
      <c r="Y136" s="930"/>
      <c r="Z136" s="930"/>
      <c r="AA136" s="930"/>
      <c r="AB136" s="930"/>
      <c r="AC136" s="930"/>
      <c r="AD136" s="930"/>
      <c r="AE136" s="930"/>
      <c r="AF136" s="930"/>
      <c r="AG136" s="930"/>
      <c r="AH136" s="930"/>
      <c r="AI136" s="930"/>
      <c r="AJ136" s="930"/>
      <c r="AK136" s="930"/>
      <c r="AL136" s="930"/>
      <c r="AM136" s="930"/>
      <c r="AN136" s="930"/>
      <c r="AP136" s="945"/>
      <c r="AQ136" s="930"/>
      <c r="AR136" s="930"/>
      <c r="AS136" s="930"/>
      <c r="AT136" s="930"/>
      <c r="AU136" s="930"/>
      <c r="AX136" s="966"/>
      <c r="AY136" s="930"/>
      <c r="AZ136" s="930"/>
      <c r="BA136" s="930"/>
      <c r="BB136" s="930"/>
      <c r="BC136" s="930"/>
      <c r="BD136" s="930"/>
      <c r="BE136" s="930"/>
      <c r="BF136" s="930"/>
      <c r="BG136" s="930"/>
      <c r="BH136" s="930"/>
      <c r="BI136" s="930"/>
      <c r="BJ136" s="930"/>
      <c r="BK136" s="930"/>
      <c r="BL136" s="930"/>
      <c r="BM136" s="930"/>
      <c r="BN136" s="930"/>
      <c r="BO136" s="930"/>
      <c r="BP136" s="930"/>
      <c r="BQ136" s="930"/>
      <c r="BR136" s="930"/>
      <c r="BS136" s="930"/>
      <c r="BT136" s="930"/>
      <c r="BU136" s="930"/>
      <c r="BV136" s="930"/>
      <c r="BW136" s="930"/>
      <c r="BX136" s="930"/>
      <c r="BY136" s="930"/>
      <c r="BZ136" s="930"/>
      <c r="CA136" s="930"/>
      <c r="CB136" s="930"/>
      <c r="CC136" s="930"/>
      <c r="CD136" s="930"/>
      <c r="CE136" s="930"/>
      <c r="CF136" s="930"/>
      <c r="CG136" s="930"/>
      <c r="CH136" s="930"/>
      <c r="CK136" s="966"/>
      <c r="CL136" s="930"/>
      <c r="CM136" s="930"/>
      <c r="CN136" s="930"/>
      <c r="CO136" s="930"/>
      <c r="CP136" s="930"/>
    </row>
    <row r="137" spans="4:187" ht="15">
      <c r="D137" s="945"/>
      <c r="E137" s="930"/>
      <c r="F137" s="930"/>
      <c r="G137" s="930"/>
      <c r="H137" s="930"/>
      <c r="I137" s="930"/>
      <c r="J137" s="930"/>
      <c r="K137" s="930"/>
      <c r="L137" s="930"/>
      <c r="M137" s="930"/>
      <c r="N137" s="930"/>
      <c r="O137" s="930"/>
      <c r="P137" s="930"/>
      <c r="Q137" s="930"/>
      <c r="R137" s="930"/>
      <c r="S137" s="930"/>
      <c r="T137" s="930"/>
      <c r="U137" s="930"/>
      <c r="V137" s="930"/>
      <c r="W137" s="930"/>
      <c r="X137" s="930"/>
      <c r="Y137" s="930"/>
      <c r="Z137" s="930"/>
      <c r="AA137" s="930"/>
      <c r="AB137" s="930"/>
      <c r="AC137" s="930"/>
      <c r="AD137" s="930"/>
      <c r="AE137" s="930"/>
      <c r="AF137" s="930"/>
      <c r="AG137" s="930"/>
      <c r="AH137" s="930"/>
      <c r="AI137" s="930"/>
      <c r="AJ137" s="930"/>
      <c r="AK137" s="930"/>
      <c r="AL137" s="930"/>
      <c r="AM137" s="930"/>
      <c r="AN137" s="930"/>
      <c r="AP137" s="945"/>
      <c r="AQ137" s="930"/>
      <c r="AR137" s="930"/>
      <c r="AS137" s="930"/>
      <c r="AT137" s="930"/>
      <c r="AU137" s="930"/>
      <c r="AX137" s="969"/>
      <c r="AY137" s="930"/>
      <c r="AZ137" s="930"/>
      <c r="BA137" s="930"/>
      <c r="BB137" s="930"/>
      <c r="BC137" s="930"/>
      <c r="BD137" s="930"/>
      <c r="BE137" s="930"/>
      <c r="BF137" s="930"/>
      <c r="BG137" s="930"/>
      <c r="BH137" s="930"/>
      <c r="BI137" s="930"/>
      <c r="BJ137" s="930"/>
      <c r="BK137" s="930"/>
      <c r="BL137" s="930"/>
      <c r="BM137" s="930"/>
      <c r="BN137" s="930"/>
      <c r="BO137" s="930"/>
      <c r="BP137" s="930"/>
      <c r="BQ137" s="930"/>
      <c r="BR137" s="930"/>
      <c r="BS137" s="930"/>
      <c r="BT137" s="930"/>
      <c r="BU137" s="930"/>
      <c r="BV137" s="930"/>
      <c r="BW137" s="930"/>
      <c r="BX137" s="930"/>
      <c r="BY137" s="930"/>
      <c r="BZ137" s="930"/>
      <c r="CA137" s="930"/>
      <c r="CB137" s="930"/>
      <c r="CC137" s="930"/>
      <c r="CD137" s="930"/>
      <c r="CE137" s="930"/>
      <c r="CF137" s="930"/>
      <c r="CG137" s="930"/>
      <c r="CH137" s="930"/>
      <c r="CK137" s="969"/>
      <c r="CL137" s="955"/>
      <c r="CM137" s="955"/>
      <c r="CN137" s="955"/>
      <c r="CO137" s="955"/>
      <c r="CP137" s="955"/>
    </row>
    <row r="138" spans="4:187" ht="15.75" thickBot="1">
      <c r="D138" s="970"/>
      <c r="E138" s="930"/>
      <c r="F138" s="930"/>
      <c r="G138" s="930"/>
      <c r="H138" s="930"/>
      <c r="I138" s="930"/>
      <c r="J138" s="930"/>
      <c r="K138" s="930"/>
      <c r="L138" s="930"/>
      <c r="M138" s="930"/>
      <c r="N138" s="930"/>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0"/>
      <c r="AJ138" s="930"/>
      <c r="AK138" s="930"/>
      <c r="AL138" s="930"/>
      <c r="AM138" s="930"/>
      <c r="AN138" s="930"/>
      <c r="AP138" s="970"/>
      <c r="AQ138" s="930"/>
      <c r="AR138" s="930"/>
      <c r="AS138" s="930"/>
      <c r="AT138" s="930"/>
      <c r="AU138" s="930"/>
      <c r="AW138" s="984"/>
      <c r="AX138" s="949"/>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K138" s="949"/>
      <c r="CL138" s="950"/>
      <c r="CM138" s="950"/>
      <c r="CN138" s="950"/>
      <c r="CO138" s="950"/>
      <c r="CP138" s="950"/>
    </row>
    <row r="139" spans="4:187" ht="15">
      <c r="D139" s="971"/>
      <c r="E139" s="930"/>
      <c r="F139" s="930"/>
      <c r="G139" s="930"/>
      <c r="H139" s="930"/>
      <c r="I139" s="930"/>
      <c r="J139" s="930"/>
      <c r="K139" s="930"/>
      <c r="L139" s="930"/>
      <c r="M139" s="930"/>
      <c r="N139" s="930"/>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0"/>
      <c r="AJ139" s="930"/>
      <c r="AK139" s="930"/>
      <c r="AL139" s="930"/>
      <c r="AM139" s="930"/>
      <c r="AN139" s="930"/>
      <c r="AP139" s="971"/>
      <c r="AQ139" s="930"/>
      <c r="AR139" s="930"/>
      <c r="AS139" s="930"/>
      <c r="AT139" s="930"/>
      <c r="AU139" s="930"/>
      <c r="AX139" s="972"/>
      <c r="AY139" s="953"/>
      <c r="AZ139" s="953"/>
      <c r="BA139" s="953"/>
      <c r="BB139" s="953"/>
      <c r="BC139" s="953"/>
      <c r="BD139" s="953"/>
      <c r="BE139" s="953"/>
      <c r="BF139" s="953"/>
      <c r="BG139" s="953"/>
      <c r="BH139" s="953"/>
      <c r="BI139" s="953"/>
      <c r="BJ139" s="953"/>
      <c r="BK139" s="953"/>
      <c r="BL139" s="953"/>
      <c r="BM139" s="953"/>
      <c r="BN139" s="953"/>
      <c r="BO139" s="953"/>
      <c r="BP139" s="953"/>
      <c r="BQ139" s="953"/>
      <c r="BR139" s="953"/>
      <c r="BS139" s="953"/>
      <c r="BT139" s="953"/>
      <c r="BU139" s="953"/>
      <c r="BV139" s="953"/>
      <c r="BW139" s="953"/>
      <c r="BX139" s="953"/>
      <c r="BY139" s="953"/>
      <c r="BZ139" s="953"/>
      <c r="CA139" s="953"/>
      <c r="CB139" s="953"/>
      <c r="CC139" s="953"/>
      <c r="CD139" s="953"/>
      <c r="CE139" s="953"/>
      <c r="CF139" s="953"/>
      <c r="CG139" s="953"/>
      <c r="CH139" s="953"/>
      <c r="CK139" s="972"/>
      <c r="CL139" s="953"/>
      <c r="CM139" s="953"/>
      <c r="CN139" s="953"/>
      <c r="CO139" s="953"/>
      <c r="CP139" s="953"/>
      <c r="CS139" s="924"/>
      <c r="CT139" s="923"/>
      <c r="CU139" s="923"/>
      <c r="CV139" s="923"/>
      <c r="CW139" s="923"/>
      <c r="CX139" s="923"/>
      <c r="CY139" s="923"/>
      <c r="CZ139" s="923"/>
      <c r="DA139" s="923"/>
      <c r="DB139" s="923"/>
      <c r="DC139" s="923"/>
      <c r="DD139" s="923"/>
      <c r="DE139" s="923"/>
      <c r="DF139" s="923"/>
      <c r="DG139" s="923"/>
      <c r="DH139" s="923"/>
      <c r="DI139" s="923"/>
      <c r="DJ139" s="923"/>
      <c r="DK139" s="923"/>
      <c r="DL139" s="923"/>
      <c r="DM139" s="923"/>
      <c r="DN139" s="923"/>
      <c r="DO139" s="923"/>
      <c r="DP139" s="923"/>
      <c r="DQ139" s="923"/>
      <c r="DR139" s="923"/>
      <c r="DS139" s="923"/>
      <c r="DT139" s="923"/>
      <c r="DU139" s="923"/>
      <c r="DV139" s="923"/>
      <c r="DW139" s="923"/>
      <c r="DX139" s="923"/>
      <c r="DY139" s="923"/>
      <c r="DZ139" s="923"/>
      <c r="EA139" s="923"/>
      <c r="EB139" s="923"/>
      <c r="EC139" s="923"/>
      <c r="EE139" s="924"/>
      <c r="EF139" s="923"/>
      <c r="EG139" s="923"/>
      <c r="EH139" s="923"/>
      <c r="EI139" s="923"/>
      <c r="EJ139" s="923"/>
    </row>
    <row r="140" spans="4:187" ht="15">
      <c r="D140" s="970"/>
      <c r="E140" s="930"/>
      <c r="F140" s="930"/>
      <c r="G140" s="930"/>
      <c r="H140" s="930"/>
      <c r="I140" s="930"/>
      <c r="J140" s="930"/>
      <c r="K140" s="930"/>
      <c r="L140" s="930"/>
      <c r="M140" s="930"/>
      <c r="N140" s="930"/>
      <c r="O140" s="930"/>
      <c r="P140" s="930"/>
      <c r="Q140" s="930"/>
      <c r="R140" s="930"/>
      <c r="S140" s="930"/>
      <c r="T140" s="930"/>
      <c r="U140" s="930"/>
      <c r="V140" s="930"/>
      <c r="W140" s="930"/>
      <c r="X140" s="930"/>
      <c r="Y140" s="930"/>
      <c r="Z140" s="930"/>
      <c r="AA140" s="930"/>
      <c r="AB140" s="930"/>
      <c r="AC140" s="930"/>
      <c r="AD140" s="930"/>
      <c r="AE140" s="930"/>
      <c r="AF140" s="930"/>
      <c r="AG140" s="930"/>
      <c r="AH140" s="930"/>
      <c r="AI140" s="930"/>
      <c r="AJ140" s="930"/>
      <c r="AK140" s="930"/>
      <c r="AL140" s="930"/>
      <c r="AM140" s="930"/>
      <c r="AN140" s="930"/>
      <c r="AP140" s="970"/>
      <c r="AQ140" s="930"/>
      <c r="AR140" s="930"/>
      <c r="AS140" s="930"/>
      <c r="AT140" s="930"/>
      <c r="AU140" s="930"/>
      <c r="AX140" s="952"/>
      <c r="AY140" s="955"/>
      <c r="AZ140" s="955"/>
      <c r="BA140" s="955"/>
      <c r="BB140" s="955"/>
      <c r="BC140" s="955"/>
      <c r="BD140" s="955"/>
      <c r="BE140" s="955"/>
      <c r="BF140" s="955"/>
      <c r="BG140" s="955"/>
      <c r="BH140" s="955"/>
      <c r="BI140" s="955"/>
      <c r="BJ140" s="955"/>
      <c r="BK140" s="955"/>
      <c r="BL140" s="955"/>
      <c r="BM140" s="955"/>
      <c r="BN140" s="955"/>
      <c r="BO140" s="955"/>
      <c r="BP140" s="955"/>
      <c r="BQ140" s="955"/>
      <c r="BR140" s="955"/>
      <c r="BS140" s="955"/>
      <c r="BT140" s="955"/>
      <c r="BU140" s="955"/>
      <c r="BV140" s="955"/>
      <c r="BW140" s="955"/>
      <c r="BX140" s="955"/>
      <c r="BY140" s="955"/>
      <c r="BZ140" s="955"/>
      <c r="CA140" s="955"/>
      <c r="CB140" s="955"/>
      <c r="CC140" s="955"/>
      <c r="CD140" s="955"/>
      <c r="CE140" s="955"/>
      <c r="CF140" s="955"/>
      <c r="CG140" s="955"/>
      <c r="CH140" s="955"/>
      <c r="CK140" s="952"/>
      <c r="CL140" s="955"/>
      <c r="CM140" s="955"/>
      <c r="CN140" s="955"/>
      <c r="CO140" s="955"/>
      <c r="CP140" s="955"/>
      <c r="CS140" s="947"/>
      <c r="CT140" s="930"/>
      <c r="CU140" s="930"/>
      <c r="CV140" s="930"/>
      <c r="CW140" s="930"/>
      <c r="CX140" s="930"/>
      <c r="CY140" s="930"/>
      <c r="CZ140" s="930"/>
      <c r="DA140" s="930"/>
      <c r="DB140" s="930"/>
      <c r="DC140" s="930"/>
      <c r="DD140" s="930"/>
      <c r="DE140" s="930"/>
      <c r="DF140" s="930"/>
      <c r="DG140" s="930"/>
      <c r="DH140" s="930"/>
      <c r="DI140" s="930"/>
      <c r="DJ140" s="930"/>
      <c r="DK140" s="930"/>
      <c r="DL140" s="930"/>
      <c r="DM140" s="930"/>
      <c r="DN140" s="930"/>
      <c r="DO140" s="930"/>
      <c r="DP140" s="930"/>
      <c r="DQ140" s="930"/>
      <c r="DR140" s="930"/>
      <c r="DS140" s="930"/>
      <c r="DT140" s="930"/>
      <c r="DU140" s="930"/>
      <c r="DV140" s="930"/>
      <c r="DW140" s="930"/>
      <c r="DX140" s="930"/>
      <c r="DY140" s="930"/>
      <c r="DZ140" s="930"/>
      <c r="EA140" s="930"/>
      <c r="EB140" s="930"/>
      <c r="EC140" s="930"/>
      <c r="EE140" s="947"/>
      <c r="EF140" s="930"/>
      <c r="EG140" s="930"/>
      <c r="EH140" s="930"/>
      <c r="EI140" s="930"/>
      <c r="EJ140" s="930"/>
    </row>
    <row r="141" spans="4:187">
      <c r="D141" s="940"/>
      <c r="E141" s="930"/>
      <c r="F141" s="930"/>
      <c r="G141" s="930"/>
      <c r="H141" s="930"/>
      <c r="I141" s="930"/>
      <c r="J141" s="930"/>
      <c r="K141" s="930"/>
      <c r="L141" s="930"/>
      <c r="M141" s="930"/>
      <c r="N141" s="930"/>
      <c r="O141" s="930"/>
      <c r="P141" s="930"/>
      <c r="Q141" s="930"/>
      <c r="R141" s="930"/>
      <c r="S141" s="930"/>
      <c r="T141" s="930"/>
      <c r="U141" s="930"/>
      <c r="V141" s="930"/>
      <c r="W141" s="930"/>
      <c r="X141" s="930"/>
      <c r="Y141" s="930"/>
      <c r="Z141" s="930"/>
      <c r="AA141" s="930"/>
      <c r="AB141" s="930"/>
      <c r="AC141" s="930"/>
      <c r="AD141" s="930"/>
      <c r="AE141" s="930"/>
      <c r="AF141" s="930"/>
      <c r="AG141" s="930"/>
      <c r="AH141" s="930"/>
      <c r="AI141" s="930"/>
      <c r="AJ141" s="930"/>
      <c r="AK141" s="930"/>
      <c r="AL141" s="930"/>
      <c r="AM141" s="930"/>
      <c r="AN141" s="930"/>
      <c r="AP141" s="940"/>
      <c r="AQ141" s="930"/>
      <c r="AR141" s="930"/>
      <c r="AS141" s="930"/>
      <c r="AT141" s="930"/>
      <c r="AU141" s="930"/>
      <c r="AX141" s="966"/>
      <c r="AY141" s="930"/>
      <c r="AZ141" s="930"/>
      <c r="BA141" s="930"/>
      <c r="BB141" s="930"/>
      <c r="BC141" s="930"/>
      <c r="BD141" s="930"/>
      <c r="BE141" s="930"/>
      <c r="BF141" s="930"/>
      <c r="BG141" s="930"/>
      <c r="BH141" s="930"/>
      <c r="BI141" s="930"/>
      <c r="BJ141" s="930"/>
      <c r="BK141" s="930"/>
      <c r="BL141" s="930"/>
      <c r="BM141" s="930"/>
      <c r="BN141" s="930"/>
      <c r="BO141" s="930"/>
      <c r="BP141" s="930"/>
      <c r="BQ141" s="930"/>
      <c r="BR141" s="930"/>
      <c r="BS141" s="930"/>
      <c r="BT141" s="930"/>
      <c r="BU141" s="930"/>
      <c r="BV141" s="930"/>
      <c r="BW141" s="930"/>
      <c r="BX141" s="930"/>
      <c r="BY141" s="930"/>
      <c r="BZ141" s="930"/>
      <c r="CA141" s="930"/>
      <c r="CB141" s="930"/>
      <c r="CC141" s="930"/>
      <c r="CD141" s="930"/>
      <c r="CE141" s="930"/>
      <c r="CF141" s="930"/>
      <c r="CG141" s="930"/>
      <c r="CH141" s="930"/>
      <c r="CK141" s="966"/>
      <c r="CL141" s="930"/>
      <c r="CM141" s="930"/>
      <c r="CN141" s="930"/>
      <c r="CO141" s="930"/>
      <c r="CP141" s="930"/>
      <c r="CS141" s="947"/>
      <c r="CT141" s="930"/>
      <c r="CU141" s="930"/>
      <c r="CV141" s="930"/>
      <c r="CW141" s="930"/>
      <c r="CX141" s="930"/>
      <c r="CY141" s="930"/>
      <c r="CZ141" s="930"/>
      <c r="DA141" s="930"/>
      <c r="DB141" s="930"/>
      <c r="DC141" s="930"/>
      <c r="DD141" s="930"/>
      <c r="DE141" s="930"/>
      <c r="DF141" s="930"/>
      <c r="DG141" s="930"/>
      <c r="DH141" s="930"/>
      <c r="DI141" s="930"/>
      <c r="DJ141" s="930"/>
      <c r="DK141" s="930"/>
      <c r="DL141" s="930"/>
      <c r="DM141" s="930"/>
      <c r="DN141" s="930"/>
      <c r="DO141" s="930"/>
      <c r="DP141" s="930"/>
      <c r="DQ141" s="930"/>
      <c r="DR141" s="930"/>
      <c r="DS141" s="930"/>
      <c r="DT141" s="930"/>
      <c r="DU141" s="930"/>
      <c r="DV141" s="930"/>
      <c r="DW141" s="930"/>
      <c r="DX141" s="930"/>
      <c r="DY141" s="930"/>
      <c r="DZ141" s="930"/>
      <c r="EA141" s="930"/>
      <c r="EB141" s="930"/>
      <c r="EC141" s="930"/>
      <c r="EE141" s="947"/>
      <c r="EF141" s="930"/>
      <c r="EG141" s="930"/>
      <c r="EH141" s="930"/>
      <c r="EI141" s="930"/>
      <c r="EJ141" s="930"/>
    </row>
    <row r="142" spans="4:187" ht="15">
      <c r="D142" s="973"/>
      <c r="E142" s="974"/>
      <c r="F142" s="974"/>
      <c r="G142" s="974"/>
      <c r="H142" s="974"/>
      <c r="I142" s="974"/>
      <c r="J142" s="974"/>
      <c r="K142" s="974"/>
      <c r="L142" s="974"/>
      <c r="M142" s="974"/>
      <c r="N142" s="974"/>
      <c r="O142" s="974"/>
      <c r="P142" s="974"/>
      <c r="Q142" s="974"/>
      <c r="R142" s="974"/>
      <c r="S142" s="974"/>
      <c r="T142" s="974"/>
      <c r="U142" s="974"/>
      <c r="V142" s="974"/>
      <c r="W142" s="974"/>
      <c r="X142" s="974"/>
      <c r="Y142" s="974"/>
      <c r="Z142" s="974"/>
      <c r="AA142" s="974"/>
      <c r="AB142" s="974"/>
      <c r="AC142" s="974"/>
      <c r="AD142" s="974"/>
      <c r="AE142" s="974"/>
      <c r="AF142" s="974"/>
      <c r="AG142" s="974"/>
      <c r="AH142" s="974"/>
      <c r="AI142" s="974"/>
      <c r="AJ142" s="974"/>
      <c r="AK142" s="974"/>
      <c r="AL142" s="974"/>
      <c r="AM142" s="974"/>
      <c r="AN142" s="974"/>
      <c r="AP142" s="973"/>
      <c r="AQ142" s="974"/>
      <c r="AR142" s="974"/>
      <c r="AS142" s="974"/>
      <c r="AT142" s="974"/>
      <c r="AU142" s="974"/>
      <c r="AW142" s="984"/>
      <c r="AX142" s="949"/>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K142" s="949"/>
      <c r="CL142" s="950"/>
      <c r="CM142" s="950"/>
      <c r="CN142" s="950"/>
      <c r="CO142" s="950"/>
      <c r="CP142" s="950"/>
      <c r="CS142" s="965"/>
      <c r="CT142" s="955"/>
      <c r="CU142" s="955"/>
      <c r="CV142" s="955"/>
      <c r="CW142" s="955"/>
      <c r="CX142" s="955"/>
      <c r="CY142" s="955"/>
      <c r="CZ142" s="955"/>
      <c r="DA142" s="955"/>
      <c r="DB142" s="955"/>
      <c r="DC142" s="955"/>
      <c r="DD142" s="955"/>
      <c r="DE142" s="955"/>
      <c r="DF142" s="955"/>
      <c r="DG142" s="955"/>
      <c r="DH142" s="955"/>
      <c r="DI142" s="955"/>
      <c r="DJ142" s="955"/>
      <c r="DK142" s="955"/>
      <c r="DL142" s="955"/>
      <c r="DM142" s="955"/>
      <c r="DN142" s="955"/>
      <c r="DO142" s="955"/>
      <c r="DP142" s="955"/>
      <c r="DQ142" s="955"/>
      <c r="DR142" s="955"/>
      <c r="DS142" s="955"/>
      <c r="DT142" s="955"/>
      <c r="DU142" s="955"/>
      <c r="DV142" s="955"/>
      <c r="DW142" s="955"/>
      <c r="DX142" s="955"/>
      <c r="DY142" s="955"/>
      <c r="DZ142" s="955"/>
      <c r="EA142" s="955"/>
      <c r="EB142" s="955"/>
      <c r="EC142" s="955"/>
      <c r="EE142" s="965"/>
      <c r="EF142" s="955"/>
      <c r="EG142" s="955"/>
      <c r="EH142" s="955"/>
      <c r="EI142" s="955"/>
      <c r="EJ142" s="955"/>
    </row>
    <row r="143" spans="4:187" ht="15.75" thickBot="1">
      <c r="D143" s="975"/>
      <c r="E143" s="976"/>
      <c r="F143" s="976"/>
      <c r="G143" s="976"/>
      <c r="H143" s="976"/>
      <c r="I143" s="976"/>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976"/>
      <c r="AP143" s="975"/>
      <c r="AQ143" s="976"/>
      <c r="AR143" s="976"/>
      <c r="AS143" s="976"/>
      <c r="AT143" s="976"/>
      <c r="AU143" s="976"/>
      <c r="AX143" s="952"/>
      <c r="AY143" s="955"/>
      <c r="AZ143" s="955"/>
      <c r="BA143" s="955"/>
      <c r="BB143" s="955"/>
      <c r="BC143" s="955"/>
      <c r="BD143" s="955"/>
      <c r="BE143" s="955"/>
      <c r="BF143" s="955"/>
      <c r="BG143" s="955"/>
      <c r="BH143" s="955"/>
      <c r="BI143" s="955"/>
      <c r="BJ143" s="955"/>
      <c r="BK143" s="955"/>
      <c r="BL143" s="955"/>
      <c r="BM143" s="955"/>
      <c r="BN143" s="955"/>
      <c r="BO143" s="955"/>
      <c r="BP143" s="955"/>
      <c r="BQ143" s="955"/>
      <c r="BR143" s="955"/>
      <c r="BS143" s="955"/>
      <c r="BT143" s="955"/>
      <c r="BU143" s="955"/>
      <c r="BV143" s="955"/>
      <c r="BW143" s="955"/>
      <c r="BX143" s="955"/>
      <c r="BY143" s="955"/>
      <c r="BZ143" s="955"/>
      <c r="CA143" s="955"/>
      <c r="CB143" s="955"/>
      <c r="CC143" s="955"/>
      <c r="CD143" s="955"/>
      <c r="CE143" s="955"/>
      <c r="CF143" s="955"/>
      <c r="CG143" s="955"/>
      <c r="CH143" s="955"/>
      <c r="CK143" s="952"/>
      <c r="CL143" s="955"/>
      <c r="CM143" s="955"/>
      <c r="CN143" s="955"/>
      <c r="CO143" s="955"/>
      <c r="CP143" s="955"/>
      <c r="CS143" s="967"/>
      <c r="CT143" s="968"/>
      <c r="CU143" s="968"/>
      <c r="CV143" s="968"/>
      <c r="CW143" s="968"/>
      <c r="CX143" s="968"/>
      <c r="CY143" s="968"/>
      <c r="CZ143" s="968"/>
      <c r="DA143" s="968"/>
      <c r="DB143" s="968"/>
      <c r="DC143" s="968"/>
      <c r="DD143" s="968"/>
      <c r="DE143" s="968"/>
      <c r="DF143" s="968"/>
      <c r="DG143" s="968"/>
      <c r="DH143" s="968"/>
      <c r="DI143" s="968"/>
      <c r="DJ143" s="968"/>
      <c r="DK143" s="968"/>
      <c r="DL143" s="968"/>
      <c r="DM143" s="968"/>
      <c r="DN143" s="968"/>
      <c r="DO143" s="968"/>
      <c r="DP143" s="968"/>
      <c r="DQ143" s="968"/>
      <c r="DR143" s="968"/>
      <c r="DS143" s="968"/>
      <c r="DT143" s="968"/>
      <c r="DU143" s="968"/>
      <c r="DV143" s="968"/>
      <c r="DW143" s="968"/>
      <c r="DX143" s="968"/>
      <c r="DY143" s="968"/>
      <c r="DZ143" s="968"/>
      <c r="EA143" s="968"/>
      <c r="EB143" s="968"/>
      <c r="EC143" s="968"/>
      <c r="EE143" s="967"/>
      <c r="EF143" s="968"/>
      <c r="EG143" s="968"/>
      <c r="EH143" s="968"/>
      <c r="EI143" s="968"/>
      <c r="EJ143" s="968"/>
    </row>
    <row r="144" spans="4:187" ht="15.75" thickBot="1">
      <c r="D144" s="963"/>
      <c r="E144" s="976"/>
      <c r="F144" s="976"/>
      <c r="G144" s="976"/>
      <c r="H144" s="976"/>
      <c r="I144" s="976"/>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P144" s="963"/>
      <c r="AQ144" s="976"/>
      <c r="AR144" s="976"/>
      <c r="AS144" s="976"/>
      <c r="AT144" s="976"/>
      <c r="AU144" s="976"/>
      <c r="AX144" s="966"/>
      <c r="AY144" s="930"/>
      <c r="AZ144" s="930"/>
      <c r="BA144" s="930"/>
      <c r="BB144" s="930"/>
      <c r="BC144" s="930"/>
      <c r="BD144" s="930"/>
      <c r="BE144" s="930"/>
      <c r="BF144" s="930"/>
      <c r="BG144" s="930"/>
      <c r="BH144" s="930"/>
      <c r="BI144" s="930"/>
      <c r="BJ144" s="930"/>
      <c r="BK144" s="930"/>
      <c r="BL144" s="930"/>
      <c r="BM144" s="930"/>
      <c r="BN144" s="930"/>
      <c r="BO144" s="930"/>
      <c r="BP144" s="930"/>
      <c r="BQ144" s="930"/>
      <c r="BR144" s="930"/>
      <c r="BS144" s="930"/>
      <c r="BT144" s="930"/>
      <c r="BU144" s="930"/>
      <c r="BV144" s="930"/>
      <c r="BW144" s="930"/>
      <c r="BX144" s="930"/>
      <c r="BY144" s="930"/>
      <c r="BZ144" s="930"/>
      <c r="CA144" s="930"/>
      <c r="CB144" s="930"/>
      <c r="CC144" s="930"/>
      <c r="CD144" s="930"/>
      <c r="CE144" s="930"/>
      <c r="CF144" s="930"/>
      <c r="CG144" s="930"/>
      <c r="CH144" s="930"/>
      <c r="CK144" s="966"/>
      <c r="CL144" s="930"/>
      <c r="CM144" s="930"/>
      <c r="CN144" s="930"/>
      <c r="CO144" s="930"/>
      <c r="CP144" s="930"/>
    </row>
    <row r="145" spans="4:133" ht="15">
      <c r="D145" s="940"/>
      <c r="E145" s="930"/>
      <c r="F145" s="930"/>
      <c r="G145" s="930"/>
      <c r="H145" s="930"/>
      <c r="I145" s="930"/>
      <c r="J145" s="930"/>
      <c r="K145" s="930"/>
      <c r="L145" s="930"/>
      <c r="M145" s="930"/>
      <c r="N145" s="930"/>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0"/>
      <c r="AJ145" s="930"/>
      <c r="AK145" s="930"/>
      <c r="AL145" s="930"/>
      <c r="AM145" s="930"/>
      <c r="AN145" s="930"/>
      <c r="AP145" s="940"/>
      <c r="AQ145" s="930"/>
      <c r="AR145" s="930"/>
      <c r="AS145" s="930"/>
      <c r="AT145" s="930"/>
      <c r="AU145" s="930"/>
      <c r="AW145" s="984"/>
      <c r="AX145" s="949"/>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K145" s="949"/>
      <c r="CL145" s="950"/>
      <c r="CM145" s="950"/>
      <c r="CN145" s="950"/>
      <c r="CO145" s="950"/>
      <c r="CP145" s="950"/>
      <c r="CS145" s="924"/>
      <c r="CT145" s="923"/>
      <c r="CU145" s="923"/>
      <c r="CV145" s="923"/>
      <c r="CW145" s="923"/>
      <c r="CX145" s="923"/>
      <c r="CY145" s="923"/>
      <c r="CZ145" s="923"/>
      <c r="DA145" s="923"/>
      <c r="DB145" s="923"/>
      <c r="DC145" s="923"/>
      <c r="DD145" s="923"/>
      <c r="DE145" s="923"/>
      <c r="DF145" s="923"/>
      <c r="DG145" s="923"/>
      <c r="DH145" s="923"/>
      <c r="DI145" s="923"/>
      <c r="DJ145" s="923"/>
      <c r="DK145" s="923"/>
      <c r="DL145" s="923"/>
      <c r="DM145" s="923"/>
      <c r="DN145" s="923"/>
      <c r="DO145" s="923"/>
      <c r="DP145" s="923"/>
      <c r="DQ145" s="923"/>
      <c r="DR145" s="923"/>
      <c r="DS145" s="923"/>
      <c r="DT145" s="923"/>
      <c r="DU145" s="923"/>
      <c r="DV145" s="923"/>
      <c r="DW145" s="923"/>
      <c r="DX145" s="923"/>
      <c r="DY145" s="923"/>
      <c r="DZ145" s="923"/>
      <c r="EA145" s="923"/>
      <c r="EB145" s="923"/>
      <c r="EC145" s="923"/>
    </row>
    <row r="146" spans="4:133">
      <c r="D146" s="940"/>
      <c r="E146" s="930"/>
      <c r="F146" s="930"/>
      <c r="G146" s="930"/>
      <c r="H146" s="930"/>
      <c r="I146" s="930"/>
      <c r="J146" s="930"/>
      <c r="K146" s="930"/>
      <c r="L146" s="930"/>
      <c r="M146" s="930"/>
      <c r="N146" s="930"/>
      <c r="O146" s="930"/>
      <c r="P146" s="930"/>
      <c r="Q146" s="930"/>
      <c r="R146" s="930"/>
      <c r="S146" s="930"/>
      <c r="T146" s="930"/>
      <c r="U146" s="930"/>
      <c r="V146" s="930"/>
      <c r="W146" s="930"/>
      <c r="X146" s="930"/>
      <c r="Y146" s="930"/>
      <c r="Z146" s="930"/>
      <c r="AA146" s="930"/>
      <c r="AB146" s="930"/>
      <c r="AC146" s="930"/>
      <c r="AD146" s="930"/>
      <c r="AE146" s="930"/>
      <c r="AF146" s="930"/>
      <c r="AG146" s="930"/>
      <c r="AH146" s="930"/>
      <c r="AI146" s="930"/>
      <c r="AJ146" s="930"/>
      <c r="AK146" s="930"/>
      <c r="AL146" s="930"/>
      <c r="AM146" s="930"/>
      <c r="AN146" s="930"/>
      <c r="AP146" s="940"/>
      <c r="AQ146" s="930"/>
      <c r="AR146" s="930"/>
      <c r="AS146" s="930"/>
      <c r="AT146" s="930"/>
      <c r="AU146" s="930"/>
      <c r="AX146" s="972"/>
      <c r="AY146" s="953"/>
      <c r="AZ146" s="953"/>
      <c r="BA146" s="953"/>
      <c r="BB146" s="953"/>
      <c r="BC146" s="953"/>
      <c r="BD146" s="953"/>
      <c r="BE146" s="953"/>
      <c r="BF146" s="953"/>
      <c r="BG146" s="953"/>
      <c r="BH146" s="953"/>
      <c r="BI146" s="953"/>
      <c r="BJ146" s="953"/>
      <c r="BK146" s="953"/>
      <c r="BL146" s="953"/>
      <c r="BM146" s="953"/>
      <c r="BN146" s="953"/>
      <c r="BO146" s="953"/>
      <c r="BP146" s="953"/>
      <c r="BQ146" s="953"/>
      <c r="BR146" s="953"/>
      <c r="BS146" s="953"/>
      <c r="BT146" s="953"/>
      <c r="BU146" s="953"/>
      <c r="BV146" s="953"/>
      <c r="BW146" s="953"/>
      <c r="BX146" s="953"/>
      <c r="BY146" s="953"/>
      <c r="BZ146" s="953"/>
      <c r="CA146" s="953"/>
      <c r="CB146" s="953"/>
      <c r="CC146" s="953"/>
      <c r="CD146" s="953"/>
      <c r="CE146" s="953"/>
      <c r="CF146" s="953"/>
      <c r="CG146" s="953"/>
      <c r="CH146" s="953"/>
      <c r="CK146" s="972"/>
      <c r="CL146" s="977"/>
      <c r="CM146" s="977"/>
      <c r="CN146" s="977"/>
      <c r="CO146" s="977"/>
      <c r="CP146" s="977"/>
      <c r="CS146" s="947"/>
      <c r="CT146" s="930"/>
      <c r="CU146" s="930"/>
      <c r="CV146" s="930"/>
      <c r="CW146" s="930"/>
      <c r="CX146" s="930"/>
      <c r="CY146" s="930"/>
      <c r="CZ146" s="930"/>
      <c r="DA146" s="930"/>
      <c r="DB146" s="930"/>
      <c r="DC146" s="930"/>
      <c r="DD146" s="930"/>
      <c r="DE146" s="930"/>
      <c r="DF146" s="930"/>
      <c r="DG146" s="930"/>
      <c r="DH146" s="930"/>
      <c r="DI146" s="930"/>
      <c r="DJ146" s="930"/>
      <c r="DK146" s="930"/>
      <c r="DL146" s="930"/>
      <c r="DM146" s="930"/>
      <c r="DN146" s="930"/>
      <c r="DO146" s="930"/>
      <c r="DP146" s="930"/>
      <c r="DQ146" s="930"/>
      <c r="DR146" s="930"/>
      <c r="DS146" s="930"/>
      <c r="DT146" s="930"/>
      <c r="DU146" s="930"/>
      <c r="DV146" s="930"/>
      <c r="DW146" s="930"/>
      <c r="DX146" s="930"/>
      <c r="DY146" s="930"/>
      <c r="DZ146" s="930"/>
      <c r="EA146" s="930"/>
      <c r="EB146" s="930"/>
      <c r="EC146" s="930"/>
    </row>
    <row r="147" spans="4:133" ht="15">
      <c r="D147" s="973"/>
      <c r="E147" s="974"/>
      <c r="F147" s="974"/>
      <c r="G147" s="974"/>
      <c r="H147" s="974"/>
      <c r="I147" s="974"/>
      <c r="J147" s="974"/>
      <c r="K147" s="974"/>
      <c r="L147" s="974"/>
      <c r="M147" s="974"/>
      <c r="N147" s="974"/>
      <c r="O147" s="974"/>
      <c r="P147" s="974"/>
      <c r="Q147" s="974"/>
      <c r="R147" s="974"/>
      <c r="S147" s="974"/>
      <c r="T147" s="974"/>
      <c r="U147" s="974"/>
      <c r="V147" s="974"/>
      <c r="W147" s="974"/>
      <c r="X147" s="974"/>
      <c r="Y147" s="974"/>
      <c r="Z147" s="974"/>
      <c r="AA147" s="974"/>
      <c r="AB147" s="974"/>
      <c r="AC147" s="974"/>
      <c r="AD147" s="974"/>
      <c r="AE147" s="974"/>
      <c r="AF147" s="974"/>
      <c r="AG147" s="974"/>
      <c r="AH147" s="974"/>
      <c r="AI147" s="974"/>
      <c r="AJ147" s="974"/>
      <c r="AK147" s="974"/>
      <c r="AL147" s="974"/>
      <c r="AM147" s="974"/>
      <c r="AN147" s="974"/>
      <c r="AO147" s="978"/>
      <c r="AP147" s="973"/>
      <c r="AQ147" s="974"/>
      <c r="AR147" s="974"/>
      <c r="AS147" s="974"/>
      <c r="AT147" s="974"/>
      <c r="AU147" s="974"/>
      <c r="AV147" s="978"/>
      <c r="AW147" s="978"/>
      <c r="AX147" s="972"/>
      <c r="AY147" s="979"/>
      <c r="AZ147" s="979"/>
      <c r="BA147" s="979"/>
      <c r="BB147" s="979"/>
      <c r="BC147" s="979"/>
      <c r="BD147" s="979"/>
      <c r="BE147" s="979"/>
      <c r="BF147" s="979"/>
      <c r="BG147" s="979"/>
      <c r="BH147" s="979"/>
      <c r="BI147" s="979"/>
      <c r="BJ147" s="979"/>
      <c r="BK147" s="979"/>
      <c r="BL147" s="979"/>
      <c r="BM147" s="979"/>
      <c r="BN147" s="979"/>
      <c r="BO147" s="979"/>
      <c r="BP147" s="979"/>
      <c r="BQ147" s="979"/>
      <c r="BR147" s="979"/>
      <c r="BS147" s="979"/>
      <c r="BT147" s="979"/>
      <c r="BU147" s="979"/>
      <c r="BV147" s="979"/>
      <c r="BW147" s="979"/>
      <c r="BX147" s="979"/>
      <c r="BY147" s="979"/>
      <c r="BZ147" s="979"/>
      <c r="CA147" s="979"/>
      <c r="CB147" s="979"/>
      <c r="CC147" s="979"/>
      <c r="CD147" s="979"/>
      <c r="CE147" s="979"/>
      <c r="CF147" s="979"/>
      <c r="CG147" s="979"/>
      <c r="CH147" s="979"/>
      <c r="CK147" s="972"/>
      <c r="CL147" s="979"/>
      <c r="CM147" s="979"/>
      <c r="CN147" s="979"/>
      <c r="CO147" s="979"/>
      <c r="CP147" s="979"/>
      <c r="CS147" s="947"/>
      <c r="CT147" s="930"/>
      <c r="CU147" s="930"/>
      <c r="CV147" s="930"/>
      <c r="CW147" s="930"/>
      <c r="CX147" s="930"/>
      <c r="CY147" s="930"/>
      <c r="CZ147" s="930"/>
      <c r="DA147" s="930"/>
      <c r="DB147" s="930"/>
      <c r="DC147" s="930"/>
      <c r="DD147" s="930"/>
      <c r="DE147" s="930"/>
      <c r="DF147" s="930"/>
      <c r="DG147" s="930"/>
      <c r="DH147" s="930"/>
      <c r="DI147" s="930"/>
      <c r="DJ147" s="930"/>
      <c r="DK147" s="930"/>
      <c r="DL147" s="930"/>
      <c r="DM147" s="930"/>
      <c r="DN147" s="930"/>
      <c r="DO147" s="930"/>
      <c r="DP147" s="930"/>
      <c r="DQ147" s="930"/>
      <c r="DR147" s="930"/>
      <c r="DS147" s="930"/>
      <c r="DT147" s="930"/>
      <c r="DU147" s="930"/>
      <c r="DV147" s="930"/>
      <c r="DW147" s="930"/>
      <c r="DX147" s="930"/>
      <c r="DY147" s="930"/>
      <c r="DZ147" s="930"/>
      <c r="EA147" s="930"/>
      <c r="EB147" s="930"/>
      <c r="EC147" s="930"/>
    </row>
    <row r="148" spans="4:133" ht="15.75" thickBot="1">
      <c r="D148" s="980"/>
      <c r="E148" s="981"/>
      <c r="F148" s="981"/>
      <c r="G148" s="981"/>
      <c r="H148" s="981"/>
      <c r="I148" s="981"/>
      <c r="J148" s="981"/>
      <c r="K148" s="981"/>
      <c r="L148" s="981"/>
      <c r="M148" s="981"/>
      <c r="N148" s="981"/>
      <c r="O148" s="981"/>
      <c r="P148" s="981"/>
      <c r="Q148" s="981"/>
      <c r="R148" s="981"/>
      <c r="S148" s="981"/>
      <c r="T148" s="981"/>
      <c r="U148" s="981"/>
      <c r="V148" s="981"/>
      <c r="W148" s="981"/>
      <c r="X148" s="981"/>
      <c r="Y148" s="981"/>
      <c r="Z148" s="981"/>
      <c r="AA148" s="981"/>
      <c r="AB148" s="981"/>
      <c r="AC148" s="981"/>
      <c r="AD148" s="981"/>
      <c r="AE148" s="981"/>
      <c r="AF148" s="981"/>
      <c r="AG148" s="981"/>
      <c r="AH148" s="981"/>
      <c r="AI148" s="981"/>
      <c r="AJ148" s="981"/>
      <c r="AK148" s="981"/>
      <c r="AL148" s="981"/>
      <c r="AM148" s="981"/>
      <c r="AN148" s="981"/>
      <c r="AO148" s="982"/>
      <c r="AP148" s="980"/>
      <c r="AQ148" s="981"/>
      <c r="AR148" s="981"/>
      <c r="AS148" s="981"/>
      <c r="AT148" s="981"/>
      <c r="AU148" s="981"/>
      <c r="AV148" s="982"/>
      <c r="AW148" s="982"/>
      <c r="AX148" s="966"/>
      <c r="AY148" s="930"/>
      <c r="AZ148" s="930"/>
      <c r="BA148" s="930"/>
      <c r="BB148" s="930"/>
      <c r="BC148" s="930"/>
      <c r="BD148" s="930"/>
      <c r="BE148" s="930"/>
      <c r="BF148" s="930"/>
      <c r="BG148" s="930"/>
      <c r="BH148" s="930"/>
      <c r="BI148" s="930"/>
      <c r="BJ148" s="930"/>
      <c r="BK148" s="930"/>
      <c r="BL148" s="930"/>
      <c r="BM148" s="930"/>
      <c r="BN148" s="930"/>
      <c r="BO148" s="930"/>
      <c r="BP148" s="930"/>
      <c r="BQ148" s="930"/>
      <c r="BR148" s="930"/>
      <c r="BS148" s="930"/>
      <c r="BT148" s="930"/>
      <c r="BU148" s="930"/>
      <c r="BV148" s="930"/>
      <c r="BW148" s="930"/>
      <c r="BX148" s="930"/>
      <c r="BY148" s="930"/>
      <c r="BZ148" s="930"/>
      <c r="CA148" s="930"/>
      <c r="CB148" s="930"/>
      <c r="CC148" s="930"/>
      <c r="CD148" s="930"/>
      <c r="CE148" s="930"/>
      <c r="CF148" s="930"/>
      <c r="CG148" s="930"/>
      <c r="CH148" s="930"/>
      <c r="CK148" s="966"/>
      <c r="CL148" s="930"/>
      <c r="CM148" s="930"/>
      <c r="CN148" s="930"/>
      <c r="CO148" s="930"/>
      <c r="CP148" s="930"/>
      <c r="CS148" s="965"/>
      <c r="CT148" s="955"/>
      <c r="CU148" s="955"/>
      <c r="CV148" s="955"/>
      <c r="CW148" s="955"/>
      <c r="CX148" s="955"/>
      <c r="CY148" s="955"/>
      <c r="CZ148" s="955"/>
      <c r="DA148" s="955"/>
      <c r="DB148" s="955"/>
      <c r="DC148" s="955"/>
      <c r="DD148" s="955"/>
      <c r="DE148" s="955"/>
      <c r="DF148" s="955"/>
      <c r="DG148" s="955"/>
      <c r="DH148" s="955"/>
      <c r="DI148" s="955"/>
      <c r="DJ148" s="955"/>
      <c r="DK148" s="955"/>
      <c r="DL148" s="955"/>
      <c r="DM148" s="955"/>
      <c r="DN148" s="955"/>
      <c r="DO148" s="955"/>
      <c r="DP148" s="955"/>
      <c r="DQ148" s="955"/>
      <c r="DR148" s="955"/>
      <c r="DS148" s="955"/>
      <c r="DT148" s="955"/>
      <c r="DU148" s="955"/>
      <c r="DV148" s="955"/>
      <c r="DW148" s="955"/>
      <c r="DX148" s="955"/>
      <c r="DY148" s="955"/>
      <c r="DZ148" s="955"/>
      <c r="EA148" s="955"/>
      <c r="EB148" s="955"/>
      <c r="EC148" s="955"/>
    </row>
    <row r="149" spans="4:133" ht="13.5" thickBot="1">
      <c r="AW149" s="983"/>
      <c r="AX149" s="949"/>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K149" s="949"/>
      <c r="CL149" s="950"/>
      <c r="CM149" s="950"/>
      <c r="CN149" s="950"/>
      <c r="CO149" s="950"/>
      <c r="CP149" s="950"/>
      <c r="CS149" s="967"/>
      <c r="CT149" s="968"/>
      <c r="CU149" s="968"/>
      <c r="CV149" s="968"/>
      <c r="CW149" s="968"/>
      <c r="CX149" s="968"/>
      <c r="CY149" s="968"/>
      <c r="CZ149" s="968"/>
      <c r="DA149" s="968"/>
      <c r="DB149" s="968"/>
      <c r="DC149" s="968"/>
      <c r="DD149" s="968"/>
      <c r="DE149" s="968"/>
      <c r="DF149" s="968"/>
      <c r="DG149" s="968"/>
      <c r="DH149" s="968"/>
      <c r="DI149" s="968"/>
      <c r="DJ149" s="968"/>
      <c r="DK149" s="968"/>
      <c r="DL149" s="968"/>
      <c r="DM149" s="968"/>
      <c r="DN149" s="968"/>
      <c r="DO149" s="968"/>
      <c r="DP149" s="968"/>
      <c r="DQ149" s="968"/>
      <c r="DR149" s="968"/>
      <c r="DS149" s="968"/>
      <c r="DT149" s="968"/>
      <c r="DU149" s="968"/>
      <c r="DV149" s="968"/>
      <c r="DW149" s="968"/>
      <c r="DX149" s="968"/>
      <c r="DY149" s="968"/>
      <c r="DZ149" s="968"/>
      <c r="EA149" s="968"/>
      <c r="EB149" s="968"/>
      <c r="EC149" s="968"/>
    </row>
    <row r="150" spans="4:133" ht="13.5" thickBot="1">
      <c r="AX150" s="985"/>
      <c r="AY150" s="953"/>
      <c r="AZ150" s="953"/>
      <c r="BA150" s="953"/>
      <c r="BB150" s="953"/>
      <c r="BC150" s="953"/>
      <c r="BD150" s="953"/>
      <c r="BE150" s="953"/>
      <c r="BF150" s="953"/>
      <c r="BG150" s="953"/>
      <c r="BH150" s="953"/>
      <c r="BI150" s="953"/>
      <c r="BJ150" s="953"/>
      <c r="BK150" s="953"/>
      <c r="BL150" s="953"/>
      <c r="BM150" s="953"/>
      <c r="BN150" s="953"/>
      <c r="BO150" s="953"/>
      <c r="BP150" s="953"/>
      <c r="BQ150" s="953"/>
      <c r="BR150" s="953"/>
      <c r="BS150" s="953"/>
      <c r="BT150" s="953"/>
      <c r="BU150" s="953"/>
      <c r="BV150" s="953"/>
      <c r="BW150" s="953"/>
      <c r="BX150" s="953"/>
      <c r="BY150" s="953"/>
      <c r="BZ150" s="953"/>
      <c r="CA150" s="953"/>
      <c r="CB150" s="953"/>
      <c r="CC150" s="953"/>
      <c r="CD150" s="953"/>
      <c r="CE150" s="953"/>
      <c r="CF150" s="953"/>
      <c r="CG150" s="953"/>
      <c r="CH150" s="953"/>
      <c r="CK150" s="985"/>
      <c r="CL150" s="986"/>
      <c r="CM150" s="986"/>
      <c r="CN150" s="986"/>
      <c r="CO150" s="986"/>
      <c r="CP150" s="986"/>
    </row>
    <row r="151" spans="4:133" ht="15.75" thickBot="1">
      <c r="D151" s="922"/>
      <c r="E151" s="923"/>
      <c r="F151" s="923"/>
      <c r="G151" s="923"/>
      <c r="H151" s="923"/>
      <c r="I151" s="923"/>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3"/>
      <c r="AJ151" s="923"/>
      <c r="AK151" s="923"/>
      <c r="AL151" s="923"/>
      <c r="AM151" s="923"/>
      <c r="AN151" s="923"/>
    </row>
    <row r="152" spans="4:133" ht="15.75" thickBot="1">
      <c r="D152" s="926"/>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28"/>
      <c r="AN152" s="928"/>
      <c r="CS152" s="924"/>
      <c r="CT152" s="923"/>
      <c r="CU152" s="923"/>
      <c r="CV152" s="923"/>
      <c r="CW152" s="923"/>
      <c r="CX152" s="923"/>
      <c r="CY152" s="923"/>
      <c r="CZ152" s="923"/>
      <c r="DA152" s="923"/>
      <c r="DB152" s="923"/>
      <c r="DC152" s="923"/>
      <c r="DD152" s="923"/>
      <c r="DE152" s="923"/>
    </row>
    <row r="153" spans="4:133" ht="15.75" thickBot="1">
      <c r="D153" s="94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0"/>
      <c r="AJ153" s="930"/>
      <c r="AK153" s="930"/>
      <c r="AL153" s="930"/>
      <c r="AM153" s="930"/>
      <c r="AN153" s="930"/>
      <c r="AX153" s="924"/>
      <c r="AY153" s="923"/>
      <c r="AZ153" s="923"/>
      <c r="BA153" s="923"/>
      <c r="BB153" s="923"/>
      <c r="BC153" s="923"/>
      <c r="BD153" s="923"/>
      <c r="BE153" s="923"/>
      <c r="BF153" s="923"/>
      <c r="BG153" s="923"/>
      <c r="BH153" s="923"/>
      <c r="BI153" s="923"/>
      <c r="BJ153" s="923"/>
      <c r="BK153" s="923"/>
      <c r="BL153" s="923"/>
      <c r="BM153" s="923"/>
      <c r="BN153" s="923"/>
      <c r="BO153" s="923"/>
      <c r="BP153" s="923"/>
      <c r="BQ153" s="923"/>
      <c r="BR153" s="923"/>
      <c r="BS153" s="923"/>
      <c r="BT153" s="923"/>
      <c r="BU153" s="923"/>
      <c r="BV153" s="923"/>
      <c r="BW153" s="923"/>
      <c r="BX153" s="923"/>
      <c r="BY153" s="923"/>
      <c r="BZ153" s="923"/>
      <c r="CA153" s="923"/>
      <c r="CB153" s="923"/>
      <c r="CC153" s="923"/>
      <c r="CD153" s="923"/>
      <c r="CE153" s="923"/>
      <c r="CF153" s="923"/>
      <c r="CG153" s="923"/>
      <c r="CH153" s="923"/>
      <c r="CS153" s="931"/>
      <c r="CT153" s="932"/>
      <c r="CU153" s="933"/>
      <c r="CV153" s="933"/>
      <c r="CW153" s="933"/>
      <c r="CX153" s="933"/>
      <c r="CY153" s="933"/>
      <c r="CZ153" s="933"/>
      <c r="DA153" s="933"/>
      <c r="DB153" s="933"/>
      <c r="DC153" s="933"/>
      <c r="DD153" s="933"/>
      <c r="DE153" s="933"/>
    </row>
    <row r="154" spans="4:133" ht="15">
      <c r="D154" s="945"/>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0"/>
      <c r="AJ154" s="930"/>
      <c r="AK154" s="930"/>
      <c r="AL154" s="930"/>
      <c r="AM154" s="930"/>
      <c r="AN154" s="930"/>
      <c r="AX154" s="929"/>
      <c r="AY154" s="930"/>
      <c r="AZ154" s="930"/>
      <c r="BA154" s="930"/>
      <c r="BB154" s="930"/>
      <c r="BC154" s="930"/>
      <c r="BD154" s="930"/>
      <c r="BE154" s="930"/>
      <c r="BF154" s="930"/>
      <c r="BG154" s="930"/>
      <c r="BH154" s="930"/>
      <c r="BI154" s="930"/>
      <c r="BJ154" s="930"/>
      <c r="BK154" s="930"/>
      <c r="BL154" s="930"/>
      <c r="BM154" s="930"/>
      <c r="BN154" s="930"/>
      <c r="BO154" s="930"/>
      <c r="BP154" s="930"/>
      <c r="BQ154" s="930"/>
      <c r="BR154" s="930"/>
      <c r="BS154" s="930"/>
      <c r="BT154" s="930"/>
      <c r="BU154" s="930"/>
      <c r="BV154" s="930"/>
      <c r="BW154" s="930"/>
      <c r="BX154" s="930"/>
      <c r="BY154" s="930"/>
      <c r="BZ154" s="930"/>
      <c r="CA154" s="930"/>
      <c r="CB154" s="930"/>
      <c r="CC154" s="930"/>
      <c r="CD154" s="930"/>
      <c r="CE154" s="930"/>
      <c r="CF154" s="930"/>
      <c r="CG154" s="930"/>
      <c r="CH154" s="930"/>
      <c r="CS154" s="941"/>
      <c r="CT154" s="930"/>
      <c r="CU154" s="930"/>
      <c r="CV154" s="930"/>
      <c r="CW154" s="930"/>
      <c r="CX154" s="930"/>
      <c r="CY154" s="930"/>
      <c r="CZ154" s="930"/>
      <c r="DA154" s="930"/>
      <c r="DB154" s="930"/>
      <c r="DC154" s="930"/>
      <c r="DD154" s="930"/>
      <c r="DE154" s="930"/>
    </row>
    <row r="155" spans="4:133" ht="15">
      <c r="D155" s="945"/>
      <c r="E155" s="930"/>
      <c r="F155" s="930"/>
      <c r="G155" s="930"/>
      <c r="H155" s="930"/>
      <c r="I155" s="930"/>
      <c r="J155" s="930"/>
      <c r="K155" s="930"/>
      <c r="L155" s="930"/>
      <c r="M155" s="930"/>
      <c r="N155" s="930"/>
      <c r="O155" s="930"/>
      <c r="P155" s="930"/>
      <c r="Q155" s="930"/>
      <c r="R155" s="930"/>
      <c r="S155" s="930"/>
      <c r="T155" s="930"/>
      <c r="U155" s="930"/>
      <c r="V155" s="930"/>
      <c r="W155" s="930"/>
      <c r="X155" s="930"/>
      <c r="Y155" s="930"/>
      <c r="Z155" s="930"/>
      <c r="AA155" s="930"/>
      <c r="AB155" s="930"/>
      <c r="AC155" s="930"/>
      <c r="AD155" s="930"/>
      <c r="AE155" s="930"/>
      <c r="AF155" s="930"/>
      <c r="AG155" s="930"/>
      <c r="AH155" s="930"/>
      <c r="AI155" s="930"/>
      <c r="AJ155" s="930"/>
      <c r="AK155" s="930"/>
      <c r="AL155" s="930"/>
      <c r="AM155" s="930"/>
      <c r="AN155" s="930"/>
      <c r="AX155" s="941"/>
      <c r="AY155" s="930"/>
      <c r="AZ155" s="930"/>
      <c r="BA155" s="930"/>
      <c r="BB155" s="930"/>
      <c r="BC155" s="930"/>
      <c r="BD155" s="930"/>
      <c r="BE155" s="930"/>
      <c r="BF155" s="930"/>
      <c r="BG155" s="930"/>
      <c r="BH155" s="930"/>
      <c r="BI155" s="930"/>
      <c r="BJ155" s="930"/>
      <c r="BK155" s="930"/>
      <c r="BL155" s="930"/>
      <c r="BM155" s="930"/>
      <c r="BN155" s="930"/>
      <c r="BO155" s="930"/>
      <c r="BP155" s="930"/>
      <c r="BQ155" s="930"/>
      <c r="BR155" s="930"/>
      <c r="BS155" s="930"/>
      <c r="BT155" s="930"/>
      <c r="BU155" s="930"/>
      <c r="BV155" s="930"/>
      <c r="BW155" s="930"/>
      <c r="BX155" s="930"/>
      <c r="BY155" s="930"/>
      <c r="BZ155" s="930"/>
      <c r="CA155" s="930"/>
      <c r="CB155" s="930"/>
      <c r="CC155" s="930"/>
      <c r="CD155" s="930"/>
      <c r="CE155" s="930"/>
      <c r="CF155" s="930"/>
      <c r="CG155" s="930"/>
      <c r="CH155" s="930"/>
      <c r="CS155" s="941"/>
      <c r="CT155" s="930"/>
      <c r="CU155" s="930"/>
      <c r="CV155" s="930"/>
      <c r="CW155" s="930"/>
      <c r="CX155" s="930"/>
      <c r="CY155" s="930"/>
      <c r="CZ155" s="930"/>
      <c r="DA155" s="930"/>
      <c r="DB155" s="930"/>
      <c r="DC155" s="930"/>
      <c r="DD155" s="930"/>
      <c r="DE155" s="930"/>
    </row>
    <row r="156" spans="4:133" ht="15">
      <c r="D156" s="945"/>
      <c r="E156" s="930"/>
      <c r="F156" s="930"/>
      <c r="G156" s="930"/>
      <c r="H156" s="930"/>
      <c r="I156" s="930"/>
      <c r="J156" s="930"/>
      <c r="K156" s="930"/>
      <c r="L156" s="930"/>
      <c r="M156" s="930"/>
      <c r="N156" s="930"/>
      <c r="O156" s="930"/>
      <c r="P156" s="930"/>
      <c r="Q156" s="930"/>
      <c r="R156" s="930"/>
      <c r="S156" s="930"/>
      <c r="T156" s="930"/>
      <c r="U156" s="930"/>
      <c r="V156" s="930"/>
      <c r="W156" s="930"/>
      <c r="X156" s="930"/>
      <c r="Y156" s="930"/>
      <c r="Z156" s="930"/>
      <c r="AA156" s="930"/>
      <c r="AB156" s="930"/>
      <c r="AC156" s="930"/>
      <c r="AD156" s="930"/>
      <c r="AE156" s="930"/>
      <c r="AF156" s="930"/>
      <c r="AG156" s="930"/>
      <c r="AH156" s="930"/>
      <c r="AI156" s="930"/>
      <c r="AJ156" s="930"/>
      <c r="AK156" s="930"/>
      <c r="AL156" s="930"/>
      <c r="AM156" s="930"/>
      <c r="AN156" s="930"/>
      <c r="AX156" s="941"/>
      <c r="AY156" s="930"/>
      <c r="AZ156" s="930"/>
      <c r="BA156" s="930"/>
      <c r="BB156" s="930"/>
      <c r="BC156" s="930"/>
      <c r="BD156" s="930"/>
      <c r="BE156" s="930"/>
      <c r="BF156" s="930"/>
      <c r="BG156" s="930"/>
      <c r="BH156" s="930"/>
      <c r="BI156" s="930"/>
      <c r="BJ156" s="930"/>
      <c r="BK156" s="930"/>
      <c r="BL156" s="930"/>
      <c r="BM156" s="930"/>
      <c r="BN156" s="930"/>
      <c r="BO156" s="930"/>
      <c r="BP156" s="930"/>
      <c r="BQ156" s="930"/>
      <c r="BR156" s="930"/>
      <c r="BS156" s="930"/>
      <c r="BT156" s="930"/>
      <c r="BU156" s="930"/>
      <c r="BV156" s="930"/>
      <c r="BW156" s="930"/>
      <c r="BX156" s="930"/>
      <c r="BY156" s="930"/>
      <c r="BZ156" s="930"/>
      <c r="CA156" s="930"/>
      <c r="CB156" s="930"/>
      <c r="CC156" s="930"/>
      <c r="CD156" s="930"/>
      <c r="CE156" s="930"/>
      <c r="CF156" s="930"/>
      <c r="CG156" s="930"/>
      <c r="CH156" s="930"/>
      <c r="CS156" s="948"/>
      <c r="CT156" s="955"/>
      <c r="CU156" s="955"/>
      <c r="CV156" s="955"/>
      <c r="CW156" s="955"/>
      <c r="CX156" s="955"/>
      <c r="CY156" s="955"/>
      <c r="CZ156" s="955"/>
      <c r="DA156" s="955"/>
      <c r="DB156" s="955"/>
      <c r="DC156" s="955"/>
      <c r="DD156" s="955"/>
      <c r="DE156" s="955"/>
    </row>
    <row r="157" spans="4:133">
      <c r="D157" s="940"/>
      <c r="E157" s="930"/>
      <c r="F157" s="930"/>
      <c r="G157" s="930"/>
      <c r="H157" s="930"/>
      <c r="I157" s="930"/>
      <c r="J157" s="930"/>
      <c r="K157" s="930"/>
      <c r="L157" s="930"/>
      <c r="M157" s="930"/>
      <c r="N157" s="930"/>
      <c r="O157" s="930"/>
      <c r="P157" s="930"/>
      <c r="Q157" s="930"/>
      <c r="R157" s="930"/>
      <c r="S157" s="930"/>
      <c r="T157" s="930"/>
      <c r="U157" s="930"/>
      <c r="V157" s="930"/>
      <c r="W157" s="930"/>
      <c r="X157" s="930"/>
      <c r="Y157" s="930"/>
      <c r="Z157" s="930"/>
      <c r="AA157" s="930"/>
      <c r="AB157" s="930"/>
      <c r="AC157" s="930"/>
      <c r="AD157" s="930"/>
      <c r="AE157" s="930"/>
      <c r="AF157" s="930"/>
      <c r="AG157" s="930"/>
      <c r="AH157" s="930"/>
      <c r="AI157" s="930"/>
      <c r="AJ157" s="930"/>
      <c r="AK157" s="930"/>
      <c r="AL157" s="930"/>
      <c r="AM157" s="930"/>
      <c r="AN157" s="930"/>
      <c r="AX157" s="947"/>
      <c r="AY157" s="930"/>
      <c r="AZ157" s="930"/>
      <c r="BA157" s="930"/>
      <c r="BB157" s="930"/>
      <c r="BC157" s="930"/>
      <c r="BD157" s="930"/>
      <c r="BE157" s="930"/>
      <c r="BF157" s="930"/>
      <c r="BG157" s="930"/>
      <c r="BH157" s="930"/>
      <c r="BI157" s="930"/>
      <c r="BJ157" s="930"/>
      <c r="BK157" s="930"/>
      <c r="BL157" s="930"/>
      <c r="BM157" s="930"/>
      <c r="BN157" s="930"/>
      <c r="BO157" s="930"/>
      <c r="BP157" s="930"/>
      <c r="BQ157" s="930"/>
      <c r="BR157" s="930"/>
      <c r="BS157" s="930"/>
      <c r="BT157" s="930"/>
      <c r="BU157" s="930"/>
      <c r="BV157" s="930"/>
      <c r="BW157" s="930"/>
      <c r="BX157" s="930"/>
      <c r="BY157" s="930"/>
      <c r="BZ157" s="930"/>
      <c r="CA157" s="930"/>
      <c r="CB157" s="930"/>
      <c r="CC157" s="930"/>
      <c r="CD157" s="930"/>
      <c r="CE157" s="930"/>
      <c r="CF157" s="930"/>
      <c r="CG157" s="930"/>
      <c r="CH157" s="930"/>
      <c r="CS157" s="947"/>
      <c r="CT157" s="930"/>
      <c r="CU157" s="930"/>
      <c r="CV157" s="930"/>
      <c r="CW157" s="930"/>
      <c r="CX157" s="930"/>
      <c r="CY157" s="930"/>
      <c r="CZ157" s="930"/>
      <c r="DA157" s="930"/>
      <c r="DB157" s="930"/>
      <c r="DC157" s="930"/>
      <c r="DD157" s="930"/>
      <c r="DE157" s="930"/>
    </row>
    <row r="158" spans="4:133">
      <c r="D158" s="940"/>
      <c r="E158" s="930"/>
      <c r="F158" s="930"/>
      <c r="G158" s="930"/>
      <c r="H158" s="930"/>
      <c r="I158" s="930"/>
      <c r="J158" s="930"/>
      <c r="K158" s="930"/>
      <c r="L158" s="930"/>
      <c r="M158" s="930"/>
      <c r="N158" s="930"/>
      <c r="O158" s="930"/>
      <c r="P158" s="930"/>
      <c r="Q158" s="930"/>
      <c r="R158" s="930"/>
      <c r="S158" s="930"/>
      <c r="T158" s="930"/>
      <c r="U158" s="930"/>
      <c r="V158" s="930"/>
      <c r="W158" s="930"/>
      <c r="X158" s="930"/>
      <c r="Y158" s="930"/>
      <c r="Z158" s="930"/>
      <c r="AA158" s="930"/>
      <c r="AB158" s="930"/>
      <c r="AC158" s="930"/>
      <c r="AD158" s="930"/>
      <c r="AE158" s="930"/>
      <c r="AF158" s="930"/>
      <c r="AG158" s="930"/>
      <c r="AH158" s="930"/>
      <c r="AI158" s="930"/>
      <c r="AJ158" s="930"/>
      <c r="AK158" s="930"/>
      <c r="AL158" s="930"/>
      <c r="AM158" s="930"/>
      <c r="AN158" s="930"/>
      <c r="AX158" s="949"/>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S158" s="947"/>
      <c r="CT158" s="930"/>
      <c r="CU158" s="930"/>
      <c r="CV158" s="930"/>
      <c r="CW158" s="930"/>
      <c r="CX158" s="930"/>
      <c r="CY158" s="930"/>
      <c r="CZ158" s="930"/>
      <c r="DA158" s="930"/>
      <c r="DB158" s="930"/>
      <c r="DC158" s="930"/>
      <c r="DD158" s="930"/>
      <c r="DE158" s="930"/>
    </row>
    <row r="159" spans="4:133">
      <c r="D159" s="940"/>
      <c r="E159" s="930"/>
      <c r="F159" s="930"/>
      <c r="G159" s="930"/>
      <c r="H159" s="930"/>
      <c r="I159" s="930"/>
      <c r="J159" s="930"/>
      <c r="K159" s="930"/>
      <c r="L159" s="930"/>
      <c r="M159" s="930"/>
      <c r="N159" s="930"/>
      <c r="O159" s="930"/>
      <c r="P159" s="930"/>
      <c r="Q159" s="930"/>
      <c r="R159" s="930"/>
      <c r="S159" s="930"/>
      <c r="T159" s="930"/>
      <c r="U159" s="930"/>
      <c r="V159" s="930"/>
      <c r="W159" s="930"/>
      <c r="X159" s="930"/>
      <c r="Y159" s="930"/>
      <c r="Z159" s="930"/>
      <c r="AA159" s="930"/>
      <c r="AB159" s="930"/>
      <c r="AC159" s="930"/>
      <c r="AD159" s="930"/>
      <c r="AE159" s="930"/>
      <c r="AF159" s="930"/>
      <c r="AG159" s="930"/>
      <c r="AH159" s="930"/>
      <c r="AI159" s="930"/>
      <c r="AJ159" s="930"/>
      <c r="AK159" s="930"/>
      <c r="AL159" s="930"/>
      <c r="AM159" s="930"/>
      <c r="AN159" s="930"/>
      <c r="AX159" s="952"/>
      <c r="AY159" s="953"/>
      <c r="AZ159" s="953"/>
      <c r="BA159" s="953"/>
      <c r="BB159" s="953"/>
      <c r="BC159" s="953"/>
      <c r="BD159" s="953"/>
      <c r="BE159" s="953"/>
      <c r="BF159" s="953"/>
      <c r="BG159" s="953"/>
      <c r="BH159" s="953"/>
      <c r="BI159" s="953"/>
      <c r="BJ159" s="953"/>
      <c r="BK159" s="953"/>
      <c r="BL159" s="953"/>
      <c r="BM159" s="953"/>
      <c r="BN159" s="953"/>
      <c r="BO159" s="953"/>
      <c r="BP159" s="953"/>
      <c r="BQ159" s="953"/>
      <c r="BR159" s="953"/>
      <c r="BS159" s="953"/>
      <c r="BT159" s="953"/>
      <c r="BU159" s="953"/>
      <c r="BV159" s="953"/>
      <c r="BW159" s="953"/>
      <c r="BX159" s="953"/>
      <c r="BY159" s="953"/>
      <c r="BZ159" s="953"/>
      <c r="CA159" s="953"/>
      <c r="CB159" s="953"/>
      <c r="CC159" s="953"/>
      <c r="CD159" s="953"/>
      <c r="CE159" s="953"/>
      <c r="CF159" s="953"/>
      <c r="CG159" s="953"/>
      <c r="CH159" s="953"/>
      <c r="CS159" s="947"/>
      <c r="CT159" s="930"/>
      <c r="CU159" s="930"/>
      <c r="CV159" s="930"/>
      <c r="CW159" s="930"/>
      <c r="CX159" s="930"/>
      <c r="CY159" s="930"/>
      <c r="CZ159" s="930"/>
      <c r="DA159" s="930"/>
      <c r="DB159" s="930"/>
      <c r="DC159" s="930"/>
      <c r="DD159" s="930"/>
      <c r="DE159" s="930"/>
    </row>
    <row r="160" spans="4:133" ht="15">
      <c r="D160" s="959"/>
      <c r="E160" s="960"/>
      <c r="F160" s="960"/>
      <c r="G160" s="960"/>
      <c r="H160" s="960"/>
      <c r="I160" s="960"/>
      <c r="J160" s="960"/>
      <c r="K160" s="960"/>
      <c r="L160" s="960"/>
      <c r="M160" s="960"/>
      <c r="N160" s="960"/>
      <c r="O160" s="960"/>
      <c r="P160" s="960"/>
      <c r="Q160" s="960"/>
      <c r="R160" s="960"/>
      <c r="S160" s="960"/>
      <c r="T160" s="960"/>
      <c r="U160" s="960"/>
      <c r="V160" s="960"/>
      <c r="W160" s="960"/>
      <c r="X160" s="960"/>
      <c r="Y160" s="960"/>
      <c r="Z160" s="960"/>
      <c r="AA160" s="960"/>
      <c r="AB160" s="960"/>
      <c r="AC160" s="960"/>
      <c r="AD160" s="960"/>
      <c r="AE160" s="960"/>
      <c r="AF160" s="960"/>
      <c r="AG160" s="960"/>
      <c r="AH160" s="960"/>
      <c r="AI160" s="960"/>
      <c r="AJ160" s="960"/>
      <c r="AK160" s="960"/>
      <c r="AL160" s="960"/>
      <c r="AM160" s="960"/>
      <c r="AN160" s="960"/>
      <c r="AX160" s="954"/>
      <c r="AY160" s="955"/>
      <c r="AZ160" s="955"/>
      <c r="BA160" s="955"/>
      <c r="BB160" s="955"/>
      <c r="BC160" s="955"/>
      <c r="BD160" s="955"/>
      <c r="BE160" s="955"/>
      <c r="BF160" s="955"/>
      <c r="BG160" s="955"/>
      <c r="BH160" s="955"/>
      <c r="BI160" s="955"/>
      <c r="BJ160" s="955"/>
      <c r="BK160" s="955"/>
      <c r="BL160" s="955"/>
      <c r="BM160" s="955"/>
      <c r="BN160" s="955"/>
      <c r="BO160" s="955"/>
      <c r="BP160" s="955"/>
      <c r="BQ160" s="955"/>
      <c r="BR160" s="955"/>
      <c r="BS160" s="955"/>
      <c r="BT160" s="955"/>
      <c r="BU160" s="955"/>
      <c r="BV160" s="955"/>
      <c r="BW160" s="955"/>
      <c r="BX160" s="955"/>
      <c r="BY160" s="955"/>
      <c r="BZ160" s="955"/>
      <c r="CA160" s="955"/>
      <c r="CB160" s="955"/>
      <c r="CC160" s="955"/>
      <c r="CD160" s="955"/>
      <c r="CE160" s="955"/>
      <c r="CF160" s="955"/>
      <c r="CG160" s="955"/>
      <c r="CH160" s="955"/>
      <c r="CS160" s="947"/>
      <c r="CT160" s="930"/>
      <c r="CU160" s="930"/>
      <c r="CV160" s="930"/>
      <c r="CW160" s="930"/>
      <c r="CX160" s="930"/>
      <c r="CY160" s="930"/>
      <c r="CZ160" s="930"/>
      <c r="DA160" s="930"/>
      <c r="DB160" s="930"/>
      <c r="DC160" s="930"/>
      <c r="DD160" s="930"/>
      <c r="DE160" s="930"/>
    </row>
    <row r="161" spans="4:109">
      <c r="D161" s="961"/>
      <c r="E161" s="962"/>
      <c r="F161" s="962"/>
      <c r="G161" s="962"/>
      <c r="H161" s="962"/>
      <c r="I161" s="962"/>
      <c r="J161" s="962"/>
      <c r="K161" s="962"/>
      <c r="L161" s="962"/>
      <c r="M161" s="962"/>
      <c r="N161" s="962"/>
      <c r="O161" s="962"/>
      <c r="P161" s="962"/>
      <c r="Q161" s="962"/>
      <c r="R161" s="962"/>
      <c r="S161" s="962"/>
      <c r="T161" s="962"/>
      <c r="U161" s="962"/>
      <c r="V161" s="962"/>
      <c r="W161" s="962"/>
      <c r="X161" s="962"/>
      <c r="Y161" s="962"/>
      <c r="Z161" s="962"/>
      <c r="AA161" s="962"/>
      <c r="AB161" s="962"/>
      <c r="AC161" s="962"/>
      <c r="AD161" s="962"/>
      <c r="AE161" s="962"/>
      <c r="AF161" s="962"/>
      <c r="AG161" s="962"/>
      <c r="AH161" s="962"/>
      <c r="AI161" s="962"/>
      <c r="AJ161" s="962"/>
      <c r="AK161" s="962"/>
      <c r="AL161" s="962"/>
      <c r="AM161" s="962"/>
      <c r="AN161" s="962"/>
      <c r="AX161" s="958"/>
      <c r="AY161" s="930"/>
      <c r="AZ161" s="930"/>
      <c r="BA161" s="930"/>
      <c r="BB161" s="930"/>
      <c r="BC161" s="930"/>
      <c r="BD161" s="930"/>
      <c r="BE161" s="930"/>
      <c r="BF161" s="930"/>
      <c r="BG161" s="930"/>
      <c r="BH161" s="930"/>
      <c r="BI161" s="930"/>
      <c r="BJ161" s="930"/>
      <c r="BK161" s="930"/>
      <c r="BL161" s="930"/>
      <c r="BM161" s="930"/>
      <c r="BN161" s="930"/>
      <c r="BO161" s="930"/>
      <c r="BP161" s="930"/>
      <c r="BQ161" s="930"/>
      <c r="BR161" s="930"/>
      <c r="BS161" s="930"/>
      <c r="BT161" s="930"/>
      <c r="BU161" s="930"/>
      <c r="BV161" s="930"/>
      <c r="BW161" s="930"/>
      <c r="BX161" s="930"/>
      <c r="BY161" s="930"/>
      <c r="BZ161" s="930"/>
      <c r="CA161" s="930"/>
      <c r="CB161" s="930"/>
      <c r="CC161" s="930"/>
      <c r="CD161" s="930"/>
      <c r="CE161" s="930"/>
      <c r="CF161" s="930"/>
      <c r="CG161" s="930"/>
      <c r="CH161" s="930"/>
      <c r="CS161" s="947"/>
      <c r="CT161" s="930"/>
      <c r="CU161" s="930"/>
      <c r="CV161" s="930"/>
      <c r="CW161" s="930"/>
      <c r="CX161" s="930"/>
      <c r="CY161" s="930"/>
      <c r="CZ161" s="930"/>
      <c r="DA161" s="930"/>
      <c r="DB161" s="930"/>
      <c r="DC161" s="930"/>
      <c r="DD161" s="930"/>
      <c r="DE161" s="930"/>
    </row>
    <row r="162" spans="4:109" ht="15">
      <c r="D162" s="963"/>
      <c r="E162" s="962"/>
      <c r="F162" s="962"/>
      <c r="G162" s="962"/>
      <c r="H162" s="962"/>
      <c r="I162" s="962"/>
      <c r="J162" s="962"/>
      <c r="K162" s="962"/>
      <c r="L162" s="962"/>
      <c r="M162" s="962"/>
      <c r="N162" s="962"/>
      <c r="O162" s="962"/>
      <c r="P162" s="962"/>
      <c r="Q162" s="962"/>
      <c r="R162" s="962"/>
      <c r="S162" s="962"/>
      <c r="T162" s="962"/>
      <c r="U162" s="962"/>
      <c r="V162" s="962"/>
      <c r="W162" s="962"/>
      <c r="X162" s="962"/>
      <c r="Y162" s="962"/>
      <c r="Z162" s="962"/>
      <c r="AA162" s="962"/>
      <c r="AB162" s="962"/>
      <c r="AC162" s="962"/>
      <c r="AD162" s="962"/>
      <c r="AE162" s="962"/>
      <c r="AF162" s="962"/>
      <c r="AG162" s="962"/>
      <c r="AH162" s="962"/>
      <c r="AI162" s="962"/>
      <c r="AJ162" s="962"/>
      <c r="AK162" s="962"/>
      <c r="AL162" s="962"/>
      <c r="AM162" s="962"/>
      <c r="AN162" s="962"/>
      <c r="AX162" s="958"/>
      <c r="AY162" s="930"/>
      <c r="AZ162" s="930"/>
      <c r="BA162" s="930"/>
      <c r="BB162" s="930"/>
      <c r="BC162" s="930"/>
      <c r="BD162" s="930"/>
      <c r="BE162" s="930"/>
      <c r="BF162" s="930"/>
      <c r="BG162" s="930"/>
      <c r="BH162" s="930"/>
      <c r="BI162" s="930"/>
      <c r="BJ162" s="930"/>
      <c r="BK162" s="930"/>
      <c r="BL162" s="930"/>
      <c r="BM162" s="930"/>
      <c r="BN162" s="930"/>
      <c r="BO162" s="930"/>
      <c r="BP162" s="930"/>
      <c r="BQ162" s="930"/>
      <c r="BR162" s="930"/>
      <c r="BS162" s="930"/>
      <c r="BT162" s="930"/>
      <c r="BU162" s="930"/>
      <c r="BV162" s="930"/>
      <c r="BW162" s="930"/>
      <c r="BX162" s="930"/>
      <c r="BY162" s="930"/>
      <c r="BZ162" s="930"/>
      <c r="CA162" s="930"/>
      <c r="CB162" s="930"/>
      <c r="CC162" s="930"/>
      <c r="CD162" s="930"/>
      <c r="CE162" s="930"/>
      <c r="CF162" s="930"/>
      <c r="CG162" s="930"/>
      <c r="CH162" s="930"/>
      <c r="CS162" s="947"/>
      <c r="CT162" s="930"/>
      <c r="CU162" s="930"/>
      <c r="CV162" s="930"/>
      <c r="CW162" s="930"/>
      <c r="CX162" s="930"/>
      <c r="CY162" s="930"/>
      <c r="CZ162" s="930"/>
      <c r="DA162" s="930"/>
      <c r="DB162" s="930"/>
      <c r="DC162" s="930"/>
      <c r="DD162" s="930"/>
      <c r="DE162" s="930"/>
    </row>
    <row r="163" spans="4:109">
      <c r="D163" s="940"/>
      <c r="E163" s="930"/>
      <c r="F163" s="930"/>
      <c r="G163" s="930"/>
      <c r="H163" s="930"/>
      <c r="I163" s="930"/>
      <c r="J163" s="930"/>
      <c r="K163" s="930"/>
      <c r="L163" s="930"/>
      <c r="M163" s="930"/>
      <c r="N163" s="930"/>
      <c r="O163" s="930"/>
      <c r="P163" s="930"/>
      <c r="Q163" s="930"/>
      <c r="R163" s="930"/>
      <c r="S163" s="930"/>
      <c r="T163" s="930"/>
      <c r="U163" s="930"/>
      <c r="V163" s="930"/>
      <c r="W163" s="930"/>
      <c r="X163" s="930"/>
      <c r="Y163" s="930"/>
      <c r="Z163" s="930"/>
      <c r="AA163" s="930"/>
      <c r="AB163" s="930"/>
      <c r="AC163" s="930"/>
      <c r="AD163" s="930"/>
      <c r="AE163" s="930"/>
      <c r="AF163" s="930"/>
      <c r="AG163" s="930"/>
      <c r="AH163" s="930"/>
      <c r="AI163" s="930"/>
      <c r="AJ163" s="930"/>
      <c r="AK163" s="930"/>
      <c r="AL163" s="930"/>
      <c r="AM163" s="930"/>
      <c r="AN163" s="930"/>
      <c r="AX163" s="949"/>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S163" s="947"/>
      <c r="CT163" s="930"/>
      <c r="CU163" s="930"/>
      <c r="CV163" s="930"/>
      <c r="CW163" s="930"/>
      <c r="CX163" s="930"/>
      <c r="CY163" s="930"/>
      <c r="CZ163" s="930"/>
      <c r="DA163" s="930"/>
      <c r="DB163" s="930"/>
      <c r="DC163" s="930"/>
      <c r="DD163" s="930"/>
      <c r="DE163" s="930"/>
    </row>
    <row r="164" spans="4:109">
      <c r="D164" s="961"/>
      <c r="E164" s="930"/>
      <c r="F164" s="930"/>
      <c r="G164" s="930"/>
      <c r="H164" s="930"/>
      <c r="I164" s="930"/>
      <c r="J164" s="930"/>
      <c r="K164" s="930"/>
      <c r="L164" s="930"/>
      <c r="M164" s="930"/>
      <c r="N164" s="930"/>
      <c r="O164" s="930"/>
      <c r="P164" s="930"/>
      <c r="Q164" s="930"/>
      <c r="R164" s="930"/>
      <c r="S164" s="930"/>
      <c r="T164" s="930"/>
      <c r="U164" s="930"/>
      <c r="V164" s="930"/>
      <c r="W164" s="930"/>
      <c r="X164" s="930"/>
      <c r="Y164" s="930"/>
      <c r="Z164" s="930"/>
      <c r="AA164" s="930"/>
      <c r="AB164" s="930"/>
      <c r="AC164" s="930"/>
      <c r="AD164" s="930"/>
      <c r="AE164" s="930"/>
      <c r="AF164" s="930"/>
      <c r="AG164" s="930"/>
      <c r="AH164" s="930"/>
      <c r="AI164" s="930"/>
      <c r="AJ164" s="930"/>
      <c r="AK164" s="930"/>
      <c r="AL164" s="930"/>
      <c r="AM164" s="930"/>
      <c r="AN164" s="930"/>
      <c r="AX164" s="952"/>
      <c r="AY164" s="953"/>
      <c r="AZ164" s="953"/>
      <c r="BA164" s="953"/>
      <c r="BB164" s="953"/>
      <c r="BC164" s="953"/>
      <c r="BD164" s="953"/>
      <c r="BE164" s="953"/>
      <c r="BF164" s="953"/>
      <c r="BG164" s="953"/>
      <c r="BH164" s="953"/>
      <c r="BI164" s="953"/>
      <c r="BJ164" s="953"/>
      <c r="BK164" s="953"/>
      <c r="BL164" s="953"/>
      <c r="BM164" s="953"/>
      <c r="BN164" s="953"/>
      <c r="BO164" s="953"/>
      <c r="BP164" s="953"/>
      <c r="BQ164" s="953"/>
      <c r="BR164" s="953"/>
      <c r="BS164" s="953"/>
      <c r="BT164" s="953"/>
      <c r="BU164" s="953"/>
      <c r="BV164" s="953"/>
      <c r="BW164" s="953"/>
      <c r="BX164" s="953"/>
      <c r="BY164" s="953"/>
      <c r="BZ164" s="953"/>
      <c r="CA164" s="953"/>
      <c r="CB164" s="953"/>
      <c r="CC164" s="953"/>
      <c r="CD164" s="953"/>
      <c r="CE164" s="953"/>
      <c r="CF164" s="953"/>
      <c r="CG164" s="953"/>
      <c r="CH164" s="953"/>
      <c r="CS164" s="965"/>
      <c r="CT164" s="955"/>
      <c r="CU164" s="955"/>
      <c r="CV164" s="955"/>
      <c r="CW164" s="955"/>
      <c r="CX164" s="955"/>
      <c r="CY164" s="955"/>
      <c r="CZ164" s="955"/>
      <c r="DA164" s="955"/>
      <c r="DB164" s="955"/>
      <c r="DC164" s="955"/>
      <c r="DD164" s="955"/>
      <c r="DE164" s="955"/>
    </row>
    <row r="165" spans="4:109" ht="15.75" thickBot="1">
      <c r="D165" s="945"/>
      <c r="E165" s="930"/>
      <c r="F165" s="930"/>
      <c r="G165" s="930"/>
      <c r="H165" s="930"/>
      <c r="I165" s="930"/>
      <c r="J165" s="930"/>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0"/>
      <c r="AH165" s="930"/>
      <c r="AI165" s="930"/>
      <c r="AJ165" s="930"/>
      <c r="AK165" s="930"/>
      <c r="AL165" s="930"/>
      <c r="AM165" s="930"/>
      <c r="AN165" s="930"/>
      <c r="AX165" s="964"/>
      <c r="AY165" s="955"/>
      <c r="AZ165" s="955"/>
      <c r="BA165" s="955"/>
      <c r="BB165" s="955"/>
      <c r="BC165" s="955"/>
      <c r="BD165" s="955"/>
      <c r="BE165" s="955"/>
      <c r="BF165" s="955"/>
      <c r="BG165" s="955"/>
      <c r="BH165" s="955"/>
      <c r="BI165" s="955"/>
      <c r="BJ165" s="955"/>
      <c r="BK165" s="955"/>
      <c r="BL165" s="955"/>
      <c r="BM165" s="955"/>
      <c r="BN165" s="955"/>
      <c r="BO165" s="955"/>
      <c r="BP165" s="955"/>
      <c r="BQ165" s="955"/>
      <c r="BR165" s="955"/>
      <c r="BS165" s="955"/>
      <c r="BT165" s="955"/>
      <c r="BU165" s="955"/>
      <c r="BV165" s="955"/>
      <c r="BW165" s="955"/>
      <c r="BX165" s="955"/>
      <c r="BY165" s="955"/>
      <c r="BZ165" s="955"/>
      <c r="CA165" s="955"/>
      <c r="CB165" s="955"/>
      <c r="CC165" s="955"/>
      <c r="CD165" s="955"/>
      <c r="CE165" s="955"/>
      <c r="CF165" s="955"/>
      <c r="CG165" s="955"/>
      <c r="CH165" s="955"/>
      <c r="CS165" s="967"/>
      <c r="CT165" s="968"/>
      <c r="CU165" s="968"/>
      <c r="CV165" s="968"/>
      <c r="CW165" s="968"/>
      <c r="CX165" s="968"/>
      <c r="CY165" s="968"/>
      <c r="CZ165" s="968"/>
      <c r="DA165" s="968"/>
      <c r="DB165" s="968"/>
      <c r="DC165" s="968"/>
      <c r="DD165" s="968"/>
      <c r="DE165" s="968"/>
    </row>
    <row r="166" spans="4:109" ht="15">
      <c r="D166" s="945"/>
      <c r="E166" s="930"/>
      <c r="F166" s="930"/>
      <c r="G166" s="930"/>
      <c r="H166" s="930"/>
      <c r="I166" s="930"/>
      <c r="J166" s="930"/>
      <c r="K166" s="930"/>
      <c r="L166" s="930"/>
      <c r="M166" s="930"/>
      <c r="N166" s="930"/>
      <c r="O166" s="930"/>
      <c r="P166" s="930"/>
      <c r="Q166" s="930"/>
      <c r="R166" s="930"/>
      <c r="S166" s="930"/>
      <c r="T166" s="930"/>
      <c r="U166" s="930"/>
      <c r="V166" s="930"/>
      <c r="W166" s="930"/>
      <c r="X166" s="930"/>
      <c r="Y166" s="930"/>
      <c r="Z166" s="930"/>
      <c r="AA166" s="930"/>
      <c r="AB166" s="930"/>
      <c r="AC166" s="930"/>
      <c r="AD166" s="930"/>
      <c r="AE166" s="930"/>
      <c r="AF166" s="930"/>
      <c r="AG166" s="930"/>
      <c r="AH166" s="930"/>
      <c r="AI166" s="930"/>
      <c r="AJ166" s="930"/>
      <c r="AK166" s="930"/>
      <c r="AL166" s="930"/>
      <c r="AM166" s="930"/>
      <c r="AN166" s="930"/>
      <c r="AX166" s="966"/>
      <c r="AY166" s="930"/>
      <c r="AZ166" s="930"/>
      <c r="BA166" s="930"/>
      <c r="BB166" s="930"/>
      <c r="BC166" s="930"/>
      <c r="BD166" s="930"/>
      <c r="BE166" s="930"/>
      <c r="BF166" s="930"/>
      <c r="BG166" s="930"/>
      <c r="BH166" s="930"/>
      <c r="BI166" s="930"/>
      <c r="BJ166" s="930"/>
      <c r="BK166" s="930"/>
      <c r="BL166" s="930"/>
      <c r="BM166" s="930"/>
      <c r="BN166" s="930"/>
      <c r="BO166" s="930"/>
      <c r="BP166" s="930"/>
      <c r="BQ166" s="930"/>
      <c r="BR166" s="930"/>
      <c r="BS166" s="930"/>
      <c r="BT166" s="930"/>
      <c r="BU166" s="930"/>
      <c r="BV166" s="930"/>
      <c r="BW166" s="930"/>
      <c r="BX166" s="930"/>
      <c r="BY166" s="930"/>
      <c r="BZ166" s="930"/>
      <c r="CA166" s="930"/>
      <c r="CB166" s="930"/>
      <c r="CC166" s="930"/>
      <c r="CD166" s="930"/>
      <c r="CE166" s="930"/>
      <c r="CF166" s="930"/>
      <c r="CG166" s="930"/>
      <c r="CH166" s="930"/>
    </row>
    <row r="167" spans="4:109" ht="15">
      <c r="D167" s="970"/>
      <c r="E167" s="930"/>
      <c r="F167" s="930"/>
      <c r="G167" s="930"/>
      <c r="H167" s="930"/>
      <c r="I167" s="930"/>
      <c r="J167" s="930"/>
      <c r="K167" s="930"/>
      <c r="L167" s="930"/>
      <c r="M167" s="930"/>
      <c r="N167" s="930"/>
      <c r="O167" s="930"/>
      <c r="P167" s="930"/>
      <c r="Q167" s="930"/>
      <c r="R167" s="930"/>
      <c r="S167" s="930"/>
      <c r="T167" s="930"/>
      <c r="U167" s="930"/>
      <c r="V167" s="930"/>
      <c r="W167" s="930"/>
      <c r="X167" s="930"/>
      <c r="Y167" s="930"/>
      <c r="Z167" s="930"/>
      <c r="AA167" s="930"/>
      <c r="AB167" s="930"/>
      <c r="AC167" s="930"/>
      <c r="AD167" s="930"/>
      <c r="AE167" s="930"/>
      <c r="AF167" s="930"/>
      <c r="AG167" s="930"/>
      <c r="AH167" s="930"/>
      <c r="AI167" s="930"/>
      <c r="AJ167" s="930"/>
      <c r="AK167" s="930"/>
      <c r="AL167" s="930"/>
      <c r="AM167" s="930"/>
      <c r="AN167" s="930"/>
      <c r="AX167" s="966"/>
      <c r="AY167" s="930"/>
      <c r="AZ167" s="930"/>
      <c r="BA167" s="930"/>
      <c r="BB167" s="930"/>
      <c r="BC167" s="930"/>
      <c r="BD167" s="930"/>
      <c r="BE167" s="930"/>
      <c r="BF167" s="930"/>
      <c r="BG167" s="930"/>
      <c r="BH167" s="930"/>
      <c r="BI167" s="930"/>
      <c r="BJ167" s="930"/>
      <c r="BK167" s="930"/>
      <c r="BL167" s="930"/>
      <c r="BM167" s="930"/>
      <c r="BN167" s="930"/>
      <c r="BO167" s="930"/>
      <c r="BP167" s="930"/>
      <c r="BQ167" s="930"/>
      <c r="BR167" s="930"/>
      <c r="BS167" s="930"/>
      <c r="BT167" s="930"/>
      <c r="BU167" s="930"/>
      <c r="BV167" s="930"/>
      <c r="BW167" s="930"/>
      <c r="BX167" s="930"/>
      <c r="BY167" s="930"/>
      <c r="BZ167" s="930"/>
      <c r="CA167" s="930"/>
      <c r="CB167" s="930"/>
      <c r="CC167" s="930"/>
      <c r="CD167" s="930"/>
      <c r="CE167" s="930"/>
      <c r="CF167" s="930"/>
      <c r="CG167" s="930"/>
      <c r="CH167" s="930"/>
    </row>
    <row r="168" spans="4:109" ht="15">
      <c r="D168" s="971"/>
      <c r="E168" s="930"/>
      <c r="F168" s="930"/>
      <c r="G168" s="930"/>
      <c r="H168" s="930"/>
      <c r="I168" s="930"/>
      <c r="J168" s="930"/>
      <c r="K168" s="930"/>
      <c r="L168" s="930"/>
      <c r="M168" s="930"/>
      <c r="N168" s="930"/>
      <c r="O168" s="930"/>
      <c r="P168" s="930"/>
      <c r="Q168" s="930"/>
      <c r="R168" s="930"/>
      <c r="S168" s="930"/>
      <c r="T168" s="930"/>
      <c r="U168" s="930"/>
      <c r="V168" s="930"/>
      <c r="W168" s="930"/>
      <c r="X168" s="930"/>
      <c r="Y168" s="930"/>
      <c r="Z168" s="930"/>
      <c r="AA168" s="930"/>
      <c r="AB168" s="930"/>
      <c r="AC168" s="930"/>
      <c r="AD168" s="930"/>
      <c r="AE168" s="930"/>
      <c r="AF168" s="930"/>
      <c r="AG168" s="930"/>
      <c r="AH168" s="930"/>
      <c r="AI168" s="930"/>
      <c r="AJ168" s="930"/>
      <c r="AK168" s="930"/>
      <c r="AL168" s="930"/>
      <c r="AM168" s="930"/>
      <c r="AN168" s="930"/>
      <c r="AX168" s="969"/>
      <c r="AY168" s="930"/>
      <c r="AZ168" s="930"/>
      <c r="BA168" s="930"/>
      <c r="BB168" s="930"/>
      <c r="BC168" s="930"/>
      <c r="BD168" s="930"/>
      <c r="BE168" s="930"/>
      <c r="BF168" s="930"/>
      <c r="BG168" s="930"/>
      <c r="BH168" s="930"/>
      <c r="BI168" s="930"/>
      <c r="BJ168" s="930"/>
      <c r="BK168" s="930"/>
      <c r="BL168" s="930"/>
      <c r="BM168" s="930"/>
      <c r="BN168" s="930"/>
      <c r="BO168" s="930"/>
      <c r="BP168" s="930"/>
      <c r="BQ168" s="930"/>
      <c r="BR168" s="930"/>
      <c r="BS168" s="930"/>
      <c r="BT168" s="930"/>
      <c r="BU168" s="930"/>
      <c r="BV168" s="930"/>
      <c r="BW168" s="930"/>
      <c r="BX168" s="930"/>
      <c r="BY168" s="930"/>
      <c r="BZ168" s="930"/>
      <c r="CA168" s="930"/>
      <c r="CB168" s="930"/>
      <c r="CC168" s="930"/>
      <c r="CD168" s="930"/>
      <c r="CE168" s="930"/>
      <c r="CF168" s="930"/>
      <c r="CG168" s="930"/>
      <c r="CH168" s="930"/>
    </row>
    <row r="169" spans="4:109" ht="15">
      <c r="D169" s="970"/>
      <c r="E169" s="930"/>
      <c r="F169" s="930"/>
      <c r="G169" s="930"/>
      <c r="H169" s="930"/>
      <c r="I169" s="930"/>
      <c r="J169" s="930"/>
      <c r="K169" s="930"/>
      <c r="L169" s="930"/>
      <c r="M169" s="930"/>
      <c r="N169" s="930"/>
      <c r="O169" s="930"/>
      <c r="P169" s="930"/>
      <c r="Q169" s="930"/>
      <c r="R169" s="930"/>
      <c r="S169" s="930"/>
      <c r="T169" s="930"/>
      <c r="U169" s="930"/>
      <c r="V169" s="930"/>
      <c r="W169" s="930"/>
      <c r="X169" s="930"/>
      <c r="Y169" s="930"/>
      <c r="Z169" s="930"/>
      <c r="AA169" s="930"/>
      <c r="AB169" s="930"/>
      <c r="AC169" s="930"/>
      <c r="AD169" s="930"/>
      <c r="AE169" s="930"/>
      <c r="AF169" s="930"/>
      <c r="AG169" s="930"/>
      <c r="AH169" s="930"/>
      <c r="AI169" s="930"/>
      <c r="AJ169" s="930"/>
      <c r="AK169" s="930"/>
      <c r="AL169" s="930"/>
      <c r="AM169" s="930"/>
      <c r="AN169" s="930"/>
      <c r="AX169" s="949"/>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row>
    <row r="170" spans="4:109">
      <c r="D170" s="940"/>
      <c r="E170" s="930"/>
      <c r="F170" s="930"/>
      <c r="G170" s="930"/>
      <c r="H170" s="930"/>
      <c r="I170" s="930"/>
      <c r="J170" s="930"/>
      <c r="K170" s="930"/>
      <c r="L170" s="930"/>
      <c r="M170" s="930"/>
      <c r="N170" s="930"/>
      <c r="O170" s="930"/>
      <c r="P170" s="930"/>
      <c r="Q170" s="930"/>
      <c r="R170" s="930"/>
      <c r="S170" s="930"/>
      <c r="T170" s="930"/>
      <c r="U170" s="930"/>
      <c r="V170" s="930"/>
      <c r="W170" s="930"/>
      <c r="X170" s="930"/>
      <c r="Y170" s="930"/>
      <c r="Z170" s="930"/>
      <c r="AA170" s="930"/>
      <c r="AB170" s="930"/>
      <c r="AC170" s="930"/>
      <c r="AD170" s="930"/>
      <c r="AE170" s="930"/>
      <c r="AF170" s="930"/>
      <c r="AG170" s="930"/>
      <c r="AH170" s="930"/>
      <c r="AI170" s="930"/>
      <c r="AJ170" s="930"/>
      <c r="AK170" s="930"/>
      <c r="AL170" s="930"/>
      <c r="AM170" s="930"/>
      <c r="AN170" s="930"/>
      <c r="AX170" s="972"/>
      <c r="AY170" s="953"/>
      <c r="AZ170" s="953"/>
      <c r="BA170" s="953"/>
      <c r="BB170" s="953"/>
      <c r="BC170" s="953"/>
      <c r="BD170" s="953"/>
      <c r="BE170" s="953"/>
      <c r="BF170" s="953"/>
      <c r="BG170" s="953"/>
      <c r="BH170" s="953"/>
      <c r="BI170" s="953"/>
      <c r="BJ170" s="953"/>
      <c r="BK170" s="953"/>
      <c r="BL170" s="953"/>
      <c r="BM170" s="953"/>
      <c r="BN170" s="953"/>
      <c r="BO170" s="953"/>
      <c r="BP170" s="953"/>
      <c r="BQ170" s="953"/>
      <c r="BR170" s="953"/>
      <c r="BS170" s="953"/>
      <c r="BT170" s="953"/>
      <c r="BU170" s="953"/>
      <c r="BV170" s="953"/>
      <c r="BW170" s="953"/>
      <c r="BX170" s="953"/>
      <c r="BY170" s="953"/>
      <c r="BZ170" s="953"/>
      <c r="CA170" s="953"/>
      <c r="CB170" s="953"/>
      <c r="CC170" s="953"/>
      <c r="CD170" s="953"/>
      <c r="CE170" s="953"/>
      <c r="CF170" s="953"/>
      <c r="CG170" s="953"/>
      <c r="CH170" s="953"/>
    </row>
    <row r="171" spans="4:109" ht="15">
      <c r="D171" s="973"/>
      <c r="E171" s="974"/>
      <c r="F171" s="974"/>
      <c r="G171" s="974"/>
      <c r="H171" s="974"/>
      <c r="I171" s="974"/>
      <c r="J171" s="974"/>
      <c r="K171" s="974"/>
      <c r="L171" s="974"/>
      <c r="M171" s="974"/>
      <c r="N171" s="974"/>
      <c r="O171" s="974"/>
      <c r="P171" s="974"/>
      <c r="Q171" s="974"/>
      <c r="R171" s="974"/>
      <c r="S171" s="974"/>
      <c r="T171" s="974"/>
      <c r="U171" s="974"/>
      <c r="V171" s="974"/>
      <c r="W171" s="974"/>
      <c r="X171" s="974"/>
      <c r="Y171" s="974"/>
      <c r="Z171" s="974"/>
      <c r="AA171" s="974"/>
      <c r="AB171" s="974"/>
      <c r="AC171" s="974"/>
      <c r="AD171" s="974"/>
      <c r="AE171" s="974"/>
      <c r="AF171" s="974"/>
      <c r="AG171" s="974"/>
      <c r="AH171" s="974"/>
      <c r="AI171" s="974"/>
      <c r="AJ171" s="974"/>
      <c r="AK171" s="974"/>
      <c r="AL171" s="974"/>
      <c r="AM171" s="974"/>
      <c r="AN171" s="974"/>
      <c r="AX171" s="952"/>
      <c r="AY171" s="955"/>
      <c r="AZ171" s="955"/>
      <c r="BA171" s="955"/>
      <c r="BB171" s="955"/>
      <c r="BC171" s="955"/>
      <c r="BD171" s="955"/>
      <c r="BE171" s="955"/>
      <c r="BF171" s="955"/>
      <c r="BG171" s="955"/>
      <c r="BH171" s="955"/>
      <c r="BI171" s="955"/>
      <c r="BJ171" s="955"/>
      <c r="BK171" s="955"/>
      <c r="BL171" s="955"/>
      <c r="BM171" s="955"/>
      <c r="BN171" s="955"/>
      <c r="BO171" s="955"/>
      <c r="BP171" s="955"/>
      <c r="BQ171" s="955"/>
      <c r="BR171" s="955"/>
      <c r="BS171" s="955"/>
      <c r="BT171" s="955"/>
      <c r="BU171" s="955"/>
      <c r="BV171" s="955"/>
      <c r="BW171" s="955"/>
      <c r="BX171" s="955"/>
      <c r="BY171" s="955"/>
      <c r="BZ171" s="955"/>
      <c r="CA171" s="955"/>
      <c r="CB171" s="955"/>
      <c r="CC171" s="955"/>
      <c r="CD171" s="955"/>
      <c r="CE171" s="955"/>
      <c r="CF171" s="955"/>
      <c r="CG171" s="955"/>
      <c r="CH171" s="955"/>
    </row>
    <row r="172" spans="4:109" ht="15">
      <c r="D172" s="975"/>
      <c r="E172" s="976"/>
      <c r="F172" s="976"/>
      <c r="G172" s="976"/>
      <c r="H172" s="976"/>
      <c r="I172" s="976"/>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976"/>
      <c r="AX172" s="966"/>
      <c r="AY172" s="930"/>
      <c r="AZ172" s="930"/>
      <c r="BA172" s="930"/>
      <c r="BB172" s="930"/>
      <c r="BC172" s="930"/>
      <c r="BD172" s="930"/>
      <c r="BE172" s="930"/>
      <c r="BF172" s="930"/>
      <c r="BG172" s="930"/>
      <c r="BH172" s="930"/>
      <c r="BI172" s="930"/>
      <c r="BJ172" s="930"/>
      <c r="BK172" s="930"/>
      <c r="BL172" s="930"/>
      <c r="BM172" s="930"/>
      <c r="BN172" s="930"/>
      <c r="BO172" s="930"/>
      <c r="BP172" s="930"/>
      <c r="BQ172" s="930"/>
      <c r="BR172" s="930"/>
      <c r="BS172" s="930"/>
      <c r="BT172" s="930"/>
      <c r="BU172" s="930"/>
      <c r="BV172" s="930"/>
      <c r="BW172" s="930"/>
      <c r="BX172" s="930"/>
      <c r="BY172" s="930"/>
      <c r="BZ172" s="930"/>
      <c r="CA172" s="930"/>
      <c r="CB172" s="930"/>
      <c r="CC172" s="930"/>
      <c r="CD172" s="930"/>
      <c r="CE172" s="930"/>
      <c r="CF172" s="930"/>
      <c r="CG172" s="930"/>
      <c r="CH172" s="930"/>
    </row>
    <row r="173" spans="4:109" ht="15">
      <c r="D173" s="963"/>
      <c r="E173" s="976"/>
      <c r="F173" s="976"/>
      <c r="G173" s="976"/>
      <c r="H173" s="976"/>
      <c r="I173" s="976"/>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976"/>
      <c r="AX173" s="949"/>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row>
    <row r="174" spans="4:109">
      <c r="D174" s="940"/>
      <c r="E174" s="930"/>
      <c r="F174" s="930"/>
      <c r="G174" s="930"/>
      <c r="H174" s="930"/>
      <c r="I174" s="930"/>
      <c r="J174" s="930"/>
      <c r="K174" s="930"/>
      <c r="L174" s="930"/>
      <c r="M174" s="930"/>
      <c r="N174" s="930"/>
      <c r="O174" s="930"/>
      <c r="P174" s="930"/>
      <c r="Q174" s="930"/>
      <c r="R174" s="930"/>
      <c r="S174" s="930"/>
      <c r="T174" s="930"/>
      <c r="U174" s="930"/>
      <c r="V174" s="930"/>
      <c r="W174" s="930"/>
      <c r="X174" s="930"/>
      <c r="Y174" s="930"/>
      <c r="Z174" s="930"/>
      <c r="AA174" s="930"/>
      <c r="AB174" s="930"/>
      <c r="AC174" s="930"/>
      <c r="AD174" s="930"/>
      <c r="AE174" s="930"/>
      <c r="AF174" s="930"/>
      <c r="AG174" s="930"/>
      <c r="AH174" s="930"/>
      <c r="AI174" s="930"/>
      <c r="AJ174" s="930"/>
      <c r="AK174" s="930"/>
      <c r="AL174" s="930"/>
      <c r="AM174" s="930"/>
      <c r="AN174" s="930"/>
      <c r="AX174" s="952"/>
      <c r="AY174" s="955"/>
      <c r="AZ174" s="955"/>
      <c r="BA174" s="955"/>
      <c r="BB174" s="955"/>
      <c r="BC174" s="955"/>
      <c r="BD174" s="955"/>
      <c r="BE174" s="955"/>
      <c r="BF174" s="955"/>
      <c r="BG174" s="955"/>
      <c r="BH174" s="955"/>
      <c r="BI174" s="955"/>
      <c r="BJ174" s="955"/>
      <c r="BK174" s="955"/>
      <c r="BL174" s="955"/>
      <c r="BM174" s="955"/>
      <c r="BN174" s="955"/>
      <c r="BO174" s="955"/>
      <c r="BP174" s="955"/>
      <c r="BQ174" s="955"/>
      <c r="BR174" s="955"/>
      <c r="BS174" s="955"/>
      <c r="BT174" s="955"/>
      <c r="BU174" s="955"/>
      <c r="BV174" s="955"/>
      <c r="BW174" s="955"/>
      <c r="BX174" s="955"/>
      <c r="BY174" s="955"/>
      <c r="BZ174" s="955"/>
      <c r="CA174" s="955"/>
      <c r="CB174" s="955"/>
      <c r="CC174" s="955"/>
      <c r="CD174" s="955"/>
      <c r="CE174" s="955"/>
      <c r="CF174" s="955"/>
      <c r="CG174" s="955"/>
      <c r="CH174" s="955"/>
    </row>
    <row r="175" spans="4:109">
      <c r="D175" s="940"/>
      <c r="E175" s="930"/>
      <c r="F175" s="930"/>
      <c r="G175" s="930"/>
      <c r="H175" s="930"/>
      <c r="I175" s="930"/>
      <c r="J175" s="930"/>
      <c r="K175" s="930"/>
      <c r="L175" s="930"/>
      <c r="M175" s="930"/>
      <c r="N175" s="930"/>
      <c r="O175" s="930"/>
      <c r="P175" s="930"/>
      <c r="Q175" s="930"/>
      <c r="R175" s="930"/>
      <c r="S175" s="930"/>
      <c r="T175" s="930"/>
      <c r="U175" s="930"/>
      <c r="V175" s="930"/>
      <c r="W175" s="930"/>
      <c r="X175" s="930"/>
      <c r="Y175" s="930"/>
      <c r="Z175" s="930"/>
      <c r="AA175" s="930"/>
      <c r="AB175" s="930"/>
      <c r="AC175" s="930"/>
      <c r="AD175" s="930"/>
      <c r="AE175" s="930"/>
      <c r="AF175" s="930"/>
      <c r="AG175" s="930"/>
      <c r="AH175" s="930"/>
      <c r="AI175" s="930"/>
      <c r="AJ175" s="930"/>
      <c r="AK175" s="930"/>
      <c r="AL175" s="930"/>
      <c r="AM175" s="930"/>
      <c r="AN175" s="930"/>
      <c r="AX175" s="966"/>
      <c r="AY175" s="930"/>
      <c r="AZ175" s="930"/>
      <c r="BA175" s="930"/>
      <c r="BB175" s="930"/>
      <c r="BC175" s="930"/>
      <c r="BD175" s="930"/>
      <c r="BE175" s="930"/>
      <c r="BF175" s="930"/>
      <c r="BG175" s="930"/>
      <c r="BH175" s="930"/>
      <c r="BI175" s="930"/>
      <c r="BJ175" s="930"/>
      <c r="BK175" s="930"/>
      <c r="BL175" s="930"/>
      <c r="BM175" s="930"/>
      <c r="BN175" s="930"/>
      <c r="BO175" s="930"/>
      <c r="BP175" s="930"/>
      <c r="BQ175" s="930"/>
      <c r="BR175" s="930"/>
      <c r="BS175" s="930"/>
      <c r="BT175" s="930"/>
      <c r="BU175" s="930"/>
      <c r="BV175" s="930"/>
      <c r="BW175" s="930"/>
      <c r="BX175" s="930"/>
      <c r="BY175" s="930"/>
      <c r="BZ175" s="930"/>
      <c r="CA175" s="930"/>
      <c r="CB175" s="930"/>
      <c r="CC175" s="930"/>
      <c r="CD175" s="930"/>
      <c r="CE175" s="930"/>
      <c r="CF175" s="930"/>
      <c r="CG175" s="930"/>
      <c r="CH175" s="930"/>
    </row>
    <row r="176" spans="4:109" ht="15">
      <c r="D176" s="973"/>
      <c r="E176" s="974"/>
      <c r="F176" s="974"/>
      <c r="G176" s="974"/>
      <c r="H176" s="974"/>
      <c r="I176" s="974"/>
      <c r="J176" s="974"/>
      <c r="K176" s="974"/>
      <c r="L176" s="974"/>
      <c r="M176" s="974"/>
      <c r="N176" s="974"/>
      <c r="O176" s="974"/>
      <c r="P176" s="974"/>
      <c r="Q176" s="974"/>
      <c r="R176" s="974"/>
      <c r="S176" s="974"/>
      <c r="T176" s="974"/>
      <c r="U176" s="974"/>
      <c r="V176" s="974"/>
      <c r="W176" s="974"/>
      <c r="X176" s="974"/>
      <c r="Y176" s="974"/>
      <c r="Z176" s="974"/>
      <c r="AA176" s="974"/>
      <c r="AB176" s="974"/>
      <c r="AC176" s="974"/>
      <c r="AD176" s="974"/>
      <c r="AE176" s="974"/>
      <c r="AF176" s="974"/>
      <c r="AG176" s="974"/>
      <c r="AH176" s="974"/>
      <c r="AI176" s="974"/>
      <c r="AJ176" s="974"/>
      <c r="AK176" s="974"/>
      <c r="AL176" s="974"/>
      <c r="AM176" s="974"/>
      <c r="AN176" s="974"/>
      <c r="AX176" s="949"/>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row>
    <row r="177" spans="4:86" ht="15.75" thickBot="1">
      <c r="D177" s="980"/>
      <c r="E177" s="981"/>
      <c r="F177" s="981"/>
      <c r="G177" s="981"/>
      <c r="H177" s="981"/>
      <c r="I177" s="981"/>
      <c r="J177" s="981"/>
      <c r="K177" s="981"/>
      <c r="L177" s="981"/>
      <c r="M177" s="981"/>
      <c r="N177" s="981"/>
      <c r="O177" s="981"/>
      <c r="P177" s="981"/>
      <c r="Q177" s="981"/>
      <c r="R177" s="981"/>
      <c r="S177" s="981"/>
      <c r="T177" s="981"/>
      <c r="U177" s="981"/>
      <c r="V177" s="981"/>
      <c r="W177" s="981"/>
      <c r="X177" s="981"/>
      <c r="Y177" s="981"/>
      <c r="Z177" s="981"/>
      <c r="AA177" s="981"/>
      <c r="AB177" s="981"/>
      <c r="AC177" s="981"/>
      <c r="AD177" s="981"/>
      <c r="AE177" s="981"/>
      <c r="AF177" s="981"/>
      <c r="AG177" s="981"/>
      <c r="AH177" s="981"/>
      <c r="AI177" s="981"/>
      <c r="AJ177" s="981"/>
      <c r="AK177" s="981"/>
      <c r="AL177" s="981"/>
      <c r="AM177" s="981"/>
      <c r="AN177" s="981"/>
      <c r="AX177" s="972"/>
      <c r="AY177" s="953"/>
      <c r="AZ177" s="953"/>
      <c r="BA177" s="953"/>
      <c r="BB177" s="953"/>
      <c r="BC177" s="953"/>
      <c r="BD177" s="953"/>
      <c r="BE177" s="953"/>
      <c r="BF177" s="953"/>
      <c r="BG177" s="953"/>
      <c r="BH177" s="953"/>
      <c r="BI177" s="953"/>
      <c r="BJ177" s="953"/>
      <c r="BK177" s="953"/>
      <c r="BL177" s="953"/>
      <c r="BM177" s="953"/>
      <c r="BN177" s="953"/>
      <c r="BO177" s="953"/>
      <c r="BP177" s="953"/>
      <c r="BQ177" s="953"/>
      <c r="BR177" s="953"/>
      <c r="BS177" s="953"/>
      <c r="BT177" s="953"/>
      <c r="BU177" s="953"/>
      <c r="BV177" s="953"/>
      <c r="BW177" s="953"/>
      <c r="BX177" s="953"/>
      <c r="BY177" s="953"/>
      <c r="BZ177" s="953"/>
      <c r="CA177" s="953"/>
      <c r="CB177" s="953"/>
      <c r="CC177" s="953"/>
      <c r="CD177" s="953"/>
      <c r="CE177" s="953"/>
      <c r="CF177" s="953"/>
      <c r="CG177" s="953"/>
      <c r="CH177" s="953"/>
    </row>
    <row r="178" spans="4:86">
      <c r="AX178" s="972"/>
      <c r="AY178" s="979"/>
      <c r="AZ178" s="979"/>
      <c r="BA178" s="979"/>
      <c r="BB178" s="979"/>
      <c r="BC178" s="979"/>
      <c r="BD178" s="979"/>
      <c r="BE178" s="979"/>
      <c r="BF178" s="979"/>
      <c r="BG178" s="979"/>
      <c r="BH178" s="979"/>
      <c r="BI178" s="979"/>
      <c r="BJ178" s="979"/>
      <c r="BK178" s="979"/>
      <c r="BL178" s="979"/>
      <c r="BM178" s="979"/>
      <c r="BN178" s="979"/>
      <c r="BO178" s="979"/>
      <c r="BP178" s="979"/>
      <c r="BQ178" s="979"/>
      <c r="BR178" s="979"/>
      <c r="BS178" s="979"/>
      <c r="BT178" s="979"/>
      <c r="BU178" s="979"/>
      <c r="BV178" s="979"/>
      <c r="BW178" s="979"/>
      <c r="BX178" s="979"/>
      <c r="BY178" s="979"/>
      <c r="BZ178" s="979"/>
      <c r="CA178" s="979"/>
      <c r="CB178" s="979"/>
      <c r="CC178" s="979"/>
      <c r="CD178" s="979"/>
      <c r="CE178" s="979"/>
      <c r="CF178" s="979"/>
      <c r="CG178" s="979"/>
      <c r="CH178" s="979"/>
    </row>
    <row r="179" spans="4:86" ht="13.5" thickBot="1">
      <c r="AC179" s="1062"/>
      <c r="AD179" s="1062"/>
      <c r="AE179" s="1062"/>
      <c r="AF179" s="1062"/>
      <c r="AX179" s="966"/>
      <c r="AY179" s="930"/>
      <c r="AZ179" s="930"/>
      <c r="BA179" s="930"/>
      <c r="BB179" s="930"/>
      <c r="BC179" s="930"/>
      <c r="BD179" s="930"/>
      <c r="BE179" s="930"/>
      <c r="BF179" s="930"/>
      <c r="BG179" s="930"/>
      <c r="BH179" s="930"/>
      <c r="BI179" s="930"/>
      <c r="BJ179" s="930"/>
      <c r="BK179" s="930"/>
      <c r="BL179" s="930"/>
      <c r="BM179" s="930"/>
      <c r="BN179" s="930"/>
      <c r="BO179" s="930"/>
      <c r="BP179" s="930"/>
      <c r="BQ179" s="930"/>
      <c r="BR179" s="930"/>
      <c r="BS179" s="930"/>
      <c r="BT179" s="930"/>
      <c r="BU179" s="930"/>
      <c r="BV179" s="930"/>
      <c r="BW179" s="930"/>
      <c r="BX179" s="930"/>
      <c r="BY179" s="930"/>
      <c r="BZ179" s="930"/>
      <c r="CA179" s="930"/>
      <c r="CB179" s="930"/>
      <c r="CC179" s="930"/>
      <c r="CD179" s="930"/>
      <c r="CE179" s="930"/>
      <c r="CF179" s="930"/>
      <c r="CG179" s="930"/>
      <c r="CH179" s="930"/>
    </row>
    <row r="180" spans="4:86" ht="15.75" thickBot="1">
      <c r="D180" s="922"/>
      <c r="E180" s="923"/>
      <c r="F180" s="923"/>
      <c r="G180" s="923"/>
      <c r="I180" s="923"/>
      <c r="L180" s="923"/>
      <c r="M180" s="923"/>
      <c r="N180" s="923"/>
      <c r="P180" s="923"/>
      <c r="R180" s="924"/>
      <c r="S180" s="923"/>
      <c r="T180" s="923"/>
      <c r="U180" s="923"/>
      <c r="W180" s="923"/>
      <c r="Y180" s="924"/>
      <c r="Z180" s="923"/>
      <c r="AA180" s="923"/>
      <c r="AB180" s="923"/>
      <c r="AD180" s="923"/>
      <c r="AG180" s="923"/>
      <c r="AH180" s="923"/>
      <c r="AI180" s="923"/>
      <c r="AJ180" s="923"/>
      <c r="AL180" s="923"/>
      <c r="AM180" s="910"/>
      <c r="AX180" s="949"/>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row>
    <row r="181" spans="4:86" ht="15.75" thickBot="1">
      <c r="D181" s="926"/>
      <c r="E181" s="928"/>
      <c r="F181" s="928"/>
      <c r="G181" s="928"/>
      <c r="I181" s="928"/>
      <c r="K181" s="929"/>
      <c r="L181" s="930"/>
      <c r="M181" s="930"/>
      <c r="N181" s="930"/>
      <c r="P181" s="930"/>
      <c r="R181" s="931"/>
      <c r="S181" s="933"/>
      <c r="T181" s="933"/>
      <c r="U181" s="933"/>
      <c r="W181" s="933"/>
      <c r="Y181" s="935"/>
      <c r="Z181" s="938"/>
      <c r="AA181" s="938"/>
      <c r="AB181" s="938"/>
      <c r="AD181" s="938"/>
      <c r="AH181" s="939"/>
      <c r="AI181" s="939"/>
      <c r="AJ181" s="939"/>
      <c r="AL181" s="939"/>
      <c r="AX181" s="985"/>
      <c r="AY181" s="953"/>
      <c r="AZ181" s="953"/>
      <c r="BA181" s="953"/>
      <c r="BB181" s="953"/>
      <c r="BC181" s="953"/>
      <c r="BD181" s="953"/>
      <c r="BE181" s="953"/>
      <c r="BF181" s="953"/>
      <c r="BG181" s="953"/>
      <c r="BH181" s="953"/>
      <c r="BI181" s="953"/>
      <c r="BJ181" s="953"/>
      <c r="BK181" s="953"/>
      <c r="BL181" s="953"/>
      <c r="BM181" s="953"/>
      <c r="BN181" s="953"/>
      <c r="BO181" s="953"/>
      <c r="BP181" s="953"/>
      <c r="BQ181" s="953"/>
      <c r="BR181" s="953"/>
      <c r="BS181" s="953"/>
      <c r="BT181" s="953"/>
      <c r="BU181" s="953"/>
      <c r="BV181" s="953"/>
      <c r="BW181" s="953"/>
      <c r="BX181" s="953"/>
      <c r="BY181" s="953"/>
      <c r="BZ181" s="953"/>
      <c r="CA181" s="953"/>
      <c r="CB181" s="953"/>
      <c r="CC181" s="953"/>
      <c r="CD181" s="953"/>
      <c r="CE181" s="953"/>
      <c r="CF181" s="953"/>
      <c r="CG181" s="953"/>
      <c r="CH181" s="953"/>
    </row>
    <row r="182" spans="4:86">
      <c r="D182" s="940"/>
      <c r="E182" s="930"/>
      <c r="F182" s="930"/>
      <c r="G182" s="930"/>
      <c r="I182" s="930"/>
      <c r="K182" s="941"/>
      <c r="L182" s="930"/>
      <c r="M182" s="930"/>
      <c r="N182" s="930"/>
      <c r="P182" s="930"/>
      <c r="R182" s="941"/>
      <c r="S182" s="930"/>
      <c r="T182" s="930"/>
      <c r="U182" s="930"/>
      <c r="W182" s="930"/>
      <c r="Y182" s="943"/>
      <c r="Z182" s="930"/>
      <c r="AA182" s="930"/>
      <c r="AB182" s="930"/>
      <c r="AD182" s="930"/>
      <c r="AG182" s="1061"/>
      <c r="AH182" s="930"/>
      <c r="AI182" s="930"/>
      <c r="AJ182" s="930"/>
      <c r="AL182" s="930"/>
      <c r="AX182" s="987"/>
      <c r="AY182" s="988"/>
      <c r="AZ182" s="988"/>
      <c r="BA182" s="988"/>
      <c r="BB182" s="988"/>
      <c r="BC182" s="988"/>
      <c r="BD182" s="988"/>
      <c r="BE182" s="988"/>
      <c r="BF182" s="988"/>
      <c r="BG182" s="988"/>
      <c r="BH182" s="988"/>
      <c r="BI182" s="988"/>
      <c r="BJ182" s="988"/>
      <c r="BK182" s="988"/>
      <c r="BL182" s="988"/>
      <c r="BM182" s="988"/>
      <c r="BN182" s="988"/>
      <c r="BO182" s="988"/>
      <c r="BP182" s="988"/>
      <c r="BQ182" s="988"/>
      <c r="BR182" s="988"/>
      <c r="BS182" s="988"/>
      <c r="BT182" s="988"/>
      <c r="BU182" s="988"/>
      <c r="BV182" s="988"/>
      <c r="BW182" s="988"/>
      <c r="BX182" s="988"/>
      <c r="BY182" s="988"/>
      <c r="BZ182" s="988"/>
      <c r="CA182" s="988"/>
      <c r="CB182" s="988"/>
      <c r="CC182" s="988"/>
      <c r="CD182" s="988"/>
      <c r="CE182" s="988"/>
      <c r="CF182" s="988"/>
      <c r="CG182" s="988"/>
      <c r="CH182" s="988"/>
    </row>
    <row r="183" spans="4:86" ht="15.75" thickBot="1">
      <c r="D183" s="945"/>
      <c r="E183" s="930"/>
      <c r="F183" s="930"/>
      <c r="G183" s="930"/>
      <c r="I183" s="930"/>
      <c r="K183" s="941"/>
      <c r="L183" s="930"/>
      <c r="M183" s="930"/>
      <c r="N183" s="930"/>
      <c r="P183" s="930"/>
      <c r="R183" s="941"/>
      <c r="S183" s="930"/>
      <c r="T183" s="930"/>
      <c r="U183" s="930"/>
      <c r="W183" s="930"/>
      <c r="Y183" s="941"/>
      <c r="Z183" s="930"/>
      <c r="AA183" s="930"/>
      <c r="AB183" s="930"/>
      <c r="AD183" s="930"/>
      <c r="AG183" s="946"/>
      <c r="AH183" s="930"/>
      <c r="AI183" s="930"/>
      <c r="AJ183" s="930"/>
      <c r="AL183" s="930"/>
    </row>
    <row r="184" spans="4:86" ht="15.75" thickBot="1">
      <c r="D184" s="945"/>
      <c r="E184" s="930"/>
      <c r="F184" s="930"/>
      <c r="G184" s="930"/>
      <c r="I184" s="930"/>
      <c r="K184" s="947"/>
      <c r="L184" s="930"/>
      <c r="M184" s="930"/>
      <c r="N184" s="930"/>
      <c r="P184" s="930"/>
      <c r="R184" s="948"/>
      <c r="S184" s="955"/>
      <c r="T184" s="955"/>
      <c r="U184" s="955"/>
      <c r="W184" s="955"/>
      <c r="Y184" s="941"/>
      <c r="Z184" s="930"/>
      <c r="AA184" s="930"/>
      <c r="AB184" s="930"/>
      <c r="AD184" s="930"/>
      <c r="AG184" s="951"/>
      <c r="AH184" s="930"/>
      <c r="AI184" s="930"/>
      <c r="AJ184" s="930"/>
      <c r="AL184" s="930"/>
      <c r="AY184" s="923"/>
      <c r="AZ184" s="923"/>
      <c r="BA184" s="923"/>
      <c r="BB184" s="923"/>
      <c r="BC184" s="923"/>
      <c r="BD184" s="923"/>
      <c r="BE184" s="923"/>
      <c r="BF184" s="923"/>
      <c r="BG184" s="923"/>
      <c r="BH184" s="923"/>
      <c r="BI184" s="923"/>
      <c r="BJ184" s="923"/>
      <c r="BK184" s="923"/>
      <c r="BL184" s="923"/>
      <c r="BM184" s="923"/>
      <c r="BN184" s="923"/>
      <c r="BO184" s="923"/>
      <c r="BP184" s="923"/>
      <c r="BQ184" s="923"/>
      <c r="BR184" s="923"/>
      <c r="BS184" s="923"/>
      <c r="BT184" s="923"/>
      <c r="BU184" s="923"/>
      <c r="BV184" s="923"/>
      <c r="BW184" s="923"/>
      <c r="BX184" s="923"/>
      <c r="BY184" s="923"/>
      <c r="BZ184" s="923"/>
      <c r="CA184" s="923"/>
      <c r="CB184" s="923"/>
      <c r="CC184" s="923"/>
      <c r="CD184" s="923"/>
      <c r="CE184" s="923"/>
      <c r="CF184" s="923"/>
      <c r="CG184" s="923"/>
      <c r="CH184" s="923"/>
    </row>
    <row r="185" spans="4:86" ht="15.75" thickBot="1">
      <c r="D185" s="945"/>
      <c r="E185" s="930"/>
      <c r="F185" s="930"/>
      <c r="G185" s="930"/>
      <c r="I185" s="930"/>
      <c r="K185" s="949"/>
      <c r="L185" s="950"/>
      <c r="M185" s="950"/>
      <c r="N185" s="950"/>
      <c r="P185" s="950"/>
      <c r="R185" s="947"/>
      <c r="S185" s="930"/>
      <c r="T185" s="930"/>
      <c r="U185" s="930"/>
      <c r="W185" s="930"/>
      <c r="Y185" s="947"/>
      <c r="Z185" s="930"/>
      <c r="AA185" s="930"/>
      <c r="AB185" s="930"/>
      <c r="AD185" s="930"/>
      <c r="AG185" s="946"/>
      <c r="AH185" s="930"/>
      <c r="AI185" s="930"/>
      <c r="AJ185" s="930"/>
      <c r="AL185" s="930"/>
      <c r="AX185" s="924"/>
      <c r="AY185" s="923"/>
      <c r="AZ185" s="923"/>
      <c r="BA185" s="923"/>
      <c r="BB185" s="923"/>
      <c r="BC185" s="923"/>
      <c r="BD185" s="923"/>
      <c r="BE185" s="923"/>
      <c r="BF185" s="923"/>
      <c r="BG185" s="923"/>
      <c r="BH185" s="923"/>
      <c r="BI185" s="923"/>
      <c r="BJ185" s="923"/>
      <c r="BK185" s="923"/>
      <c r="BL185" s="923"/>
      <c r="BM185" s="923"/>
      <c r="BN185" s="923"/>
      <c r="BO185" s="923"/>
      <c r="BP185" s="923"/>
      <c r="BQ185" s="923"/>
      <c r="BR185" s="923"/>
      <c r="BS185" s="923"/>
      <c r="BT185" s="923"/>
      <c r="BU185" s="923"/>
      <c r="BV185" s="923"/>
      <c r="BW185" s="923"/>
      <c r="BX185" s="923"/>
      <c r="BY185" s="923"/>
      <c r="BZ185" s="923"/>
      <c r="CA185" s="923"/>
      <c r="CB185" s="923"/>
      <c r="CC185" s="923"/>
      <c r="CD185" s="923"/>
      <c r="CE185" s="923"/>
      <c r="CF185" s="923"/>
      <c r="CG185" s="923"/>
      <c r="CH185" s="923"/>
    </row>
    <row r="186" spans="4:86" ht="13.5" thickBot="1">
      <c r="D186" s="940"/>
      <c r="E186" s="930"/>
      <c r="F186" s="930"/>
      <c r="G186" s="930"/>
      <c r="I186" s="930"/>
      <c r="K186" s="952"/>
      <c r="L186" s="953"/>
      <c r="M186" s="953"/>
      <c r="N186" s="953"/>
      <c r="P186" s="953"/>
      <c r="R186" s="947"/>
      <c r="S186" s="930"/>
      <c r="T186" s="930"/>
      <c r="U186" s="930"/>
      <c r="W186" s="930"/>
      <c r="Y186" s="947"/>
      <c r="Z186" s="930"/>
      <c r="AA186" s="930"/>
      <c r="AB186" s="930"/>
      <c r="AD186" s="930"/>
      <c r="AG186" s="957"/>
      <c r="AH186" s="930"/>
      <c r="AI186" s="930"/>
      <c r="AJ186" s="930"/>
      <c r="AL186" s="930"/>
      <c r="AX186" s="929"/>
      <c r="AY186" s="930"/>
      <c r="AZ186" s="930"/>
      <c r="BA186" s="930"/>
      <c r="BB186" s="930"/>
      <c r="BC186" s="930"/>
      <c r="BD186" s="930"/>
      <c r="BE186" s="930"/>
      <c r="BF186" s="930"/>
      <c r="BG186" s="930"/>
      <c r="BH186" s="930"/>
      <c r="BI186" s="930"/>
      <c r="BJ186" s="930"/>
      <c r="BK186" s="930"/>
      <c r="BL186" s="930"/>
      <c r="BM186" s="930"/>
      <c r="BN186" s="930"/>
      <c r="BO186" s="930"/>
      <c r="BP186" s="930"/>
      <c r="BQ186" s="930"/>
      <c r="BR186" s="930"/>
      <c r="BS186" s="930"/>
      <c r="BT186" s="930"/>
      <c r="BU186" s="930"/>
      <c r="BV186" s="930"/>
      <c r="BW186" s="930"/>
      <c r="BX186" s="930"/>
      <c r="BY186" s="930"/>
      <c r="BZ186" s="930"/>
      <c r="CA186" s="930"/>
      <c r="CB186" s="930"/>
      <c r="CC186" s="930"/>
      <c r="CD186" s="930"/>
      <c r="CE186" s="930"/>
      <c r="CF186" s="930"/>
      <c r="CG186" s="930"/>
      <c r="CH186" s="930"/>
    </row>
    <row r="187" spans="4:86" ht="13.5" thickBot="1">
      <c r="D187" s="940"/>
      <c r="E187" s="930"/>
      <c r="F187" s="930"/>
      <c r="G187" s="930"/>
      <c r="I187" s="930"/>
      <c r="K187" s="954"/>
      <c r="L187" s="955"/>
      <c r="M187" s="955"/>
      <c r="N187" s="955"/>
      <c r="P187" s="955"/>
      <c r="R187" s="947"/>
      <c r="S187" s="930"/>
      <c r="T187" s="930"/>
      <c r="U187" s="930"/>
      <c r="W187" s="930"/>
      <c r="Y187" s="956"/>
      <c r="Z187" s="930"/>
      <c r="AA187" s="930"/>
      <c r="AB187" s="930"/>
      <c r="AD187" s="930"/>
      <c r="AX187" s="941"/>
      <c r="AY187" s="930"/>
      <c r="AZ187" s="930"/>
      <c r="BA187" s="930"/>
      <c r="BB187" s="930"/>
      <c r="BC187" s="930"/>
      <c r="BD187" s="930"/>
      <c r="BE187" s="930"/>
      <c r="BF187" s="930"/>
      <c r="BG187" s="930"/>
      <c r="BH187" s="930"/>
      <c r="BI187" s="930"/>
      <c r="BJ187" s="930"/>
      <c r="BK187" s="930"/>
      <c r="BL187" s="930"/>
      <c r="BM187" s="930"/>
      <c r="BN187" s="930"/>
      <c r="BO187" s="930"/>
      <c r="BP187" s="930"/>
      <c r="BQ187" s="930"/>
      <c r="BR187" s="930"/>
      <c r="BS187" s="930"/>
      <c r="BT187" s="930"/>
      <c r="BU187" s="930"/>
      <c r="BV187" s="930"/>
      <c r="BW187" s="930"/>
      <c r="BX187" s="930"/>
      <c r="BY187" s="930"/>
      <c r="BZ187" s="930"/>
      <c r="CA187" s="930"/>
      <c r="CB187" s="930"/>
      <c r="CC187" s="930"/>
      <c r="CD187" s="930"/>
      <c r="CE187" s="930"/>
      <c r="CF187" s="930"/>
      <c r="CG187" s="930"/>
      <c r="CH187" s="930"/>
    </row>
    <row r="188" spans="4:86">
      <c r="D188" s="940"/>
      <c r="E188" s="930"/>
      <c r="F188" s="930"/>
      <c r="G188" s="930"/>
      <c r="I188" s="930"/>
      <c r="K188" s="958"/>
      <c r="L188" s="930"/>
      <c r="M188" s="930"/>
      <c r="N188" s="930"/>
      <c r="P188" s="930"/>
      <c r="R188" s="947"/>
      <c r="S188" s="930"/>
      <c r="T188" s="930"/>
      <c r="U188" s="930"/>
      <c r="W188" s="930"/>
      <c r="AX188" s="941"/>
      <c r="AY188" s="930"/>
      <c r="AZ188" s="930"/>
      <c r="BA188" s="930"/>
      <c r="BB188" s="930"/>
      <c r="BC188" s="930"/>
      <c r="BD188" s="930"/>
      <c r="BE188" s="930"/>
      <c r="BF188" s="930"/>
      <c r="BG188" s="930"/>
      <c r="BH188" s="930"/>
      <c r="BI188" s="930"/>
      <c r="BJ188" s="930"/>
      <c r="BK188" s="930"/>
      <c r="BL188" s="930"/>
      <c r="BM188" s="930"/>
      <c r="BN188" s="930"/>
      <c r="BO188" s="930"/>
      <c r="BP188" s="930"/>
      <c r="BQ188" s="930"/>
      <c r="BR188" s="930"/>
      <c r="BS188" s="930"/>
      <c r="BT188" s="930"/>
      <c r="BU188" s="930"/>
      <c r="BV188" s="930"/>
      <c r="BW188" s="930"/>
      <c r="BX188" s="930"/>
      <c r="BY188" s="930"/>
      <c r="BZ188" s="930"/>
      <c r="CA188" s="930"/>
      <c r="CB188" s="930"/>
      <c r="CC188" s="930"/>
      <c r="CD188" s="930"/>
      <c r="CE188" s="930"/>
      <c r="CF188" s="930"/>
      <c r="CG188" s="930"/>
      <c r="CH188" s="930"/>
    </row>
    <row r="189" spans="4:86" ht="15">
      <c r="D189" s="959"/>
      <c r="E189" s="960"/>
      <c r="F189" s="960"/>
      <c r="G189" s="960"/>
      <c r="I189" s="960"/>
      <c r="K189" s="958"/>
      <c r="L189" s="930"/>
      <c r="M189" s="930"/>
      <c r="N189" s="930"/>
      <c r="P189" s="930"/>
      <c r="R189" s="947"/>
      <c r="S189" s="930"/>
      <c r="T189" s="930"/>
      <c r="U189" s="930"/>
      <c r="W189" s="930"/>
      <c r="AX189" s="947"/>
      <c r="AY189" s="930"/>
      <c r="AZ189" s="930"/>
      <c r="BA189" s="930"/>
      <c r="BB189" s="930"/>
      <c r="BC189" s="930"/>
      <c r="BD189" s="930"/>
      <c r="BE189" s="930"/>
      <c r="BF189" s="930"/>
      <c r="BG189" s="930"/>
      <c r="BH189" s="930"/>
      <c r="BI189" s="930"/>
      <c r="BJ189" s="930"/>
      <c r="BK189" s="930"/>
      <c r="BL189" s="930"/>
      <c r="BM189" s="930"/>
      <c r="BN189" s="930"/>
      <c r="BO189" s="930"/>
      <c r="BP189" s="930"/>
      <c r="BQ189" s="930"/>
      <c r="BR189" s="930"/>
      <c r="BS189" s="930"/>
      <c r="BT189" s="930"/>
      <c r="BU189" s="930"/>
      <c r="BV189" s="930"/>
      <c r="BW189" s="930"/>
      <c r="BX189" s="930"/>
      <c r="BY189" s="930"/>
      <c r="BZ189" s="930"/>
      <c r="CA189" s="930"/>
      <c r="CB189" s="930"/>
      <c r="CC189" s="930"/>
      <c r="CD189" s="930"/>
      <c r="CE189" s="930"/>
      <c r="CF189" s="930"/>
      <c r="CG189" s="930"/>
      <c r="CH189" s="930"/>
    </row>
    <row r="190" spans="4:86">
      <c r="D190" s="961"/>
      <c r="E190" s="962"/>
      <c r="F190" s="962"/>
      <c r="G190" s="962"/>
      <c r="I190" s="962"/>
      <c r="K190" s="949"/>
      <c r="L190" s="950"/>
      <c r="M190" s="950"/>
      <c r="N190" s="950"/>
      <c r="P190" s="950"/>
      <c r="R190" s="947"/>
      <c r="S190" s="930"/>
      <c r="T190" s="930"/>
      <c r="U190" s="930"/>
      <c r="W190" s="930"/>
      <c r="AX190" s="949"/>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row>
    <row r="191" spans="4:86" ht="15">
      <c r="D191" s="963"/>
      <c r="E191" s="962"/>
      <c r="F191" s="962"/>
      <c r="G191" s="962"/>
      <c r="I191" s="962"/>
      <c r="K191" s="952"/>
      <c r="L191" s="953"/>
      <c r="M191" s="953"/>
      <c r="N191" s="953"/>
      <c r="P191" s="953"/>
      <c r="R191" s="947"/>
      <c r="S191" s="930"/>
      <c r="T191" s="930"/>
      <c r="U191" s="930"/>
      <c r="W191" s="930"/>
      <c r="AX191" s="952"/>
      <c r="AY191" s="953"/>
      <c r="AZ191" s="953"/>
      <c r="BA191" s="953"/>
      <c r="BB191" s="953"/>
      <c r="BC191" s="953"/>
      <c r="BD191" s="953"/>
      <c r="BE191" s="953"/>
      <c r="BF191" s="953"/>
      <c r="BG191" s="953"/>
      <c r="BH191" s="953"/>
      <c r="BI191" s="953"/>
      <c r="BJ191" s="953"/>
      <c r="BK191" s="953"/>
      <c r="BL191" s="953"/>
      <c r="BM191" s="953"/>
      <c r="BN191" s="953"/>
      <c r="BO191" s="953"/>
      <c r="BP191" s="953"/>
      <c r="BQ191" s="953"/>
      <c r="BR191" s="953"/>
      <c r="BS191" s="953"/>
      <c r="BT191" s="953"/>
      <c r="BU191" s="953"/>
      <c r="BV191" s="953"/>
      <c r="BW191" s="953"/>
      <c r="BX191" s="953"/>
      <c r="BY191" s="953"/>
      <c r="BZ191" s="953"/>
      <c r="CA191" s="953"/>
      <c r="CB191" s="953"/>
      <c r="CC191" s="953"/>
      <c r="CD191" s="953"/>
      <c r="CE191" s="953"/>
      <c r="CF191" s="953"/>
      <c r="CG191" s="953"/>
      <c r="CH191" s="953"/>
    </row>
    <row r="192" spans="4:86">
      <c r="D192" s="940"/>
      <c r="E192" s="930"/>
      <c r="F192" s="930"/>
      <c r="G192" s="930"/>
      <c r="I192" s="930"/>
      <c r="K192" s="964"/>
      <c r="L192" s="955"/>
      <c r="M192" s="955"/>
      <c r="N192" s="955"/>
      <c r="P192" s="955"/>
      <c r="R192" s="965"/>
      <c r="S192" s="955"/>
      <c r="T192" s="955"/>
      <c r="U192" s="955"/>
      <c r="V192" s="955"/>
      <c r="W192" s="955"/>
      <c r="AX192" s="954"/>
      <c r="AY192" s="955"/>
      <c r="AZ192" s="955"/>
      <c r="BA192" s="955"/>
      <c r="BB192" s="955"/>
      <c r="BC192" s="955"/>
      <c r="BD192" s="955"/>
      <c r="BE192" s="955"/>
      <c r="BF192" s="955"/>
      <c r="BG192" s="955"/>
      <c r="BH192" s="955"/>
      <c r="BI192" s="955"/>
      <c r="BJ192" s="955"/>
      <c r="BK192" s="955"/>
      <c r="BL192" s="955"/>
      <c r="BM192" s="955"/>
      <c r="BN192" s="955"/>
      <c r="BO192" s="955"/>
      <c r="BP192" s="955"/>
      <c r="BQ192" s="955"/>
      <c r="BR192" s="955"/>
      <c r="BS192" s="955"/>
      <c r="BT192" s="955"/>
      <c r="BU192" s="955"/>
      <c r="BV192" s="955"/>
      <c r="BW192" s="955"/>
      <c r="BX192" s="955"/>
      <c r="BY192" s="955"/>
      <c r="BZ192" s="955"/>
      <c r="CA192" s="955"/>
      <c r="CB192" s="955"/>
      <c r="CC192" s="955"/>
      <c r="CD192" s="955"/>
      <c r="CE192" s="955"/>
      <c r="CF192" s="955"/>
      <c r="CG192" s="955"/>
      <c r="CH192" s="955"/>
    </row>
    <row r="193" spans="4:86" ht="13.5" thickBot="1">
      <c r="D193" s="961"/>
      <c r="E193" s="930"/>
      <c r="F193" s="930"/>
      <c r="G193" s="930"/>
      <c r="I193" s="930"/>
      <c r="K193" s="966"/>
      <c r="L193" s="930"/>
      <c r="M193" s="930"/>
      <c r="N193" s="930"/>
      <c r="P193" s="930"/>
      <c r="R193" s="967"/>
      <c r="S193" s="968"/>
      <c r="T193" s="968"/>
      <c r="U193" s="968"/>
      <c r="W193" s="968"/>
      <c r="AX193" s="958"/>
      <c r="AY193" s="930"/>
      <c r="AZ193" s="930"/>
      <c r="BA193" s="930"/>
      <c r="BB193" s="930"/>
      <c r="BC193" s="930"/>
      <c r="BD193" s="930"/>
      <c r="BE193" s="930"/>
      <c r="BF193" s="930"/>
      <c r="BG193" s="930"/>
      <c r="BH193" s="930"/>
      <c r="BI193" s="930"/>
      <c r="BJ193" s="930"/>
      <c r="BK193" s="930"/>
      <c r="BL193" s="930"/>
      <c r="BM193" s="930"/>
      <c r="BN193" s="930"/>
      <c r="BO193" s="930"/>
      <c r="BP193" s="930"/>
      <c r="BQ193" s="930"/>
      <c r="BR193" s="930"/>
      <c r="BS193" s="930"/>
      <c r="BT193" s="930"/>
      <c r="BU193" s="930"/>
      <c r="BV193" s="930"/>
      <c r="BW193" s="930"/>
      <c r="BX193" s="930"/>
      <c r="BY193" s="930"/>
      <c r="BZ193" s="930"/>
      <c r="CA193" s="930"/>
      <c r="CB193" s="930"/>
      <c r="CC193" s="930"/>
      <c r="CD193" s="930"/>
      <c r="CE193" s="930"/>
      <c r="CF193" s="930"/>
      <c r="CG193" s="930"/>
      <c r="CH193" s="930"/>
    </row>
    <row r="194" spans="4:86" ht="15">
      <c r="D194" s="945"/>
      <c r="E194" s="930"/>
      <c r="F194" s="930"/>
      <c r="G194" s="930"/>
      <c r="I194" s="930"/>
      <c r="K194" s="966"/>
      <c r="L194" s="930"/>
      <c r="M194" s="930"/>
      <c r="N194" s="930"/>
      <c r="P194" s="930"/>
      <c r="AX194" s="958"/>
      <c r="AY194" s="930"/>
      <c r="AZ194" s="930"/>
      <c r="BA194" s="930"/>
      <c r="BB194" s="930"/>
      <c r="BC194" s="930"/>
      <c r="BD194" s="930"/>
      <c r="BE194" s="930"/>
      <c r="BF194" s="930"/>
      <c r="BG194" s="930"/>
      <c r="BH194" s="930"/>
      <c r="BI194" s="930"/>
      <c r="BJ194" s="930"/>
      <c r="BK194" s="930"/>
      <c r="BL194" s="930"/>
      <c r="BM194" s="930"/>
      <c r="BN194" s="930"/>
      <c r="BO194" s="930"/>
      <c r="BP194" s="930"/>
      <c r="BQ194" s="930"/>
      <c r="BR194" s="930"/>
      <c r="BS194" s="930"/>
      <c r="BT194" s="930"/>
      <c r="BU194" s="930"/>
      <c r="BV194" s="930"/>
      <c r="BW194" s="930"/>
      <c r="BX194" s="930"/>
      <c r="BY194" s="930"/>
      <c r="BZ194" s="930"/>
      <c r="CA194" s="930"/>
      <c r="CB194" s="930"/>
      <c r="CC194" s="930"/>
      <c r="CD194" s="930"/>
      <c r="CE194" s="930"/>
      <c r="CF194" s="930"/>
      <c r="CG194" s="930"/>
      <c r="CH194" s="930"/>
    </row>
    <row r="195" spans="4:86" ht="15">
      <c r="D195" s="945"/>
      <c r="E195" s="930"/>
      <c r="F195" s="930"/>
      <c r="G195" s="930"/>
      <c r="I195" s="930"/>
      <c r="K195" s="969"/>
      <c r="L195" s="930"/>
      <c r="M195" s="930"/>
      <c r="N195" s="930"/>
      <c r="P195" s="930"/>
      <c r="AX195" s="949"/>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row>
    <row r="196" spans="4:86" ht="15">
      <c r="D196" s="970"/>
      <c r="E196" s="930"/>
      <c r="F196" s="930"/>
      <c r="G196" s="930"/>
      <c r="I196" s="930"/>
      <c r="K196" s="949"/>
      <c r="L196" s="950"/>
      <c r="M196" s="950"/>
      <c r="N196" s="950"/>
      <c r="P196" s="950"/>
      <c r="AX196" s="952"/>
      <c r="AY196" s="953"/>
      <c r="AZ196" s="953"/>
      <c r="BA196" s="953"/>
      <c r="BB196" s="953"/>
      <c r="BC196" s="953"/>
      <c r="BD196" s="953"/>
      <c r="BE196" s="953"/>
      <c r="BF196" s="953"/>
      <c r="BG196" s="953"/>
      <c r="BH196" s="953"/>
      <c r="BI196" s="953"/>
      <c r="BJ196" s="953"/>
      <c r="BK196" s="953"/>
      <c r="BL196" s="953"/>
      <c r="BM196" s="953"/>
      <c r="BN196" s="953"/>
      <c r="BO196" s="953"/>
      <c r="BP196" s="953"/>
      <c r="BQ196" s="953"/>
      <c r="BR196" s="953"/>
      <c r="BS196" s="953"/>
      <c r="BT196" s="953"/>
      <c r="BU196" s="953"/>
      <c r="BV196" s="953"/>
      <c r="BW196" s="953"/>
      <c r="BX196" s="953"/>
      <c r="BY196" s="953"/>
      <c r="BZ196" s="953"/>
      <c r="CA196" s="953"/>
      <c r="CB196" s="953"/>
      <c r="CC196" s="953"/>
      <c r="CD196" s="953"/>
      <c r="CE196" s="953"/>
      <c r="CF196" s="953"/>
      <c r="CG196" s="953"/>
      <c r="CH196" s="953"/>
    </row>
    <row r="197" spans="4:86" ht="15">
      <c r="D197" s="971"/>
      <c r="E197" s="930"/>
      <c r="F197" s="930"/>
      <c r="G197" s="930"/>
      <c r="I197" s="930"/>
      <c r="K197" s="972"/>
      <c r="L197" s="953"/>
      <c r="M197" s="953"/>
      <c r="N197" s="953"/>
      <c r="P197" s="953"/>
      <c r="AX197" s="964"/>
      <c r="AY197" s="955"/>
      <c r="AZ197" s="955"/>
      <c r="BA197" s="955"/>
      <c r="BB197" s="955"/>
      <c r="BC197" s="955"/>
      <c r="BD197" s="955"/>
      <c r="BE197" s="955"/>
      <c r="BF197" s="955"/>
      <c r="BG197" s="955"/>
      <c r="BH197" s="955"/>
      <c r="BI197" s="955"/>
      <c r="BJ197" s="955"/>
      <c r="BK197" s="955"/>
      <c r="BL197" s="955"/>
      <c r="BM197" s="955"/>
      <c r="BN197" s="955"/>
      <c r="BO197" s="955"/>
      <c r="BP197" s="955"/>
      <c r="BQ197" s="955"/>
      <c r="BR197" s="955"/>
      <c r="BS197" s="955"/>
      <c r="BT197" s="955"/>
      <c r="BU197" s="955"/>
      <c r="BV197" s="955"/>
      <c r="BW197" s="955"/>
      <c r="BX197" s="955"/>
      <c r="BY197" s="955"/>
      <c r="BZ197" s="955"/>
      <c r="CA197" s="955"/>
      <c r="CB197" s="955"/>
      <c r="CC197" s="955"/>
      <c r="CD197" s="955"/>
      <c r="CE197" s="955"/>
      <c r="CF197" s="955"/>
      <c r="CG197" s="955"/>
      <c r="CH197" s="955"/>
    </row>
    <row r="198" spans="4:86" ht="15">
      <c r="D198" s="970"/>
      <c r="E198" s="930"/>
      <c r="F198" s="930"/>
      <c r="G198" s="930"/>
      <c r="I198" s="930"/>
      <c r="K198" s="952"/>
      <c r="L198" s="955"/>
      <c r="M198" s="955"/>
      <c r="N198" s="955"/>
      <c r="P198" s="955"/>
      <c r="AX198" s="966"/>
      <c r="AY198" s="930"/>
      <c r="AZ198" s="930"/>
      <c r="BA198" s="930"/>
      <c r="BB198" s="930"/>
      <c r="BC198" s="930"/>
      <c r="BD198" s="930"/>
      <c r="BE198" s="930"/>
      <c r="BF198" s="930"/>
      <c r="BG198" s="930"/>
      <c r="BH198" s="930"/>
      <c r="BI198" s="930"/>
      <c r="BJ198" s="930"/>
      <c r="BK198" s="930"/>
      <c r="BL198" s="930"/>
      <c r="BM198" s="930"/>
      <c r="BN198" s="930"/>
      <c r="BO198" s="930"/>
      <c r="BP198" s="930"/>
      <c r="BQ198" s="930"/>
      <c r="BR198" s="930"/>
      <c r="BS198" s="930"/>
      <c r="BT198" s="930"/>
      <c r="BU198" s="930"/>
      <c r="BV198" s="930"/>
      <c r="BW198" s="930"/>
      <c r="BX198" s="930"/>
      <c r="BY198" s="930"/>
      <c r="BZ198" s="930"/>
      <c r="CA198" s="930"/>
      <c r="CB198" s="930"/>
      <c r="CC198" s="930"/>
      <c r="CD198" s="930"/>
      <c r="CE198" s="930"/>
      <c r="CF198" s="930"/>
      <c r="CG198" s="930"/>
      <c r="CH198" s="930"/>
    </row>
    <row r="199" spans="4:86">
      <c r="D199" s="940"/>
      <c r="E199" s="930"/>
      <c r="F199" s="930"/>
      <c r="G199" s="930"/>
      <c r="I199" s="930"/>
      <c r="K199" s="966"/>
      <c r="L199" s="930"/>
      <c r="M199" s="930"/>
      <c r="N199" s="930"/>
      <c r="P199" s="930"/>
      <c r="AX199" s="966"/>
      <c r="AY199" s="930"/>
      <c r="AZ199" s="930"/>
      <c r="BA199" s="930"/>
      <c r="BB199" s="930"/>
      <c r="BC199" s="930"/>
      <c r="BD199" s="930"/>
      <c r="BE199" s="930"/>
      <c r="BF199" s="930"/>
      <c r="BG199" s="930"/>
      <c r="BH199" s="930"/>
      <c r="BI199" s="930"/>
      <c r="BJ199" s="930"/>
      <c r="BK199" s="930"/>
      <c r="BL199" s="930"/>
      <c r="BM199" s="930"/>
      <c r="BN199" s="930"/>
      <c r="BO199" s="930"/>
      <c r="BP199" s="930"/>
      <c r="BQ199" s="930"/>
      <c r="BR199" s="930"/>
      <c r="BS199" s="930"/>
      <c r="BT199" s="930"/>
      <c r="BU199" s="930"/>
      <c r="BV199" s="930"/>
      <c r="BW199" s="930"/>
      <c r="BX199" s="930"/>
      <c r="BY199" s="930"/>
      <c r="BZ199" s="930"/>
      <c r="CA199" s="930"/>
      <c r="CB199" s="930"/>
      <c r="CC199" s="930"/>
      <c r="CD199" s="930"/>
      <c r="CE199" s="930"/>
      <c r="CF199" s="930"/>
      <c r="CG199" s="930"/>
      <c r="CH199" s="930"/>
    </row>
    <row r="200" spans="4:86" ht="15">
      <c r="D200" s="973"/>
      <c r="E200" s="974"/>
      <c r="F200" s="974"/>
      <c r="G200" s="974"/>
      <c r="I200" s="974"/>
      <c r="K200" s="949"/>
      <c r="L200" s="950"/>
      <c r="M200" s="950"/>
      <c r="N200" s="950"/>
      <c r="P200" s="950"/>
      <c r="AX200" s="969"/>
      <c r="AY200" s="930"/>
      <c r="AZ200" s="930"/>
      <c r="BA200" s="930"/>
      <c r="BB200" s="930"/>
      <c r="BC200" s="930"/>
      <c r="BD200" s="930"/>
      <c r="BE200" s="930"/>
      <c r="BF200" s="930"/>
      <c r="BG200" s="930"/>
      <c r="BH200" s="930"/>
      <c r="BI200" s="930"/>
      <c r="BJ200" s="930"/>
      <c r="BK200" s="930"/>
      <c r="BL200" s="930"/>
      <c r="BM200" s="930"/>
      <c r="BN200" s="930"/>
      <c r="BO200" s="930"/>
      <c r="BP200" s="930"/>
      <c r="BQ200" s="930"/>
      <c r="BR200" s="930"/>
      <c r="BS200" s="930"/>
      <c r="BT200" s="930"/>
      <c r="BU200" s="930"/>
      <c r="BV200" s="930"/>
      <c r="BW200" s="930"/>
      <c r="BX200" s="930"/>
      <c r="BY200" s="930"/>
      <c r="BZ200" s="930"/>
      <c r="CA200" s="930"/>
      <c r="CB200" s="930"/>
      <c r="CC200" s="930"/>
      <c r="CD200" s="930"/>
      <c r="CE200" s="930"/>
      <c r="CF200" s="930"/>
      <c r="CG200" s="930"/>
      <c r="CH200" s="930"/>
    </row>
    <row r="201" spans="4:86" ht="15">
      <c r="D201" s="975"/>
      <c r="E201" s="976"/>
      <c r="F201" s="976"/>
      <c r="G201" s="976"/>
      <c r="I201" s="976"/>
      <c r="K201" s="952"/>
      <c r="L201" s="955"/>
      <c r="M201" s="955"/>
      <c r="N201" s="955"/>
      <c r="P201" s="955"/>
      <c r="AX201" s="949"/>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row>
    <row r="202" spans="4:86" ht="15">
      <c r="D202" s="963"/>
      <c r="E202" s="976"/>
      <c r="F202" s="976"/>
      <c r="G202" s="976"/>
      <c r="I202" s="976"/>
      <c r="K202" s="966"/>
      <c r="L202" s="930"/>
      <c r="M202" s="930"/>
      <c r="N202" s="930"/>
      <c r="P202" s="930"/>
      <c r="AX202" s="972"/>
      <c r="AY202" s="953"/>
      <c r="AZ202" s="953"/>
      <c r="BA202" s="953"/>
      <c r="BB202" s="953"/>
      <c r="BC202" s="953"/>
      <c r="BD202" s="953"/>
      <c r="BE202" s="953"/>
      <c r="BF202" s="953"/>
      <c r="BG202" s="953"/>
      <c r="BH202" s="953"/>
      <c r="BI202" s="953"/>
      <c r="BJ202" s="953"/>
      <c r="BK202" s="953"/>
      <c r="BL202" s="953"/>
      <c r="BM202" s="953"/>
      <c r="BN202" s="953"/>
      <c r="BO202" s="953"/>
      <c r="BP202" s="953"/>
      <c r="BQ202" s="953"/>
      <c r="BR202" s="953"/>
      <c r="BS202" s="953"/>
      <c r="BT202" s="953"/>
      <c r="BU202" s="953"/>
      <c r="BV202" s="953"/>
      <c r="BW202" s="953"/>
      <c r="BX202" s="953"/>
      <c r="BY202" s="953"/>
      <c r="BZ202" s="953"/>
      <c r="CA202" s="953"/>
      <c r="CB202" s="953"/>
      <c r="CC202" s="953"/>
      <c r="CD202" s="953"/>
      <c r="CE202" s="953"/>
      <c r="CF202" s="953"/>
      <c r="CG202" s="953"/>
      <c r="CH202" s="953"/>
    </row>
    <row r="203" spans="4:86">
      <c r="D203" s="940"/>
      <c r="E203" s="930"/>
      <c r="F203" s="930"/>
      <c r="G203" s="930"/>
      <c r="I203" s="930"/>
      <c r="K203" s="949"/>
      <c r="L203" s="950"/>
      <c r="M203" s="950"/>
      <c r="N203" s="950"/>
      <c r="P203" s="950"/>
      <c r="AX203" s="952"/>
      <c r="AY203" s="955"/>
      <c r="AZ203" s="955"/>
      <c r="BA203" s="955"/>
      <c r="BB203" s="955"/>
      <c r="BC203" s="955"/>
      <c r="BD203" s="955"/>
      <c r="BE203" s="955"/>
      <c r="BF203" s="955"/>
      <c r="BG203" s="955"/>
      <c r="BH203" s="955"/>
      <c r="BI203" s="955"/>
      <c r="BJ203" s="955"/>
      <c r="BK203" s="955"/>
      <c r="BL203" s="955"/>
      <c r="BM203" s="955"/>
      <c r="BN203" s="955"/>
      <c r="BO203" s="955"/>
      <c r="BP203" s="955"/>
      <c r="BQ203" s="955"/>
      <c r="BR203" s="955"/>
      <c r="BS203" s="955"/>
      <c r="BT203" s="955"/>
      <c r="BU203" s="955"/>
      <c r="BV203" s="955"/>
      <c r="BW203" s="955"/>
      <c r="BX203" s="955"/>
      <c r="BY203" s="955"/>
      <c r="BZ203" s="955"/>
      <c r="CA203" s="955"/>
      <c r="CB203" s="955"/>
      <c r="CC203" s="955"/>
      <c r="CD203" s="955"/>
      <c r="CE203" s="955"/>
      <c r="CF203" s="955"/>
      <c r="CG203" s="955"/>
      <c r="CH203" s="955"/>
    </row>
    <row r="204" spans="4:86">
      <c r="D204" s="940"/>
      <c r="E204" s="930"/>
      <c r="F204" s="930"/>
      <c r="G204" s="930"/>
      <c r="I204" s="930"/>
      <c r="K204" s="972"/>
      <c r="L204" s="953"/>
      <c r="M204" s="953"/>
      <c r="N204" s="953"/>
      <c r="P204" s="953"/>
      <c r="AX204" s="966"/>
      <c r="AY204" s="930"/>
      <c r="AZ204" s="930"/>
      <c r="BA204" s="930"/>
      <c r="BB204" s="930"/>
      <c r="BC204" s="930"/>
      <c r="BD204" s="930"/>
      <c r="BE204" s="930"/>
      <c r="BF204" s="930"/>
      <c r="BG204" s="930"/>
      <c r="BH204" s="930"/>
      <c r="BI204" s="930"/>
      <c r="BJ204" s="930"/>
      <c r="BK204" s="930"/>
      <c r="BL204" s="930"/>
      <c r="BM204" s="930"/>
      <c r="BN204" s="930"/>
      <c r="BO204" s="930"/>
      <c r="BP204" s="930"/>
      <c r="BQ204" s="930"/>
      <c r="BR204" s="930"/>
      <c r="BS204" s="930"/>
      <c r="BT204" s="930"/>
      <c r="BU204" s="930"/>
      <c r="BV204" s="930"/>
      <c r="BW204" s="930"/>
      <c r="BX204" s="930"/>
      <c r="BY204" s="930"/>
      <c r="BZ204" s="930"/>
      <c r="CA204" s="930"/>
      <c r="CB204" s="930"/>
      <c r="CC204" s="930"/>
      <c r="CD204" s="930"/>
      <c r="CE204" s="930"/>
      <c r="CF204" s="930"/>
      <c r="CG204" s="930"/>
      <c r="CH204" s="930"/>
    </row>
    <row r="205" spans="4:86" ht="15">
      <c r="D205" s="973"/>
      <c r="E205" s="974"/>
      <c r="F205" s="974"/>
      <c r="G205" s="974"/>
      <c r="I205" s="974"/>
      <c r="K205" s="972"/>
      <c r="L205" s="979"/>
      <c r="M205" s="979"/>
      <c r="N205" s="979"/>
      <c r="P205" s="979"/>
      <c r="AX205" s="949"/>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row>
    <row r="206" spans="4:86" ht="15.75" thickBot="1">
      <c r="D206" s="980"/>
      <c r="E206" s="981"/>
      <c r="F206" s="981"/>
      <c r="G206" s="981"/>
      <c r="I206" s="981"/>
      <c r="K206" s="966"/>
      <c r="L206" s="930"/>
      <c r="M206" s="930"/>
      <c r="N206" s="930"/>
      <c r="P206" s="930"/>
      <c r="AX206" s="952"/>
      <c r="AY206" s="955"/>
      <c r="AZ206" s="955"/>
      <c r="BA206" s="955"/>
      <c r="BB206" s="955"/>
      <c r="BC206" s="955"/>
      <c r="BD206" s="955"/>
      <c r="BE206" s="955"/>
      <c r="BF206" s="955"/>
      <c r="BG206" s="955"/>
      <c r="BH206" s="955"/>
      <c r="BI206" s="955"/>
      <c r="BJ206" s="955"/>
      <c r="BK206" s="955"/>
      <c r="BL206" s="955"/>
      <c r="BM206" s="955"/>
      <c r="BN206" s="955"/>
      <c r="BO206" s="955"/>
      <c r="BP206" s="955"/>
      <c r="BQ206" s="955"/>
      <c r="BR206" s="955"/>
      <c r="BS206" s="955"/>
      <c r="BT206" s="955"/>
      <c r="BU206" s="955"/>
      <c r="BV206" s="955"/>
      <c r="BW206" s="955"/>
      <c r="BX206" s="955"/>
      <c r="BY206" s="955"/>
      <c r="BZ206" s="955"/>
      <c r="CA206" s="955"/>
      <c r="CB206" s="955"/>
      <c r="CC206" s="955"/>
      <c r="CD206" s="955"/>
      <c r="CE206" s="955"/>
      <c r="CF206" s="955"/>
      <c r="CG206" s="955"/>
      <c r="CH206" s="955"/>
    </row>
    <row r="207" spans="4:86">
      <c r="K207" s="949"/>
      <c r="L207" s="950"/>
      <c r="M207" s="950"/>
      <c r="N207" s="950"/>
      <c r="P207" s="950"/>
      <c r="AX207" s="966"/>
      <c r="AY207" s="930"/>
      <c r="AZ207" s="930"/>
      <c r="BA207" s="930"/>
      <c r="BB207" s="930"/>
      <c r="BC207" s="930"/>
      <c r="BD207" s="930"/>
      <c r="BE207" s="930"/>
      <c r="BF207" s="930"/>
      <c r="BG207" s="930"/>
      <c r="BH207" s="930"/>
      <c r="BI207" s="930"/>
      <c r="BJ207" s="930"/>
      <c r="BK207" s="930"/>
      <c r="BL207" s="930"/>
      <c r="BM207" s="930"/>
      <c r="BN207" s="930"/>
      <c r="BO207" s="930"/>
      <c r="BP207" s="930"/>
      <c r="BQ207" s="930"/>
      <c r="BR207" s="930"/>
      <c r="BS207" s="930"/>
      <c r="BT207" s="930"/>
      <c r="BU207" s="930"/>
      <c r="BV207" s="930"/>
      <c r="BW207" s="930"/>
      <c r="BX207" s="930"/>
      <c r="BY207" s="930"/>
      <c r="BZ207" s="930"/>
      <c r="CA207" s="930"/>
      <c r="CB207" s="930"/>
      <c r="CC207" s="930"/>
      <c r="CD207" s="930"/>
      <c r="CE207" s="930"/>
      <c r="CF207" s="930"/>
      <c r="CG207" s="930"/>
      <c r="CH207" s="930"/>
    </row>
    <row r="208" spans="4:86" ht="13.5" thickBot="1">
      <c r="K208" s="985"/>
      <c r="L208" s="953"/>
      <c r="M208" s="953"/>
      <c r="N208" s="953"/>
      <c r="P208" s="953"/>
      <c r="AX208" s="949"/>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row>
    <row r="209" spans="50:86">
      <c r="AX209" s="972"/>
      <c r="AY209" s="953"/>
      <c r="AZ209" s="953"/>
      <c r="BA209" s="953"/>
      <c r="BB209" s="953"/>
      <c r="BC209" s="953"/>
      <c r="BD209" s="953"/>
      <c r="BE209" s="953"/>
      <c r="BF209" s="953"/>
      <c r="BG209" s="953"/>
      <c r="BH209" s="953"/>
      <c r="BI209" s="953"/>
      <c r="BJ209" s="953"/>
      <c r="BK209" s="953"/>
      <c r="BL209" s="953"/>
      <c r="BM209" s="953"/>
      <c r="BN209" s="953"/>
      <c r="BO209" s="953"/>
      <c r="BP209" s="953"/>
      <c r="BQ209" s="953"/>
      <c r="BR209" s="953"/>
      <c r="BS209" s="953"/>
      <c r="BT209" s="953"/>
      <c r="BU209" s="953"/>
      <c r="BV209" s="953"/>
      <c r="BW209" s="953"/>
      <c r="BX209" s="953"/>
      <c r="BY209" s="953"/>
      <c r="BZ209" s="953"/>
      <c r="CA209" s="953"/>
      <c r="CB209" s="953"/>
      <c r="CC209" s="953"/>
      <c r="CD209" s="953"/>
      <c r="CE209" s="953"/>
      <c r="CF209" s="953"/>
      <c r="CG209" s="953"/>
      <c r="CH209" s="953"/>
    </row>
    <row r="210" spans="50:86">
      <c r="AX210" s="972"/>
      <c r="AY210" s="979"/>
      <c r="AZ210" s="979"/>
      <c r="BA210" s="979"/>
      <c r="BB210" s="979"/>
      <c r="BC210" s="979"/>
      <c r="BD210" s="979"/>
      <c r="BE210" s="979"/>
      <c r="BF210" s="979"/>
      <c r="BG210" s="979"/>
      <c r="BH210" s="979"/>
      <c r="BI210" s="979"/>
      <c r="BJ210" s="979"/>
      <c r="BK210" s="979"/>
      <c r="BL210" s="979"/>
      <c r="BM210" s="979"/>
      <c r="BN210" s="979"/>
      <c r="BO210" s="979"/>
      <c r="BP210" s="979"/>
      <c r="BQ210" s="979"/>
      <c r="BR210" s="979"/>
      <c r="BS210" s="979"/>
      <c r="BT210" s="979"/>
      <c r="BU210" s="979"/>
      <c r="BV210" s="979"/>
      <c r="BW210" s="979"/>
      <c r="BX210" s="979"/>
      <c r="BY210" s="979"/>
      <c r="BZ210" s="979"/>
      <c r="CA210" s="979"/>
      <c r="CB210" s="979"/>
      <c r="CC210" s="979"/>
      <c r="CD210" s="979"/>
      <c r="CE210" s="979"/>
      <c r="CF210" s="979"/>
      <c r="CG210" s="979"/>
      <c r="CH210" s="979"/>
    </row>
    <row r="211" spans="50:86">
      <c r="AX211" s="966"/>
      <c r="AY211" s="930"/>
      <c r="AZ211" s="930"/>
      <c r="BA211" s="930"/>
      <c r="BB211" s="930"/>
      <c r="BC211" s="930"/>
      <c r="BD211" s="930"/>
      <c r="BE211" s="930"/>
      <c r="BF211" s="930"/>
      <c r="BG211" s="930"/>
      <c r="BH211" s="930"/>
      <c r="BI211" s="930"/>
      <c r="BJ211" s="930"/>
      <c r="BK211" s="930"/>
      <c r="BL211" s="930"/>
      <c r="BM211" s="930"/>
      <c r="BN211" s="930"/>
      <c r="BO211" s="930"/>
      <c r="BP211" s="930"/>
      <c r="BQ211" s="930"/>
      <c r="BR211" s="930"/>
      <c r="BS211" s="930"/>
      <c r="BT211" s="930"/>
      <c r="BU211" s="930"/>
      <c r="BV211" s="930"/>
      <c r="BW211" s="930"/>
      <c r="BX211" s="930"/>
      <c r="BY211" s="930"/>
      <c r="BZ211" s="930"/>
      <c r="CA211" s="930"/>
      <c r="CB211" s="930"/>
      <c r="CC211" s="930"/>
      <c r="CD211" s="930"/>
      <c r="CE211" s="930"/>
      <c r="CF211" s="930"/>
      <c r="CG211" s="930"/>
      <c r="CH211" s="930"/>
    </row>
    <row r="212" spans="50:86">
      <c r="AX212" s="949"/>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row>
    <row r="213" spans="50:86" ht="13.5" thickBot="1">
      <c r="AX213" s="985"/>
      <c r="AY213" s="953"/>
      <c r="AZ213" s="953"/>
      <c r="BA213" s="953"/>
      <c r="BB213" s="953"/>
      <c r="BC213" s="953"/>
      <c r="BD213" s="953"/>
      <c r="BE213" s="953"/>
      <c r="BF213" s="953"/>
      <c r="BG213" s="953"/>
      <c r="BH213" s="953"/>
      <c r="BI213" s="953"/>
      <c r="BJ213" s="953"/>
      <c r="BK213" s="953"/>
      <c r="BL213" s="953"/>
      <c r="BM213" s="953"/>
      <c r="BN213" s="953"/>
      <c r="BO213" s="953"/>
      <c r="BP213" s="953"/>
      <c r="BQ213" s="953"/>
      <c r="BR213" s="953"/>
      <c r="BS213" s="953"/>
      <c r="BT213" s="953"/>
      <c r="BU213" s="953"/>
      <c r="BV213" s="953"/>
      <c r="BW213" s="953"/>
      <c r="BX213" s="953"/>
      <c r="BY213" s="953"/>
      <c r="BZ213" s="953"/>
      <c r="CA213" s="953"/>
      <c r="CB213" s="953"/>
      <c r="CC213" s="953"/>
      <c r="CD213" s="953"/>
      <c r="CE213" s="953"/>
      <c r="CF213" s="953"/>
      <c r="CG213" s="953"/>
      <c r="CH213" s="953"/>
    </row>
    <row r="215" spans="50:86" ht="13.5" thickBot="1"/>
    <row r="216" spans="50:86" ht="15.75" thickBot="1">
      <c r="AY216" s="923"/>
      <c r="AZ216" s="923"/>
      <c r="BA216" s="923"/>
      <c r="BB216" s="923"/>
      <c r="BC216" s="923"/>
      <c r="BD216" s="923"/>
      <c r="BE216" s="923"/>
      <c r="BF216" s="923"/>
      <c r="BG216" s="923"/>
      <c r="BH216" s="923"/>
      <c r="BI216" s="923"/>
      <c r="BJ216" s="923"/>
      <c r="BK216" s="923"/>
      <c r="BL216" s="923"/>
      <c r="BM216" s="923"/>
      <c r="BN216" s="923"/>
      <c r="BO216" s="923"/>
      <c r="BP216" s="923"/>
      <c r="BQ216" s="923"/>
      <c r="BR216" s="923"/>
      <c r="BS216" s="923"/>
      <c r="BT216" s="923"/>
      <c r="BU216" s="923"/>
      <c r="BV216" s="923"/>
      <c r="BW216" s="923"/>
      <c r="BX216" s="923"/>
      <c r="BY216" s="923"/>
      <c r="BZ216" s="923"/>
      <c r="CA216" s="923"/>
      <c r="CB216" s="923"/>
      <c r="CC216" s="923"/>
      <c r="CD216" s="923"/>
      <c r="CE216" s="923"/>
      <c r="CF216" s="923"/>
      <c r="CG216" s="923"/>
      <c r="CH216" s="923"/>
    </row>
    <row r="217" spans="50:86" ht="15.75" thickBot="1">
      <c r="AX217" s="924"/>
      <c r="AY217" s="923"/>
      <c r="AZ217" s="923"/>
      <c r="BA217" s="923"/>
      <c r="BB217" s="923"/>
      <c r="BC217" s="923"/>
      <c r="BD217" s="923"/>
      <c r="BE217" s="923"/>
      <c r="BF217" s="923"/>
      <c r="BG217" s="923"/>
      <c r="BH217" s="923"/>
      <c r="BI217" s="923"/>
      <c r="BJ217" s="923"/>
      <c r="BK217" s="923"/>
      <c r="BL217" s="923"/>
      <c r="BM217" s="923"/>
      <c r="BN217" s="923"/>
      <c r="BO217" s="923"/>
      <c r="BP217" s="923"/>
      <c r="BQ217" s="923"/>
      <c r="BR217" s="923"/>
      <c r="BS217" s="923"/>
      <c r="BT217" s="923"/>
      <c r="BU217" s="923"/>
      <c r="BV217" s="923"/>
      <c r="BW217" s="923"/>
      <c r="BX217" s="923"/>
      <c r="BY217" s="923"/>
      <c r="BZ217" s="923"/>
      <c r="CA217" s="923"/>
      <c r="CB217" s="923"/>
      <c r="CC217" s="923"/>
      <c r="CD217" s="923"/>
      <c r="CE217" s="923"/>
      <c r="CF217" s="923"/>
      <c r="CG217" s="923"/>
      <c r="CH217" s="923"/>
    </row>
    <row r="218" spans="50:86">
      <c r="AX218" s="929"/>
      <c r="AY218" s="930"/>
      <c r="AZ218" s="930"/>
      <c r="BA218" s="930"/>
      <c r="BB218" s="930"/>
      <c r="BC218" s="930"/>
      <c r="BD218" s="930"/>
      <c r="BE218" s="930"/>
      <c r="BF218" s="930"/>
      <c r="BG218" s="930"/>
      <c r="BH218" s="930"/>
      <c r="BI218" s="930"/>
      <c r="BJ218" s="930"/>
      <c r="BK218" s="930"/>
      <c r="BL218" s="930"/>
      <c r="BM218" s="930"/>
      <c r="BN218" s="930"/>
      <c r="BO218" s="930"/>
      <c r="BP218" s="930"/>
      <c r="BQ218" s="930"/>
      <c r="BR218" s="930"/>
      <c r="BS218" s="930"/>
      <c r="BT218" s="930"/>
      <c r="BU218" s="930"/>
      <c r="BV218" s="930"/>
      <c r="BW218" s="930"/>
      <c r="BX218" s="930"/>
      <c r="BY218" s="930"/>
      <c r="BZ218" s="930"/>
      <c r="CA218" s="930"/>
      <c r="CB218" s="930"/>
      <c r="CC218" s="930"/>
      <c r="CD218" s="930"/>
      <c r="CE218" s="930"/>
      <c r="CF218" s="930"/>
      <c r="CG218" s="930"/>
      <c r="CH218" s="930"/>
    </row>
    <row r="219" spans="50:86">
      <c r="AX219" s="941"/>
      <c r="AY219" s="930"/>
      <c r="AZ219" s="930"/>
      <c r="BA219" s="930"/>
      <c r="BB219" s="930"/>
      <c r="BC219" s="930"/>
      <c r="BD219" s="930"/>
      <c r="BE219" s="930"/>
      <c r="BF219" s="930"/>
      <c r="BG219" s="930"/>
      <c r="BH219" s="930"/>
      <c r="BI219" s="930"/>
      <c r="BJ219" s="930"/>
      <c r="BK219" s="930"/>
      <c r="BL219" s="930"/>
      <c r="BM219" s="930"/>
      <c r="BN219" s="930"/>
      <c r="BO219" s="930"/>
      <c r="BP219" s="930"/>
      <c r="BQ219" s="930"/>
      <c r="BR219" s="930"/>
      <c r="BS219" s="930"/>
      <c r="BT219" s="930"/>
      <c r="BU219" s="930"/>
      <c r="BV219" s="930"/>
      <c r="BW219" s="930"/>
      <c r="BX219" s="930"/>
      <c r="BY219" s="930"/>
      <c r="BZ219" s="930"/>
      <c r="CA219" s="930"/>
      <c r="CB219" s="930"/>
      <c r="CC219" s="930"/>
      <c r="CD219" s="930"/>
      <c r="CE219" s="930"/>
      <c r="CF219" s="930"/>
      <c r="CG219" s="930"/>
      <c r="CH219" s="930"/>
    </row>
    <row r="220" spans="50:86">
      <c r="AX220" s="941"/>
      <c r="AY220" s="930"/>
      <c r="AZ220" s="930"/>
      <c r="BA220" s="930"/>
      <c r="BB220" s="930"/>
      <c r="BC220" s="930"/>
      <c r="BD220" s="930"/>
      <c r="BE220" s="930"/>
      <c r="BF220" s="930"/>
      <c r="BG220" s="930"/>
      <c r="BH220" s="930"/>
      <c r="BI220" s="930"/>
      <c r="BJ220" s="930"/>
      <c r="BK220" s="930"/>
      <c r="BL220" s="930"/>
      <c r="BM220" s="930"/>
      <c r="BN220" s="930"/>
      <c r="BO220" s="930"/>
      <c r="BP220" s="930"/>
      <c r="BQ220" s="930"/>
      <c r="BR220" s="930"/>
      <c r="BS220" s="930"/>
      <c r="BT220" s="930"/>
      <c r="BU220" s="930"/>
      <c r="BV220" s="930"/>
      <c r="BW220" s="930"/>
      <c r="BX220" s="930"/>
      <c r="BY220" s="930"/>
      <c r="BZ220" s="930"/>
      <c r="CA220" s="930"/>
      <c r="CB220" s="930"/>
      <c r="CC220" s="930"/>
      <c r="CD220" s="930"/>
      <c r="CE220" s="930"/>
      <c r="CF220" s="930"/>
      <c r="CG220" s="930"/>
      <c r="CH220" s="930"/>
    </row>
    <row r="221" spans="50:86">
      <c r="AX221" s="947"/>
      <c r="AY221" s="930"/>
      <c r="AZ221" s="930"/>
      <c r="BA221" s="930"/>
      <c r="BB221" s="930"/>
      <c r="BC221" s="930"/>
      <c r="BD221" s="930"/>
      <c r="BE221" s="930"/>
      <c r="BF221" s="930"/>
      <c r="BG221" s="930"/>
      <c r="BH221" s="930"/>
      <c r="BI221" s="930"/>
      <c r="BJ221" s="930"/>
      <c r="BK221" s="930"/>
      <c r="BL221" s="930"/>
      <c r="BM221" s="930"/>
      <c r="BN221" s="930"/>
      <c r="BO221" s="930"/>
      <c r="BP221" s="930"/>
      <c r="BQ221" s="930"/>
      <c r="BR221" s="930"/>
      <c r="BS221" s="930"/>
      <c r="BT221" s="930"/>
      <c r="BU221" s="930"/>
      <c r="BV221" s="930"/>
      <c r="BW221" s="930"/>
      <c r="BX221" s="930"/>
      <c r="BY221" s="930"/>
      <c r="BZ221" s="930"/>
      <c r="CA221" s="930"/>
      <c r="CB221" s="930"/>
      <c r="CC221" s="930"/>
      <c r="CD221" s="930"/>
      <c r="CE221" s="930"/>
      <c r="CF221" s="930"/>
      <c r="CG221" s="930"/>
      <c r="CH221" s="930"/>
    </row>
    <row r="222" spans="50:86">
      <c r="AX222" s="949"/>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row>
    <row r="223" spans="50:86">
      <c r="AX223" s="952"/>
      <c r="AY223" s="953"/>
      <c r="AZ223" s="953"/>
      <c r="BA223" s="953"/>
      <c r="BB223" s="953"/>
      <c r="BC223" s="953"/>
      <c r="BD223" s="953"/>
      <c r="BE223" s="953"/>
      <c r="BF223" s="953"/>
      <c r="BG223" s="953"/>
      <c r="BH223" s="953"/>
      <c r="BI223" s="953"/>
      <c r="BJ223" s="953"/>
      <c r="BK223" s="953"/>
      <c r="BL223" s="953"/>
      <c r="BM223" s="953"/>
      <c r="BN223" s="953"/>
      <c r="BO223" s="953"/>
      <c r="BP223" s="953"/>
      <c r="BQ223" s="953"/>
      <c r="BR223" s="953"/>
      <c r="BS223" s="953"/>
      <c r="BT223" s="953"/>
      <c r="BU223" s="953"/>
      <c r="BV223" s="953"/>
      <c r="BW223" s="953"/>
      <c r="BX223" s="953"/>
      <c r="BY223" s="953"/>
      <c r="BZ223" s="953"/>
      <c r="CA223" s="953"/>
      <c r="CB223" s="953"/>
      <c r="CC223" s="953"/>
      <c r="CD223" s="953"/>
      <c r="CE223" s="953"/>
      <c r="CF223" s="953"/>
      <c r="CG223" s="953"/>
      <c r="CH223" s="953"/>
    </row>
    <row r="224" spans="50:86">
      <c r="AX224" s="954"/>
      <c r="AY224" s="955"/>
      <c r="AZ224" s="955"/>
      <c r="BA224" s="955"/>
      <c r="BB224" s="955"/>
      <c r="BC224" s="955"/>
      <c r="BD224" s="955"/>
      <c r="BE224" s="955"/>
      <c r="BF224" s="955"/>
      <c r="BG224" s="955"/>
      <c r="BH224" s="955"/>
      <c r="BI224" s="955"/>
      <c r="BJ224" s="955"/>
      <c r="BK224" s="955"/>
      <c r="BL224" s="955"/>
      <c r="BM224" s="955"/>
      <c r="BN224" s="955"/>
      <c r="BO224" s="955"/>
      <c r="BP224" s="955"/>
      <c r="BQ224" s="955"/>
      <c r="BR224" s="955"/>
      <c r="BS224" s="955"/>
      <c r="BT224" s="955"/>
      <c r="BU224" s="955"/>
      <c r="BV224" s="955"/>
      <c r="BW224" s="955"/>
      <c r="BX224" s="955"/>
      <c r="BY224" s="955"/>
      <c r="BZ224" s="955"/>
      <c r="CA224" s="955"/>
      <c r="CB224" s="955"/>
      <c r="CC224" s="955"/>
      <c r="CD224" s="955"/>
      <c r="CE224" s="955"/>
      <c r="CF224" s="955"/>
      <c r="CG224" s="955"/>
      <c r="CH224" s="955"/>
    </row>
    <row r="225" spans="50:86">
      <c r="AX225" s="958"/>
      <c r="AY225" s="930"/>
      <c r="AZ225" s="930"/>
      <c r="BA225" s="930"/>
      <c r="BB225" s="930"/>
      <c r="BC225" s="930"/>
      <c r="BD225" s="930"/>
      <c r="BE225" s="930"/>
      <c r="BF225" s="930"/>
      <c r="BG225" s="930"/>
      <c r="BH225" s="930"/>
      <c r="BI225" s="930"/>
      <c r="BJ225" s="930"/>
      <c r="BK225" s="930"/>
      <c r="BL225" s="930"/>
      <c r="BM225" s="930"/>
      <c r="BN225" s="930"/>
      <c r="BO225" s="930"/>
      <c r="BP225" s="930"/>
      <c r="BQ225" s="930"/>
      <c r="BR225" s="930"/>
      <c r="BS225" s="930"/>
      <c r="BT225" s="930"/>
      <c r="BU225" s="930"/>
      <c r="BV225" s="930"/>
      <c r="BW225" s="930"/>
      <c r="BX225" s="930"/>
      <c r="BY225" s="930"/>
      <c r="BZ225" s="930"/>
      <c r="CA225" s="930"/>
      <c r="CB225" s="930"/>
      <c r="CC225" s="930"/>
      <c r="CD225" s="930"/>
      <c r="CE225" s="930"/>
      <c r="CF225" s="930"/>
      <c r="CG225" s="930"/>
      <c r="CH225" s="930"/>
    </row>
    <row r="226" spans="50:86">
      <c r="AX226" s="958"/>
      <c r="AY226" s="930"/>
      <c r="AZ226" s="930"/>
      <c r="BA226" s="930"/>
      <c r="BB226" s="930"/>
      <c r="BC226" s="930"/>
      <c r="BD226" s="930"/>
      <c r="BE226" s="930"/>
      <c r="BF226" s="930"/>
      <c r="BG226" s="930"/>
      <c r="BH226" s="930"/>
      <c r="BI226" s="930"/>
      <c r="BJ226" s="930"/>
      <c r="BK226" s="930"/>
      <c r="BL226" s="930"/>
      <c r="BM226" s="930"/>
      <c r="BN226" s="930"/>
      <c r="BO226" s="930"/>
      <c r="BP226" s="930"/>
      <c r="BQ226" s="930"/>
      <c r="BR226" s="930"/>
      <c r="BS226" s="930"/>
      <c r="BT226" s="930"/>
      <c r="BU226" s="930"/>
      <c r="BV226" s="930"/>
      <c r="BW226" s="930"/>
      <c r="BX226" s="930"/>
      <c r="BY226" s="930"/>
      <c r="BZ226" s="930"/>
      <c r="CA226" s="930"/>
      <c r="CB226" s="930"/>
      <c r="CC226" s="930"/>
      <c r="CD226" s="930"/>
      <c r="CE226" s="930"/>
      <c r="CF226" s="930"/>
      <c r="CG226" s="930"/>
      <c r="CH226" s="930"/>
    </row>
    <row r="227" spans="50:86">
      <c r="AX227" s="949"/>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row>
    <row r="228" spans="50:86">
      <c r="AX228" s="952"/>
      <c r="AY228" s="953"/>
      <c r="AZ228" s="953"/>
      <c r="BA228" s="953"/>
      <c r="BB228" s="953"/>
      <c r="BC228" s="953"/>
      <c r="BD228" s="953"/>
      <c r="BE228" s="953"/>
      <c r="BF228" s="953"/>
      <c r="BG228" s="953"/>
      <c r="BH228" s="953"/>
      <c r="BI228" s="953"/>
      <c r="BJ228" s="953"/>
      <c r="BK228" s="953"/>
      <c r="BL228" s="953"/>
      <c r="BM228" s="953"/>
      <c r="BN228" s="953"/>
      <c r="BO228" s="953"/>
      <c r="BP228" s="953"/>
      <c r="BQ228" s="953"/>
      <c r="BR228" s="953"/>
      <c r="BS228" s="953"/>
      <c r="BT228" s="953"/>
      <c r="BU228" s="953"/>
      <c r="BV228" s="953"/>
      <c r="BW228" s="953"/>
      <c r="BX228" s="953"/>
      <c r="BY228" s="953"/>
      <c r="BZ228" s="953"/>
      <c r="CA228" s="953"/>
      <c r="CB228" s="953"/>
      <c r="CC228" s="953"/>
      <c r="CD228" s="953"/>
      <c r="CE228" s="953"/>
      <c r="CF228" s="953"/>
      <c r="CG228" s="953"/>
      <c r="CH228" s="953"/>
    </row>
    <row r="229" spans="50:86">
      <c r="AX229" s="964"/>
      <c r="AY229" s="955"/>
      <c r="AZ229" s="955"/>
      <c r="BA229" s="955"/>
      <c r="BB229" s="955"/>
      <c r="BC229" s="955"/>
      <c r="BD229" s="955"/>
      <c r="BE229" s="955"/>
      <c r="BF229" s="955"/>
      <c r="BG229" s="955"/>
      <c r="BH229" s="955"/>
      <c r="BI229" s="955"/>
      <c r="BJ229" s="955"/>
      <c r="BK229" s="955"/>
      <c r="BL229" s="955"/>
      <c r="BM229" s="955"/>
      <c r="BN229" s="955"/>
      <c r="BO229" s="955"/>
      <c r="BP229" s="955"/>
      <c r="BQ229" s="955"/>
      <c r="BR229" s="955"/>
      <c r="BS229" s="955"/>
      <c r="BT229" s="955"/>
      <c r="BU229" s="955"/>
      <c r="BV229" s="955"/>
      <c r="BW229" s="955"/>
      <c r="BX229" s="955"/>
      <c r="BY229" s="955"/>
      <c r="BZ229" s="955"/>
      <c r="CA229" s="955"/>
      <c r="CB229" s="955"/>
      <c r="CC229" s="955"/>
      <c r="CD229" s="955"/>
      <c r="CE229" s="955"/>
      <c r="CF229" s="955"/>
      <c r="CG229" s="955"/>
      <c r="CH229" s="955"/>
    </row>
    <row r="230" spans="50:86">
      <c r="AX230" s="966"/>
      <c r="AY230" s="930"/>
      <c r="AZ230" s="930"/>
      <c r="BA230" s="930"/>
      <c r="BB230" s="930"/>
      <c r="BC230" s="930"/>
      <c r="BD230" s="930"/>
      <c r="BE230" s="930"/>
      <c r="BF230" s="930"/>
      <c r="BG230" s="930"/>
      <c r="BH230" s="930"/>
      <c r="BI230" s="930"/>
      <c r="BJ230" s="930"/>
      <c r="BK230" s="930"/>
      <c r="BL230" s="930"/>
      <c r="BM230" s="930"/>
      <c r="BN230" s="930"/>
      <c r="BO230" s="930"/>
      <c r="BP230" s="930"/>
      <c r="BQ230" s="930"/>
      <c r="BR230" s="930"/>
      <c r="BS230" s="930"/>
      <c r="BT230" s="930"/>
      <c r="BU230" s="930"/>
      <c r="BV230" s="930"/>
      <c r="BW230" s="930"/>
      <c r="BX230" s="930"/>
      <c r="BY230" s="930"/>
      <c r="BZ230" s="930"/>
      <c r="CA230" s="930"/>
      <c r="CB230" s="930"/>
      <c r="CC230" s="930"/>
      <c r="CD230" s="930"/>
      <c r="CE230" s="930"/>
      <c r="CF230" s="930"/>
      <c r="CG230" s="930"/>
      <c r="CH230" s="930"/>
    </row>
    <row r="231" spans="50:86">
      <c r="AX231" s="966"/>
      <c r="AY231" s="930"/>
      <c r="AZ231" s="930"/>
      <c r="BA231" s="930"/>
      <c r="BB231" s="930"/>
      <c r="BC231" s="930"/>
      <c r="BD231" s="930"/>
      <c r="BE231" s="930"/>
      <c r="BF231" s="930"/>
      <c r="BG231" s="930"/>
      <c r="BH231" s="930"/>
      <c r="BI231" s="930"/>
      <c r="BJ231" s="930"/>
      <c r="BK231" s="930"/>
      <c r="BL231" s="930"/>
      <c r="BM231" s="930"/>
      <c r="BN231" s="930"/>
      <c r="BO231" s="930"/>
      <c r="BP231" s="930"/>
      <c r="BQ231" s="930"/>
      <c r="BR231" s="930"/>
      <c r="BS231" s="930"/>
      <c r="BT231" s="930"/>
      <c r="BU231" s="930"/>
      <c r="BV231" s="930"/>
      <c r="BW231" s="930"/>
      <c r="BX231" s="930"/>
      <c r="BY231" s="930"/>
      <c r="BZ231" s="930"/>
      <c r="CA231" s="930"/>
      <c r="CB231" s="930"/>
      <c r="CC231" s="930"/>
      <c r="CD231" s="930"/>
      <c r="CE231" s="930"/>
      <c r="CF231" s="930"/>
      <c r="CG231" s="930"/>
      <c r="CH231" s="930"/>
    </row>
    <row r="232" spans="50:86">
      <c r="AX232" s="969"/>
      <c r="AY232" s="930"/>
      <c r="AZ232" s="930"/>
      <c r="BA232" s="930"/>
      <c r="BB232" s="930"/>
      <c r="BC232" s="930"/>
      <c r="BD232" s="930"/>
      <c r="BE232" s="930"/>
      <c r="BF232" s="930"/>
      <c r="BG232" s="930"/>
      <c r="BH232" s="930"/>
      <c r="BI232" s="930"/>
      <c r="BJ232" s="930"/>
      <c r="BK232" s="930"/>
      <c r="BL232" s="930"/>
      <c r="BM232" s="930"/>
      <c r="BN232" s="930"/>
      <c r="BO232" s="930"/>
      <c r="BP232" s="930"/>
      <c r="BQ232" s="930"/>
      <c r="BR232" s="930"/>
      <c r="BS232" s="930"/>
      <c r="BT232" s="930"/>
      <c r="BU232" s="930"/>
      <c r="BV232" s="930"/>
      <c r="BW232" s="930"/>
      <c r="BX232" s="930"/>
      <c r="BY232" s="930"/>
      <c r="BZ232" s="930"/>
      <c r="CA232" s="930"/>
      <c r="CB232" s="930"/>
      <c r="CC232" s="930"/>
      <c r="CD232" s="930"/>
      <c r="CE232" s="930"/>
      <c r="CF232" s="930"/>
      <c r="CG232" s="930"/>
      <c r="CH232" s="930"/>
    </row>
    <row r="233" spans="50:86">
      <c r="AX233" s="949"/>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row>
    <row r="234" spans="50:86">
      <c r="AX234" s="972"/>
      <c r="AY234" s="953"/>
      <c r="AZ234" s="953"/>
      <c r="BA234" s="953"/>
      <c r="BB234" s="953"/>
      <c r="BC234" s="953"/>
      <c r="BD234" s="953"/>
      <c r="BE234" s="953"/>
      <c r="BF234" s="953"/>
      <c r="BG234" s="953"/>
      <c r="BH234" s="953"/>
      <c r="BI234" s="953"/>
      <c r="BJ234" s="953"/>
      <c r="BK234" s="953"/>
      <c r="BL234" s="953"/>
      <c r="BM234" s="953"/>
      <c r="BN234" s="953"/>
      <c r="BO234" s="953"/>
      <c r="BP234" s="953"/>
      <c r="BQ234" s="953"/>
      <c r="BR234" s="953"/>
      <c r="BS234" s="953"/>
      <c r="BT234" s="953"/>
      <c r="BU234" s="953"/>
      <c r="BV234" s="953"/>
      <c r="BW234" s="953"/>
      <c r="BX234" s="953"/>
      <c r="BY234" s="953"/>
      <c r="BZ234" s="953"/>
      <c r="CA234" s="953"/>
      <c r="CB234" s="953"/>
      <c r="CC234" s="953"/>
      <c r="CD234" s="953"/>
      <c r="CE234" s="953"/>
      <c r="CF234" s="953"/>
      <c r="CG234" s="953"/>
      <c r="CH234" s="953"/>
    </row>
    <row r="235" spans="50:86">
      <c r="AX235" s="952"/>
      <c r="AY235" s="955"/>
      <c r="AZ235" s="955"/>
      <c r="BA235" s="955"/>
      <c r="BB235" s="955"/>
      <c r="BC235" s="955"/>
      <c r="BD235" s="955"/>
      <c r="BE235" s="955"/>
      <c r="BF235" s="955"/>
      <c r="BG235" s="955"/>
      <c r="BH235" s="955"/>
      <c r="BI235" s="955"/>
      <c r="BJ235" s="955"/>
      <c r="BK235" s="955"/>
      <c r="BL235" s="955"/>
      <c r="BM235" s="955"/>
      <c r="BN235" s="955"/>
      <c r="BO235" s="955"/>
      <c r="BP235" s="955"/>
      <c r="BQ235" s="955"/>
      <c r="BR235" s="955"/>
      <c r="BS235" s="955"/>
      <c r="BT235" s="955"/>
      <c r="BU235" s="955"/>
      <c r="BV235" s="955"/>
      <c r="BW235" s="955"/>
      <c r="BX235" s="955"/>
      <c r="BY235" s="955"/>
      <c r="BZ235" s="955"/>
      <c r="CA235" s="955"/>
      <c r="CB235" s="955"/>
      <c r="CC235" s="955"/>
      <c r="CD235" s="955"/>
      <c r="CE235" s="955"/>
      <c r="CF235" s="955"/>
      <c r="CG235" s="955"/>
      <c r="CH235" s="955"/>
    </row>
    <row r="236" spans="50:86">
      <c r="AX236" s="966"/>
      <c r="AY236" s="930"/>
      <c r="AZ236" s="930"/>
      <c r="BA236" s="930"/>
      <c r="BB236" s="930"/>
      <c r="BC236" s="930"/>
      <c r="BD236" s="930"/>
      <c r="BE236" s="930"/>
      <c r="BF236" s="930"/>
      <c r="BG236" s="930"/>
      <c r="BH236" s="930"/>
      <c r="BI236" s="930"/>
      <c r="BJ236" s="930"/>
      <c r="BK236" s="930"/>
      <c r="BL236" s="930"/>
      <c r="BM236" s="930"/>
      <c r="BN236" s="930"/>
      <c r="BO236" s="930"/>
      <c r="BP236" s="930"/>
      <c r="BQ236" s="930"/>
      <c r="BR236" s="930"/>
      <c r="BS236" s="930"/>
      <c r="BT236" s="930"/>
      <c r="BU236" s="930"/>
      <c r="BV236" s="930"/>
      <c r="BW236" s="930"/>
      <c r="BX236" s="930"/>
      <c r="BY236" s="930"/>
      <c r="BZ236" s="930"/>
      <c r="CA236" s="930"/>
      <c r="CB236" s="930"/>
      <c r="CC236" s="930"/>
      <c r="CD236" s="930"/>
      <c r="CE236" s="930"/>
      <c r="CF236" s="930"/>
      <c r="CG236" s="930"/>
      <c r="CH236" s="930"/>
    </row>
    <row r="237" spans="50:86">
      <c r="AX237" s="949"/>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row>
    <row r="238" spans="50:86">
      <c r="AX238" s="952"/>
      <c r="AY238" s="955"/>
      <c r="AZ238" s="955"/>
      <c r="BA238" s="955"/>
      <c r="BB238" s="955"/>
      <c r="BC238" s="955"/>
      <c r="BD238" s="955"/>
      <c r="BE238" s="955"/>
      <c r="BF238" s="955"/>
      <c r="BG238" s="955"/>
      <c r="BH238" s="955"/>
      <c r="BI238" s="955"/>
      <c r="BJ238" s="955"/>
      <c r="BK238" s="955"/>
      <c r="BL238" s="955"/>
      <c r="BM238" s="955"/>
      <c r="BN238" s="955"/>
      <c r="BO238" s="955"/>
      <c r="BP238" s="955"/>
      <c r="BQ238" s="955"/>
      <c r="BR238" s="955"/>
      <c r="BS238" s="955"/>
      <c r="BT238" s="955"/>
      <c r="BU238" s="955"/>
      <c r="BV238" s="955"/>
      <c r="BW238" s="955"/>
      <c r="BX238" s="955"/>
      <c r="BY238" s="955"/>
      <c r="BZ238" s="955"/>
      <c r="CA238" s="955"/>
      <c r="CB238" s="955"/>
      <c r="CC238" s="955"/>
      <c r="CD238" s="955"/>
      <c r="CE238" s="955"/>
      <c r="CF238" s="955"/>
      <c r="CG238" s="955"/>
      <c r="CH238" s="955"/>
    </row>
    <row r="239" spans="50:86">
      <c r="AX239" s="966"/>
      <c r="AY239" s="930"/>
      <c r="AZ239" s="930"/>
      <c r="BA239" s="930"/>
      <c r="BB239" s="930"/>
      <c r="BC239" s="930"/>
      <c r="BD239" s="930"/>
      <c r="BE239" s="930"/>
      <c r="BF239" s="930"/>
      <c r="BG239" s="930"/>
      <c r="BH239" s="930"/>
      <c r="BI239" s="930"/>
      <c r="BJ239" s="930"/>
      <c r="BK239" s="930"/>
      <c r="BL239" s="930"/>
      <c r="BM239" s="930"/>
      <c r="BN239" s="930"/>
      <c r="BO239" s="930"/>
      <c r="BP239" s="930"/>
      <c r="BQ239" s="930"/>
      <c r="BR239" s="930"/>
      <c r="BS239" s="930"/>
      <c r="BT239" s="930"/>
      <c r="BU239" s="930"/>
      <c r="BV239" s="930"/>
      <c r="BW239" s="930"/>
      <c r="BX239" s="930"/>
      <c r="BY239" s="930"/>
      <c r="BZ239" s="930"/>
      <c r="CA239" s="930"/>
      <c r="CB239" s="930"/>
      <c r="CC239" s="930"/>
      <c r="CD239" s="930"/>
      <c r="CE239" s="930"/>
      <c r="CF239" s="930"/>
      <c r="CG239" s="930"/>
      <c r="CH239" s="930"/>
    </row>
    <row r="240" spans="50:86">
      <c r="AX240" s="949"/>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row>
    <row r="241" spans="50:86">
      <c r="AX241" s="972"/>
      <c r="AY241" s="953"/>
      <c r="AZ241" s="953"/>
      <c r="BA241" s="953"/>
      <c r="BB241" s="953"/>
      <c r="BC241" s="953"/>
      <c r="BD241" s="953"/>
      <c r="BE241" s="953"/>
      <c r="BF241" s="953"/>
      <c r="BG241" s="953"/>
      <c r="BH241" s="953"/>
      <c r="BI241" s="953"/>
      <c r="BJ241" s="953"/>
      <c r="BK241" s="953"/>
      <c r="BL241" s="953"/>
      <c r="BM241" s="953"/>
      <c r="BN241" s="953"/>
      <c r="BO241" s="953"/>
      <c r="BP241" s="953"/>
      <c r="BQ241" s="953"/>
      <c r="BR241" s="953"/>
      <c r="BS241" s="953"/>
      <c r="BT241" s="953"/>
      <c r="BU241" s="953"/>
      <c r="BV241" s="953"/>
      <c r="BW241" s="953"/>
      <c r="BX241" s="953"/>
      <c r="BY241" s="953"/>
      <c r="BZ241" s="953"/>
      <c r="CA241" s="953"/>
      <c r="CB241" s="953"/>
      <c r="CC241" s="953"/>
      <c r="CD241" s="953"/>
      <c r="CE241" s="953"/>
      <c r="CF241" s="953"/>
      <c r="CG241" s="953"/>
      <c r="CH241" s="953"/>
    </row>
    <row r="242" spans="50:86">
      <c r="AX242" s="972"/>
      <c r="AY242" s="979"/>
      <c r="AZ242" s="979"/>
      <c r="BA242" s="979"/>
      <c r="BB242" s="979"/>
      <c r="BC242" s="979"/>
      <c r="BD242" s="979"/>
      <c r="BE242" s="979"/>
      <c r="BF242" s="979"/>
      <c r="BG242" s="979"/>
      <c r="BH242" s="979"/>
      <c r="BI242" s="979"/>
      <c r="BJ242" s="979"/>
      <c r="BK242" s="979"/>
      <c r="BL242" s="979"/>
      <c r="BM242" s="979"/>
      <c r="BN242" s="979"/>
      <c r="BO242" s="979"/>
      <c r="BP242" s="979"/>
      <c r="BQ242" s="979"/>
      <c r="BR242" s="979"/>
      <c r="BS242" s="979"/>
      <c r="BT242" s="979"/>
      <c r="BU242" s="979"/>
      <c r="BV242" s="979"/>
      <c r="BW242" s="979"/>
      <c r="BX242" s="979"/>
      <c r="BY242" s="979"/>
      <c r="BZ242" s="979"/>
      <c r="CA242" s="979"/>
      <c r="CB242" s="979"/>
      <c r="CC242" s="979"/>
      <c r="CD242" s="979"/>
      <c r="CE242" s="979"/>
      <c r="CF242" s="979"/>
      <c r="CG242" s="979"/>
      <c r="CH242" s="979"/>
    </row>
    <row r="243" spans="50:86">
      <c r="AX243" s="966"/>
      <c r="AY243" s="930"/>
      <c r="AZ243" s="930"/>
      <c r="BA243" s="930"/>
      <c r="BB243" s="930"/>
      <c r="BC243" s="930"/>
      <c r="BD243" s="930"/>
      <c r="BE243" s="930"/>
      <c r="BF243" s="930"/>
      <c r="BG243" s="930"/>
      <c r="BH243" s="930"/>
      <c r="BI243" s="930"/>
      <c r="BJ243" s="930"/>
      <c r="BK243" s="930"/>
      <c r="BL243" s="930"/>
      <c r="BM243" s="930"/>
      <c r="BN243" s="930"/>
      <c r="BO243" s="930"/>
      <c r="BP243" s="930"/>
      <c r="BQ243" s="930"/>
      <c r="BR243" s="930"/>
      <c r="BS243" s="930"/>
      <c r="BT243" s="930"/>
      <c r="BU243" s="930"/>
      <c r="BV243" s="930"/>
      <c r="BW243" s="930"/>
      <c r="BX243" s="930"/>
      <c r="BY243" s="930"/>
      <c r="BZ243" s="930"/>
      <c r="CA243" s="930"/>
      <c r="CB243" s="930"/>
      <c r="CC243" s="930"/>
      <c r="CD243" s="930"/>
      <c r="CE243" s="930"/>
      <c r="CF243" s="930"/>
      <c r="CG243" s="930"/>
      <c r="CH243" s="930"/>
    </row>
    <row r="244" spans="50:86">
      <c r="AX244" s="949"/>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row>
    <row r="245" spans="50:86" ht="13.5" thickBot="1">
      <c r="AX245" s="985"/>
      <c r="AY245" s="953"/>
      <c r="AZ245" s="953"/>
      <c r="BA245" s="953"/>
      <c r="BB245" s="953"/>
      <c r="BC245" s="953"/>
      <c r="BD245" s="953"/>
      <c r="BE245" s="953"/>
      <c r="BF245" s="953"/>
      <c r="BG245" s="953"/>
      <c r="BH245" s="953"/>
      <c r="BI245" s="953"/>
      <c r="BJ245" s="953"/>
      <c r="BK245" s="953"/>
      <c r="BL245" s="953"/>
      <c r="BM245" s="953"/>
      <c r="BN245" s="953"/>
      <c r="BO245" s="953"/>
      <c r="BP245" s="953"/>
      <c r="BQ245" s="953"/>
      <c r="BR245" s="953"/>
      <c r="BS245" s="953"/>
      <c r="BT245" s="953"/>
      <c r="BU245" s="953"/>
      <c r="BV245" s="953"/>
      <c r="BW245" s="953"/>
      <c r="BX245" s="953"/>
      <c r="BY245" s="953"/>
      <c r="BZ245" s="953"/>
      <c r="CA245" s="953"/>
      <c r="CB245" s="953"/>
      <c r="CC245" s="953"/>
      <c r="CD245" s="953"/>
      <c r="CE245" s="953"/>
      <c r="CF245" s="953"/>
      <c r="CG245" s="953"/>
      <c r="CH245" s="953"/>
    </row>
    <row r="252" spans="50:86">
      <c r="BC252" s="939"/>
    </row>
  </sheetData>
  <conditionalFormatting sqref="CT68:EC68 EF68:EJ68">
    <cfRule type="expression" dxfId="26" priority="2" stopIfTrue="1">
      <formula>CT68="Check LLR"</formula>
    </cfRule>
  </conditionalFormatting>
  <conditionalFormatting sqref="CT68:EC68 EF68:EJ68">
    <cfRule type="expression" dxfId="25" priority="1" stopIfTrue="1">
      <formula>CT68="Check LLR"</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sheetPr codeName="Sheet11">
    <tabColor theme="0" tint="-0.34998626667073579"/>
    <pageSetUpPr fitToPage="1"/>
  </sheetPr>
  <dimension ref="A1:BA236"/>
  <sheetViews>
    <sheetView showGridLines="0" tabSelected="1" topLeftCell="A49" zoomScale="85" zoomScaleNormal="85" workbookViewId="0">
      <pane xSplit="1" topLeftCell="E1" activePane="topRight" state="frozen"/>
      <selection pane="topRight" activeCell="R92" sqref="R92"/>
    </sheetView>
  </sheetViews>
  <sheetFormatPr defaultRowHeight="12.75" outlineLevelRow="1" outlineLevelCol="2"/>
  <cols>
    <col min="1" max="1" width="38.5703125" style="126" customWidth="1"/>
    <col min="2" max="2" width="11.5703125" style="126" hidden="1" customWidth="1" outlineLevel="2"/>
    <col min="3" max="3" width="15" style="126" customWidth="1" collapsed="1"/>
    <col min="4" max="5" width="16" style="126" customWidth="1"/>
    <col min="6" max="17" width="12.28515625" style="126" customWidth="1" outlineLevel="2"/>
    <col min="18" max="18" width="16" style="126" customWidth="1"/>
    <col min="19" max="21" width="16" style="126" customWidth="1" outlineLevel="2"/>
    <col min="22" max="30" width="12.28515625" style="126" customWidth="1" outlineLevel="2"/>
    <col min="31" max="31" width="16" style="126" customWidth="1"/>
    <col min="32" max="32" width="16" style="126" hidden="1" customWidth="1"/>
    <col min="33" max="33" width="0.7109375" style="126" customWidth="1"/>
    <col min="34" max="34" width="18" style="353" hidden="1" customWidth="1" outlineLevel="1"/>
    <col min="35" max="35" width="3.42578125" style="126" hidden="1" customWidth="1" collapsed="1"/>
    <col min="36" max="37" width="16" style="126" customWidth="1"/>
    <col min="38" max="38" width="16" style="354" customWidth="1"/>
    <col min="39" max="39" width="17.5703125" style="129" customWidth="1"/>
    <col min="40" max="40" width="17.5703125" style="129" hidden="1" customWidth="1"/>
    <col min="41" max="41" width="3.42578125" style="129" customWidth="1"/>
    <col min="42" max="42" width="18" style="353" hidden="1" customWidth="1" outlineLevel="1"/>
    <col min="43" max="43" width="9.140625" style="126" collapsed="1"/>
    <col min="44" max="16384" width="9.140625" style="126"/>
  </cols>
  <sheetData>
    <row r="1" spans="1:52" ht="19.5">
      <c r="A1" s="125">
        <f>'Hist &amp; Proj'!A1</f>
        <v>0</v>
      </c>
      <c r="AL1" s="126"/>
      <c r="AM1" s="126"/>
      <c r="AN1" s="126"/>
    </row>
    <row r="2" spans="1:52" s="169" customFormat="1" ht="4.5" customHeight="1" thickBot="1">
      <c r="A2" s="482"/>
      <c r="B2" s="482"/>
      <c r="C2" s="482"/>
      <c r="D2" s="482"/>
      <c r="E2" s="482"/>
      <c r="F2" s="482"/>
      <c r="G2" s="482"/>
      <c r="H2" s="482"/>
      <c r="I2" s="482"/>
      <c r="J2" s="482"/>
      <c r="K2" s="482"/>
      <c r="L2" s="482"/>
      <c r="M2" s="482"/>
      <c r="N2" s="482"/>
      <c r="O2" s="482"/>
      <c r="P2" s="482"/>
      <c r="Q2" s="482"/>
      <c r="R2" s="482"/>
      <c r="S2" s="482"/>
      <c r="T2" s="482"/>
      <c r="U2" s="482"/>
      <c r="V2" s="482"/>
      <c r="W2" s="482"/>
      <c r="X2" s="482"/>
      <c r="Y2" s="482"/>
      <c r="Z2" s="482"/>
      <c r="AA2" s="482"/>
      <c r="AB2" s="482"/>
      <c r="AC2" s="482"/>
      <c r="AD2" s="482"/>
      <c r="AE2" s="482"/>
      <c r="AF2" s="482"/>
      <c r="AG2" s="482"/>
      <c r="AH2" s="482"/>
      <c r="AI2" s="482"/>
      <c r="AJ2" s="482"/>
      <c r="AK2" s="482"/>
      <c r="AL2" s="482"/>
      <c r="AM2" s="482"/>
      <c r="AN2" s="482"/>
      <c r="AO2" s="482"/>
      <c r="AP2" s="482"/>
      <c r="AQ2" s="159"/>
      <c r="AR2" s="159"/>
      <c r="AS2" s="159"/>
      <c r="AT2" s="159"/>
      <c r="AU2" s="159"/>
      <c r="AV2" s="159"/>
      <c r="AW2" s="159"/>
      <c r="AX2" s="159"/>
      <c r="AY2" s="159"/>
      <c r="AZ2" s="159"/>
    </row>
    <row r="3" spans="1:52" s="355" customFormat="1">
      <c r="AF3" s="126"/>
      <c r="AG3" s="126"/>
      <c r="AH3" s="356"/>
      <c r="AL3" s="357"/>
      <c r="AM3" s="357"/>
      <c r="AN3" s="357"/>
      <c r="AO3" s="357"/>
      <c r="AP3" s="357"/>
      <c r="AQ3" s="357"/>
    </row>
    <row r="4" spans="1:52" s="355" customFormat="1" ht="19.5">
      <c r="A4" s="359" t="str">
        <f>CONCATENATE("Projections — ",UPPER(Assump!AL7)," CASE")</f>
        <v>Projections — MANAGEMENT CASE</v>
      </c>
      <c r="AF4" s="126"/>
      <c r="AG4" s="126"/>
      <c r="AH4" s="356"/>
      <c r="AJ4" s="857"/>
      <c r="AK4" s="857"/>
      <c r="AL4" s="857"/>
      <c r="AM4" s="857"/>
      <c r="AN4" s="857"/>
      <c r="AO4" s="358"/>
      <c r="AP4" s="356"/>
    </row>
    <row r="5" spans="1:52" s="200" customFormat="1">
      <c r="B5" s="211"/>
      <c r="C5" s="211"/>
      <c r="D5" s="211"/>
      <c r="E5" s="211"/>
      <c r="F5" s="211">
        <v>1</v>
      </c>
      <c r="G5" s="211">
        <f t="shared" ref="G5:Q5" si="0">F5+1</f>
        <v>2</v>
      </c>
      <c r="H5" s="211">
        <f t="shared" si="0"/>
        <v>3</v>
      </c>
      <c r="I5" s="211">
        <f t="shared" si="0"/>
        <v>4</v>
      </c>
      <c r="J5" s="211">
        <f t="shared" si="0"/>
        <v>5</v>
      </c>
      <c r="K5" s="211">
        <f t="shared" si="0"/>
        <v>6</v>
      </c>
      <c r="L5" s="211">
        <f t="shared" si="0"/>
        <v>7</v>
      </c>
      <c r="M5" s="211">
        <f t="shared" si="0"/>
        <v>8</v>
      </c>
      <c r="N5" s="211">
        <f t="shared" si="0"/>
        <v>9</v>
      </c>
      <c r="O5" s="211">
        <f t="shared" si="0"/>
        <v>10</v>
      </c>
      <c r="P5" s="211">
        <f t="shared" si="0"/>
        <v>11</v>
      </c>
      <c r="Q5" s="211">
        <f t="shared" si="0"/>
        <v>12</v>
      </c>
      <c r="R5" s="211"/>
      <c r="S5" s="211">
        <v>1</v>
      </c>
      <c r="T5" s="211">
        <f>S5+1</f>
        <v>2</v>
      </c>
      <c r="U5" s="211">
        <f t="shared" ref="U5:AD5" si="1">T5+1</f>
        <v>3</v>
      </c>
      <c r="V5" s="211">
        <f t="shared" si="1"/>
        <v>4</v>
      </c>
      <c r="W5" s="211">
        <f t="shared" si="1"/>
        <v>5</v>
      </c>
      <c r="X5" s="211">
        <f t="shared" si="1"/>
        <v>6</v>
      </c>
      <c r="Y5" s="211">
        <f t="shared" si="1"/>
        <v>7</v>
      </c>
      <c r="Z5" s="211">
        <f t="shared" si="1"/>
        <v>8</v>
      </c>
      <c r="AA5" s="211">
        <f t="shared" si="1"/>
        <v>9</v>
      </c>
      <c r="AB5" s="211">
        <f t="shared" si="1"/>
        <v>10</v>
      </c>
      <c r="AC5" s="211">
        <f t="shared" si="1"/>
        <v>11</v>
      </c>
      <c r="AD5" s="211">
        <f t="shared" si="1"/>
        <v>12</v>
      </c>
      <c r="AE5" s="211"/>
      <c r="AH5" s="738"/>
      <c r="AK5" s="211"/>
      <c r="AL5" s="211"/>
      <c r="AM5" s="739"/>
      <c r="AN5" s="740"/>
      <c r="AO5" s="740"/>
      <c r="AP5" s="738"/>
      <c r="AQ5" s="741"/>
    </row>
    <row r="6" spans="1:52" s="200" customFormat="1">
      <c r="A6" s="201"/>
      <c r="B6" s="336">
        <f>'Hist &amp; Proj'!B6</f>
        <v>0</v>
      </c>
      <c r="C6" s="336">
        <f>'Hist &amp; Proj'!C6</f>
        <v>0</v>
      </c>
      <c r="D6" s="336">
        <f>'Hist &amp; Proj'!D6</f>
        <v>0</v>
      </c>
      <c r="E6" s="336">
        <f>'Hist &amp; Proj'!E6</f>
        <v>0</v>
      </c>
      <c r="F6" s="336">
        <f ca="1">'Hist &amp; Proj'!F6</f>
        <v>0</v>
      </c>
      <c r="G6" s="336">
        <f ca="1">'Hist &amp; Proj'!G6</f>
        <v>0</v>
      </c>
      <c r="H6" s="336">
        <f ca="1">'Hist &amp; Proj'!H6</f>
        <v>0</v>
      </c>
      <c r="I6" s="336">
        <f ca="1">'Hist &amp; Proj'!I6</f>
        <v>0</v>
      </c>
      <c r="J6" s="336">
        <f ca="1">'Hist &amp; Proj'!J6</f>
        <v>0</v>
      </c>
      <c r="K6" s="336">
        <f ca="1">'Hist &amp; Proj'!K6</f>
        <v>0</v>
      </c>
      <c r="L6" s="336">
        <f ca="1">'Hist &amp; Proj'!L6</f>
        <v>0</v>
      </c>
      <c r="M6" s="336">
        <f ca="1">'Hist &amp; Proj'!M6</f>
        <v>0</v>
      </c>
      <c r="N6" s="336">
        <f ca="1">'Hist &amp; Proj'!N6</f>
        <v>0</v>
      </c>
      <c r="O6" s="336">
        <f ca="1">'Hist &amp; Proj'!O6</f>
        <v>0</v>
      </c>
      <c r="P6" s="336">
        <f ca="1">'Hist &amp; Proj'!P6</f>
        <v>0</v>
      </c>
      <c r="Q6" s="336">
        <f ca="1">'Hist &amp; Proj'!Q6</f>
        <v>0</v>
      </c>
      <c r="R6" s="336">
        <f>'Hist &amp; Proj'!R6</f>
        <v>0</v>
      </c>
      <c r="S6" s="336">
        <f ca="1">'Hist &amp; Proj'!S6</f>
        <v>0</v>
      </c>
      <c r="T6" s="336">
        <f ca="1">'Hist &amp; Proj'!T6</f>
        <v>0</v>
      </c>
      <c r="U6" s="336">
        <f ca="1">'Hist &amp; Proj'!U6</f>
        <v>0</v>
      </c>
      <c r="V6" s="336">
        <f ca="1">'Hist &amp; Proj'!V6</f>
        <v>0</v>
      </c>
      <c r="W6" s="336">
        <f ca="1">'Hist &amp; Proj'!W6</f>
        <v>0</v>
      </c>
      <c r="X6" s="336">
        <f ca="1">'Hist &amp; Proj'!X6</f>
        <v>0</v>
      </c>
      <c r="Y6" s="336">
        <f ca="1">'Hist &amp; Proj'!Y6</f>
        <v>0</v>
      </c>
      <c r="Z6" s="336">
        <f ca="1">'Hist &amp; Proj'!Z6</f>
        <v>0</v>
      </c>
      <c r="AA6" s="336">
        <f ca="1">'Hist &amp; Proj'!AA6</f>
        <v>0</v>
      </c>
      <c r="AB6" s="336">
        <f ca="1">'Hist &amp; Proj'!AB6</f>
        <v>0</v>
      </c>
      <c r="AC6" s="336">
        <f ca="1">'Hist &amp; Proj'!AC6</f>
        <v>0</v>
      </c>
      <c r="AD6" s="336">
        <f ca="1">'Hist &amp; Proj'!AD6</f>
        <v>0</v>
      </c>
      <c r="AE6" s="336">
        <f>'Hist &amp; Proj'!AE6</f>
        <v>0</v>
      </c>
      <c r="AH6" s="738"/>
      <c r="AK6" s="211"/>
      <c r="AL6" s="211"/>
      <c r="AM6" s="739"/>
      <c r="AN6" s="740"/>
      <c r="AO6" s="740"/>
      <c r="AP6" s="738"/>
      <c r="AQ6" s="741"/>
    </row>
    <row r="7" spans="1:52" s="170" customFormat="1">
      <c r="A7" s="360" t="str">
        <f>CONCATENATE('Hist &amp; Proj'!A12," (",Assump!$A$7,")")</f>
        <v>BALANCE SHEET ()</v>
      </c>
      <c r="B7" s="760">
        <f>'Hist &amp; Proj'!B$7</f>
        <v>692501</v>
      </c>
      <c r="C7" s="760">
        <f>'Hist &amp; Proj'!C$7</f>
        <v>692867</v>
      </c>
      <c r="D7" s="760">
        <f>'Hist &amp; Proj'!D$7</f>
        <v>693232</v>
      </c>
      <c r="E7" s="760">
        <f>'Hist &amp; Proj'!E$7</f>
        <v>693597</v>
      </c>
      <c r="F7" s="362">
        <f ca="1">'Hist &amp; Proj'!F$7</f>
        <v>693628</v>
      </c>
      <c r="G7" s="362">
        <f ca="1">'Hist &amp; Proj'!G$7</f>
        <v>693656</v>
      </c>
      <c r="H7" s="362">
        <f ca="1">'Hist &amp; Proj'!H$7</f>
        <v>693687</v>
      </c>
      <c r="I7" s="362">
        <f ca="1">'Hist &amp; Proj'!I$7</f>
        <v>693717</v>
      </c>
      <c r="J7" s="362">
        <f ca="1">'Hist &amp; Proj'!J$7</f>
        <v>693748</v>
      </c>
      <c r="K7" s="362">
        <f ca="1">'Hist &amp; Proj'!K$7</f>
        <v>693778</v>
      </c>
      <c r="L7" s="362">
        <f ca="1">'Hist &amp; Proj'!L$7</f>
        <v>693809</v>
      </c>
      <c r="M7" s="362">
        <f ca="1">'Hist &amp; Proj'!M$7</f>
        <v>693840</v>
      </c>
      <c r="N7" s="362">
        <f ca="1">'Hist &amp; Proj'!N$7</f>
        <v>693870</v>
      </c>
      <c r="O7" s="362">
        <f ca="1">'Hist &amp; Proj'!O$7</f>
        <v>693901</v>
      </c>
      <c r="P7" s="362">
        <f ca="1">'Hist &amp; Proj'!P$7</f>
        <v>693931</v>
      </c>
      <c r="Q7" s="362">
        <f ca="1">'Hist &amp; Proj'!Q$7</f>
        <v>693962</v>
      </c>
      <c r="R7" s="760">
        <f ca="1">'Hist &amp; Proj'!R$7</f>
        <v>693962</v>
      </c>
      <c r="S7" s="362">
        <f ca="1">'Hist &amp; Proj'!S$7</f>
        <v>31</v>
      </c>
      <c r="T7" s="362">
        <f ca="1">'Hist &amp; Proj'!T$7</f>
        <v>59</v>
      </c>
      <c r="U7" s="362">
        <f ca="1">'Hist &amp; Proj'!U$7</f>
        <v>91</v>
      </c>
      <c r="V7" s="362">
        <f ca="1">'Hist &amp; Proj'!V$7</f>
        <v>121</v>
      </c>
      <c r="W7" s="362">
        <f ca="1">'Hist &amp; Proj'!W$7</f>
        <v>152</v>
      </c>
      <c r="X7" s="362">
        <f ca="1">'Hist &amp; Proj'!X$7</f>
        <v>182</v>
      </c>
      <c r="Y7" s="362">
        <f ca="1">'Hist &amp; Proj'!Y$7</f>
        <v>213</v>
      </c>
      <c r="Z7" s="362">
        <f ca="1">'Hist &amp; Proj'!Z$7</f>
        <v>244</v>
      </c>
      <c r="AA7" s="362">
        <f ca="1">'Hist &amp; Proj'!AA$7</f>
        <v>274</v>
      </c>
      <c r="AB7" s="362">
        <f ca="1">'Hist &amp; Proj'!AB$7</f>
        <v>305</v>
      </c>
      <c r="AC7" s="362">
        <f ca="1">'Hist &amp; Proj'!AC$7</f>
        <v>335</v>
      </c>
      <c r="AD7" s="362">
        <f ca="1">'Hist &amp; Proj'!AD$7</f>
        <v>366</v>
      </c>
      <c r="AE7" s="362" t="e">
        <f ca="1">'Hist &amp; Proj'!AE$7</f>
        <v>#N/A</v>
      </c>
      <c r="AF7" s="126"/>
      <c r="AG7" s="126"/>
      <c r="AH7" s="363" t="str">
        <f ca="1">Definitions!$A$100</f>
        <v>'96 - '99 CAGR/Avg.</v>
      </c>
      <c r="AJ7" s="760">
        <f ca="1">'Hist &amp; Proj'!AH$7</f>
        <v>694327</v>
      </c>
      <c r="AK7" s="760">
        <f ca="1">'Hist &amp; Proj'!AI$7</f>
        <v>694692</v>
      </c>
      <c r="AL7" s="760">
        <f ca="1">'Hist &amp; Proj'!AJ$7</f>
        <v>695057</v>
      </c>
      <c r="AM7" s="760">
        <f ca="1">'Hist &amp; Proj'!AK$7</f>
        <v>695422</v>
      </c>
      <c r="AN7" s="760">
        <f ca="1">'Hist &amp; Proj'!AL$7</f>
        <v>695787</v>
      </c>
      <c r="AO7" s="208"/>
      <c r="AP7" s="363" t="str">
        <f ca="1">CONCATENATE("'",TEXT($AJ$7,"yy")," - '",TEXT($AN$7,"yy")," CAGR/Avg.")</f>
        <v>'00 - '04 CAGR/Avg.</v>
      </c>
    </row>
    <row r="8" spans="1:52" s="170" customFormat="1" outlineLevel="1">
      <c r="A8" s="360"/>
      <c r="B8" s="364" t="str">
        <f>'Hist &amp; Proj'!B$15</f>
        <v>Audited</v>
      </c>
      <c r="C8" s="364" t="str">
        <f>'Hist &amp; Proj'!C$15</f>
        <v>Audited</v>
      </c>
      <c r="D8" s="364" t="str">
        <f>'Hist &amp; Proj'!D$15</f>
        <v>Audited</v>
      </c>
      <c r="E8" s="364" t="str">
        <f>'Hist &amp; Proj'!E$15</f>
        <v>Audited</v>
      </c>
      <c r="F8" s="364" t="str">
        <f>'Hist &amp; Proj'!F$15</f>
        <v>Unaudited</v>
      </c>
      <c r="G8" s="364" t="str">
        <f>'Hist &amp; Proj'!G$15</f>
        <v>Unaudited</v>
      </c>
      <c r="H8" s="364" t="str">
        <f>'Hist &amp; Proj'!H$15</f>
        <v>Unaudited</v>
      </c>
      <c r="I8" s="364" t="str">
        <f>'Hist &amp; Proj'!I$15</f>
        <v>Unaudited</v>
      </c>
      <c r="J8" s="364" t="str">
        <f>'Hist &amp; Proj'!J$15</f>
        <v>Unaudited</v>
      </c>
      <c r="K8" s="364" t="str">
        <f>'Hist &amp; Proj'!K$15</f>
        <v>Unaudited</v>
      </c>
      <c r="L8" s="364" t="str">
        <f>'Hist &amp; Proj'!L$15</f>
        <v>Unaudited</v>
      </c>
      <c r="M8" s="364" t="str">
        <f>'Hist &amp; Proj'!M$15</f>
        <v>Unaudited</v>
      </c>
      <c r="N8" s="364" t="str">
        <f>'Hist &amp; Proj'!N$15</f>
        <v>Unaudited</v>
      </c>
      <c r="O8" s="364" t="str">
        <f>'Hist &amp; Proj'!O$15</f>
        <v>Unaudited</v>
      </c>
      <c r="P8" s="364" t="str">
        <f>'Hist &amp; Proj'!P$15</f>
        <v>Unaudited</v>
      </c>
      <c r="Q8" s="364" t="str">
        <f>'Hist &amp; Proj'!Q$15</f>
        <v>Unaudited</v>
      </c>
      <c r="R8" s="364" t="str">
        <f>'Hist &amp; Proj'!R$15</f>
        <v>Audited</v>
      </c>
      <c r="S8" s="364" t="str">
        <f>'Hist &amp; Proj'!S$15</f>
        <v>Unaudited</v>
      </c>
      <c r="T8" s="364" t="str">
        <f>'Hist &amp; Proj'!T$15</f>
        <v>Unaudited</v>
      </c>
      <c r="U8" s="364" t="str">
        <f>'Hist &amp; Proj'!U$15</f>
        <v>Unaudited</v>
      </c>
      <c r="V8" s="364" t="str">
        <f>'Hist &amp; Proj'!V$15</f>
        <v>Unaudited</v>
      </c>
      <c r="W8" s="364" t="str">
        <f>'Hist &amp; Proj'!W$15</f>
        <v>Unaudited</v>
      </c>
      <c r="X8" s="364" t="str">
        <f>'Hist &amp; Proj'!X$15</f>
        <v>Unaudited</v>
      </c>
      <c r="Y8" s="364" t="str">
        <f>'Hist &amp; Proj'!Y$15</f>
        <v>Unaudited</v>
      </c>
      <c r="Z8" s="364" t="str">
        <f>'Hist &amp; Proj'!Z$15</f>
        <v>Unaudited</v>
      </c>
      <c r="AA8" s="364" t="str">
        <f>'Hist &amp; Proj'!AA$15</f>
        <v>Unaudited</v>
      </c>
      <c r="AB8" s="364" t="str">
        <f>'Hist &amp; Proj'!AB$15</f>
        <v>Unaudited</v>
      </c>
      <c r="AC8" s="364" t="str">
        <f>'Hist &amp; Proj'!AC$15</f>
        <v>Unaudited</v>
      </c>
      <c r="AD8" s="364" t="str">
        <f>'Hist &amp; Proj'!AD$15</f>
        <v>Unaudited</v>
      </c>
      <c r="AE8" s="364" t="str">
        <f>'Hist &amp; Proj'!AE$15</f>
        <v>Unaudited</v>
      </c>
      <c r="AF8" s="126"/>
      <c r="AG8" s="126"/>
      <c r="AH8" s="365"/>
      <c r="AJ8" s="364" t="str">
        <f>'Hist &amp; Proj'!AH15</f>
        <v>Projection</v>
      </c>
      <c r="AK8" s="364" t="str">
        <f>'Hist &amp; Proj'!AI15</f>
        <v>Projection</v>
      </c>
      <c r="AL8" s="364" t="str">
        <f>'Hist &amp; Proj'!AJ15</f>
        <v>Projection</v>
      </c>
      <c r="AM8" s="364" t="str">
        <f>'Hist &amp; Proj'!AK15</f>
        <v>Projection</v>
      </c>
      <c r="AN8" s="364" t="str">
        <f>'Hist &amp; Proj'!AL15</f>
        <v>Projection</v>
      </c>
      <c r="AO8" s="208"/>
      <c r="AP8" s="365"/>
    </row>
    <row r="9" spans="1:52" outlineLevel="1">
      <c r="A9" s="172" t="str">
        <f>'Hist &amp; Proj'!A17</f>
        <v>ASSETS</v>
      </c>
      <c r="B9" s="172"/>
      <c r="C9" s="172"/>
      <c r="D9" s="172"/>
      <c r="E9" s="172"/>
      <c r="F9" s="172"/>
      <c r="G9" s="172"/>
      <c r="H9" s="172"/>
      <c r="I9" s="172"/>
      <c r="J9" s="172"/>
      <c r="K9" s="172"/>
      <c r="L9" s="172"/>
      <c r="M9" s="172"/>
      <c r="N9" s="172"/>
      <c r="O9" s="172"/>
      <c r="P9" s="172"/>
      <c r="Q9" s="172"/>
      <c r="R9" s="172"/>
      <c r="S9" s="172"/>
      <c r="T9" s="172"/>
      <c r="U9" s="172"/>
      <c r="V9" s="172"/>
      <c r="W9" s="172"/>
      <c r="X9" s="172"/>
      <c r="Y9" s="172"/>
      <c r="Z9" s="172"/>
      <c r="AA9" s="172"/>
      <c r="AB9" s="172"/>
      <c r="AC9" s="172"/>
      <c r="AD9" s="172"/>
      <c r="AE9" s="172"/>
      <c r="AH9" s="366"/>
      <c r="AJ9" s="172"/>
      <c r="AK9" s="172"/>
      <c r="AL9" s="172"/>
      <c r="AM9" s="172"/>
      <c r="AN9" s="172"/>
      <c r="AP9" s="366"/>
    </row>
    <row r="10" spans="1:52">
      <c r="A10" s="127" t="str">
        <f>'Hist &amp; Proj'!A18</f>
        <v>Cash &amp; ST Investments</v>
      </c>
      <c r="B10" s="179">
        <f>SUM(B11:B13)</f>
        <v>0</v>
      </c>
      <c r="C10" s="179">
        <f>SUM(C11:C13)</f>
        <v>0</v>
      </c>
      <c r="D10" s="179">
        <f t="shared" ref="D10:AE10" si="2">SUM(D11:D13)</f>
        <v>0</v>
      </c>
      <c r="E10" s="179">
        <f t="shared" si="2"/>
        <v>0</v>
      </c>
      <c r="F10" s="179">
        <f t="shared" ca="1" si="2"/>
        <v>0</v>
      </c>
      <c r="G10" s="179">
        <f t="shared" ca="1" si="2"/>
        <v>0</v>
      </c>
      <c r="H10" s="179">
        <f t="shared" ca="1" si="2"/>
        <v>0</v>
      </c>
      <c r="I10" s="179">
        <f t="shared" ca="1" si="2"/>
        <v>0</v>
      </c>
      <c r="J10" s="179">
        <f t="shared" ca="1" si="2"/>
        <v>0</v>
      </c>
      <c r="K10" s="179">
        <f t="shared" ca="1" si="2"/>
        <v>0</v>
      </c>
      <c r="L10" s="179">
        <f t="shared" ca="1" si="2"/>
        <v>0</v>
      </c>
      <c r="M10" s="179">
        <f t="shared" ca="1" si="2"/>
        <v>0</v>
      </c>
      <c r="N10" s="179">
        <f t="shared" ca="1" si="2"/>
        <v>0</v>
      </c>
      <c r="O10" s="179">
        <f t="shared" ca="1" si="2"/>
        <v>0</v>
      </c>
      <c r="P10" s="179">
        <f t="shared" ca="1" si="2"/>
        <v>0</v>
      </c>
      <c r="Q10" s="179">
        <f t="shared" ca="1" si="2"/>
        <v>0</v>
      </c>
      <c r="R10" s="179">
        <f t="shared" ca="1" si="2"/>
        <v>0</v>
      </c>
      <c r="S10" s="179">
        <f t="shared" ca="1" si="2"/>
        <v>0</v>
      </c>
      <c r="T10" s="179">
        <f t="shared" ca="1" si="2"/>
        <v>0</v>
      </c>
      <c r="U10" s="179">
        <f t="shared" ca="1" si="2"/>
        <v>0</v>
      </c>
      <c r="V10" s="179">
        <f t="shared" ca="1" si="2"/>
        <v>0</v>
      </c>
      <c r="W10" s="179">
        <f t="shared" ca="1" si="2"/>
        <v>0</v>
      </c>
      <c r="X10" s="179">
        <f t="shared" ca="1" si="2"/>
        <v>0</v>
      </c>
      <c r="Y10" s="179">
        <f t="shared" ca="1" si="2"/>
        <v>0</v>
      </c>
      <c r="Z10" s="179">
        <f t="shared" ca="1" si="2"/>
        <v>0</v>
      </c>
      <c r="AA10" s="179">
        <f t="shared" ca="1" si="2"/>
        <v>0</v>
      </c>
      <c r="AB10" s="179">
        <f t="shared" ca="1" si="2"/>
        <v>0</v>
      </c>
      <c r="AC10" s="179">
        <f t="shared" ca="1" si="2"/>
        <v>0</v>
      </c>
      <c r="AD10" s="179">
        <f t="shared" ca="1" si="2"/>
        <v>0</v>
      </c>
      <c r="AE10" s="179" t="e">
        <f t="shared" ca="1" si="2"/>
        <v>#N/A</v>
      </c>
      <c r="AH10" s="367" t="str">
        <f ca="1">IFERROR(RATE(3,0,-C10,R10),"NA")</f>
        <v>NA</v>
      </c>
      <c r="AJ10" s="179" t="e">
        <f ca="1">AJ$15*Assump!AJ$10</f>
        <v>#DIV/0!</v>
      </c>
      <c r="AK10" s="179" t="e">
        <f ca="1">AK$15*Assump!AK$10</f>
        <v>#DIV/0!</v>
      </c>
      <c r="AL10" s="179" t="e">
        <f ca="1">AL$15*Assump!AL$10</f>
        <v>#DIV/0!</v>
      </c>
      <c r="AM10" s="179" t="e">
        <f ca="1">AM$15*Assump!AM$10</f>
        <v>#DIV/0!</v>
      </c>
      <c r="AN10" s="179" t="e">
        <f ca="1">AN$15*Assump!AN$10</f>
        <v>#DIV/0!</v>
      </c>
      <c r="AP10" s="367" t="str">
        <f ca="1">IFERROR(RATE(4,0,-AJ10,AN10),"NA")</f>
        <v>NA</v>
      </c>
    </row>
    <row r="11" spans="1:52" outlineLevel="1">
      <c r="A11" s="180" t="str">
        <f>'Hist &amp; Proj'!A19</f>
        <v xml:space="preserve">       Restricted Cash</v>
      </c>
      <c r="B11" s="179">
        <f>IF(OR(Assump!$A$7="USD",Assump!$A$7="EURO"),'Hist &amp; Proj'!B19/'Hist &amp; Proj'!B$8,'Hist &amp; Proj'!B19)</f>
        <v>0</v>
      </c>
      <c r="C11" s="179">
        <f>IF(OR(Assump!$A$7="USD",Assump!$A$7="EURO"),'Hist &amp; Proj'!C19/'Hist &amp; Proj'!C$8,'Hist &amp; Proj'!C19)</f>
        <v>0</v>
      </c>
      <c r="D11" s="179">
        <f>IF(OR(Assump!$A$7="USD",Assump!$A$7="EURO"),'Hist &amp; Proj'!D19/'Hist &amp; Proj'!D$8,'Hist &amp; Proj'!D19)</f>
        <v>0</v>
      </c>
      <c r="E11" s="179">
        <f>IF(OR(Assump!$A$7="USD",Assump!$A$7="EURO"),'Hist &amp; Proj'!E19/'Hist &amp; Proj'!E$8,'Hist &amp; Proj'!E19)</f>
        <v>0</v>
      </c>
      <c r="F11" s="179">
        <f ca="1">IF(OR(Assump!$A$7="USD",Assump!$A$7="EURO"),'Hist &amp; Proj'!F19/'Hist &amp; Proj'!F$8,'Hist &amp; Proj'!F19)</f>
        <v>0</v>
      </c>
      <c r="G11" s="179">
        <f ca="1">IF(OR(Assump!$A$7="USD",Assump!$A$7="EURO"),'Hist &amp; Proj'!G19/'Hist &amp; Proj'!G$8,'Hist &amp; Proj'!G19)</f>
        <v>0</v>
      </c>
      <c r="H11" s="179">
        <f ca="1">IF(OR(Assump!$A$7="USD",Assump!$A$7="EURO"),'Hist &amp; Proj'!H19/'Hist &amp; Proj'!H$8,'Hist &amp; Proj'!H19)</f>
        <v>0</v>
      </c>
      <c r="I11" s="179">
        <f ca="1">IF(OR(Assump!$A$7="USD",Assump!$A$7="EURO"),'Hist &amp; Proj'!I19/'Hist &amp; Proj'!I$8,'Hist &amp; Proj'!I19)</f>
        <v>0</v>
      </c>
      <c r="J11" s="179">
        <f ca="1">IF(OR(Assump!$A$7="USD",Assump!$A$7="EURO"),'Hist &amp; Proj'!J19/'Hist &amp; Proj'!J$8,'Hist &amp; Proj'!J19)</f>
        <v>0</v>
      </c>
      <c r="K11" s="179">
        <f ca="1">IF(OR(Assump!$A$7="USD",Assump!$A$7="EURO"),'Hist &amp; Proj'!K19/'Hist &amp; Proj'!K$8,'Hist &amp; Proj'!K19)</f>
        <v>0</v>
      </c>
      <c r="L11" s="179">
        <f ca="1">IF(OR(Assump!$A$7="USD",Assump!$A$7="EURO"),'Hist &amp; Proj'!L19/'Hist &amp; Proj'!L$8,'Hist &amp; Proj'!L19)</f>
        <v>0</v>
      </c>
      <c r="M11" s="179">
        <f ca="1">IF(OR(Assump!$A$7="USD",Assump!$A$7="EURO"),'Hist &amp; Proj'!M19/'Hist &amp; Proj'!M$8,'Hist &amp; Proj'!M19)</f>
        <v>0</v>
      </c>
      <c r="N11" s="179">
        <f ca="1">IF(OR(Assump!$A$7="USD",Assump!$A$7="EURO"),'Hist &amp; Proj'!N19/'Hist &amp; Proj'!N$8,'Hist &amp; Proj'!N19)</f>
        <v>0</v>
      </c>
      <c r="O11" s="179">
        <f ca="1">IF(OR(Assump!$A$7="USD",Assump!$A$7="EURO"),'Hist &amp; Proj'!O19/'Hist &amp; Proj'!O$8,'Hist &amp; Proj'!O19)</f>
        <v>0</v>
      </c>
      <c r="P11" s="179">
        <f ca="1">IF(OR(Assump!$A$7="USD",Assump!$A$7="EURO"),'Hist &amp; Proj'!P19/'Hist &amp; Proj'!P$8,'Hist &amp; Proj'!P19)</f>
        <v>0</v>
      </c>
      <c r="Q11" s="179">
        <f ca="1">IF(OR(Assump!$A$7="USD",Assump!$A$7="EURO"),'Hist &amp; Proj'!Q19/'Hist &amp; Proj'!Q$8,'Hist &amp; Proj'!Q19)</f>
        <v>0</v>
      </c>
      <c r="R11" s="179">
        <f ca="1">IF(OR(Assump!$A$7="USD",Assump!$A$7="EURO"),'Hist &amp; Proj'!R19/'Hist &amp; Proj'!R$8,'Hist &amp; Proj'!R19)</f>
        <v>0</v>
      </c>
      <c r="S11" s="179">
        <f ca="1">IF(OR(Assump!$A$7="USD",Assump!$A$7="EURO"),'Hist &amp; Proj'!S19/'Hist &amp; Proj'!S$8,'Hist &amp; Proj'!S19)</f>
        <v>0</v>
      </c>
      <c r="T11" s="179">
        <f ca="1">IF(OR(Assump!$A$7="USD",Assump!$A$7="EURO"),'Hist &amp; Proj'!T19/'Hist &amp; Proj'!T$8,'Hist &amp; Proj'!T19)</f>
        <v>0</v>
      </c>
      <c r="U11" s="179">
        <f ca="1">IF(OR(Assump!$A$7="USD",Assump!$A$7="EURO"),'Hist &amp; Proj'!U19/'Hist &amp; Proj'!U$8,'Hist &amp; Proj'!U19)</f>
        <v>0</v>
      </c>
      <c r="V11" s="179">
        <f ca="1">IF(OR(Assump!$A$7="USD",Assump!$A$7="EURO"),'Hist &amp; Proj'!V19/'Hist &amp; Proj'!V$8,'Hist &amp; Proj'!V19)</f>
        <v>0</v>
      </c>
      <c r="W11" s="179">
        <f ca="1">IF(OR(Assump!$A$7="USD",Assump!$A$7="EURO"),'Hist &amp; Proj'!W19/'Hist &amp; Proj'!W$8,'Hist &amp; Proj'!W19)</f>
        <v>0</v>
      </c>
      <c r="X11" s="179">
        <f ca="1">IF(OR(Assump!$A$7="USD",Assump!$A$7="EURO"),'Hist &amp; Proj'!X19/'Hist &amp; Proj'!X$8,'Hist &amp; Proj'!X19)</f>
        <v>0</v>
      </c>
      <c r="Y11" s="179">
        <f ca="1">IF(OR(Assump!$A$7="USD",Assump!$A$7="EURO"),'Hist &amp; Proj'!Y19/'Hist &amp; Proj'!Y$8,'Hist &amp; Proj'!Y19)</f>
        <v>0</v>
      </c>
      <c r="Z11" s="179">
        <f ca="1">IF(OR(Assump!$A$7="USD",Assump!$A$7="EURO"),'Hist &amp; Proj'!Z19/'Hist &amp; Proj'!Z$8,'Hist &amp; Proj'!Z19)</f>
        <v>0</v>
      </c>
      <c r="AA11" s="179">
        <f ca="1">IF(OR(Assump!$A$7="USD",Assump!$A$7="EURO"),'Hist &amp; Proj'!AA19/'Hist &amp; Proj'!AA$8,'Hist &amp; Proj'!AA19)</f>
        <v>0</v>
      </c>
      <c r="AB11" s="179">
        <f ca="1">IF(OR(Assump!$A$7="USD",Assump!$A$7="EURO"),'Hist &amp; Proj'!AB19/'Hist &amp; Proj'!AB$8,'Hist &amp; Proj'!AB19)</f>
        <v>0</v>
      </c>
      <c r="AC11" s="179">
        <f ca="1">IF(OR(Assump!$A$7="USD",Assump!$A$7="EURO"),'Hist &amp; Proj'!AC19/'Hist &amp; Proj'!AC$8,'Hist &amp; Proj'!AC19)</f>
        <v>0</v>
      </c>
      <c r="AD11" s="179">
        <f ca="1">IF(OR(Assump!$A$7="USD",Assump!$A$7="EURO"),'Hist &amp; Proj'!AD19/'Hist &amp; Proj'!AD$8,'Hist &amp; Proj'!AD19)</f>
        <v>0</v>
      </c>
      <c r="AE11" s="179" t="e">
        <f ca="1">IF(OR(Assump!$A$7="USD",Assump!$A$7="EURO"),'Hist &amp; Proj'!AE19/'Hist &amp; Proj'!AE$8,'Hist &amp; Proj'!AE19)</f>
        <v>#N/A</v>
      </c>
      <c r="AF11" s="179"/>
      <c r="AG11" s="179"/>
      <c r="AH11" s="367" t="str">
        <f ca="1">IFERROR(RATE(3,0,-C11,R11),"NA")</f>
        <v>NA</v>
      </c>
      <c r="AJ11" s="179"/>
      <c r="AK11" s="179"/>
      <c r="AL11" s="179"/>
      <c r="AM11" s="179"/>
      <c r="AN11" s="179"/>
      <c r="AP11" s="367" t="str">
        <f>IFERROR(RATE(4,0,-AJ11,AN11),"NA")</f>
        <v>NA</v>
      </c>
    </row>
    <row r="12" spans="1:52" outlineLevel="1">
      <c r="A12" s="180" t="str">
        <f>'Hist &amp; Proj'!A20</f>
        <v xml:space="preserve">       Unrestricted Cash</v>
      </c>
      <c r="B12" s="179">
        <f>IF(OR(Assump!$A$7="USD",Assump!$A$7="EURO"),'Hist &amp; Proj'!B20/'Hist &amp; Proj'!B$8,'Hist &amp; Proj'!B20)</f>
        <v>0</v>
      </c>
      <c r="C12" s="179">
        <f>IF(OR(Assump!$A$7="USD",Assump!$A$7="EURO"),'Hist &amp; Proj'!C20/'Hist &amp; Proj'!C$8,'Hist &amp; Proj'!C20)</f>
        <v>0</v>
      </c>
      <c r="D12" s="179">
        <f>IF(OR(Assump!$A$7="USD",Assump!$A$7="EURO"),'Hist &amp; Proj'!D20/'Hist &amp; Proj'!D$8,'Hist &amp; Proj'!D20)</f>
        <v>0</v>
      </c>
      <c r="E12" s="179">
        <f>IF(OR(Assump!$A$7="USD",Assump!$A$7="EURO"),'Hist &amp; Proj'!E20/'Hist &amp; Proj'!E$8,'Hist &amp; Proj'!E20)</f>
        <v>0</v>
      </c>
      <c r="F12" s="179">
        <f ca="1">IF(OR(Assump!$A$7="USD",Assump!$A$7="EURO"),'Hist &amp; Proj'!F20/'Hist &amp; Proj'!F$8,'Hist &amp; Proj'!F20)</f>
        <v>0</v>
      </c>
      <c r="G12" s="179">
        <f ca="1">IF(OR(Assump!$A$7="USD",Assump!$A$7="EURO"),'Hist &amp; Proj'!G20/'Hist &amp; Proj'!G$8,'Hist &amp; Proj'!G20)</f>
        <v>0</v>
      </c>
      <c r="H12" s="179">
        <f ca="1">IF(OR(Assump!$A$7="USD",Assump!$A$7="EURO"),'Hist &amp; Proj'!H20/'Hist &amp; Proj'!H$8,'Hist &amp; Proj'!H20)</f>
        <v>0</v>
      </c>
      <c r="I12" s="179">
        <f ca="1">IF(OR(Assump!$A$7="USD",Assump!$A$7="EURO"),'Hist &amp; Proj'!I20/'Hist &amp; Proj'!I$8,'Hist &amp; Proj'!I20)</f>
        <v>0</v>
      </c>
      <c r="J12" s="179">
        <f ca="1">IF(OR(Assump!$A$7="USD",Assump!$A$7="EURO"),'Hist &amp; Proj'!J20/'Hist &amp; Proj'!J$8,'Hist &amp; Proj'!J20)</f>
        <v>0</v>
      </c>
      <c r="K12" s="179">
        <f ca="1">IF(OR(Assump!$A$7="USD",Assump!$A$7="EURO"),'Hist &amp; Proj'!K20/'Hist &amp; Proj'!K$8,'Hist &amp; Proj'!K20)</f>
        <v>0</v>
      </c>
      <c r="L12" s="179">
        <f ca="1">IF(OR(Assump!$A$7="USD",Assump!$A$7="EURO"),'Hist &amp; Proj'!L20/'Hist &amp; Proj'!L$8,'Hist &amp; Proj'!L20)</f>
        <v>0</v>
      </c>
      <c r="M12" s="179">
        <f ca="1">IF(OR(Assump!$A$7="USD",Assump!$A$7="EURO"),'Hist &amp; Proj'!M20/'Hist &amp; Proj'!M$8,'Hist &amp; Proj'!M20)</f>
        <v>0</v>
      </c>
      <c r="N12" s="179">
        <f ca="1">IF(OR(Assump!$A$7="USD",Assump!$A$7="EURO"),'Hist &amp; Proj'!N20/'Hist &amp; Proj'!N$8,'Hist &amp; Proj'!N20)</f>
        <v>0</v>
      </c>
      <c r="O12" s="179">
        <f ca="1">IF(OR(Assump!$A$7="USD",Assump!$A$7="EURO"),'Hist &amp; Proj'!O20/'Hist &amp; Proj'!O$8,'Hist &amp; Proj'!O20)</f>
        <v>0</v>
      </c>
      <c r="P12" s="179">
        <f ca="1">IF(OR(Assump!$A$7="USD",Assump!$A$7="EURO"),'Hist &amp; Proj'!P20/'Hist &amp; Proj'!P$8,'Hist &amp; Proj'!P20)</f>
        <v>0</v>
      </c>
      <c r="Q12" s="179">
        <f ca="1">IF(OR(Assump!$A$7="USD",Assump!$A$7="EURO"),'Hist &amp; Proj'!Q20/'Hist &amp; Proj'!Q$8,'Hist &amp; Proj'!Q20)</f>
        <v>0</v>
      </c>
      <c r="R12" s="179">
        <f ca="1">IF(OR(Assump!$A$7="USD",Assump!$A$7="EURO"),'Hist &amp; Proj'!R20/'Hist &amp; Proj'!R$8,'Hist &amp; Proj'!R20)</f>
        <v>0</v>
      </c>
      <c r="S12" s="179">
        <f ca="1">IF(OR(Assump!$A$7="USD",Assump!$A$7="EURO"),'Hist &amp; Proj'!S20/'Hist &amp; Proj'!S$8,'Hist &amp; Proj'!S20)</f>
        <v>0</v>
      </c>
      <c r="T12" s="179">
        <f ca="1">IF(OR(Assump!$A$7="USD",Assump!$A$7="EURO"),'Hist &amp; Proj'!T20/'Hist &amp; Proj'!T$8,'Hist &amp; Proj'!T20)</f>
        <v>0</v>
      </c>
      <c r="U12" s="179">
        <f ca="1">IF(OR(Assump!$A$7="USD",Assump!$A$7="EURO"),'Hist &amp; Proj'!U20/'Hist &amp; Proj'!U$8,'Hist &amp; Proj'!U20)</f>
        <v>0</v>
      </c>
      <c r="V12" s="179">
        <f ca="1">IF(OR(Assump!$A$7="USD",Assump!$A$7="EURO"),'Hist &amp; Proj'!V20/'Hist &amp; Proj'!V$8,'Hist &amp; Proj'!V20)</f>
        <v>0</v>
      </c>
      <c r="W12" s="179">
        <f ca="1">IF(OR(Assump!$A$7="USD",Assump!$A$7="EURO"),'Hist &amp; Proj'!W20/'Hist &amp; Proj'!W$8,'Hist &amp; Proj'!W20)</f>
        <v>0</v>
      </c>
      <c r="X12" s="179">
        <f ca="1">IF(OR(Assump!$A$7="USD",Assump!$A$7="EURO"),'Hist &amp; Proj'!X20/'Hist &amp; Proj'!X$8,'Hist &amp; Proj'!X20)</f>
        <v>0</v>
      </c>
      <c r="Y12" s="179">
        <f ca="1">IF(OR(Assump!$A$7="USD",Assump!$A$7="EURO"),'Hist &amp; Proj'!Y20/'Hist &amp; Proj'!Y$8,'Hist &amp; Proj'!Y20)</f>
        <v>0</v>
      </c>
      <c r="Z12" s="179">
        <f ca="1">IF(OR(Assump!$A$7="USD",Assump!$A$7="EURO"),'Hist &amp; Proj'!Z20/'Hist &amp; Proj'!Z$8,'Hist &amp; Proj'!Z20)</f>
        <v>0</v>
      </c>
      <c r="AA12" s="179">
        <f ca="1">IF(OR(Assump!$A$7="USD",Assump!$A$7="EURO"),'Hist &amp; Proj'!AA20/'Hist &amp; Proj'!AA$8,'Hist &amp; Proj'!AA20)</f>
        <v>0</v>
      </c>
      <c r="AB12" s="179">
        <f ca="1">IF(OR(Assump!$A$7="USD",Assump!$A$7="EURO"),'Hist &amp; Proj'!AB20/'Hist &amp; Proj'!AB$8,'Hist &amp; Proj'!AB20)</f>
        <v>0</v>
      </c>
      <c r="AC12" s="179">
        <f ca="1">IF(OR(Assump!$A$7="USD",Assump!$A$7="EURO"),'Hist &amp; Proj'!AC20/'Hist &amp; Proj'!AC$8,'Hist &amp; Proj'!AC20)</f>
        <v>0</v>
      </c>
      <c r="AD12" s="179">
        <f ca="1">IF(OR(Assump!$A$7="USD",Assump!$A$7="EURO"),'Hist &amp; Proj'!AD20/'Hist &amp; Proj'!AD$8,'Hist &amp; Proj'!AD20)</f>
        <v>0</v>
      </c>
      <c r="AE12" s="179" t="e">
        <f ca="1">IF(OR(Assump!$A$7="USD",Assump!$A$7="EURO"),'Hist &amp; Proj'!AE20/'Hist &amp; Proj'!AE$8,'Hist &amp; Proj'!AE20)</f>
        <v>#N/A</v>
      </c>
      <c r="AF12" s="179"/>
      <c r="AG12" s="179"/>
      <c r="AH12" s="367" t="str">
        <f ca="1">IFERROR(RATE(3,0,-C12,R12),"NA")</f>
        <v>NA</v>
      </c>
      <c r="AJ12" s="179"/>
      <c r="AK12" s="179"/>
      <c r="AL12" s="179"/>
      <c r="AM12" s="179"/>
      <c r="AN12" s="179"/>
      <c r="AP12" s="367" t="str">
        <f>IFERROR(RATE(4,0,-AJ12,AN12),"NA")</f>
        <v>NA</v>
      </c>
    </row>
    <row r="13" spans="1:52" outlineLevel="1">
      <c r="A13" s="180" t="str">
        <f>'Hist &amp; Proj'!A21</f>
        <v xml:space="preserve">       Short Term Investments</v>
      </c>
      <c r="B13" s="179">
        <f>IF(OR(Assump!$A$7="USD",Assump!$A$7="EURO"),'Hist &amp; Proj'!B21/'Hist &amp; Proj'!B$8,'Hist &amp; Proj'!B21)</f>
        <v>0</v>
      </c>
      <c r="C13" s="179">
        <f>IF(OR(Assump!$A$7="USD",Assump!$A$7="EURO"),'Hist &amp; Proj'!C21/'Hist &amp; Proj'!C$8,'Hist &amp; Proj'!C21)</f>
        <v>0</v>
      </c>
      <c r="D13" s="179">
        <f>IF(OR(Assump!$A$7="USD",Assump!$A$7="EURO"),'Hist &amp; Proj'!D21/'Hist &amp; Proj'!D$8,'Hist &amp; Proj'!D21)</f>
        <v>0</v>
      </c>
      <c r="E13" s="179">
        <f>IF(OR(Assump!$A$7="USD",Assump!$A$7="EURO"),'Hist &amp; Proj'!E21/'Hist &amp; Proj'!E$8,'Hist &amp; Proj'!E21)</f>
        <v>0</v>
      </c>
      <c r="F13" s="179">
        <f ca="1">IF(OR(Assump!$A$7="USD",Assump!$A$7="EURO"),'Hist &amp; Proj'!F21/'Hist &amp; Proj'!F$8,'Hist &amp; Proj'!F21)</f>
        <v>0</v>
      </c>
      <c r="G13" s="179">
        <f ca="1">IF(OR(Assump!$A$7="USD",Assump!$A$7="EURO"),'Hist &amp; Proj'!G21/'Hist &amp; Proj'!G$8,'Hist &amp; Proj'!G21)</f>
        <v>0</v>
      </c>
      <c r="H13" s="179">
        <f ca="1">IF(OR(Assump!$A$7="USD",Assump!$A$7="EURO"),'Hist &amp; Proj'!H21/'Hist &amp; Proj'!H$8,'Hist &amp; Proj'!H21)</f>
        <v>0</v>
      </c>
      <c r="I13" s="179">
        <f ca="1">IF(OR(Assump!$A$7="USD",Assump!$A$7="EURO"),'Hist &amp; Proj'!I21/'Hist &amp; Proj'!I$8,'Hist &amp; Proj'!I21)</f>
        <v>0</v>
      </c>
      <c r="J13" s="179">
        <f ca="1">IF(OR(Assump!$A$7="USD",Assump!$A$7="EURO"),'Hist &amp; Proj'!J21/'Hist &amp; Proj'!J$8,'Hist &amp; Proj'!J21)</f>
        <v>0</v>
      </c>
      <c r="K13" s="179">
        <f ca="1">IF(OR(Assump!$A$7="USD",Assump!$A$7="EURO"),'Hist &amp; Proj'!K21/'Hist &amp; Proj'!K$8,'Hist &amp; Proj'!K21)</f>
        <v>0</v>
      </c>
      <c r="L13" s="179">
        <f ca="1">IF(OR(Assump!$A$7="USD",Assump!$A$7="EURO"),'Hist &amp; Proj'!L21/'Hist &amp; Proj'!L$8,'Hist &amp; Proj'!L21)</f>
        <v>0</v>
      </c>
      <c r="M13" s="179">
        <f ca="1">IF(OR(Assump!$A$7="USD",Assump!$A$7="EURO"),'Hist &amp; Proj'!M21/'Hist &amp; Proj'!M$8,'Hist &amp; Proj'!M21)</f>
        <v>0</v>
      </c>
      <c r="N13" s="179">
        <f ca="1">IF(OR(Assump!$A$7="USD",Assump!$A$7="EURO"),'Hist &amp; Proj'!N21/'Hist &amp; Proj'!N$8,'Hist &amp; Proj'!N21)</f>
        <v>0</v>
      </c>
      <c r="O13" s="179">
        <f ca="1">IF(OR(Assump!$A$7="USD",Assump!$A$7="EURO"),'Hist &amp; Proj'!O21/'Hist &amp; Proj'!O$8,'Hist &amp; Proj'!O21)</f>
        <v>0</v>
      </c>
      <c r="P13" s="179">
        <f ca="1">IF(OR(Assump!$A$7="USD",Assump!$A$7="EURO"),'Hist &amp; Proj'!P21/'Hist &amp; Proj'!P$8,'Hist &amp; Proj'!P21)</f>
        <v>0</v>
      </c>
      <c r="Q13" s="179">
        <f ca="1">IF(OR(Assump!$A$7="USD",Assump!$A$7="EURO"),'Hist &amp; Proj'!Q21/'Hist &amp; Proj'!Q$8,'Hist &amp; Proj'!Q21)</f>
        <v>0</v>
      </c>
      <c r="R13" s="179">
        <f ca="1">IF(OR(Assump!$A$7="USD",Assump!$A$7="EURO"),'Hist &amp; Proj'!R21/'Hist &amp; Proj'!R$8,'Hist &amp; Proj'!R21)</f>
        <v>0</v>
      </c>
      <c r="S13" s="179">
        <f ca="1">IF(OR(Assump!$A$7="USD",Assump!$A$7="EURO"),'Hist &amp; Proj'!S21/'Hist &amp; Proj'!S$8,'Hist &amp; Proj'!S21)</f>
        <v>0</v>
      </c>
      <c r="T13" s="179">
        <f ca="1">IF(OR(Assump!$A$7="USD",Assump!$A$7="EURO"),'Hist &amp; Proj'!T21/'Hist &amp; Proj'!T$8,'Hist &amp; Proj'!T21)</f>
        <v>0</v>
      </c>
      <c r="U13" s="179">
        <f ca="1">IF(OR(Assump!$A$7="USD",Assump!$A$7="EURO"),'Hist &amp; Proj'!U21/'Hist &amp; Proj'!U$8,'Hist &amp; Proj'!U21)</f>
        <v>0</v>
      </c>
      <c r="V13" s="179">
        <f ca="1">IF(OR(Assump!$A$7="USD",Assump!$A$7="EURO"),'Hist &amp; Proj'!V21/'Hist &amp; Proj'!V$8,'Hist &amp; Proj'!V21)</f>
        <v>0</v>
      </c>
      <c r="W13" s="179">
        <f ca="1">IF(OR(Assump!$A$7="USD",Assump!$A$7="EURO"),'Hist &amp; Proj'!W21/'Hist &amp; Proj'!W$8,'Hist &amp; Proj'!W21)</f>
        <v>0</v>
      </c>
      <c r="X13" s="179">
        <f ca="1">IF(OR(Assump!$A$7="USD",Assump!$A$7="EURO"),'Hist &amp; Proj'!X21/'Hist &amp; Proj'!X$8,'Hist &amp; Proj'!X21)</f>
        <v>0</v>
      </c>
      <c r="Y13" s="179">
        <f ca="1">IF(OR(Assump!$A$7="USD",Assump!$A$7="EURO"),'Hist &amp; Proj'!Y21/'Hist &amp; Proj'!Y$8,'Hist &amp; Proj'!Y21)</f>
        <v>0</v>
      </c>
      <c r="Z13" s="179">
        <f ca="1">IF(OR(Assump!$A$7="USD",Assump!$A$7="EURO"),'Hist &amp; Proj'!Z21/'Hist &amp; Proj'!Z$8,'Hist &amp; Proj'!Z21)</f>
        <v>0</v>
      </c>
      <c r="AA13" s="179">
        <f ca="1">IF(OR(Assump!$A$7="USD",Assump!$A$7="EURO"),'Hist &amp; Proj'!AA21/'Hist &amp; Proj'!AA$8,'Hist &amp; Proj'!AA21)</f>
        <v>0</v>
      </c>
      <c r="AB13" s="179">
        <f ca="1">IF(OR(Assump!$A$7="USD",Assump!$A$7="EURO"),'Hist &amp; Proj'!AB21/'Hist &amp; Proj'!AB$8,'Hist &amp; Proj'!AB21)</f>
        <v>0</v>
      </c>
      <c r="AC13" s="179">
        <f ca="1">IF(OR(Assump!$A$7="USD",Assump!$A$7="EURO"),'Hist &amp; Proj'!AC21/'Hist &amp; Proj'!AC$8,'Hist &amp; Proj'!AC21)</f>
        <v>0</v>
      </c>
      <c r="AD13" s="179">
        <f ca="1">IF(OR(Assump!$A$7="USD",Assump!$A$7="EURO"),'Hist &amp; Proj'!AD21/'Hist &amp; Proj'!AD$8,'Hist &amp; Proj'!AD21)</f>
        <v>0</v>
      </c>
      <c r="AE13" s="179" t="e">
        <f ca="1">IF(OR(Assump!$A$7="USD",Assump!$A$7="EURO"),'Hist &amp; Proj'!AE21/'Hist &amp; Proj'!AE$8,'Hist &amp; Proj'!AE21)</f>
        <v>#N/A</v>
      </c>
      <c r="AF13" s="179"/>
      <c r="AG13" s="179"/>
      <c r="AH13" s="367" t="str">
        <f ca="1">IFERROR(RATE(3,0,-C13,R13),"NA")</f>
        <v>NA</v>
      </c>
      <c r="AJ13" s="179"/>
      <c r="AK13" s="179"/>
      <c r="AL13" s="179"/>
      <c r="AM13" s="179"/>
      <c r="AN13" s="179"/>
      <c r="AP13" s="367" t="str">
        <f>IFERROR(RATE(4,0,-AJ13,AN13),"NA")</f>
        <v>NA</v>
      </c>
    </row>
    <row r="14" spans="1:52" ht="5.25" customHeight="1">
      <c r="A14" s="181"/>
      <c r="B14" s="181"/>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78"/>
      <c r="AJ14" s="181"/>
      <c r="AK14" s="181"/>
      <c r="AL14" s="181"/>
      <c r="AM14" s="181"/>
      <c r="AN14" s="181"/>
      <c r="AP14" s="178"/>
    </row>
    <row r="15" spans="1:52">
      <c r="A15" s="131" t="str">
        <f>'Hist &amp; Proj'!A22</f>
        <v>Gross Loan Portfolio</v>
      </c>
      <c r="B15" s="179">
        <f>IF(OR(Assump!$A$7="USD",Assump!$A$7="EURO"),'Hist &amp; Proj'!B22/'Hist &amp; Proj'!B$8,'Hist &amp; Proj'!B22)</f>
        <v>0</v>
      </c>
      <c r="C15" s="179">
        <f>IF(OR(Assump!$A$7="USD",Assump!$A$7="EURO"),'Hist &amp; Proj'!C22/'Hist &amp; Proj'!C$8,'Hist &amp; Proj'!C22)</f>
        <v>0</v>
      </c>
      <c r="D15" s="179">
        <f>IF(OR(Assump!$A$7="USD",Assump!$A$7="EURO"),'Hist &amp; Proj'!D22/'Hist &amp; Proj'!D$8,'Hist &amp; Proj'!D22)</f>
        <v>0</v>
      </c>
      <c r="E15" s="179">
        <f>IF(OR(Assump!$A$7="USD",Assump!$A$7="EURO"),'Hist &amp; Proj'!E22/'Hist &amp; Proj'!E$8,'Hist &amp; Proj'!E22)</f>
        <v>0</v>
      </c>
      <c r="F15" s="179">
        <f ca="1">IF(OR(Assump!$A$7="USD",Assump!$A$7="EURO"),'Hist &amp; Proj'!F22/'Hist &amp; Proj'!F$8,'Hist &amp; Proj'!F22)</f>
        <v>0</v>
      </c>
      <c r="G15" s="179">
        <f ca="1">IF(OR(Assump!$A$7="USD",Assump!$A$7="EURO"),'Hist &amp; Proj'!G22/'Hist &amp; Proj'!G$8,'Hist &amp; Proj'!G22)</f>
        <v>0</v>
      </c>
      <c r="H15" s="179">
        <f ca="1">IF(OR(Assump!$A$7="USD",Assump!$A$7="EURO"),'Hist &amp; Proj'!H22/'Hist &amp; Proj'!H$8,'Hist &amp; Proj'!H22)</f>
        <v>0</v>
      </c>
      <c r="I15" s="179">
        <f ca="1">IF(OR(Assump!$A$7="USD",Assump!$A$7="EURO"),'Hist &amp; Proj'!I22/'Hist &amp; Proj'!I$8,'Hist &amp; Proj'!I22)</f>
        <v>0</v>
      </c>
      <c r="J15" s="179">
        <f ca="1">IF(OR(Assump!$A$7="USD",Assump!$A$7="EURO"),'Hist &amp; Proj'!J22/'Hist &amp; Proj'!J$8,'Hist &amp; Proj'!J22)</f>
        <v>0</v>
      </c>
      <c r="K15" s="179">
        <f ca="1">IF(OR(Assump!$A$7="USD",Assump!$A$7="EURO"),'Hist &amp; Proj'!K22/'Hist &amp; Proj'!K$8,'Hist &amp; Proj'!K22)</f>
        <v>0</v>
      </c>
      <c r="L15" s="179">
        <f ca="1">IF(OR(Assump!$A$7="USD",Assump!$A$7="EURO"),'Hist &amp; Proj'!L22/'Hist &amp; Proj'!L$8,'Hist &amp; Proj'!L22)</f>
        <v>0</v>
      </c>
      <c r="M15" s="179">
        <f ca="1">IF(OR(Assump!$A$7="USD",Assump!$A$7="EURO"),'Hist &amp; Proj'!M22/'Hist &amp; Proj'!M$8,'Hist &amp; Proj'!M22)</f>
        <v>0</v>
      </c>
      <c r="N15" s="179">
        <f ca="1">IF(OR(Assump!$A$7="USD",Assump!$A$7="EURO"),'Hist &amp; Proj'!N22/'Hist &amp; Proj'!N$8,'Hist &amp; Proj'!N22)</f>
        <v>0</v>
      </c>
      <c r="O15" s="179">
        <f ca="1">IF(OR(Assump!$A$7="USD",Assump!$A$7="EURO"),'Hist &amp; Proj'!O22/'Hist &amp; Proj'!O$8,'Hist &amp; Proj'!O22)</f>
        <v>0</v>
      </c>
      <c r="P15" s="179">
        <f ca="1">IF(OR(Assump!$A$7="USD",Assump!$A$7="EURO"),'Hist &amp; Proj'!P22/'Hist &amp; Proj'!P$8,'Hist &amp; Proj'!P22)</f>
        <v>0</v>
      </c>
      <c r="Q15" s="179">
        <f ca="1">IF(OR(Assump!$A$7="USD",Assump!$A$7="EURO"),'Hist &amp; Proj'!Q22/'Hist &amp; Proj'!Q$8,'Hist &amp; Proj'!Q22)</f>
        <v>0</v>
      </c>
      <c r="R15" s="179">
        <f ca="1">IF(OR(Assump!$A$7="USD",Assump!$A$7="EURO"),'Hist &amp; Proj'!R22/'Hist &amp; Proj'!R$8,'Hist &amp; Proj'!R22)</f>
        <v>0</v>
      </c>
      <c r="S15" s="179">
        <f ca="1">IF(OR(Assump!$A$7="USD",Assump!$A$7="EURO"),'Hist &amp; Proj'!S22/'Hist &amp; Proj'!S$8,'Hist &amp; Proj'!S22)</f>
        <v>0</v>
      </c>
      <c r="T15" s="179">
        <f ca="1">IF(OR(Assump!$A$7="USD",Assump!$A$7="EURO"),'Hist &amp; Proj'!T22/'Hist &amp; Proj'!T$8,'Hist &amp; Proj'!T22)</f>
        <v>0</v>
      </c>
      <c r="U15" s="179">
        <f ca="1">IF(OR(Assump!$A$7="USD",Assump!$A$7="EURO"),'Hist &amp; Proj'!U22/'Hist &amp; Proj'!U$8,'Hist &amp; Proj'!U22)</f>
        <v>0</v>
      </c>
      <c r="V15" s="179">
        <f ca="1">IF(OR(Assump!$A$7="USD",Assump!$A$7="EURO"),'Hist &amp; Proj'!V22/'Hist &amp; Proj'!V$8,'Hist &amp; Proj'!V22)</f>
        <v>0</v>
      </c>
      <c r="W15" s="179">
        <f ca="1">IF(OR(Assump!$A$7="USD",Assump!$A$7="EURO"),'Hist &amp; Proj'!W22/'Hist &amp; Proj'!W$8,'Hist &amp; Proj'!W22)</f>
        <v>0</v>
      </c>
      <c r="X15" s="179">
        <f ca="1">IF(OR(Assump!$A$7="USD",Assump!$A$7="EURO"),'Hist &amp; Proj'!X22/'Hist &amp; Proj'!X$8,'Hist &amp; Proj'!X22)</f>
        <v>0</v>
      </c>
      <c r="Y15" s="179">
        <f ca="1">IF(OR(Assump!$A$7="USD",Assump!$A$7="EURO"),'Hist &amp; Proj'!Y22/'Hist &amp; Proj'!Y$8,'Hist &amp; Proj'!Y22)</f>
        <v>0</v>
      </c>
      <c r="Z15" s="179">
        <f ca="1">IF(OR(Assump!$A$7="USD",Assump!$A$7="EURO"),'Hist &amp; Proj'!Z22/'Hist &amp; Proj'!Z$8,'Hist &amp; Proj'!Z22)</f>
        <v>0</v>
      </c>
      <c r="AA15" s="179">
        <f ca="1">IF(OR(Assump!$A$7="USD",Assump!$A$7="EURO"),'Hist &amp; Proj'!AA22/'Hist &amp; Proj'!AA$8,'Hist &amp; Proj'!AA22)</f>
        <v>0</v>
      </c>
      <c r="AB15" s="179">
        <f ca="1">IF(OR(Assump!$A$7="USD",Assump!$A$7="EURO"),'Hist &amp; Proj'!AB22/'Hist &amp; Proj'!AB$8,'Hist &amp; Proj'!AB22)</f>
        <v>0</v>
      </c>
      <c r="AC15" s="179">
        <f ca="1">IF(OR(Assump!$A$7="USD",Assump!$A$7="EURO"),'Hist &amp; Proj'!AC22/'Hist &amp; Proj'!AC$8,'Hist &amp; Proj'!AC22)</f>
        <v>0</v>
      </c>
      <c r="AD15" s="179">
        <f ca="1">IF(OR(Assump!$A$7="USD",Assump!$A$7="EURO"),'Hist &amp; Proj'!AD22/'Hist &amp; Proj'!AD$8,'Hist &amp; Proj'!AD22)</f>
        <v>0</v>
      </c>
      <c r="AE15" s="179" t="e">
        <f ca="1">IF(OR(Assump!$A$7="USD",Assump!$A$7="EURO"),'Hist &amp; Proj'!AE22/'Hist &amp; Proj'!AE$8,'Hist &amp; Proj'!AE22)</f>
        <v>#N/A</v>
      </c>
      <c r="AF15" s="179"/>
      <c r="AG15" s="179"/>
      <c r="AH15" s="367" t="str">
        <f ca="1">IFERROR(RATE(3,0,-C15,R15),"NA")</f>
        <v>NA</v>
      </c>
      <c r="AJ15" s="179" t="e">
        <f ca="1">R15*(1+Assump!AJ$11)</f>
        <v>#DIV/0!</v>
      </c>
      <c r="AK15" s="179" t="e">
        <f ca="1">AJ15*(1+Assump!AK$11)</f>
        <v>#DIV/0!</v>
      </c>
      <c r="AL15" s="179" t="e">
        <f ca="1">AK15*(1+Assump!AL$11)</f>
        <v>#DIV/0!</v>
      </c>
      <c r="AM15" s="179" t="e">
        <f ca="1">AL15*(1+Assump!AM$11)</f>
        <v>#DIV/0!</v>
      </c>
      <c r="AN15" s="179" t="e">
        <f ca="1">AM15*(1+Assump!AN$11)</f>
        <v>#DIV/0!</v>
      </c>
      <c r="AP15" s="367" t="str">
        <f ca="1">IFERROR(RATE(4,0,-AJ15,AN15),"NA")</f>
        <v>NA</v>
      </c>
    </row>
    <row r="16" spans="1:52">
      <c r="A16" s="182" t="str">
        <f>'Fin Output'!A154</f>
        <v>Gross Loan Portfolio Growth (Y-o-Y)</v>
      </c>
      <c r="B16" s="183" t="str">
        <f t="shared" ref="B16:AE16" si="3">B154</f>
        <v>NA</v>
      </c>
      <c r="C16" s="183" t="e">
        <f t="shared" si="3"/>
        <v>#DIV/0!</v>
      </c>
      <c r="D16" s="183" t="e">
        <f t="shared" si="3"/>
        <v>#DIV/0!</v>
      </c>
      <c r="E16" s="183" t="e">
        <f t="shared" si="3"/>
        <v>#DIV/0!</v>
      </c>
      <c r="F16" s="183" t="str">
        <f t="shared" si="3"/>
        <v>NA</v>
      </c>
      <c r="G16" s="183" t="str">
        <f t="shared" si="3"/>
        <v>NA</v>
      </c>
      <c r="H16" s="183" t="str">
        <f t="shared" si="3"/>
        <v>NA</v>
      </c>
      <c r="I16" s="183" t="str">
        <f t="shared" si="3"/>
        <v>NA</v>
      </c>
      <c r="J16" s="183" t="str">
        <f t="shared" si="3"/>
        <v>NA</v>
      </c>
      <c r="K16" s="183" t="str">
        <f t="shared" si="3"/>
        <v>NA</v>
      </c>
      <c r="L16" s="183" t="str">
        <f t="shared" si="3"/>
        <v>NA</v>
      </c>
      <c r="M16" s="183" t="str">
        <f t="shared" si="3"/>
        <v>NA</v>
      </c>
      <c r="N16" s="183" t="str">
        <f t="shared" si="3"/>
        <v>NA</v>
      </c>
      <c r="O16" s="183" t="str">
        <f t="shared" si="3"/>
        <v>NA</v>
      </c>
      <c r="P16" s="183" t="str">
        <f t="shared" si="3"/>
        <v>NA</v>
      </c>
      <c r="Q16" s="183" t="str">
        <f t="shared" si="3"/>
        <v>NA</v>
      </c>
      <c r="R16" s="183" t="e">
        <f t="shared" ca="1" si="3"/>
        <v>#DIV/0!</v>
      </c>
      <c r="S16" s="183" t="e">
        <f ca="1">S154</f>
        <v>#DIV/0!</v>
      </c>
      <c r="T16" s="183" t="e">
        <f t="shared" ca="1" si="3"/>
        <v>#DIV/0!</v>
      </c>
      <c r="U16" s="183" t="e">
        <f t="shared" ca="1" si="3"/>
        <v>#DIV/0!</v>
      </c>
      <c r="V16" s="183" t="e">
        <f t="shared" ca="1" si="3"/>
        <v>#DIV/0!</v>
      </c>
      <c r="W16" s="183" t="e">
        <f t="shared" ca="1" si="3"/>
        <v>#DIV/0!</v>
      </c>
      <c r="X16" s="183" t="e">
        <f t="shared" ca="1" si="3"/>
        <v>#DIV/0!</v>
      </c>
      <c r="Y16" s="183" t="e">
        <f t="shared" ca="1" si="3"/>
        <v>#DIV/0!</v>
      </c>
      <c r="Z16" s="183" t="e">
        <f t="shared" ca="1" si="3"/>
        <v>#DIV/0!</v>
      </c>
      <c r="AA16" s="183" t="e">
        <f t="shared" ca="1" si="3"/>
        <v>#DIV/0!</v>
      </c>
      <c r="AB16" s="183" t="e">
        <f t="shared" ca="1" si="3"/>
        <v>#DIV/0!</v>
      </c>
      <c r="AC16" s="183" t="e">
        <f t="shared" ca="1" si="3"/>
        <v>#DIV/0!</v>
      </c>
      <c r="AD16" s="183" t="e">
        <f t="shared" ca="1" si="3"/>
        <v>#DIV/0!</v>
      </c>
      <c r="AE16" s="183" t="e">
        <f t="shared" ca="1" si="3"/>
        <v>#N/A</v>
      </c>
      <c r="AH16" s="368" t="str">
        <f>IFERROR(AVERAGE(C16:E16,R16),"NA")</f>
        <v>NA</v>
      </c>
      <c r="AJ16" s="183" t="e">
        <f ca="1">AJ154</f>
        <v>#DIV/0!</v>
      </c>
      <c r="AK16" s="183" t="e">
        <f ca="1">AK154</f>
        <v>#DIV/0!</v>
      </c>
      <c r="AL16" s="183" t="e">
        <f ca="1">AL154</f>
        <v>#DIV/0!</v>
      </c>
      <c r="AM16" s="183" t="e">
        <f ca="1">AM154</f>
        <v>#DIV/0!</v>
      </c>
      <c r="AN16" s="183" t="e">
        <f ca="1">AN154</f>
        <v>#DIV/0!</v>
      </c>
      <c r="AP16" s="368" t="str">
        <f ca="1">IFERROR(AVERAGE(AJ16:AN16),"NA")</f>
        <v>NA</v>
      </c>
    </row>
    <row r="17" spans="1:42">
      <c r="A17" s="131" t="str">
        <f>'Hist &amp; Proj'!A23</f>
        <v>(Loan Loss Reserves)</v>
      </c>
      <c r="B17" s="179">
        <f>IF(OR(Assump!$A$7="USD",Assump!$A$7="EURO"),'Hist &amp; Proj'!B23/'Hist &amp; Proj'!B$8,'Hist &amp; Proj'!B23)</f>
        <v>0</v>
      </c>
      <c r="C17" s="179">
        <f>IF(OR(Assump!$A$7="USD",Assump!$A$7="EURO"),'Hist &amp; Proj'!C23/'Hist &amp; Proj'!C$8,'Hist &amp; Proj'!C23)</f>
        <v>0</v>
      </c>
      <c r="D17" s="179">
        <f>IF(OR(Assump!$A$7="USD",Assump!$A$7="EURO"),'Hist &amp; Proj'!D23/'Hist &amp; Proj'!D$8,'Hist &amp; Proj'!D23)</f>
        <v>0</v>
      </c>
      <c r="E17" s="179">
        <f>IF(OR(Assump!$A$7="USD",Assump!$A$7="EURO"),'Hist &amp; Proj'!E23/'Hist &amp; Proj'!E$8,'Hist &amp; Proj'!E23)</f>
        <v>0</v>
      </c>
      <c r="F17" s="179">
        <f ca="1">IF(OR(Assump!$A$7="USD",Assump!$A$7="EURO"),'Hist &amp; Proj'!F23/'Hist &amp; Proj'!F$8,'Hist &amp; Proj'!F23)</f>
        <v>0</v>
      </c>
      <c r="G17" s="179">
        <f ca="1">IF(OR(Assump!$A$7="USD",Assump!$A$7="EURO"),'Hist &amp; Proj'!G23/'Hist &amp; Proj'!G$8,'Hist &amp; Proj'!G23)</f>
        <v>0</v>
      </c>
      <c r="H17" s="179">
        <f ca="1">IF(OR(Assump!$A$7="USD",Assump!$A$7="EURO"),'Hist &amp; Proj'!H23/'Hist &amp; Proj'!H$8,'Hist &amp; Proj'!H23)</f>
        <v>0</v>
      </c>
      <c r="I17" s="179">
        <f ca="1">IF(OR(Assump!$A$7="USD",Assump!$A$7="EURO"),'Hist &amp; Proj'!I23/'Hist &amp; Proj'!I$8,'Hist &amp; Proj'!I23)</f>
        <v>0</v>
      </c>
      <c r="J17" s="179">
        <f ca="1">IF(OR(Assump!$A$7="USD",Assump!$A$7="EURO"),'Hist &amp; Proj'!J23/'Hist &amp; Proj'!J$8,'Hist &amp; Proj'!J23)</f>
        <v>0</v>
      </c>
      <c r="K17" s="179">
        <f ca="1">IF(OR(Assump!$A$7="USD",Assump!$A$7="EURO"),'Hist &amp; Proj'!K23/'Hist &amp; Proj'!K$8,'Hist &amp; Proj'!K23)</f>
        <v>0</v>
      </c>
      <c r="L17" s="179">
        <f ca="1">IF(OR(Assump!$A$7="USD",Assump!$A$7="EURO"),'Hist &amp; Proj'!L23/'Hist &amp; Proj'!L$8,'Hist &amp; Proj'!L23)</f>
        <v>0</v>
      </c>
      <c r="M17" s="179">
        <f ca="1">IF(OR(Assump!$A$7="USD",Assump!$A$7="EURO"),'Hist &amp; Proj'!M23/'Hist &amp; Proj'!M$8,'Hist &amp; Proj'!M23)</f>
        <v>0</v>
      </c>
      <c r="N17" s="179">
        <f ca="1">IF(OR(Assump!$A$7="USD",Assump!$A$7="EURO"),'Hist &amp; Proj'!N23/'Hist &amp; Proj'!N$8,'Hist &amp; Proj'!N23)</f>
        <v>0</v>
      </c>
      <c r="O17" s="179">
        <f ca="1">IF(OR(Assump!$A$7="USD",Assump!$A$7="EURO"),'Hist &amp; Proj'!O23/'Hist &amp; Proj'!O$8,'Hist &amp; Proj'!O23)</f>
        <v>0</v>
      </c>
      <c r="P17" s="179">
        <f ca="1">IF(OR(Assump!$A$7="USD",Assump!$A$7="EURO"),'Hist &amp; Proj'!P23/'Hist &amp; Proj'!P$8,'Hist &amp; Proj'!P23)</f>
        <v>0</v>
      </c>
      <c r="Q17" s="179">
        <f ca="1">IF(OR(Assump!$A$7="USD",Assump!$A$7="EURO"),'Hist &amp; Proj'!Q23/'Hist &amp; Proj'!Q$8,'Hist &amp; Proj'!Q23)</f>
        <v>0</v>
      </c>
      <c r="R17" s="179">
        <f ca="1">IF(OR(Assump!$A$7="USD",Assump!$A$7="EURO"),'Hist &amp; Proj'!R23/'Hist &amp; Proj'!R$8,'Hist &amp; Proj'!R23)</f>
        <v>0</v>
      </c>
      <c r="S17" s="179">
        <f ca="1">IF(OR(Assump!$A$7="USD",Assump!$A$7="EURO"),'Hist &amp; Proj'!S23/'Hist &amp; Proj'!S$8,'Hist &amp; Proj'!S23)</f>
        <v>0</v>
      </c>
      <c r="T17" s="179">
        <f ca="1">IF(OR(Assump!$A$7="USD",Assump!$A$7="EURO"),'Hist &amp; Proj'!T23/'Hist &amp; Proj'!T$8,'Hist &amp; Proj'!T23)</f>
        <v>0</v>
      </c>
      <c r="U17" s="179">
        <f ca="1">IF(OR(Assump!$A$7="USD",Assump!$A$7="EURO"),'Hist &amp; Proj'!U23/'Hist &amp; Proj'!U$8,'Hist &amp; Proj'!U23)</f>
        <v>0</v>
      </c>
      <c r="V17" s="179">
        <f ca="1">IF(OR(Assump!$A$7="USD",Assump!$A$7="EURO"),'Hist &amp; Proj'!V23/'Hist &amp; Proj'!V$8,'Hist &amp; Proj'!V23)</f>
        <v>0</v>
      </c>
      <c r="W17" s="179">
        <f ca="1">IF(OR(Assump!$A$7="USD",Assump!$A$7="EURO"),'Hist &amp; Proj'!W23/'Hist &amp; Proj'!W$8,'Hist &amp; Proj'!W23)</f>
        <v>0</v>
      </c>
      <c r="X17" s="179">
        <f ca="1">IF(OR(Assump!$A$7="USD",Assump!$A$7="EURO"),'Hist &amp; Proj'!X23/'Hist &amp; Proj'!X$8,'Hist &amp; Proj'!X23)</f>
        <v>0</v>
      </c>
      <c r="Y17" s="179">
        <f ca="1">IF(OR(Assump!$A$7="USD",Assump!$A$7="EURO"),'Hist &amp; Proj'!Y23/'Hist &amp; Proj'!Y$8,'Hist &amp; Proj'!Y23)</f>
        <v>0</v>
      </c>
      <c r="Z17" s="179">
        <f ca="1">IF(OR(Assump!$A$7="USD",Assump!$A$7="EURO"),'Hist &amp; Proj'!Z23/'Hist &amp; Proj'!Z$8,'Hist &amp; Proj'!Z23)</f>
        <v>0</v>
      </c>
      <c r="AA17" s="179">
        <f ca="1">IF(OR(Assump!$A$7="USD",Assump!$A$7="EURO"),'Hist &amp; Proj'!AA23/'Hist &amp; Proj'!AA$8,'Hist &amp; Proj'!AA23)</f>
        <v>0</v>
      </c>
      <c r="AB17" s="179">
        <f ca="1">IF(OR(Assump!$A$7="USD",Assump!$A$7="EURO"),'Hist &amp; Proj'!AB23/'Hist &amp; Proj'!AB$8,'Hist &amp; Proj'!AB23)</f>
        <v>0</v>
      </c>
      <c r="AC17" s="179">
        <f ca="1">IF(OR(Assump!$A$7="USD",Assump!$A$7="EURO"),'Hist &amp; Proj'!AC23/'Hist &amp; Proj'!AC$8,'Hist &amp; Proj'!AC23)</f>
        <v>0</v>
      </c>
      <c r="AD17" s="179">
        <f ca="1">IF(OR(Assump!$A$7="USD",Assump!$A$7="EURO"),'Hist &amp; Proj'!AD23/'Hist &amp; Proj'!AD$8,'Hist &amp; Proj'!AD23)</f>
        <v>0</v>
      </c>
      <c r="AE17" s="179" t="e">
        <f ca="1">IF(OR(Assump!$A$7="USD",Assump!$A$7="EURO"),'Hist &amp; Proj'!AE23/'Hist &amp; Proj'!AE$8,'Hist &amp; Proj'!AE23)</f>
        <v>#N/A</v>
      </c>
      <c r="AH17" s="367" t="str">
        <f ca="1">IFERROR(RATE(3,0,-C17,R17),"NA")</f>
        <v>NA</v>
      </c>
      <c r="AJ17" s="179">
        <f ca="1">IF(Assump!$AM$8=3,'Mgmt Backup'!AJ17,R17+AJ47+AJ175-AJ176)</f>
        <v>0</v>
      </c>
      <c r="AK17" s="179">
        <f ca="1">IF(Assump!$AM$8=3,'Mgmt Backup'!AK17,AJ17+AK47+AK175-AK176)</f>
        <v>0</v>
      </c>
      <c r="AL17" s="179">
        <f ca="1">IF(Assump!$AM$8=3,'Mgmt Backup'!AL17,AK17+AL47+AL175-AL176)</f>
        <v>0</v>
      </c>
      <c r="AM17" s="179">
        <f ca="1">IF(Assump!$AM$8=3,'Mgmt Backup'!AM17,AL17+AM47+AM175-AM176)</f>
        <v>0</v>
      </c>
      <c r="AN17" s="179">
        <f ca="1">IF(Assump!$AM$8=3,'Mgmt Backup'!AN17,AM17+AN47+AN175-AN176)</f>
        <v>0</v>
      </c>
      <c r="AP17" s="367" t="str">
        <f ca="1">IFERROR(RATE(4,0,-AJ17,AN17),"NA")</f>
        <v>NA</v>
      </c>
    </row>
    <row r="18" spans="1:42" s="355" customFormat="1">
      <c r="A18" s="175" t="s">
        <v>528</v>
      </c>
      <c r="B18" s="184">
        <f t="shared" ref="B18:AE18" si="4">SUM(B17,B15)</f>
        <v>0</v>
      </c>
      <c r="C18" s="184">
        <f t="shared" si="4"/>
        <v>0</v>
      </c>
      <c r="D18" s="184">
        <f t="shared" si="4"/>
        <v>0</v>
      </c>
      <c r="E18" s="184">
        <f t="shared" si="4"/>
        <v>0</v>
      </c>
      <c r="F18" s="184">
        <f t="shared" ca="1" si="4"/>
        <v>0</v>
      </c>
      <c r="G18" s="184">
        <f t="shared" ca="1" si="4"/>
        <v>0</v>
      </c>
      <c r="H18" s="184">
        <f t="shared" ca="1" si="4"/>
        <v>0</v>
      </c>
      <c r="I18" s="184">
        <f t="shared" ca="1" si="4"/>
        <v>0</v>
      </c>
      <c r="J18" s="184">
        <f t="shared" ca="1" si="4"/>
        <v>0</v>
      </c>
      <c r="K18" s="184">
        <f t="shared" ca="1" si="4"/>
        <v>0</v>
      </c>
      <c r="L18" s="184">
        <f t="shared" ca="1" si="4"/>
        <v>0</v>
      </c>
      <c r="M18" s="184">
        <f t="shared" ca="1" si="4"/>
        <v>0</v>
      </c>
      <c r="N18" s="184">
        <f t="shared" ca="1" si="4"/>
        <v>0</v>
      </c>
      <c r="O18" s="184">
        <f t="shared" ca="1" si="4"/>
        <v>0</v>
      </c>
      <c r="P18" s="184">
        <f t="shared" ca="1" si="4"/>
        <v>0</v>
      </c>
      <c r="Q18" s="184">
        <f t="shared" ca="1" si="4"/>
        <v>0</v>
      </c>
      <c r="R18" s="184">
        <f t="shared" ca="1" si="4"/>
        <v>0</v>
      </c>
      <c r="S18" s="184">
        <f t="shared" ca="1" si="4"/>
        <v>0</v>
      </c>
      <c r="T18" s="184">
        <f t="shared" ca="1" si="4"/>
        <v>0</v>
      </c>
      <c r="U18" s="184">
        <f t="shared" ca="1" si="4"/>
        <v>0</v>
      </c>
      <c r="V18" s="184">
        <f t="shared" ca="1" si="4"/>
        <v>0</v>
      </c>
      <c r="W18" s="184">
        <f t="shared" ca="1" si="4"/>
        <v>0</v>
      </c>
      <c r="X18" s="184">
        <f t="shared" ca="1" si="4"/>
        <v>0</v>
      </c>
      <c r="Y18" s="184">
        <f t="shared" ca="1" si="4"/>
        <v>0</v>
      </c>
      <c r="Z18" s="184">
        <f t="shared" ca="1" si="4"/>
        <v>0</v>
      </c>
      <c r="AA18" s="184">
        <f t="shared" ca="1" si="4"/>
        <v>0</v>
      </c>
      <c r="AB18" s="184">
        <f t="shared" ca="1" si="4"/>
        <v>0</v>
      </c>
      <c r="AC18" s="184">
        <f t="shared" ca="1" si="4"/>
        <v>0</v>
      </c>
      <c r="AD18" s="184">
        <f t="shared" ca="1" si="4"/>
        <v>0</v>
      </c>
      <c r="AE18" s="184" t="e">
        <f t="shared" ca="1" si="4"/>
        <v>#N/A</v>
      </c>
      <c r="AF18" s="126"/>
      <c r="AG18" s="126"/>
      <c r="AH18" s="369" t="str">
        <f ca="1">IFERROR(RATE(3,0,-C18,R18),"NA")</f>
        <v>NA</v>
      </c>
      <c r="AJ18" s="184" t="e">
        <f ca="1">SUM(AJ17,AJ15)</f>
        <v>#DIV/0!</v>
      </c>
      <c r="AK18" s="184" t="e">
        <f ca="1">SUM(AK17,AK15)</f>
        <v>#DIV/0!</v>
      </c>
      <c r="AL18" s="184" t="e">
        <f ca="1">SUM(AL17,AL15)</f>
        <v>#DIV/0!</v>
      </c>
      <c r="AM18" s="184" t="e">
        <f ca="1">SUM(AM17,AM15)</f>
        <v>#DIV/0!</v>
      </c>
      <c r="AN18" s="184" t="e">
        <f ca="1">SUM(AN17,AN15)</f>
        <v>#DIV/0!</v>
      </c>
      <c r="AO18" s="358"/>
      <c r="AP18" s="369" t="str">
        <f ca="1">IFERROR(RATE(4,0,-AJ18,AN18),"NA")</f>
        <v>NA</v>
      </c>
    </row>
    <row r="19" spans="1:42" ht="5.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H19" s="178"/>
      <c r="AJ19" s="181"/>
      <c r="AK19" s="181"/>
      <c r="AL19" s="181"/>
      <c r="AM19" s="181"/>
      <c r="AN19" s="181"/>
      <c r="AP19" s="178"/>
    </row>
    <row r="20" spans="1:42">
      <c r="A20" s="127" t="str">
        <f>'Hist &amp; Proj'!A24</f>
        <v>Other Assets</v>
      </c>
      <c r="B20" s="179">
        <f>IF(OR(Assump!$A$7="USD",Assump!$A$7="EURO"),'Hist &amp; Proj'!B24/'Hist &amp; Proj'!B$8,'Hist &amp; Proj'!B24)</f>
        <v>0</v>
      </c>
      <c r="C20" s="179">
        <f>IF(OR(Assump!$A$7="USD",Assump!$A$7="EURO"),'Hist &amp; Proj'!C24/'Hist &amp; Proj'!C$8,'Hist &amp; Proj'!C24)</f>
        <v>0</v>
      </c>
      <c r="D20" s="179">
        <f>IF(OR(Assump!$A$7="USD",Assump!$A$7="EURO"),'Hist &amp; Proj'!D24/'Hist &amp; Proj'!D$8,'Hist &amp; Proj'!D24)</f>
        <v>0</v>
      </c>
      <c r="E20" s="179">
        <f>IF(OR(Assump!$A$7="USD",Assump!$A$7="EURO"),'Hist &amp; Proj'!E24/'Hist &amp; Proj'!E$8,'Hist &amp; Proj'!E24)</f>
        <v>0</v>
      </c>
      <c r="F20" s="179">
        <f ca="1">IF(OR(Assump!$A$7="USD",Assump!$A$7="EURO"),'Hist &amp; Proj'!F24/'Hist &amp; Proj'!F$8,'Hist &amp; Proj'!F24)</f>
        <v>0</v>
      </c>
      <c r="G20" s="179">
        <f ca="1">IF(OR(Assump!$A$7="USD",Assump!$A$7="EURO"),'Hist &amp; Proj'!G24/'Hist &amp; Proj'!G$8,'Hist &amp; Proj'!G24)</f>
        <v>0</v>
      </c>
      <c r="H20" s="179">
        <f ca="1">IF(OR(Assump!$A$7="USD",Assump!$A$7="EURO"),'Hist &amp; Proj'!H24/'Hist &amp; Proj'!H$8,'Hist &amp; Proj'!H24)</f>
        <v>0</v>
      </c>
      <c r="I20" s="179">
        <f ca="1">IF(OR(Assump!$A$7="USD",Assump!$A$7="EURO"),'Hist &amp; Proj'!I24/'Hist &amp; Proj'!I$8,'Hist &amp; Proj'!I24)</f>
        <v>0</v>
      </c>
      <c r="J20" s="179">
        <f ca="1">IF(OR(Assump!$A$7="USD",Assump!$A$7="EURO"),'Hist &amp; Proj'!J24/'Hist &amp; Proj'!J$8,'Hist &amp; Proj'!J24)</f>
        <v>0</v>
      </c>
      <c r="K20" s="179">
        <f ca="1">IF(OR(Assump!$A$7="USD",Assump!$A$7="EURO"),'Hist &amp; Proj'!K24/'Hist &amp; Proj'!K$8,'Hist &amp; Proj'!K24)</f>
        <v>0</v>
      </c>
      <c r="L20" s="179">
        <f ca="1">IF(OR(Assump!$A$7="USD",Assump!$A$7="EURO"),'Hist &amp; Proj'!L24/'Hist &amp; Proj'!L$8,'Hist &amp; Proj'!L24)</f>
        <v>0</v>
      </c>
      <c r="M20" s="179">
        <f ca="1">IF(OR(Assump!$A$7="USD",Assump!$A$7="EURO"),'Hist &amp; Proj'!M24/'Hist &amp; Proj'!M$8,'Hist &amp; Proj'!M24)</f>
        <v>0</v>
      </c>
      <c r="N20" s="179">
        <f ca="1">IF(OR(Assump!$A$7="USD",Assump!$A$7="EURO"),'Hist &amp; Proj'!N24/'Hist &amp; Proj'!N$8,'Hist &amp; Proj'!N24)</f>
        <v>0</v>
      </c>
      <c r="O20" s="179">
        <f ca="1">IF(OR(Assump!$A$7="USD",Assump!$A$7="EURO"),'Hist &amp; Proj'!O24/'Hist &amp; Proj'!O$8,'Hist &amp; Proj'!O24)</f>
        <v>0</v>
      </c>
      <c r="P20" s="179">
        <f ca="1">IF(OR(Assump!$A$7="USD",Assump!$A$7="EURO"),'Hist &amp; Proj'!P24/'Hist &amp; Proj'!P$8,'Hist &amp; Proj'!P24)</f>
        <v>0</v>
      </c>
      <c r="Q20" s="179">
        <f ca="1">IF(OR(Assump!$A$7="USD",Assump!$A$7="EURO"),'Hist &amp; Proj'!Q24/'Hist &amp; Proj'!Q$8,'Hist &amp; Proj'!Q24)</f>
        <v>0</v>
      </c>
      <c r="R20" s="179">
        <f ca="1">IF(OR(Assump!$A$7="USD",Assump!$A$7="EURO"),'Hist &amp; Proj'!R24/'Hist &amp; Proj'!R$8,'Hist &amp; Proj'!R24)</f>
        <v>0</v>
      </c>
      <c r="S20" s="179">
        <f ca="1">IF(OR(Assump!$A$7="USD",Assump!$A$7="EURO"),'Hist &amp; Proj'!S24/'Hist &amp; Proj'!S$8,'Hist &amp; Proj'!S24)</f>
        <v>0</v>
      </c>
      <c r="T20" s="179">
        <f ca="1">IF(OR(Assump!$A$7="USD",Assump!$A$7="EURO"),'Hist &amp; Proj'!T24/'Hist &amp; Proj'!T$8,'Hist &amp; Proj'!T24)</f>
        <v>0</v>
      </c>
      <c r="U20" s="179">
        <f ca="1">IF(OR(Assump!$A$7="USD",Assump!$A$7="EURO"),'Hist &amp; Proj'!U24/'Hist &amp; Proj'!U$8,'Hist &amp; Proj'!U24)</f>
        <v>0</v>
      </c>
      <c r="V20" s="179">
        <f ca="1">IF(OR(Assump!$A$7="USD",Assump!$A$7="EURO"),'Hist &amp; Proj'!V24/'Hist &amp; Proj'!V$8,'Hist &amp; Proj'!V24)</f>
        <v>0</v>
      </c>
      <c r="W20" s="179">
        <f ca="1">IF(OR(Assump!$A$7="USD",Assump!$A$7="EURO"),'Hist &amp; Proj'!W24/'Hist &amp; Proj'!W$8,'Hist &amp; Proj'!W24)</f>
        <v>0</v>
      </c>
      <c r="X20" s="179">
        <f ca="1">IF(OR(Assump!$A$7="USD",Assump!$A$7="EURO"),'Hist &amp; Proj'!X24/'Hist &amp; Proj'!X$8,'Hist &amp; Proj'!X24)</f>
        <v>0</v>
      </c>
      <c r="Y20" s="179">
        <f ca="1">IF(OR(Assump!$A$7="USD",Assump!$A$7="EURO"),'Hist &amp; Proj'!Y24/'Hist &amp; Proj'!Y$8,'Hist &amp; Proj'!Y24)</f>
        <v>0</v>
      </c>
      <c r="Z20" s="179">
        <f ca="1">IF(OR(Assump!$A$7="USD",Assump!$A$7="EURO"),'Hist &amp; Proj'!Z24/'Hist &amp; Proj'!Z$8,'Hist &amp; Proj'!Z24)</f>
        <v>0</v>
      </c>
      <c r="AA20" s="179">
        <f ca="1">IF(OR(Assump!$A$7="USD",Assump!$A$7="EURO"),'Hist &amp; Proj'!AA24/'Hist &amp; Proj'!AA$8,'Hist &amp; Proj'!AA24)</f>
        <v>0</v>
      </c>
      <c r="AB20" s="179">
        <f ca="1">IF(OR(Assump!$A$7="USD",Assump!$A$7="EURO"),'Hist &amp; Proj'!AB24/'Hist &amp; Proj'!AB$8,'Hist &amp; Proj'!AB24)</f>
        <v>0</v>
      </c>
      <c r="AC20" s="179">
        <f ca="1">IF(OR(Assump!$A$7="USD",Assump!$A$7="EURO"),'Hist &amp; Proj'!AC24/'Hist &amp; Proj'!AC$8,'Hist &amp; Proj'!AC24)</f>
        <v>0</v>
      </c>
      <c r="AD20" s="179">
        <f ca="1">IF(OR(Assump!$A$7="USD",Assump!$A$7="EURO"),'Hist &amp; Proj'!AD24/'Hist &amp; Proj'!AD$8,'Hist &amp; Proj'!AD24)</f>
        <v>0</v>
      </c>
      <c r="AE20" s="179" t="e">
        <f ca="1">IF(OR(Assump!$A$7="USD",Assump!$A$7="EURO"),'Hist &amp; Proj'!AE24/'Hist &amp; Proj'!AE$8,'Hist &amp; Proj'!AE24)</f>
        <v>#N/A</v>
      </c>
      <c r="AH20" s="367" t="str">
        <f ca="1">IFERROR(RATE(3,0,-C20,R20),"NA")</f>
        <v>NA</v>
      </c>
      <c r="AJ20" s="179">
        <f ca="1">Assump!AJ12</f>
        <v>0</v>
      </c>
      <c r="AK20" s="179">
        <f ca="1">Assump!AK12</f>
        <v>0</v>
      </c>
      <c r="AL20" s="179">
        <f ca="1">Assump!AL12</f>
        <v>0</v>
      </c>
      <c r="AM20" s="179">
        <f ca="1">Assump!AM12</f>
        <v>0</v>
      </c>
      <c r="AN20" s="179">
        <f ca="1">Assump!AN12</f>
        <v>0</v>
      </c>
      <c r="AP20" s="367" t="str">
        <f ca="1">IFERROR(RATE(4,0,-AJ20,AN20),"NA")</f>
        <v>NA</v>
      </c>
    </row>
    <row r="21" spans="1:42">
      <c r="A21" s="185" t="str">
        <f>'Hist &amp; Proj'!A25</f>
        <v>Total Assets</v>
      </c>
      <c r="B21" s="186">
        <f t="shared" ref="B21:AE21" si="5">SUM(B10,B18,B20)</f>
        <v>0</v>
      </c>
      <c r="C21" s="186">
        <f t="shared" si="5"/>
        <v>0</v>
      </c>
      <c r="D21" s="186">
        <f t="shared" si="5"/>
        <v>0</v>
      </c>
      <c r="E21" s="186">
        <f t="shared" si="5"/>
        <v>0</v>
      </c>
      <c r="F21" s="186">
        <f t="shared" ca="1" si="5"/>
        <v>0</v>
      </c>
      <c r="G21" s="186">
        <f t="shared" ca="1" si="5"/>
        <v>0</v>
      </c>
      <c r="H21" s="186">
        <f t="shared" ca="1" si="5"/>
        <v>0</v>
      </c>
      <c r="I21" s="186">
        <f t="shared" ca="1" si="5"/>
        <v>0</v>
      </c>
      <c r="J21" s="186">
        <f t="shared" ca="1" si="5"/>
        <v>0</v>
      </c>
      <c r="K21" s="186">
        <f t="shared" ca="1" si="5"/>
        <v>0</v>
      </c>
      <c r="L21" s="186">
        <f t="shared" ca="1" si="5"/>
        <v>0</v>
      </c>
      <c r="M21" s="186">
        <f t="shared" ca="1" si="5"/>
        <v>0</v>
      </c>
      <c r="N21" s="186">
        <f t="shared" ca="1" si="5"/>
        <v>0</v>
      </c>
      <c r="O21" s="186">
        <f t="shared" ca="1" si="5"/>
        <v>0</v>
      </c>
      <c r="P21" s="186">
        <f t="shared" ca="1" si="5"/>
        <v>0</v>
      </c>
      <c r="Q21" s="186">
        <f t="shared" ca="1" si="5"/>
        <v>0</v>
      </c>
      <c r="R21" s="186">
        <f t="shared" ca="1" si="5"/>
        <v>0</v>
      </c>
      <c r="S21" s="186">
        <f t="shared" ca="1" si="5"/>
        <v>0</v>
      </c>
      <c r="T21" s="186">
        <f t="shared" ca="1" si="5"/>
        <v>0</v>
      </c>
      <c r="U21" s="186">
        <f t="shared" ca="1" si="5"/>
        <v>0</v>
      </c>
      <c r="V21" s="186">
        <f t="shared" ca="1" si="5"/>
        <v>0</v>
      </c>
      <c r="W21" s="186">
        <f t="shared" ca="1" si="5"/>
        <v>0</v>
      </c>
      <c r="X21" s="186">
        <f t="shared" ca="1" si="5"/>
        <v>0</v>
      </c>
      <c r="Y21" s="186">
        <f t="shared" ca="1" si="5"/>
        <v>0</v>
      </c>
      <c r="Z21" s="186">
        <f t="shared" ca="1" si="5"/>
        <v>0</v>
      </c>
      <c r="AA21" s="186">
        <f t="shared" ca="1" si="5"/>
        <v>0</v>
      </c>
      <c r="AB21" s="186">
        <f t="shared" ca="1" si="5"/>
        <v>0</v>
      </c>
      <c r="AC21" s="186">
        <f t="shared" ca="1" si="5"/>
        <v>0</v>
      </c>
      <c r="AD21" s="186">
        <f t="shared" ca="1" si="5"/>
        <v>0</v>
      </c>
      <c r="AE21" s="186" t="e">
        <f t="shared" ca="1" si="5"/>
        <v>#N/A</v>
      </c>
      <c r="AH21" s="370" t="str">
        <f ca="1">IFERROR(RATE(3,0,-C21,R21),"NA")</f>
        <v>NA</v>
      </c>
      <c r="AJ21" s="186" t="e">
        <f ca="1">SUM(AJ10,AJ18,AJ20)</f>
        <v>#DIV/0!</v>
      </c>
      <c r="AK21" s="186" t="e">
        <f ca="1">SUM(AK10,AK18,AK20)</f>
        <v>#DIV/0!</v>
      </c>
      <c r="AL21" s="186" t="e">
        <f ca="1">SUM(AL10,AL18,AL20)</f>
        <v>#DIV/0!</v>
      </c>
      <c r="AM21" s="186" t="e">
        <f ca="1">SUM(AM10,AM18,AM20)</f>
        <v>#DIV/0!</v>
      </c>
      <c r="AN21" s="186" t="e">
        <f ca="1">SUM(AN10,AN18,AN20)</f>
        <v>#DIV/0!</v>
      </c>
      <c r="AP21" s="370" t="str">
        <f ca="1">IFERROR(RATE(4,0,-AJ21,AN21),"NA")</f>
        <v>NA</v>
      </c>
    </row>
    <row r="22" spans="1:42" ht="5.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H22" s="178"/>
      <c r="AJ22" s="181"/>
      <c r="AK22" s="181"/>
      <c r="AL22" s="181"/>
      <c r="AM22" s="181"/>
      <c r="AN22" s="181"/>
      <c r="AP22" s="178"/>
    </row>
    <row r="23" spans="1:42" outlineLevel="1">
      <c r="A23" s="172" t="str">
        <f>'Hist &amp; Proj'!A27</f>
        <v>LIABILITIES</v>
      </c>
      <c r="B23" s="179"/>
      <c r="C23" s="179"/>
      <c r="D23" s="179"/>
      <c r="E23" s="179"/>
      <c r="F23" s="179"/>
      <c r="G23" s="179"/>
      <c r="H23" s="179"/>
      <c r="I23" s="179"/>
      <c r="J23" s="179"/>
      <c r="K23" s="179"/>
      <c r="L23" s="179"/>
      <c r="M23" s="179"/>
      <c r="N23" s="179"/>
      <c r="O23" s="179"/>
      <c r="P23" s="179"/>
      <c r="Q23" s="179"/>
      <c r="R23" s="179"/>
      <c r="S23" s="179"/>
      <c r="T23" s="179"/>
      <c r="U23" s="179"/>
      <c r="V23" s="179"/>
      <c r="W23" s="179"/>
      <c r="X23" s="179"/>
      <c r="Y23" s="179"/>
      <c r="Z23" s="179"/>
      <c r="AA23" s="179"/>
      <c r="AB23" s="179"/>
      <c r="AC23" s="179"/>
      <c r="AD23" s="179"/>
      <c r="AE23" s="179"/>
      <c r="AH23" s="367"/>
      <c r="AJ23" s="846"/>
      <c r="AK23" s="846"/>
      <c r="AL23" s="179"/>
      <c r="AM23" s="179"/>
      <c r="AN23" s="179"/>
      <c r="AP23" s="367"/>
    </row>
    <row r="24" spans="1:42">
      <c r="A24" s="127" t="str">
        <f>'Hist &amp; Proj'!A28</f>
        <v>Savings Accounts</v>
      </c>
      <c r="B24" s="179">
        <f>IF(OR(Assump!$A$7="USD",Assump!$A$7="EURO"),'Hist &amp; Proj'!B28/'Hist &amp; Proj'!B$8,'Hist &amp; Proj'!B28)</f>
        <v>0</v>
      </c>
      <c r="C24" s="179">
        <f>IF(OR(Assump!$A$7="USD",Assump!$A$7="EURO"),'Hist &amp; Proj'!C28/'Hist &amp; Proj'!C$8,'Hist &amp; Proj'!C28)</f>
        <v>0</v>
      </c>
      <c r="D24" s="179">
        <f>IF(OR(Assump!$A$7="USD",Assump!$A$7="EURO"),'Hist &amp; Proj'!D28/'Hist &amp; Proj'!D$8,'Hist &amp; Proj'!D28)</f>
        <v>0</v>
      </c>
      <c r="E24" s="179">
        <f>IF(OR(Assump!$A$7="USD",Assump!$A$7="EURO"),'Hist &amp; Proj'!E28/'Hist &amp; Proj'!E$8,'Hist &amp; Proj'!E28)</f>
        <v>0</v>
      </c>
      <c r="F24" s="179">
        <f ca="1">IF(OR(Assump!$A$7="USD",Assump!$A$7="EURO"),'Hist &amp; Proj'!F28/'Hist &amp; Proj'!F$8,'Hist &amp; Proj'!F28)</f>
        <v>0</v>
      </c>
      <c r="G24" s="179">
        <f ca="1">IF(OR(Assump!$A$7="USD",Assump!$A$7="EURO"),'Hist &amp; Proj'!G28/'Hist &amp; Proj'!G$8,'Hist &amp; Proj'!G28)</f>
        <v>0</v>
      </c>
      <c r="H24" s="179">
        <f ca="1">IF(OR(Assump!$A$7="USD",Assump!$A$7="EURO"),'Hist &amp; Proj'!H28/'Hist &amp; Proj'!H$8,'Hist &amp; Proj'!H28)</f>
        <v>0</v>
      </c>
      <c r="I24" s="179">
        <f ca="1">IF(OR(Assump!$A$7="USD",Assump!$A$7="EURO"),'Hist &amp; Proj'!I28/'Hist &amp; Proj'!I$8,'Hist &amp; Proj'!I28)</f>
        <v>0</v>
      </c>
      <c r="J24" s="179">
        <f ca="1">IF(OR(Assump!$A$7="USD",Assump!$A$7="EURO"),'Hist &amp; Proj'!J28/'Hist &amp; Proj'!J$8,'Hist &amp; Proj'!J28)</f>
        <v>0</v>
      </c>
      <c r="K24" s="179">
        <f ca="1">IF(OR(Assump!$A$7="USD",Assump!$A$7="EURO"),'Hist &amp; Proj'!K28/'Hist &amp; Proj'!K$8,'Hist &amp; Proj'!K28)</f>
        <v>0</v>
      </c>
      <c r="L24" s="179">
        <f ca="1">IF(OR(Assump!$A$7="USD",Assump!$A$7="EURO"),'Hist &amp; Proj'!L28/'Hist &amp; Proj'!L$8,'Hist &amp; Proj'!L28)</f>
        <v>0</v>
      </c>
      <c r="M24" s="179">
        <f ca="1">IF(OR(Assump!$A$7="USD",Assump!$A$7="EURO"),'Hist &amp; Proj'!M28/'Hist &amp; Proj'!M$8,'Hist &amp; Proj'!M28)</f>
        <v>0</v>
      </c>
      <c r="N24" s="179">
        <f ca="1">IF(OR(Assump!$A$7="USD",Assump!$A$7="EURO"),'Hist &amp; Proj'!N28/'Hist &amp; Proj'!N$8,'Hist &amp; Proj'!N28)</f>
        <v>0</v>
      </c>
      <c r="O24" s="179">
        <f ca="1">IF(OR(Assump!$A$7="USD",Assump!$A$7="EURO"),'Hist &amp; Proj'!O28/'Hist &amp; Proj'!O$8,'Hist &amp; Proj'!O28)</f>
        <v>0</v>
      </c>
      <c r="P24" s="179">
        <f ca="1">IF(OR(Assump!$A$7="USD",Assump!$A$7="EURO"),'Hist &amp; Proj'!P28/'Hist &amp; Proj'!P$8,'Hist &amp; Proj'!P28)</f>
        <v>0</v>
      </c>
      <c r="Q24" s="179">
        <f ca="1">IF(OR(Assump!$A$7="USD",Assump!$A$7="EURO"),'Hist &amp; Proj'!Q28/'Hist &amp; Proj'!Q$8,'Hist &amp; Proj'!Q28)</f>
        <v>0</v>
      </c>
      <c r="R24" s="179">
        <f ca="1">IF(OR(Assump!$A$7="USD",Assump!$A$7="EURO"),'Hist &amp; Proj'!R28/'Hist &amp; Proj'!R$8,'Hist &amp; Proj'!R28)</f>
        <v>0</v>
      </c>
      <c r="S24" s="179">
        <f ca="1">IF(OR(Assump!$A$7="USD",Assump!$A$7="EURO"),'Hist &amp; Proj'!S28/'Hist &amp; Proj'!S$8,'Hist &amp; Proj'!S28)</f>
        <v>0</v>
      </c>
      <c r="T24" s="179">
        <f ca="1">IF(OR(Assump!$A$7="USD",Assump!$A$7="EURO"),'Hist &amp; Proj'!T28/'Hist &amp; Proj'!T$8,'Hist &amp; Proj'!T28)</f>
        <v>0</v>
      </c>
      <c r="U24" s="179">
        <f ca="1">IF(OR(Assump!$A$7="USD",Assump!$A$7="EURO"),'Hist &amp; Proj'!U28/'Hist &amp; Proj'!U$8,'Hist &amp; Proj'!U28)</f>
        <v>0</v>
      </c>
      <c r="V24" s="179">
        <f ca="1">IF(OR(Assump!$A$7="USD",Assump!$A$7="EURO"),'Hist &amp; Proj'!V28/'Hist &amp; Proj'!V$8,'Hist &amp; Proj'!V28)</f>
        <v>0</v>
      </c>
      <c r="W24" s="179">
        <f ca="1">IF(OR(Assump!$A$7="USD",Assump!$A$7="EURO"),'Hist &amp; Proj'!W28/'Hist &amp; Proj'!W$8,'Hist &amp; Proj'!W28)</f>
        <v>0</v>
      </c>
      <c r="X24" s="179">
        <f ca="1">IF(OR(Assump!$A$7="USD",Assump!$A$7="EURO"),'Hist &amp; Proj'!X28/'Hist &amp; Proj'!X$8,'Hist &amp; Proj'!X28)</f>
        <v>0</v>
      </c>
      <c r="Y24" s="179">
        <f ca="1">IF(OR(Assump!$A$7="USD",Assump!$A$7="EURO"),'Hist &amp; Proj'!Y28/'Hist &amp; Proj'!Y$8,'Hist &amp; Proj'!Y28)</f>
        <v>0</v>
      </c>
      <c r="Z24" s="179">
        <f ca="1">IF(OR(Assump!$A$7="USD",Assump!$A$7="EURO"),'Hist &amp; Proj'!Z28/'Hist &amp; Proj'!Z$8,'Hist &amp; Proj'!Z28)</f>
        <v>0</v>
      </c>
      <c r="AA24" s="179">
        <f ca="1">IF(OR(Assump!$A$7="USD",Assump!$A$7="EURO"),'Hist &amp; Proj'!AA28/'Hist &amp; Proj'!AA$8,'Hist &amp; Proj'!AA28)</f>
        <v>0</v>
      </c>
      <c r="AB24" s="179">
        <f ca="1">IF(OR(Assump!$A$7="USD",Assump!$A$7="EURO"),'Hist &amp; Proj'!AB28/'Hist &amp; Proj'!AB$8,'Hist &amp; Proj'!AB28)</f>
        <v>0</v>
      </c>
      <c r="AC24" s="179">
        <f ca="1">IF(OR(Assump!$A$7="USD",Assump!$A$7="EURO"),'Hist &amp; Proj'!AC28/'Hist &amp; Proj'!AC$8,'Hist &amp; Proj'!AC28)</f>
        <v>0</v>
      </c>
      <c r="AD24" s="179">
        <f ca="1">IF(OR(Assump!$A$7="USD",Assump!$A$7="EURO"),'Hist &amp; Proj'!AD28/'Hist &amp; Proj'!AD$8,'Hist &amp; Proj'!AD28)</f>
        <v>0</v>
      </c>
      <c r="AE24" s="179" t="e">
        <f ca="1">IF(OR(Assump!$A$7="USD",Assump!$A$7="EURO"),'Hist &amp; Proj'!AE28/'Hist &amp; Proj'!AE$8,'Hist &amp; Proj'!AE28)</f>
        <v>#N/A</v>
      </c>
      <c r="AF24" s="179"/>
      <c r="AG24" s="179"/>
      <c r="AH24" s="367" t="str">
        <f t="shared" ref="AH24:AH32" ca="1" si="6">IFERROR(RATE(3,0,-C24,R24),"NA")</f>
        <v>NA</v>
      </c>
      <c r="AJ24" s="179" t="e">
        <f ca="1">AJ$15*Assump!AJ$13</f>
        <v>#DIV/0!</v>
      </c>
      <c r="AK24" s="179" t="e">
        <f ca="1">AK$15*Assump!AK$13</f>
        <v>#DIV/0!</v>
      </c>
      <c r="AL24" s="179" t="e">
        <f ca="1">AL$15*Assump!AL$13</f>
        <v>#DIV/0!</v>
      </c>
      <c r="AM24" s="179" t="e">
        <f ca="1">AM$15*Assump!AM$13</f>
        <v>#DIV/0!</v>
      </c>
      <c r="AN24" s="179" t="e">
        <f ca="1">AN$15*Assump!AN$13</f>
        <v>#DIV/0!</v>
      </c>
      <c r="AP24" s="367" t="str">
        <f t="shared" ref="AP24:AP32" ca="1" si="7">IFERROR(RATE(4,0,-AJ24,AN24),"NA")</f>
        <v>NA</v>
      </c>
    </row>
    <row r="25" spans="1:42">
      <c r="A25" s="127" t="str">
        <f>'Hist &amp; Proj'!A29</f>
        <v>Borrowings</v>
      </c>
      <c r="B25" s="179">
        <f>IF(OR(Assump!$A$7="USD",Assump!$A$7="EURO"),'Hist &amp; Proj'!B29/'Hist &amp; Proj'!B$8,'Hist &amp; Proj'!B29)</f>
        <v>0</v>
      </c>
      <c r="C25" s="179">
        <f>IF(OR(Assump!$A$7="USD",Assump!$A$7="EURO"),'Hist &amp; Proj'!C29/'Hist &amp; Proj'!C$8,'Hist &amp; Proj'!C29)</f>
        <v>0</v>
      </c>
      <c r="D25" s="179">
        <f>IF(OR(Assump!$A$7="USD",Assump!$A$7="EURO"),'Hist &amp; Proj'!D29/'Hist &amp; Proj'!D$8,'Hist &amp; Proj'!D29)</f>
        <v>0</v>
      </c>
      <c r="E25" s="179">
        <f>IF(OR(Assump!$A$7="USD",Assump!$A$7="EURO"),'Hist &amp; Proj'!E29/'Hist &amp; Proj'!E$8,'Hist &amp; Proj'!E29)</f>
        <v>0</v>
      </c>
      <c r="F25" s="179">
        <f ca="1">IF(OR(Assump!$A$7="USD",Assump!$A$7="EURO"),'Hist &amp; Proj'!F29/'Hist &amp; Proj'!F$8,'Hist &amp; Proj'!F29)</f>
        <v>0</v>
      </c>
      <c r="G25" s="179">
        <f ca="1">IF(OR(Assump!$A$7="USD",Assump!$A$7="EURO"),'Hist &amp; Proj'!G29/'Hist &amp; Proj'!G$8,'Hist &amp; Proj'!G29)</f>
        <v>0</v>
      </c>
      <c r="H25" s="179">
        <f ca="1">IF(OR(Assump!$A$7="USD",Assump!$A$7="EURO"),'Hist &amp; Proj'!H29/'Hist &amp; Proj'!H$8,'Hist &amp; Proj'!H29)</f>
        <v>0</v>
      </c>
      <c r="I25" s="179">
        <f ca="1">IF(OR(Assump!$A$7="USD",Assump!$A$7="EURO"),'Hist &amp; Proj'!I29/'Hist &amp; Proj'!I$8,'Hist &amp; Proj'!I29)</f>
        <v>0</v>
      </c>
      <c r="J25" s="179">
        <f ca="1">IF(OR(Assump!$A$7="USD",Assump!$A$7="EURO"),'Hist &amp; Proj'!J29/'Hist &amp; Proj'!J$8,'Hist &amp; Proj'!J29)</f>
        <v>0</v>
      </c>
      <c r="K25" s="179">
        <f ca="1">IF(OR(Assump!$A$7="USD",Assump!$A$7="EURO"),'Hist &amp; Proj'!K29/'Hist &amp; Proj'!K$8,'Hist &amp; Proj'!K29)</f>
        <v>0</v>
      </c>
      <c r="L25" s="179">
        <f ca="1">IF(OR(Assump!$A$7="USD",Assump!$A$7="EURO"),'Hist &amp; Proj'!L29/'Hist &amp; Proj'!L$8,'Hist &amp; Proj'!L29)</f>
        <v>0</v>
      </c>
      <c r="M25" s="179">
        <f ca="1">IF(OR(Assump!$A$7="USD",Assump!$A$7="EURO"),'Hist &amp; Proj'!M29/'Hist &amp; Proj'!M$8,'Hist &amp; Proj'!M29)</f>
        <v>0</v>
      </c>
      <c r="N25" s="179">
        <f ca="1">IF(OR(Assump!$A$7="USD",Assump!$A$7="EURO"),'Hist &amp; Proj'!N29/'Hist &amp; Proj'!N$8,'Hist &amp; Proj'!N29)</f>
        <v>0</v>
      </c>
      <c r="O25" s="179">
        <f ca="1">IF(OR(Assump!$A$7="USD",Assump!$A$7="EURO"),'Hist &amp; Proj'!O29/'Hist &amp; Proj'!O$8,'Hist &amp; Proj'!O29)</f>
        <v>0</v>
      </c>
      <c r="P25" s="179">
        <f ca="1">IF(OR(Assump!$A$7="USD",Assump!$A$7="EURO"),'Hist &amp; Proj'!P29/'Hist &amp; Proj'!P$8,'Hist &amp; Proj'!P29)</f>
        <v>0</v>
      </c>
      <c r="Q25" s="179">
        <f ca="1">IF(OR(Assump!$A$7="USD",Assump!$A$7="EURO"),'Hist &amp; Proj'!Q29/'Hist &amp; Proj'!Q$8,'Hist &amp; Proj'!Q29)</f>
        <v>0</v>
      </c>
      <c r="R25" s="179">
        <f ca="1">IF(OR(Assump!$A$7="USD",Assump!$A$7="EURO"),'Hist &amp; Proj'!R29/'Hist &amp; Proj'!R$8,'Hist &amp; Proj'!R29)</f>
        <v>0</v>
      </c>
      <c r="S25" s="179">
        <f ca="1">IF(OR(Assump!$A$7="USD",Assump!$A$7="EURO"),'Hist &amp; Proj'!S29/'Hist &amp; Proj'!S$8,'Hist &amp; Proj'!S29)</f>
        <v>0</v>
      </c>
      <c r="T25" s="179">
        <f ca="1">IF(OR(Assump!$A$7="USD",Assump!$A$7="EURO"),'Hist &amp; Proj'!T29/'Hist &amp; Proj'!T$8,'Hist &amp; Proj'!T29)</f>
        <v>0</v>
      </c>
      <c r="U25" s="179">
        <f ca="1">IF(OR(Assump!$A$7="USD",Assump!$A$7="EURO"),'Hist &amp; Proj'!U29/'Hist &amp; Proj'!U$8,'Hist &amp; Proj'!U29)</f>
        <v>0</v>
      </c>
      <c r="V25" s="179">
        <f ca="1">IF(OR(Assump!$A$7="USD",Assump!$A$7="EURO"),'Hist &amp; Proj'!V29/'Hist &amp; Proj'!V$8,'Hist &amp; Proj'!V29)</f>
        <v>0</v>
      </c>
      <c r="W25" s="179">
        <f ca="1">IF(OR(Assump!$A$7="USD",Assump!$A$7="EURO"),'Hist &amp; Proj'!W29/'Hist &amp; Proj'!W$8,'Hist &amp; Proj'!W29)</f>
        <v>0</v>
      </c>
      <c r="X25" s="179">
        <f ca="1">IF(OR(Assump!$A$7="USD",Assump!$A$7="EURO"),'Hist &amp; Proj'!X29/'Hist &amp; Proj'!X$8,'Hist &amp; Proj'!X29)</f>
        <v>0</v>
      </c>
      <c r="Y25" s="179">
        <f ca="1">IF(OR(Assump!$A$7="USD",Assump!$A$7="EURO"),'Hist &amp; Proj'!Y29/'Hist &amp; Proj'!Y$8,'Hist &amp; Proj'!Y29)</f>
        <v>0</v>
      </c>
      <c r="Z25" s="179">
        <f ca="1">IF(OR(Assump!$A$7="USD",Assump!$A$7="EURO"),'Hist &amp; Proj'!Z29/'Hist &amp; Proj'!Z$8,'Hist &amp; Proj'!Z29)</f>
        <v>0</v>
      </c>
      <c r="AA25" s="179">
        <f ca="1">IF(OR(Assump!$A$7="USD",Assump!$A$7="EURO"),'Hist &amp; Proj'!AA29/'Hist &amp; Proj'!AA$8,'Hist &amp; Proj'!AA29)</f>
        <v>0</v>
      </c>
      <c r="AB25" s="179">
        <f ca="1">IF(OR(Assump!$A$7="USD",Assump!$A$7="EURO"),'Hist &amp; Proj'!AB29/'Hist &amp; Proj'!AB$8,'Hist &amp; Proj'!AB29)</f>
        <v>0</v>
      </c>
      <c r="AC25" s="179">
        <f ca="1">IF(OR(Assump!$A$7="USD",Assump!$A$7="EURO"),'Hist &amp; Proj'!AC29/'Hist &amp; Proj'!AC$8,'Hist &amp; Proj'!AC29)</f>
        <v>0</v>
      </c>
      <c r="AD25" s="179">
        <f ca="1">IF(OR(Assump!$A$7="USD",Assump!$A$7="EURO"),'Hist &amp; Proj'!AD29/'Hist &amp; Proj'!AD$8,'Hist &amp; Proj'!AD29)</f>
        <v>0</v>
      </c>
      <c r="AE25" s="179" t="e">
        <f ca="1">IF(OR(Assump!$A$7="USD",Assump!$A$7="EURO"),'Hist &amp; Proj'!AE29/'Hist &amp; Proj'!AE$8,'Hist &amp; Proj'!AE29)</f>
        <v>#N/A</v>
      </c>
      <c r="AF25" s="179"/>
      <c r="AG25" s="179"/>
      <c r="AH25" s="367" t="str">
        <f t="shared" ca="1" si="6"/>
        <v>NA</v>
      </c>
      <c r="AJ25" s="179">
        <f ca="1">IF(Assump!$AM$8=3,'Mgmt Backup'!AJ25,AJ21-SUM(AJ24,AJ31,AJ37))</f>
        <v>0</v>
      </c>
      <c r="AK25" s="179">
        <f ca="1">IF(Assump!$AM$8=3,'Mgmt Backup'!AK25,AK21-SUM(AK24,AK31,AK37))</f>
        <v>0</v>
      </c>
      <c r="AL25" s="179">
        <f ca="1">IF(Assump!$AM$8=3,'Mgmt Backup'!AL25,AL21-SUM(AL24,AL31,AL37))</f>
        <v>0</v>
      </c>
      <c r="AM25" s="179">
        <f ca="1">IF(Assump!$AM$8=3,'Mgmt Backup'!AM25,AM21-SUM(AM24,AM31,AM37))</f>
        <v>0</v>
      </c>
      <c r="AN25" s="179">
        <f ca="1">IF(Assump!$AM$8=3,'Mgmt Backup'!AN25,AN21-SUM(AN24,AN31,AN37))</f>
        <v>0</v>
      </c>
      <c r="AP25" s="367" t="str">
        <f t="shared" ca="1" si="7"/>
        <v>NA</v>
      </c>
    </row>
    <row r="26" spans="1:42" ht="12.75" customHeight="1" outlineLevel="1">
      <c r="A26" s="180" t="str">
        <f>'Hist &amp; Proj'!A30</f>
        <v xml:space="preserve">       Total Borrowings at Concessional Interest Rates</v>
      </c>
      <c r="B26" s="179">
        <f>IF(OR(Assump!$A$7="USD",Assump!$A$7="EURO"),'Hist &amp; Proj'!B30/'Hist &amp; Proj'!B$8,'Hist &amp; Proj'!B30)</f>
        <v>0</v>
      </c>
      <c r="C26" s="179">
        <f>IF(OR(Assump!$A$7="USD",Assump!$A$7="EURO"),'Hist &amp; Proj'!C30/'Hist &amp; Proj'!C$8,'Hist &amp; Proj'!C30)</f>
        <v>0</v>
      </c>
      <c r="D26" s="179">
        <f>IF(OR(Assump!$A$7="USD",Assump!$A$7="EURO"),'Hist &amp; Proj'!D30/'Hist &amp; Proj'!D$8,'Hist &amp; Proj'!D30)</f>
        <v>0</v>
      </c>
      <c r="E26" s="179">
        <f>IF(OR(Assump!$A$7="USD",Assump!$A$7="EURO"),'Hist &amp; Proj'!E30/'Hist &amp; Proj'!E$8,'Hist &amp; Proj'!E30)</f>
        <v>0</v>
      </c>
      <c r="F26" s="179">
        <f ca="1">IF(OR(Assump!$A$7="USD",Assump!$A$7="EURO"),'Hist &amp; Proj'!F30/'Hist &amp; Proj'!F$8,'Hist &amp; Proj'!F30)</f>
        <v>0</v>
      </c>
      <c r="G26" s="179">
        <f ca="1">IF(OR(Assump!$A$7="USD",Assump!$A$7="EURO"),'Hist &amp; Proj'!G30/'Hist &amp; Proj'!G$8,'Hist &amp; Proj'!G30)</f>
        <v>0</v>
      </c>
      <c r="H26" s="179">
        <f ca="1">IF(OR(Assump!$A$7="USD",Assump!$A$7="EURO"),'Hist &amp; Proj'!H30/'Hist &amp; Proj'!H$8,'Hist &amp; Proj'!H30)</f>
        <v>0</v>
      </c>
      <c r="I26" s="179">
        <f ca="1">IF(OR(Assump!$A$7="USD",Assump!$A$7="EURO"),'Hist &amp; Proj'!I30/'Hist &amp; Proj'!I$8,'Hist &amp; Proj'!I30)</f>
        <v>0</v>
      </c>
      <c r="J26" s="179">
        <f ca="1">IF(OR(Assump!$A$7="USD",Assump!$A$7="EURO"),'Hist &amp; Proj'!J30/'Hist &amp; Proj'!J$8,'Hist &amp; Proj'!J30)</f>
        <v>0</v>
      </c>
      <c r="K26" s="179">
        <f ca="1">IF(OR(Assump!$A$7="USD",Assump!$A$7="EURO"),'Hist &amp; Proj'!K30/'Hist &amp; Proj'!K$8,'Hist &amp; Proj'!K30)</f>
        <v>0</v>
      </c>
      <c r="L26" s="179">
        <f ca="1">IF(OR(Assump!$A$7="USD",Assump!$A$7="EURO"),'Hist &amp; Proj'!L30/'Hist &amp; Proj'!L$8,'Hist &amp; Proj'!L30)</f>
        <v>0</v>
      </c>
      <c r="M26" s="179">
        <f ca="1">IF(OR(Assump!$A$7="USD",Assump!$A$7="EURO"),'Hist &amp; Proj'!M30/'Hist &amp; Proj'!M$8,'Hist &amp; Proj'!M30)</f>
        <v>0</v>
      </c>
      <c r="N26" s="179">
        <f ca="1">IF(OR(Assump!$A$7="USD",Assump!$A$7="EURO"),'Hist &amp; Proj'!N30/'Hist &amp; Proj'!N$8,'Hist &amp; Proj'!N30)</f>
        <v>0</v>
      </c>
      <c r="O26" s="179">
        <f ca="1">IF(OR(Assump!$A$7="USD",Assump!$A$7="EURO"),'Hist &amp; Proj'!O30/'Hist &amp; Proj'!O$8,'Hist &amp; Proj'!O30)</f>
        <v>0</v>
      </c>
      <c r="P26" s="179">
        <f ca="1">IF(OR(Assump!$A$7="USD",Assump!$A$7="EURO"),'Hist &amp; Proj'!P30/'Hist &amp; Proj'!P$8,'Hist &amp; Proj'!P30)</f>
        <v>0</v>
      </c>
      <c r="Q26" s="179">
        <f ca="1">IF(OR(Assump!$A$7="USD",Assump!$A$7="EURO"),'Hist &amp; Proj'!Q30/'Hist &amp; Proj'!Q$8,'Hist &amp; Proj'!Q30)</f>
        <v>0</v>
      </c>
      <c r="R26" s="179">
        <f ca="1">IF(OR(Assump!$A$7="USD",Assump!$A$7="EURO"),'Hist &amp; Proj'!R30/'Hist &amp; Proj'!R$8,'Hist &amp; Proj'!R30)</f>
        <v>0</v>
      </c>
      <c r="S26" s="179">
        <f ca="1">IF(OR(Assump!$A$7="USD",Assump!$A$7="EURO"),'Hist &amp; Proj'!S30/'Hist &amp; Proj'!S$8,'Hist &amp; Proj'!S30)</f>
        <v>0</v>
      </c>
      <c r="T26" s="179">
        <f ca="1">IF(OR(Assump!$A$7="USD",Assump!$A$7="EURO"),'Hist &amp; Proj'!T30/'Hist &amp; Proj'!T$8,'Hist &amp; Proj'!T30)</f>
        <v>0</v>
      </c>
      <c r="U26" s="179">
        <f ca="1">IF(OR(Assump!$A$7="USD",Assump!$A$7="EURO"),'Hist &amp; Proj'!U30/'Hist &amp; Proj'!U$8,'Hist &amp; Proj'!U30)</f>
        <v>0</v>
      </c>
      <c r="V26" s="179">
        <f ca="1">IF(OR(Assump!$A$7="USD",Assump!$A$7="EURO"),'Hist &amp; Proj'!V30/'Hist &amp; Proj'!V$8,'Hist &amp; Proj'!V30)</f>
        <v>0</v>
      </c>
      <c r="W26" s="179">
        <f ca="1">IF(OR(Assump!$A$7="USD",Assump!$A$7="EURO"),'Hist &amp; Proj'!W30/'Hist &amp; Proj'!W$8,'Hist &amp; Proj'!W30)</f>
        <v>0</v>
      </c>
      <c r="X26" s="179">
        <f ca="1">IF(OR(Assump!$A$7="USD",Assump!$A$7="EURO"),'Hist &amp; Proj'!X30/'Hist &amp; Proj'!X$8,'Hist &amp; Proj'!X30)</f>
        <v>0</v>
      </c>
      <c r="Y26" s="179">
        <f ca="1">IF(OR(Assump!$A$7="USD",Assump!$A$7="EURO"),'Hist &amp; Proj'!Y30/'Hist &amp; Proj'!Y$8,'Hist &amp; Proj'!Y30)</f>
        <v>0</v>
      </c>
      <c r="Z26" s="179">
        <f ca="1">IF(OR(Assump!$A$7="USD",Assump!$A$7="EURO"),'Hist &amp; Proj'!Z30/'Hist &amp; Proj'!Z$8,'Hist &amp; Proj'!Z30)</f>
        <v>0</v>
      </c>
      <c r="AA26" s="179">
        <f ca="1">IF(OR(Assump!$A$7="USD",Assump!$A$7="EURO"),'Hist &amp; Proj'!AA30/'Hist &amp; Proj'!AA$8,'Hist &amp; Proj'!AA30)</f>
        <v>0</v>
      </c>
      <c r="AB26" s="179">
        <f ca="1">IF(OR(Assump!$A$7="USD",Assump!$A$7="EURO"),'Hist &amp; Proj'!AB30/'Hist &amp; Proj'!AB$8,'Hist &amp; Proj'!AB30)</f>
        <v>0</v>
      </c>
      <c r="AC26" s="179">
        <f ca="1">IF(OR(Assump!$A$7="USD",Assump!$A$7="EURO"),'Hist &amp; Proj'!AC30/'Hist &amp; Proj'!AC$8,'Hist &amp; Proj'!AC30)</f>
        <v>0</v>
      </c>
      <c r="AD26" s="179">
        <f ca="1">IF(OR(Assump!$A$7="USD",Assump!$A$7="EURO"),'Hist &amp; Proj'!AD30/'Hist &amp; Proj'!AD$8,'Hist &amp; Proj'!AD30)</f>
        <v>0</v>
      </c>
      <c r="AE26" s="179" t="e">
        <f ca="1">IF(OR(Assump!$A$7="USD",Assump!$A$7="EURO"),'Hist &amp; Proj'!AE30/'Hist &amp; Proj'!AE$8,'Hist &amp; Proj'!AE30)</f>
        <v>#N/A</v>
      </c>
      <c r="AF26" s="179"/>
      <c r="AG26" s="179"/>
      <c r="AH26" s="367" t="str">
        <f t="shared" ca="1" si="6"/>
        <v>NA</v>
      </c>
      <c r="AJ26" s="179"/>
      <c r="AK26" s="179"/>
      <c r="AL26" s="179"/>
      <c r="AM26" s="179"/>
      <c r="AN26" s="179"/>
      <c r="AP26" s="367" t="str">
        <f t="shared" si="7"/>
        <v>NA</v>
      </c>
    </row>
    <row r="27" spans="1:42" ht="12.75" customHeight="1" outlineLevel="1">
      <c r="A27" s="180" t="str">
        <f>'Hist &amp; Proj'!A31</f>
        <v xml:space="preserve">       Total Borrowings at Commercial Interest Rates</v>
      </c>
      <c r="B27" s="179">
        <f>IF(OR(Assump!$A$7="USD",Assump!$A$7="EURO"),'Hist &amp; Proj'!B31/'Hist &amp; Proj'!B$8,'Hist &amp; Proj'!B31)</f>
        <v>0</v>
      </c>
      <c r="C27" s="179">
        <f>IF(OR(Assump!$A$7="USD",Assump!$A$7="EURO"),'Hist &amp; Proj'!C31/'Hist &amp; Proj'!C$8,'Hist &amp; Proj'!C31)</f>
        <v>0</v>
      </c>
      <c r="D27" s="179">
        <f>IF(OR(Assump!$A$7="USD",Assump!$A$7="EURO"),'Hist &amp; Proj'!D31/'Hist &amp; Proj'!D$8,'Hist &amp; Proj'!D31)</f>
        <v>0</v>
      </c>
      <c r="E27" s="179">
        <f>IF(OR(Assump!$A$7="USD",Assump!$A$7="EURO"),'Hist &amp; Proj'!E31/'Hist &amp; Proj'!E$8,'Hist &amp; Proj'!E31)</f>
        <v>0</v>
      </c>
      <c r="F27" s="179">
        <f ca="1">IF(OR(Assump!$A$7="USD",Assump!$A$7="EURO"),'Hist &amp; Proj'!F31/'Hist &amp; Proj'!F$8,'Hist &amp; Proj'!F31)</f>
        <v>0</v>
      </c>
      <c r="G27" s="179">
        <f ca="1">IF(OR(Assump!$A$7="USD",Assump!$A$7="EURO"),'Hist &amp; Proj'!G31/'Hist &amp; Proj'!G$8,'Hist &amp; Proj'!G31)</f>
        <v>0</v>
      </c>
      <c r="H27" s="179">
        <f ca="1">IF(OR(Assump!$A$7="USD",Assump!$A$7="EURO"),'Hist &amp; Proj'!H31/'Hist &amp; Proj'!H$8,'Hist &amp; Proj'!H31)</f>
        <v>0</v>
      </c>
      <c r="I27" s="179">
        <f ca="1">IF(OR(Assump!$A$7="USD",Assump!$A$7="EURO"),'Hist &amp; Proj'!I31/'Hist &amp; Proj'!I$8,'Hist &amp; Proj'!I31)</f>
        <v>0</v>
      </c>
      <c r="J27" s="179">
        <f ca="1">IF(OR(Assump!$A$7="USD",Assump!$A$7="EURO"),'Hist &amp; Proj'!J31/'Hist &amp; Proj'!J$8,'Hist &amp; Proj'!J31)</f>
        <v>0</v>
      </c>
      <c r="K27" s="179">
        <f ca="1">IF(OR(Assump!$A$7="USD",Assump!$A$7="EURO"),'Hist &amp; Proj'!K31/'Hist &amp; Proj'!K$8,'Hist &amp; Proj'!K31)</f>
        <v>0</v>
      </c>
      <c r="L27" s="179">
        <f ca="1">IF(OR(Assump!$A$7="USD",Assump!$A$7="EURO"),'Hist &amp; Proj'!L31/'Hist &amp; Proj'!L$8,'Hist &amp; Proj'!L31)</f>
        <v>0</v>
      </c>
      <c r="M27" s="179">
        <f ca="1">IF(OR(Assump!$A$7="USD",Assump!$A$7="EURO"),'Hist &amp; Proj'!M31/'Hist &amp; Proj'!M$8,'Hist &amp; Proj'!M31)</f>
        <v>0</v>
      </c>
      <c r="N27" s="179">
        <f ca="1">IF(OR(Assump!$A$7="USD",Assump!$A$7="EURO"),'Hist &amp; Proj'!N31/'Hist &amp; Proj'!N$8,'Hist &amp; Proj'!N31)</f>
        <v>0</v>
      </c>
      <c r="O27" s="179">
        <f ca="1">IF(OR(Assump!$A$7="USD",Assump!$A$7="EURO"),'Hist &amp; Proj'!O31/'Hist &amp; Proj'!O$8,'Hist &amp; Proj'!O31)</f>
        <v>0</v>
      </c>
      <c r="P27" s="179">
        <f ca="1">IF(OR(Assump!$A$7="USD",Assump!$A$7="EURO"),'Hist &amp; Proj'!P31/'Hist &amp; Proj'!P$8,'Hist &amp; Proj'!P31)</f>
        <v>0</v>
      </c>
      <c r="Q27" s="179">
        <f ca="1">IF(OR(Assump!$A$7="USD",Assump!$A$7="EURO"),'Hist &amp; Proj'!Q31/'Hist &amp; Proj'!Q$8,'Hist &amp; Proj'!Q31)</f>
        <v>0</v>
      </c>
      <c r="R27" s="179">
        <f ca="1">IF(OR(Assump!$A$7="USD",Assump!$A$7="EURO"),'Hist &amp; Proj'!R31/'Hist &amp; Proj'!R$8,'Hist &amp; Proj'!R31)</f>
        <v>0</v>
      </c>
      <c r="S27" s="179">
        <f ca="1">IF(OR(Assump!$A$7="USD",Assump!$A$7="EURO"),'Hist &amp; Proj'!S31/'Hist &amp; Proj'!S$8,'Hist &amp; Proj'!S31)</f>
        <v>0</v>
      </c>
      <c r="T27" s="179">
        <f ca="1">IF(OR(Assump!$A$7="USD",Assump!$A$7="EURO"),'Hist &amp; Proj'!T31/'Hist &amp; Proj'!T$8,'Hist &amp; Proj'!T31)</f>
        <v>0</v>
      </c>
      <c r="U27" s="179">
        <f ca="1">IF(OR(Assump!$A$7="USD",Assump!$A$7="EURO"),'Hist &amp; Proj'!U31/'Hist &amp; Proj'!U$8,'Hist &amp; Proj'!U31)</f>
        <v>0</v>
      </c>
      <c r="V27" s="179">
        <f ca="1">IF(OR(Assump!$A$7="USD",Assump!$A$7="EURO"),'Hist &amp; Proj'!V31/'Hist &amp; Proj'!V$8,'Hist &amp; Proj'!V31)</f>
        <v>0</v>
      </c>
      <c r="W27" s="179">
        <f ca="1">IF(OR(Assump!$A$7="USD",Assump!$A$7="EURO"),'Hist &amp; Proj'!W31/'Hist &amp; Proj'!W$8,'Hist &amp; Proj'!W31)</f>
        <v>0</v>
      </c>
      <c r="X27" s="179">
        <f ca="1">IF(OR(Assump!$A$7="USD",Assump!$A$7="EURO"),'Hist &amp; Proj'!X31/'Hist &amp; Proj'!X$8,'Hist &amp; Proj'!X31)</f>
        <v>0</v>
      </c>
      <c r="Y27" s="179">
        <f ca="1">IF(OR(Assump!$A$7="USD",Assump!$A$7="EURO"),'Hist &amp; Proj'!Y31/'Hist &amp; Proj'!Y$8,'Hist &amp; Proj'!Y31)</f>
        <v>0</v>
      </c>
      <c r="Z27" s="179">
        <f ca="1">IF(OR(Assump!$A$7="USD",Assump!$A$7="EURO"),'Hist &amp; Proj'!Z31/'Hist &amp; Proj'!Z$8,'Hist &amp; Proj'!Z31)</f>
        <v>0</v>
      </c>
      <c r="AA27" s="179">
        <f ca="1">IF(OR(Assump!$A$7="USD",Assump!$A$7="EURO"),'Hist &amp; Proj'!AA31/'Hist &amp; Proj'!AA$8,'Hist &amp; Proj'!AA31)</f>
        <v>0</v>
      </c>
      <c r="AB27" s="179">
        <f ca="1">IF(OR(Assump!$A$7="USD",Assump!$A$7="EURO"),'Hist &amp; Proj'!AB31/'Hist &amp; Proj'!AB$8,'Hist &amp; Proj'!AB31)</f>
        <v>0</v>
      </c>
      <c r="AC27" s="179">
        <f ca="1">IF(OR(Assump!$A$7="USD",Assump!$A$7="EURO"),'Hist &amp; Proj'!AC31/'Hist &amp; Proj'!AC$8,'Hist &amp; Proj'!AC31)</f>
        <v>0</v>
      </c>
      <c r="AD27" s="179">
        <f ca="1">IF(OR(Assump!$A$7="USD",Assump!$A$7="EURO"),'Hist &amp; Proj'!AD31/'Hist &amp; Proj'!AD$8,'Hist &amp; Proj'!AD31)</f>
        <v>0</v>
      </c>
      <c r="AE27" s="179" t="e">
        <f ca="1">IF(OR(Assump!$A$7="USD",Assump!$A$7="EURO"),'Hist &amp; Proj'!AE31/'Hist &amp; Proj'!AE$8,'Hist &amp; Proj'!AE31)</f>
        <v>#N/A</v>
      </c>
      <c r="AF27" s="179"/>
      <c r="AG27" s="179"/>
      <c r="AH27" s="367" t="str">
        <f t="shared" ca="1" si="6"/>
        <v>NA</v>
      </c>
      <c r="AJ27" s="179"/>
      <c r="AK27" s="179"/>
      <c r="AL27" s="179"/>
      <c r="AM27" s="179"/>
      <c r="AN27" s="179"/>
      <c r="AP27" s="367" t="str">
        <f t="shared" si="7"/>
        <v>NA</v>
      </c>
    </row>
    <row r="28" spans="1:42" ht="12.75" customHeight="1" outlineLevel="1">
      <c r="A28" s="371" t="str">
        <f>'Hist &amp; Proj'!A32</f>
        <v xml:space="preserve">       Senior Secured Debt</v>
      </c>
      <c r="B28" s="179">
        <f>IF(OR(Assump!$A$7="USD",Assump!$A$7="EURO"),'Hist &amp; Proj'!B32/'Hist &amp; Proj'!B$8,'Hist &amp; Proj'!B32)</f>
        <v>0</v>
      </c>
      <c r="C28" s="179">
        <f>IF(OR(Assump!$A$7="USD",Assump!$A$7="EURO"),'Hist &amp; Proj'!C32/'Hist &amp; Proj'!C$8,'Hist &amp; Proj'!C32)</f>
        <v>0</v>
      </c>
      <c r="D28" s="179">
        <f>IF(OR(Assump!$A$7="USD",Assump!$A$7="EURO"),'Hist &amp; Proj'!D32/'Hist &amp; Proj'!D$8,'Hist &amp; Proj'!D32)</f>
        <v>0</v>
      </c>
      <c r="E28" s="179">
        <f>IF(OR(Assump!$A$7="USD",Assump!$A$7="EURO"),'Hist &amp; Proj'!E32/'Hist &amp; Proj'!E$8,'Hist &amp; Proj'!E32)</f>
        <v>0</v>
      </c>
      <c r="F28" s="179">
        <f ca="1">IF(OR(Assump!$A$7="USD",Assump!$A$7="EURO"),'Hist &amp; Proj'!F32/'Hist &amp; Proj'!F$8,'Hist &amp; Proj'!F32)</f>
        <v>0</v>
      </c>
      <c r="G28" s="179">
        <f ca="1">IF(OR(Assump!$A$7="USD",Assump!$A$7="EURO"),'Hist &amp; Proj'!G32/'Hist &amp; Proj'!G$8,'Hist &amp; Proj'!G32)</f>
        <v>0</v>
      </c>
      <c r="H28" s="179">
        <f ca="1">IF(OR(Assump!$A$7="USD",Assump!$A$7="EURO"),'Hist &amp; Proj'!H32/'Hist &amp; Proj'!H$8,'Hist &amp; Proj'!H32)</f>
        <v>0</v>
      </c>
      <c r="I28" s="179">
        <f ca="1">IF(OR(Assump!$A$7="USD",Assump!$A$7="EURO"),'Hist &amp; Proj'!I32/'Hist &amp; Proj'!I$8,'Hist &amp; Proj'!I32)</f>
        <v>0</v>
      </c>
      <c r="J28" s="179">
        <f ca="1">IF(OR(Assump!$A$7="USD",Assump!$A$7="EURO"),'Hist &amp; Proj'!J32/'Hist &amp; Proj'!J$8,'Hist &amp; Proj'!J32)</f>
        <v>0</v>
      </c>
      <c r="K28" s="179">
        <f ca="1">IF(OR(Assump!$A$7="USD",Assump!$A$7="EURO"),'Hist &amp; Proj'!K32/'Hist &amp; Proj'!K$8,'Hist &amp; Proj'!K32)</f>
        <v>0</v>
      </c>
      <c r="L28" s="179">
        <f ca="1">IF(OR(Assump!$A$7="USD",Assump!$A$7="EURO"),'Hist &amp; Proj'!L32/'Hist &amp; Proj'!L$8,'Hist &amp; Proj'!L32)</f>
        <v>0</v>
      </c>
      <c r="M28" s="179">
        <f ca="1">IF(OR(Assump!$A$7="USD",Assump!$A$7="EURO"),'Hist &amp; Proj'!M32/'Hist &amp; Proj'!M$8,'Hist &amp; Proj'!M32)</f>
        <v>0</v>
      </c>
      <c r="N28" s="179">
        <f ca="1">IF(OR(Assump!$A$7="USD",Assump!$A$7="EURO"),'Hist &amp; Proj'!N32/'Hist &amp; Proj'!N$8,'Hist &amp; Proj'!N32)</f>
        <v>0</v>
      </c>
      <c r="O28" s="179">
        <f ca="1">IF(OR(Assump!$A$7="USD",Assump!$A$7="EURO"),'Hist &amp; Proj'!O32/'Hist &amp; Proj'!O$8,'Hist &amp; Proj'!O32)</f>
        <v>0</v>
      </c>
      <c r="P28" s="179">
        <f ca="1">IF(OR(Assump!$A$7="USD",Assump!$A$7="EURO"),'Hist &amp; Proj'!P32/'Hist &amp; Proj'!P$8,'Hist &amp; Proj'!P32)</f>
        <v>0</v>
      </c>
      <c r="Q28" s="179">
        <f ca="1">IF(OR(Assump!$A$7="USD",Assump!$A$7="EURO"),'Hist &amp; Proj'!Q32/'Hist &amp; Proj'!Q$8,'Hist &amp; Proj'!Q32)</f>
        <v>0</v>
      </c>
      <c r="R28" s="179">
        <f ca="1">IF(OR(Assump!$A$7="USD",Assump!$A$7="EURO"),'Hist &amp; Proj'!R32/'Hist &amp; Proj'!R$8,'Hist &amp; Proj'!R32)</f>
        <v>0</v>
      </c>
      <c r="S28" s="179">
        <f ca="1">IF(OR(Assump!$A$7="USD",Assump!$A$7="EURO"),'Hist &amp; Proj'!S32/'Hist &amp; Proj'!S$8,'Hist &amp; Proj'!S32)</f>
        <v>0</v>
      </c>
      <c r="T28" s="179">
        <f ca="1">IF(OR(Assump!$A$7="USD",Assump!$A$7="EURO"),'Hist &amp; Proj'!T32/'Hist &amp; Proj'!T$8,'Hist &amp; Proj'!T32)</f>
        <v>0</v>
      </c>
      <c r="U28" s="179">
        <f ca="1">IF(OR(Assump!$A$7="USD",Assump!$A$7="EURO"),'Hist &amp; Proj'!U32/'Hist &amp; Proj'!U$8,'Hist &amp; Proj'!U32)</f>
        <v>0</v>
      </c>
      <c r="V28" s="179">
        <f ca="1">IF(OR(Assump!$A$7="USD",Assump!$A$7="EURO"),'Hist &amp; Proj'!V32/'Hist &amp; Proj'!V$8,'Hist &amp; Proj'!V32)</f>
        <v>0</v>
      </c>
      <c r="W28" s="179">
        <f ca="1">IF(OR(Assump!$A$7="USD",Assump!$A$7="EURO"),'Hist &amp; Proj'!W32/'Hist &amp; Proj'!W$8,'Hist &amp; Proj'!W32)</f>
        <v>0</v>
      </c>
      <c r="X28" s="179">
        <f ca="1">IF(OR(Assump!$A$7="USD",Assump!$A$7="EURO"),'Hist &amp; Proj'!X32/'Hist &amp; Proj'!X$8,'Hist &amp; Proj'!X32)</f>
        <v>0</v>
      </c>
      <c r="Y28" s="179">
        <f ca="1">IF(OR(Assump!$A$7="USD",Assump!$A$7="EURO"),'Hist &amp; Proj'!Y32/'Hist &amp; Proj'!Y$8,'Hist &amp; Proj'!Y32)</f>
        <v>0</v>
      </c>
      <c r="Z28" s="179">
        <f ca="1">IF(OR(Assump!$A$7="USD",Assump!$A$7="EURO"),'Hist &amp; Proj'!Z32/'Hist &amp; Proj'!Z$8,'Hist &amp; Proj'!Z32)</f>
        <v>0</v>
      </c>
      <c r="AA28" s="179">
        <f ca="1">IF(OR(Assump!$A$7="USD",Assump!$A$7="EURO"),'Hist &amp; Proj'!AA32/'Hist &amp; Proj'!AA$8,'Hist &amp; Proj'!AA32)</f>
        <v>0</v>
      </c>
      <c r="AB28" s="179">
        <f ca="1">IF(OR(Assump!$A$7="USD",Assump!$A$7="EURO"),'Hist &amp; Proj'!AB32/'Hist &amp; Proj'!AB$8,'Hist &amp; Proj'!AB32)</f>
        <v>0</v>
      </c>
      <c r="AC28" s="179">
        <f ca="1">IF(OR(Assump!$A$7="USD",Assump!$A$7="EURO"),'Hist &amp; Proj'!AC32/'Hist &amp; Proj'!AC$8,'Hist &amp; Proj'!AC32)</f>
        <v>0</v>
      </c>
      <c r="AD28" s="179">
        <f ca="1">IF(OR(Assump!$A$7="USD",Assump!$A$7="EURO"),'Hist &amp; Proj'!AD32/'Hist &amp; Proj'!AD$8,'Hist &amp; Proj'!AD32)</f>
        <v>0</v>
      </c>
      <c r="AE28" s="179" t="e">
        <f ca="1">IF(OR(Assump!$A$7="USD",Assump!$A$7="EURO"),'Hist &amp; Proj'!AE32/'Hist &amp; Proj'!AE$8,'Hist &amp; Proj'!AE32)</f>
        <v>#N/A</v>
      </c>
      <c r="AF28" s="179"/>
      <c r="AG28" s="179"/>
      <c r="AH28" s="367" t="str">
        <f t="shared" ca="1" si="6"/>
        <v>NA</v>
      </c>
      <c r="AJ28" s="179"/>
      <c r="AK28" s="179"/>
      <c r="AL28" s="179"/>
      <c r="AM28" s="179"/>
      <c r="AN28" s="179"/>
      <c r="AP28" s="367" t="str">
        <f t="shared" si="7"/>
        <v>NA</v>
      </c>
    </row>
    <row r="29" spans="1:42" ht="12.75" customHeight="1" outlineLevel="1">
      <c r="A29" s="371" t="str">
        <f>'Hist &amp; Proj'!A33</f>
        <v xml:space="preserve">       Senior Unsecured Debt</v>
      </c>
      <c r="B29" s="179">
        <f>IF(OR(Assump!$A$7="USD",Assump!$A$7="EURO"),'Hist &amp; Proj'!B33/'Hist &amp; Proj'!B$8,'Hist &amp; Proj'!B33)</f>
        <v>0</v>
      </c>
      <c r="C29" s="179">
        <f>IF(OR(Assump!$A$7="USD",Assump!$A$7="EURO"),'Hist &amp; Proj'!C33/'Hist &amp; Proj'!C$8,'Hist &amp; Proj'!C33)</f>
        <v>0</v>
      </c>
      <c r="D29" s="179">
        <f>IF(OR(Assump!$A$7="USD",Assump!$A$7="EURO"),'Hist &amp; Proj'!D33/'Hist &amp; Proj'!D$8,'Hist &amp; Proj'!D33)</f>
        <v>0</v>
      </c>
      <c r="E29" s="179">
        <f>IF(OR(Assump!$A$7="USD",Assump!$A$7="EURO"),'Hist &amp; Proj'!E33/'Hist &amp; Proj'!E$8,'Hist &amp; Proj'!E33)</f>
        <v>0</v>
      </c>
      <c r="F29" s="179">
        <f ca="1">IF(OR(Assump!$A$7="USD",Assump!$A$7="EURO"),'Hist &amp; Proj'!F33/'Hist &amp; Proj'!F$8,'Hist &amp; Proj'!F33)</f>
        <v>0</v>
      </c>
      <c r="G29" s="179">
        <f ca="1">IF(OR(Assump!$A$7="USD",Assump!$A$7="EURO"),'Hist &amp; Proj'!G33/'Hist &amp; Proj'!G$8,'Hist &amp; Proj'!G33)</f>
        <v>0</v>
      </c>
      <c r="H29" s="179">
        <f ca="1">IF(OR(Assump!$A$7="USD",Assump!$A$7="EURO"),'Hist &amp; Proj'!H33/'Hist &amp; Proj'!H$8,'Hist &amp; Proj'!H33)</f>
        <v>0</v>
      </c>
      <c r="I29" s="179">
        <f ca="1">IF(OR(Assump!$A$7="USD",Assump!$A$7="EURO"),'Hist &amp; Proj'!I33/'Hist &amp; Proj'!I$8,'Hist &amp; Proj'!I33)</f>
        <v>0</v>
      </c>
      <c r="J29" s="179">
        <f ca="1">IF(OR(Assump!$A$7="USD",Assump!$A$7="EURO"),'Hist &amp; Proj'!J33/'Hist &amp; Proj'!J$8,'Hist &amp; Proj'!J33)</f>
        <v>0</v>
      </c>
      <c r="K29" s="179">
        <f ca="1">IF(OR(Assump!$A$7="USD",Assump!$A$7="EURO"),'Hist &amp; Proj'!K33/'Hist &amp; Proj'!K$8,'Hist &amp; Proj'!K33)</f>
        <v>0</v>
      </c>
      <c r="L29" s="179">
        <f ca="1">IF(OR(Assump!$A$7="USD",Assump!$A$7="EURO"),'Hist &amp; Proj'!L33/'Hist &amp; Proj'!L$8,'Hist &amp; Proj'!L33)</f>
        <v>0</v>
      </c>
      <c r="M29" s="179">
        <f ca="1">IF(OR(Assump!$A$7="USD",Assump!$A$7="EURO"),'Hist &amp; Proj'!M33/'Hist &amp; Proj'!M$8,'Hist &amp; Proj'!M33)</f>
        <v>0</v>
      </c>
      <c r="N29" s="179">
        <f ca="1">IF(OR(Assump!$A$7="USD",Assump!$A$7="EURO"),'Hist &amp; Proj'!N33/'Hist &amp; Proj'!N$8,'Hist &amp; Proj'!N33)</f>
        <v>0</v>
      </c>
      <c r="O29" s="179">
        <f ca="1">IF(OR(Assump!$A$7="USD",Assump!$A$7="EURO"),'Hist &amp; Proj'!O33/'Hist &amp; Proj'!O$8,'Hist &amp; Proj'!O33)</f>
        <v>0</v>
      </c>
      <c r="P29" s="179">
        <f ca="1">IF(OR(Assump!$A$7="USD",Assump!$A$7="EURO"),'Hist &amp; Proj'!P33/'Hist &amp; Proj'!P$8,'Hist &amp; Proj'!P33)</f>
        <v>0</v>
      </c>
      <c r="Q29" s="179">
        <f ca="1">IF(OR(Assump!$A$7="USD",Assump!$A$7="EURO"),'Hist &amp; Proj'!Q33/'Hist &amp; Proj'!Q$8,'Hist &amp; Proj'!Q33)</f>
        <v>0</v>
      </c>
      <c r="R29" s="179">
        <f ca="1">IF(OR(Assump!$A$7="USD",Assump!$A$7="EURO"),'Hist &amp; Proj'!R33/'Hist &amp; Proj'!R$8,'Hist &amp; Proj'!R33)</f>
        <v>0</v>
      </c>
      <c r="S29" s="179">
        <f ca="1">IF(OR(Assump!$A$7="USD",Assump!$A$7="EURO"),'Hist &amp; Proj'!S33/'Hist &amp; Proj'!S$8,'Hist &amp; Proj'!S33)</f>
        <v>0</v>
      </c>
      <c r="T29" s="179">
        <f ca="1">IF(OR(Assump!$A$7="USD",Assump!$A$7="EURO"),'Hist &amp; Proj'!T33/'Hist &amp; Proj'!T$8,'Hist &amp; Proj'!T33)</f>
        <v>0</v>
      </c>
      <c r="U29" s="179">
        <f ca="1">IF(OR(Assump!$A$7="USD",Assump!$A$7="EURO"),'Hist &amp; Proj'!U33/'Hist &amp; Proj'!U$8,'Hist &amp; Proj'!U33)</f>
        <v>0</v>
      </c>
      <c r="V29" s="179">
        <f ca="1">IF(OR(Assump!$A$7="USD",Assump!$A$7="EURO"),'Hist &amp; Proj'!V33/'Hist &amp; Proj'!V$8,'Hist &amp; Proj'!V33)</f>
        <v>0</v>
      </c>
      <c r="W29" s="179">
        <f ca="1">IF(OR(Assump!$A$7="USD",Assump!$A$7="EURO"),'Hist &amp; Proj'!W33/'Hist &amp; Proj'!W$8,'Hist &amp; Proj'!W33)</f>
        <v>0</v>
      </c>
      <c r="X29" s="179">
        <f ca="1">IF(OR(Assump!$A$7="USD",Assump!$A$7="EURO"),'Hist &amp; Proj'!X33/'Hist &amp; Proj'!X$8,'Hist &amp; Proj'!X33)</f>
        <v>0</v>
      </c>
      <c r="Y29" s="179">
        <f ca="1">IF(OR(Assump!$A$7="USD",Assump!$A$7="EURO"),'Hist &amp; Proj'!Y33/'Hist &amp; Proj'!Y$8,'Hist &amp; Proj'!Y33)</f>
        <v>0</v>
      </c>
      <c r="Z29" s="179">
        <f ca="1">IF(OR(Assump!$A$7="USD",Assump!$A$7="EURO"),'Hist &amp; Proj'!Z33/'Hist &amp; Proj'!Z$8,'Hist &amp; Proj'!Z33)</f>
        <v>0</v>
      </c>
      <c r="AA29" s="179">
        <f ca="1">IF(OR(Assump!$A$7="USD",Assump!$A$7="EURO"),'Hist &amp; Proj'!AA33/'Hist &amp; Proj'!AA$8,'Hist &amp; Proj'!AA33)</f>
        <v>0</v>
      </c>
      <c r="AB29" s="179">
        <f ca="1">IF(OR(Assump!$A$7="USD",Assump!$A$7="EURO"),'Hist &amp; Proj'!AB33/'Hist &amp; Proj'!AB$8,'Hist &amp; Proj'!AB33)</f>
        <v>0</v>
      </c>
      <c r="AC29" s="179">
        <f ca="1">IF(OR(Assump!$A$7="USD",Assump!$A$7="EURO"),'Hist &amp; Proj'!AC33/'Hist &amp; Proj'!AC$8,'Hist &amp; Proj'!AC33)</f>
        <v>0</v>
      </c>
      <c r="AD29" s="179">
        <f ca="1">IF(OR(Assump!$A$7="USD",Assump!$A$7="EURO"),'Hist &amp; Proj'!AD33/'Hist &amp; Proj'!AD$8,'Hist &amp; Proj'!AD33)</f>
        <v>0</v>
      </c>
      <c r="AE29" s="179" t="e">
        <f ca="1">IF(OR(Assump!$A$7="USD",Assump!$A$7="EURO"),'Hist &amp; Proj'!AE33/'Hist &amp; Proj'!AE$8,'Hist &amp; Proj'!AE33)</f>
        <v>#N/A</v>
      </c>
      <c r="AF29" s="179"/>
      <c r="AG29" s="179"/>
      <c r="AH29" s="367" t="str">
        <f t="shared" ca="1" si="6"/>
        <v>NA</v>
      </c>
      <c r="AJ29" s="179"/>
      <c r="AK29" s="179"/>
      <c r="AL29" s="179"/>
      <c r="AM29" s="179"/>
      <c r="AN29" s="179"/>
      <c r="AP29" s="367" t="str">
        <f t="shared" si="7"/>
        <v>NA</v>
      </c>
    </row>
    <row r="30" spans="1:42" ht="12.75" customHeight="1" outlineLevel="1">
      <c r="A30" s="371" t="str">
        <f>'Hist &amp; Proj'!A34</f>
        <v xml:space="preserve">       Subordinated Debt</v>
      </c>
      <c r="B30" s="179">
        <f>IF(OR(Assump!$A$7="USD",Assump!$A$7="EURO"),'Hist &amp; Proj'!B34/'Hist &amp; Proj'!B$8,'Hist &amp; Proj'!B34)</f>
        <v>0</v>
      </c>
      <c r="C30" s="179">
        <f>IF(OR(Assump!$A$7="USD",Assump!$A$7="EURO"),'Hist &amp; Proj'!C34/'Hist &amp; Proj'!C$8,'Hist &amp; Proj'!C34)</f>
        <v>0</v>
      </c>
      <c r="D30" s="179">
        <f>IF(OR(Assump!$A$7="USD",Assump!$A$7="EURO"),'Hist &amp; Proj'!D34/'Hist &amp; Proj'!D$8,'Hist &amp; Proj'!D34)</f>
        <v>0</v>
      </c>
      <c r="E30" s="179">
        <f>IF(OR(Assump!$A$7="USD",Assump!$A$7="EURO"),'Hist &amp; Proj'!E34/'Hist &amp; Proj'!E$8,'Hist &amp; Proj'!E34)</f>
        <v>0</v>
      </c>
      <c r="F30" s="179">
        <f ca="1">IF(OR(Assump!$A$7="USD",Assump!$A$7="EURO"),'Hist &amp; Proj'!F34/'Hist &amp; Proj'!F$8,'Hist &amp; Proj'!F34)</f>
        <v>0</v>
      </c>
      <c r="G30" s="179">
        <f ca="1">IF(OR(Assump!$A$7="USD",Assump!$A$7="EURO"),'Hist &amp; Proj'!G34/'Hist &amp; Proj'!G$8,'Hist &amp; Proj'!G34)</f>
        <v>0</v>
      </c>
      <c r="H30" s="179">
        <f ca="1">IF(OR(Assump!$A$7="USD",Assump!$A$7="EURO"),'Hist &amp; Proj'!H34/'Hist &amp; Proj'!H$8,'Hist &amp; Proj'!H34)</f>
        <v>0</v>
      </c>
      <c r="I30" s="179">
        <f ca="1">IF(OR(Assump!$A$7="USD",Assump!$A$7="EURO"),'Hist &amp; Proj'!I34/'Hist &amp; Proj'!I$8,'Hist &amp; Proj'!I34)</f>
        <v>0</v>
      </c>
      <c r="J30" s="179">
        <f ca="1">IF(OR(Assump!$A$7="USD",Assump!$A$7="EURO"),'Hist &amp; Proj'!J34/'Hist &amp; Proj'!J$8,'Hist &amp; Proj'!J34)</f>
        <v>0</v>
      </c>
      <c r="K30" s="179">
        <f ca="1">IF(OR(Assump!$A$7="USD",Assump!$A$7="EURO"),'Hist &amp; Proj'!K34/'Hist &amp; Proj'!K$8,'Hist &amp; Proj'!K34)</f>
        <v>0</v>
      </c>
      <c r="L30" s="179">
        <f ca="1">IF(OR(Assump!$A$7="USD",Assump!$A$7="EURO"),'Hist &amp; Proj'!L34/'Hist &amp; Proj'!L$8,'Hist &amp; Proj'!L34)</f>
        <v>0</v>
      </c>
      <c r="M30" s="179">
        <f ca="1">IF(OR(Assump!$A$7="USD",Assump!$A$7="EURO"),'Hist &amp; Proj'!M34/'Hist &amp; Proj'!M$8,'Hist &amp; Proj'!M34)</f>
        <v>0</v>
      </c>
      <c r="N30" s="179">
        <f ca="1">IF(OR(Assump!$A$7="USD",Assump!$A$7="EURO"),'Hist &amp; Proj'!N34/'Hist &amp; Proj'!N$8,'Hist &amp; Proj'!N34)</f>
        <v>0</v>
      </c>
      <c r="O30" s="179">
        <f ca="1">IF(OR(Assump!$A$7="USD",Assump!$A$7="EURO"),'Hist &amp; Proj'!O34/'Hist &amp; Proj'!O$8,'Hist &amp; Proj'!O34)</f>
        <v>0</v>
      </c>
      <c r="P30" s="179">
        <f ca="1">IF(OR(Assump!$A$7="USD",Assump!$A$7="EURO"),'Hist &amp; Proj'!P34/'Hist &amp; Proj'!P$8,'Hist &amp; Proj'!P34)</f>
        <v>0</v>
      </c>
      <c r="Q30" s="179">
        <f ca="1">IF(OR(Assump!$A$7="USD",Assump!$A$7="EURO"),'Hist &amp; Proj'!Q34/'Hist &amp; Proj'!Q$8,'Hist &amp; Proj'!Q34)</f>
        <v>0</v>
      </c>
      <c r="R30" s="179">
        <f ca="1">IF(OR(Assump!$A$7="USD",Assump!$A$7="EURO"),'Hist &amp; Proj'!R34/'Hist &amp; Proj'!R$8,'Hist &amp; Proj'!R34)</f>
        <v>0</v>
      </c>
      <c r="S30" s="179">
        <f ca="1">IF(OR(Assump!$A$7="USD",Assump!$A$7="EURO"),'Hist &amp; Proj'!S34/'Hist &amp; Proj'!S$8,'Hist &amp; Proj'!S34)</f>
        <v>0</v>
      </c>
      <c r="T30" s="179">
        <f ca="1">IF(OR(Assump!$A$7="USD",Assump!$A$7="EURO"),'Hist &amp; Proj'!T34/'Hist &amp; Proj'!T$8,'Hist &amp; Proj'!T34)</f>
        <v>0</v>
      </c>
      <c r="U30" s="179">
        <f ca="1">IF(OR(Assump!$A$7="USD",Assump!$A$7="EURO"),'Hist &amp; Proj'!U34/'Hist &amp; Proj'!U$8,'Hist &amp; Proj'!U34)</f>
        <v>0</v>
      </c>
      <c r="V30" s="179">
        <f ca="1">IF(OR(Assump!$A$7="USD",Assump!$A$7="EURO"),'Hist &amp; Proj'!V34/'Hist &amp; Proj'!V$8,'Hist &amp; Proj'!V34)</f>
        <v>0</v>
      </c>
      <c r="W30" s="179">
        <f ca="1">IF(OR(Assump!$A$7="USD",Assump!$A$7="EURO"),'Hist &amp; Proj'!W34/'Hist &amp; Proj'!W$8,'Hist &amp; Proj'!W34)</f>
        <v>0</v>
      </c>
      <c r="X30" s="179">
        <f ca="1">IF(OR(Assump!$A$7="USD",Assump!$A$7="EURO"),'Hist &amp; Proj'!X34/'Hist &amp; Proj'!X$8,'Hist &amp; Proj'!X34)</f>
        <v>0</v>
      </c>
      <c r="Y30" s="179">
        <f ca="1">IF(OR(Assump!$A$7="USD",Assump!$A$7="EURO"),'Hist &amp; Proj'!Y34/'Hist &amp; Proj'!Y$8,'Hist &amp; Proj'!Y34)</f>
        <v>0</v>
      </c>
      <c r="Z30" s="179">
        <f ca="1">IF(OR(Assump!$A$7="USD",Assump!$A$7="EURO"),'Hist &amp; Proj'!Z34/'Hist &amp; Proj'!Z$8,'Hist &amp; Proj'!Z34)</f>
        <v>0</v>
      </c>
      <c r="AA30" s="179">
        <f ca="1">IF(OR(Assump!$A$7="USD",Assump!$A$7="EURO"),'Hist &amp; Proj'!AA34/'Hist &amp; Proj'!AA$8,'Hist &amp; Proj'!AA34)</f>
        <v>0</v>
      </c>
      <c r="AB30" s="179">
        <f ca="1">IF(OR(Assump!$A$7="USD",Assump!$A$7="EURO"),'Hist &amp; Proj'!AB34/'Hist &amp; Proj'!AB$8,'Hist &amp; Proj'!AB34)</f>
        <v>0</v>
      </c>
      <c r="AC30" s="179">
        <f ca="1">IF(OR(Assump!$A$7="USD",Assump!$A$7="EURO"),'Hist &amp; Proj'!AC34/'Hist &amp; Proj'!AC$8,'Hist &amp; Proj'!AC34)</f>
        <v>0</v>
      </c>
      <c r="AD30" s="179">
        <f ca="1">IF(OR(Assump!$A$7="USD",Assump!$A$7="EURO"),'Hist &amp; Proj'!AD34/'Hist &amp; Proj'!AD$8,'Hist &amp; Proj'!AD34)</f>
        <v>0</v>
      </c>
      <c r="AE30" s="179" t="e">
        <f ca="1">IF(OR(Assump!$A$7="USD",Assump!$A$7="EURO"),'Hist &amp; Proj'!AE34/'Hist &amp; Proj'!AE$8,'Hist &amp; Proj'!AE34)</f>
        <v>#N/A</v>
      </c>
      <c r="AF30" s="179"/>
      <c r="AG30" s="179"/>
      <c r="AH30" s="367" t="str">
        <f t="shared" ca="1" si="6"/>
        <v>NA</v>
      </c>
      <c r="AJ30" s="179"/>
      <c r="AK30" s="179"/>
      <c r="AL30" s="179"/>
      <c r="AM30" s="179"/>
      <c r="AN30" s="179"/>
      <c r="AP30" s="367" t="str">
        <f t="shared" si="7"/>
        <v>NA</v>
      </c>
    </row>
    <row r="31" spans="1:42">
      <c r="A31" s="127" t="str">
        <f>'Hist &amp; Proj'!A35</f>
        <v>Other Liabilities</v>
      </c>
      <c r="B31" s="179">
        <f>IF(OR(Assump!$A$7="USD",Assump!$A$7="EURO"),'Hist &amp; Proj'!B35/'Hist &amp; Proj'!B$8,'Hist &amp; Proj'!B35)</f>
        <v>0</v>
      </c>
      <c r="C31" s="179">
        <f>IF(OR(Assump!$A$7="USD",Assump!$A$7="EURO"),'Hist &amp; Proj'!C35/'Hist &amp; Proj'!C$8,'Hist &amp; Proj'!C35)</f>
        <v>0</v>
      </c>
      <c r="D31" s="179">
        <f>IF(OR(Assump!$A$7="USD",Assump!$A$7="EURO"),'Hist &amp; Proj'!D35/'Hist &amp; Proj'!D$8,'Hist &amp; Proj'!D35)</f>
        <v>0</v>
      </c>
      <c r="E31" s="179">
        <f>IF(OR(Assump!$A$7="USD",Assump!$A$7="EURO"),'Hist &amp; Proj'!E35/'Hist &amp; Proj'!E$8,'Hist &amp; Proj'!E35)</f>
        <v>0</v>
      </c>
      <c r="F31" s="179">
        <f ca="1">IF(OR(Assump!$A$7="USD",Assump!$A$7="EURO"),'Hist &amp; Proj'!F35/'Hist &amp; Proj'!F$8,'Hist &amp; Proj'!F35)</f>
        <v>0</v>
      </c>
      <c r="G31" s="179">
        <f ca="1">IF(OR(Assump!$A$7="USD",Assump!$A$7="EURO"),'Hist &amp; Proj'!G35/'Hist &amp; Proj'!G$8,'Hist &amp; Proj'!G35)</f>
        <v>0</v>
      </c>
      <c r="H31" s="179">
        <f ca="1">IF(OR(Assump!$A$7="USD",Assump!$A$7="EURO"),'Hist &amp; Proj'!H35/'Hist &amp; Proj'!H$8,'Hist &amp; Proj'!H35)</f>
        <v>0</v>
      </c>
      <c r="I31" s="179">
        <f ca="1">IF(OR(Assump!$A$7="USD",Assump!$A$7="EURO"),'Hist &amp; Proj'!I35/'Hist &amp; Proj'!I$8,'Hist &amp; Proj'!I35)</f>
        <v>0</v>
      </c>
      <c r="J31" s="179">
        <f ca="1">IF(OR(Assump!$A$7="USD",Assump!$A$7="EURO"),'Hist &amp; Proj'!J35/'Hist &amp; Proj'!J$8,'Hist &amp; Proj'!J35)</f>
        <v>0</v>
      </c>
      <c r="K31" s="179">
        <f ca="1">IF(OR(Assump!$A$7="USD",Assump!$A$7="EURO"),'Hist &amp; Proj'!K35/'Hist &amp; Proj'!K$8,'Hist &amp; Proj'!K35)</f>
        <v>0</v>
      </c>
      <c r="L31" s="179">
        <f ca="1">IF(OR(Assump!$A$7="USD",Assump!$A$7="EURO"),'Hist &amp; Proj'!L35/'Hist &amp; Proj'!L$8,'Hist &amp; Proj'!L35)</f>
        <v>0</v>
      </c>
      <c r="M31" s="179">
        <f ca="1">IF(OR(Assump!$A$7="USD",Assump!$A$7="EURO"),'Hist &amp; Proj'!M35/'Hist &amp; Proj'!M$8,'Hist &amp; Proj'!M35)</f>
        <v>0</v>
      </c>
      <c r="N31" s="179">
        <f ca="1">IF(OR(Assump!$A$7="USD",Assump!$A$7="EURO"),'Hist &amp; Proj'!N35/'Hist &amp; Proj'!N$8,'Hist &amp; Proj'!N35)</f>
        <v>0</v>
      </c>
      <c r="O31" s="179">
        <f ca="1">IF(OR(Assump!$A$7="USD",Assump!$A$7="EURO"),'Hist &amp; Proj'!O35/'Hist &amp; Proj'!O$8,'Hist &amp; Proj'!O35)</f>
        <v>0</v>
      </c>
      <c r="P31" s="179">
        <f ca="1">IF(OR(Assump!$A$7="USD",Assump!$A$7="EURO"),'Hist &amp; Proj'!P35/'Hist &amp; Proj'!P$8,'Hist &amp; Proj'!P35)</f>
        <v>0</v>
      </c>
      <c r="Q31" s="179">
        <f ca="1">IF(OR(Assump!$A$7="USD",Assump!$A$7="EURO"),'Hist &amp; Proj'!Q35/'Hist &amp; Proj'!Q$8,'Hist &amp; Proj'!Q35)</f>
        <v>0</v>
      </c>
      <c r="R31" s="179">
        <f ca="1">IF(OR(Assump!$A$7="USD",Assump!$A$7="EURO"),'Hist &amp; Proj'!R35/'Hist &amp; Proj'!R$8,'Hist &amp; Proj'!R35)</f>
        <v>0</v>
      </c>
      <c r="S31" s="179">
        <f ca="1">IF(OR(Assump!$A$7="USD",Assump!$A$7="EURO"),'Hist &amp; Proj'!S35/'Hist &amp; Proj'!S$8,'Hist &amp; Proj'!S35)</f>
        <v>0</v>
      </c>
      <c r="T31" s="179">
        <f ca="1">IF(OR(Assump!$A$7="USD",Assump!$A$7="EURO"),'Hist &amp; Proj'!T35/'Hist &amp; Proj'!T$8,'Hist &amp; Proj'!T35)</f>
        <v>0</v>
      </c>
      <c r="U31" s="179">
        <f ca="1">IF(OR(Assump!$A$7="USD",Assump!$A$7="EURO"),'Hist &amp; Proj'!U35/'Hist &amp; Proj'!U$8,'Hist &amp; Proj'!U35)</f>
        <v>0</v>
      </c>
      <c r="V31" s="179">
        <f ca="1">IF(OR(Assump!$A$7="USD",Assump!$A$7="EURO"),'Hist &amp; Proj'!V35/'Hist &amp; Proj'!V$8,'Hist &amp; Proj'!V35)</f>
        <v>0</v>
      </c>
      <c r="W31" s="179">
        <f ca="1">IF(OR(Assump!$A$7="USD",Assump!$A$7="EURO"),'Hist &amp; Proj'!W35/'Hist &amp; Proj'!W$8,'Hist &amp; Proj'!W35)</f>
        <v>0</v>
      </c>
      <c r="X31" s="179">
        <f ca="1">IF(OR(Assump!$A$7="USD",Assump!$A$7="EURO"),'Hist &amp; Proj'!X35/'Hist &amp; Proj'!X$8,'Hist &amp; Proj'!X35)</f>
        <v>0</v>
      </c>
      <c r="Y31" s="179">
        <f ca="1">IF(OR(Assump!$A$7="USD",Assump!$A$7="EURO"),'Hist &amp; Proj'!Y35/'Hist &amp; Proj'!Y$8,'Hist &amp; Proj'!Y35)</f>
        <v>0</v>
      </c>
      <c r="Z31" s="179">
        <f ca="1">IF(OR(Assump!$A$7="USD",Assump!$A$7="EURO"),'Hist &amp; Proj'!Z35/'Hist &amp; Proj'!Z$8,'Hist &amp; Proj'!Z35)</f>
        <v>0</v>
      </c>
      <c r="AA31" s="179">
        <f ca="1">IF(OR(Assump!$A$7="USD",Assump!$A$7="EURO"),'Hist &amp; Proj'!AA35/'Hist &amp; Proj'!AA$8,'Hist &amp; Proj'!AA35)</f>
        <v>0</v>
      </c>
      <c r="AB31" s="179">
        <f ca="1">IF(OR(Assump!$A$7="USD",Assump!$A$7="EURO"),'Hist &amp; Proj'!AB35/'Hist &amp; Proj'!AB$8,'Hist &amp; Proj'!AB35)</f>
        <v>0</v>
      </c>
      <c r="AC31" s="179">
        <f ca="1">IF(OR(Assump!$A$7="USD",Assump!$A$7="EURO"),'Hist &amp; Proj'!AC35/'Hist &amp; Proj'!AC$8,'Hist &amp; Proj'!AC35)</f>
        <v>0</v>
      </c>
      <c r="AD31" s="179">
        <f ca="1">IF(OR(Assump!$A$7="USD",Assump!$A$7="EURO"),'Hist &amp; Proj'!AD35/'Hist &amp; Proj'!AD$8,'Hist &amp; Proj'!AD35)</f>
        <v>0</v>
      </c>
      <c r="AE31" s="179" t="e">
        <f ca="1">IF(OR(Assump!$A$7="USD",Assump!$A$7="EURO"),'Hist &amp; Proj'!AE35/'Hist &amp; Proj'!AE$8,'Hist &amp; Proj'!AE35)</f>
        <v>#N/A</v>
      </c>
      <c r="AF31" s="179"/>
      <c r="AG31" s="179"/>
      <c r="AH31" s="367" t="str">
        <f t="shared" ca="1" si="6"/>
        <v>NA</v>
      </c>
      <c r="AJ31" s="179">
        <f ca="1">Assump!AJ14</f>
        <v>0</v>
      </c>
      <c r="AK31" s="179">
        <f ca="1">Assump!AK14</f>
        <v>0</v>
      </c>
      <c r="AL31" s="179">
        <f ca="1">Assump!AL14</f>
        <v>0</v>
      </c>
      <c r="AM31" s="179">
        <f ca="1">Assump!AM14</f>
        <v>0</v>
      </c>
      <c r="AN31" s="179">
        <f ca="1">Assump!AN14</f>
        <v>0</v>
      </c>
      <c r="AP31" s="367" t="str">
        <f t="shared" ca="1" si="7"/>
        <v>NA</v>
      </c>
    </row>
    <row r="32" spans="1:42">
      <c r="A32" s="172" t="str">
        <f>'Hist &amp; Proj'!A36</f>
        <v>Total Liabilities</v>
      </c>
      <c r="B32" s="184">
        <f t="shared" ref="B32:AE32" si="8">SUM(B24:B25,B31)</f>
        <v>0</v>
      </c>
      <c r="C32" s="184">
        <f t="shared" si="8"/>
        <v>0</v>
      </c>
      <c r="D32" s="184">
        <f t="shared" si="8"/>
        <v>0</v>
      </c>
      <c r="E32" s="184">
        <f t="shared" si="8"/>
        <v>0</v>
      </c>
      <c r="F32" s="184">
        <f t="shared" ca="1" si="8"/>
        <v>0</v>
      </c>
      <c r="G32" s="184">
        <f t="shared" ca="1" si="8"/>
        <v>0</v>
      </c>
      <c r="H32" s="184">
        <f t="shared" ca="1" si="8"/>
        <v>0</v>
      </c>
      <c r="I32" s="184">
        <f t="shared" ca="1" si="8"/>
        <v>0</v>
      </c>
      <c r="J32" s="184">
        <f t="shared" ca="1" si="8"/>
        <v>0</v>
      </c>
      <c r="K32" s="184">
        <f t="shared" ca="1" si="8"/>
        <v>0</v>
      </c>
      <c r="L32" s="184">
        <f t="shared" ca="1" si="8"/>
        <v>0</v>
      </c>
      <c r="M32" s="184">
        <f t="shared" ca="1" si="8"/>
        <v>0</v>
      </c>
      <c r="N32" s="184">
        <f t="shared" ca="1" si="8"/>
        <v>0</v>
      </c>
      <c r="O32" s="184">
        <f t="shared" ca="1" si="8"/>
        <v>0</v>
      </c>
      <c r="P32" s="184">
        <f t="shared" ca="1" si="8"/>
        <v>0</v>
      </c>
      <c r="Q32" s="184">
        <f t="shared" ca="1" si="8"/>
        <v>0</v>
      </c>
      <c r="R32" s="184">
        <f t="shared" ca="1" si="8"/>
        <v>0</v>
      </c>
      <c r="S32" s="184">
        <f t="shared" ca="1" si="8"/>
        <v>0</v>
      </c>
      <c r="T32" s="184">
        <f t="shared" ca="1" si="8"/>
        <v>0</v>
      </c>
      <c r="U32" s="184">
        <f t="shared" ca="1" si="8"/>
        <v>0</v>
      </c>
      <c r="V32" s="184">
        <f t="shared" ca="1" si="8"/>
        <v>0</v>
      </c>
      <c r="W32" s="184">
        <f t="shared" ca="1" si="8"/>
        <v>0</v>
      </c>
      <c r="X32" s="184">
        <f t="shared" ca="1" si="8"/>
        <v>0</v>
      </c>
      <c r="Y32" s="184">
        <f t="shared" ca="1" si="8"/>
        <v>0</v>
      </c>
      <c r="Z32" s="184">
        <f t="shared" ca="1" si="8"/>
        <v>0</v>
      </c>
      <c r="AA32" s="184">
        <f t="shared" ca="1" si="8"/>
        <v>0</v>
      </c>
      <c r="AB32" s="184">
        <f t="shared" ca="1" si="8"/>
        <v>0</v>
      </c>
      <c r="AC32" s="184">
        <f t="shared" ca="1" si="8"/>
        <v>0</v>
      </c>
      <c r="AD32" s="184">
        <f t="shared" ca="1" si="8"/>
        <v>0</v>
      </c>
      <c r="AE32" s="184" t="e">
        <f t="shared" ca="1" si="8"/>
        <v>#N/A</v>
      </c>
      <c r="AH32" s="369" t="str">
        <f t="shared" ca="1" si="6"/>
        <v>NA</v>
      </c>
      <c r="AJ32" s="184" t="e">
        <f ca="1">SUM(AJ24:AJ25,AJ31)</f>
        <v>#DIV/0!</v>
      </c>
      <c r="AK32" s="184" t="e">
        <f ca="1">SUM(AK24:AK25,AK31)</f>
        <v>#DIV/0!</v>
      </c>
      <c r="AL32" s="184" t="e">
        <f ca="1">SUM(AL24:AL25,AL31)</f>
        <v>#DIV/0!</v>
      </c>
      <c r="AM32" s="184" t="e">
        <f ca="1">SUM(AM24:AM25,AM31)</f>
        <v>#DIV/0!</v>
      </c>
      <c r="AN32" s="184" t="e">
        <f ca="1">SUM(AN24:AN25,AN31)</f>
        <v>#DIV/0!</v>
      </c>
      <c r="AP32" s="369" t="str">
        <f t="shared" ca="1" si="7"/>
        <v>NA</v>
      </c>
    </row>
    <row r="33" spans="1:42" ht="5.25" customHeight="1">
      <c r="A33" s="181"/>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c r="AE33" s="181"/>
      <c r="AH33" s="178"/>
      <c r="AJ33" s="181"/>
      <c r="AK33" s="181"/>
      <c r="AL33" s="181"/>
      <c r="AM33" s="181"/>
      <c r="AN33" s="181"/>
      <c r="AP33" s="178"/>
    </row>
    <row r="34" spans="1:42" outlineLevel="1">
      <c r="A34" s="172"/>
      <c r="B34" s="179"/>
      <c r="C34" s="179"/>
      <c r="D34" s="179"/>
      <c r="E34" s="179"/>
      <c r="F34" s="179"/>
      <c r="G34" s="179"/>
      <c r="H34" s="179"/>
      <c r="I34" s="179"/>
      <c r="J34" s="179"/>
      <c r="K34" s="179"/>
      <c r="L34" s="179"/>
      <c r="M34" s="179"/>
      <c r="N34" s="179"/>
      <c r="O34" s="179"/>
      <c r="P34" s="179"/>
      <c r="Q34" s="179"/>
      <c r="R34" s="179"/>
      <c r="S34" s="179"/>
      <c r="T34" s="179"/>
      <c r="U34" s="179"/>
      <c r="V34" s="179"/>
      <c r="W34" s="179"/>
      <c r="X34" s="179"/>
      <c r="Y34" s="179"/>
      <c r="Z34" s="179"/>
      <c r="AA34" s="179"/>
      <c r="AB34" s="179"/>
      <c r="AC34" s="179"/>
      <c r="AD34" s="179"/>
      <c r="AE34" s="179"/>
      <c r="AH34" s="367"/>
      <c r="AJ34" s="179"/>
      <c r="AK34" s="179"/>
      <c r="AL34" s="179"/>
      <c r="AM34" s="179"/>
      <c r="AN34" s="179"/>
      <c r="AP34" s="367"/>
    </row>
    <row r="35" spans="1:42" s="170" customFormat="1" outlineLevel="1">
      <c r="A35" s="519" t="str">
        <f>'Hist &amp; Proj'!A39</f>
        <v xml:space="preserve">   Donated Equity and paid-in-capital </v>
      </c>
      <c r="B35" s="179">
        <f>IF(OR(Assump!$A$7="USD",Assump!$A$7="EURO"),'Hist &amp; Proj'!B39/'Hist &amp; Proj'!B$8,'Hist &amp; Proj'!B39)</f>
        <v>0</v>
      </c>
      <c r="C35" s="179">
        <f>IF(OR(Assump!$A$7="USD",Assump!$A$7="EURO"),'Hist &amp; Proj'!C39/'Hist &amp; Proj'!C$8,'Hist &amp; Proj'!C39)</f>
        <v>0</v>
      </c>
      <c r="D35" s="179">
        <f>IF(OR(Assump!$A$7="USD",Assump!$A$7="EURO"),'Hist &amp; Proj'!D39/'Hist &amp; Proj'!D$8,'Hist &amp; Proj'!D39)</f>
        <v>0</v>
      </c>
      <c r="E35" s="179">
        <f>IF(OR(Assump!$A$7="USD",Assump!$A$7="EURO"),'Hist &amp; Proj'!E39/'Hist &amp; Proj'!E$8,'Hist &amp; Proj'!E39)</f>
        <v>0</v>
      </c>
      <c r="F35" s="179">
        <f ca="1">IF(OR(Assump!$A$7="USD",Assump!$A$7="EURO"),'Hist &amp; Proj'!F39/'Hist &amp; Proj'!F$8,'Hist &amp; Proj'!F39)</f>
        <v>0</v>
      </c>
      <c r="G35" s="179">
        <f ca="1">IF(OR(Assump!$A$7="USD",Assump!$A$7="EURO"),'Hist &amp; Proj'!G39/'Hist &amp; Proj'!G$8,'Hist &amp; Proj'!G39)</f>
        <v>0</v>
      </c>
      <c r="H35" s="179">
        <f ca="1">IF(OR(Assump!$A$7="USD",Assump!$A$7="EURO"),'Hist &amp; Proj'!H39/'Hist &amp; Proj'!H$8,'Hist &amp; Proj'!H39)</f>
        <v>0</v>
      </c>
      <c r="I35" s="179">
        <f ca="1">IF(OR(Assump!$A$7="USD",Assump!$A$7="EURO"),'Hist &amp; Proj'!I39/'Hist &amp; Proj'!I$8,'Hist &amp; Proj'!I39)</f>
        <v>0</v>
      </c>
      <c r="J35" s="179">
        <f ca="1">IF(OR(Assump!$A$7="USD",Assump!$A$7="EURO"),'Hist &amp; Proj'!J39/'Hist &amp; Proj'!J$8,'Hist &amp; Proj'!J39)</f>
        <v>0</v>
      </c>
      <c r="K35" s="179">
        <f ca="1">IF(OR(Assump!$A$7="USD",Assump!$A$7="EURO"),'Hist &amp; Proj'!K39/'Hist &amp; Proj'!K$8,'Hist &amp; Proj'!K39)</f>
        <v>0</v>
      </c>
      <c r="L35" s="179">
        <f ca="1">IF(OR(Assump!$A$7="USD",Assump!$A$7="EURO"),'Hist &amp; Proj'!L39/'Hist &amp; Proj'!L$8,'Hist &amp; Proj'!L39)</f>
        <v>0</v>
      </c>
      <c r="M35" s="179">
        <f ca="1">IF(OR(Assump!$A$7="USD",Assump!$A$7="EURO"),'Hist &amp; Proj'!M39/'Hist &amp; Proj'!M$8,'Hist &amp; Proj'!M39)</f>
        <v>0</v>
      </c>
      <c r="N35" s="179">
        <f ca="1">IF(OR(Assump!$A$7="USD",Assump!$A$7="EURO"),'Hist &amp; Proj'!N39/'Hist &amp; Proj'!N$8,'Hist &amp; Proj'!N39)</f>
        <v>0</v>
      </c>
      <c r="O35" s="179">
        <f ca="1">IF(OR(Assump!$A$7="USD",Assump!$A$7="EURO"),'Hist &amp; Proj'!O39/'Hist &amp; Proj'!O$8,'Hist &amp; Proj'!O39)</f>
        <v>0</v>
      </c>
      <c r="P35" s="179">
        <f ca="1">IF(OR(Assump!$A$7="USD",Assump!$A$7="EURO"),'Hist &amp; Proj'!P39/'Hist &amp; Proj'!P$8,'Hist &amp; Proj'!P39)</f>
        <v>0</v>
      </c>
      <c r="Q35" s="179">
        <f ca="1">IF(OR(Assump!$A$7="USD",Assump!$A$7="EURO"),'Hist &amp; Proj'!Q39/'Hist &amp; Proj'!Q$8,'Hist &amp; Proj'!Q39)</f>
        <v>0</v>
      </c>
      <c r="R35" s="179">
        <f ca="1">IF(OR(Assump!$A$7="USD",Assump!$A$7="EURO"),'Hist &amp; Proj'!R39/'Hist &amp; Proj'!R$8,'Hist &amp; Proj'!R39)</f>
        <v>0</v>
      </c>
      <c r="S35" s="179">
        <f ca="1">IF(OR(Assump!$A$7="USD",Assump!$A$7="EURO"),'Hist &amp; Proj'!S39/'Hist &amp; Proj'!S$8,'Hist &amp; Proj'!S39)</f>
        <v>0</v>
      </c>
      <c r="T35" s="179">
        <f ca="1">IF(OR(Assump!$A$7="USD",Assump!$A$7="EURO"),'Hist &amp; Proj'!T39/'Hist &amp; Proj'!T$8,'Hist &amp; Proj'!T39)</f>
        <v>0</v>
      </c>
      <c r="U35" s="179">
        <f ca="1">IF(OR(Assump!$A$7="USD",Assump!$A$7="EURO"),'Hist &amp; Proj'!U39/'Hist &amp; Proj'!U$8,'Hist &amp; Proj'!U39)</f>
        <v>0</v>
      </c>
      <c r="V35" s="179">
        <f ca="1">IF(OR(Assump!$A$7="USD",Assump!$A$7="EURO"),'Hist &amp; Proj'!V39/'Hist &amp; Proj'!V$8,'Hist &amp; Proj'!V39)</f>
        <v>0</v>
      </c>
      <c r="W35" s="179">
        <f ca="1">IF(OR(Assump!$A$7="USD",Assump!$A$7="EURO"),'Hist &amp; Proj'!W39/'Hist &amp; Proj'!W$8,'Hist &amp; Proj'!W39)</f>
        <v>0</v>
      </c>
      <c r="X35" s="179">
        <f ca="1">IF(OR(Assump!$A$7="USD",Assump!$A$7="EURO"),'Hist &amp; Proj'!X39/'Hist &amp; Proj'!X$8,'Hist &amp; Proj'!X39)</f>
        <v>0</v>
      </c>
      <c r="Y35" s="179">
        <f ca="1">IF(OR(Assump!$A$7="USD",Assump!$A$7="EURO"),'Hist &amp; Proj'!Y39/'Hist &amp; Proj'!Y$8,'Hist &amp; Proj'!Y39)</f>
        <v>0</v>
      </c>
      <c r="Z35" s="179">
        <f ca="1">IF(OR(Assump!$A$7="USD",Assump!$A$7="EURO"),'Hist &amp; Proj'!Z39/'Hist &amp; Proj'!Z$8,'Hist &amp; Proj'!Z39)</f>
        <v>0</v>
      </c>
      <c r="AA35" s="179">
        <f ca="1">IF(OR(Assump!$A$7="USD",Assump!$A$7="EURO"),'Hist &amp; Proj'!AA39/'Hist &amp; Proj'!AA$8,'Hist &amp; Proj'!AA39)</f>
        <v>0</v>
      </c>
      <c r="AB35" s="179">
        <f ca="1">IF(OR(Assump!$A$7="USD",Assump!$A$7="EURO"),'Hist &amp; Proj'!AB39/'Hist &amp; Proj'!AB$8,'Hist &amp; Proj'!AB39)</f>
        <v>0</v>
      </c>
      <c r="AC35" s="179">
        <f ca="1">IF(OR(Assump!$A$7="USD",Assump!$A$7="EURO"),'Hist &amp; Proj'!AC39/'Hist &amp; Proj'!AC$8,'Hist &amp; Proj'!AC39)</f>
        <v>0</v>
      </c>
      <c r="AD35" s="179">
        <f ca="1">IF(OR(Assump!$A$7="USD",Assump!$A$7="EURO"),'Hist &amp; Proj'!AD39/'Hist &amp; Proj'!AD$8,'Hist &amp; Proj'!AD39)</f>
        <v>0</v>
      </c>
      <c r="AE35" s="179" t="e">
        <f ca="1">IF(OR(Assump!$A$7="USD",Assump!$A$7="EURO"),'Hist &amp; Proj'!AE39/'Hist &amp; Proj'!AE$8,'Hist &amp; Proj'!AE39)</f>
        <v>#N/A</v>
      </c>
      <c r="AF35" s="179"/>
      <c r="AG35" s="179"/>
      <c r="AH35" s="367" t="str">
        <f ca="1">IFERROR(RATE(3,0,-C35,R35),"NA")</f>
        <v>NA</v>
      </c>
      <c r="AJ35" s="179">
        <f ca="1">IF(Assump!$AM$8=3,'Mgmt Backup'!AJ35,SUM(R35,Assump!AV16))</f>
        <v>0</v>
      </c>
      <c r="AK35" s="179">
        <f ca="1">IF(Assump!$AM$8=3,'Mgmt Backup'!AK35,SUM(AJ35,Assump!AW16))</f>
        <v>0</v>
      </c>
      <c r="AL35" s="179">
        <f ca="1">IF(Assump!$AM$8=3,'Mgmt Backup'!AL35,SUM(AK35,Assump!AX16))</f>
        <v>0</v>
      </c>
      <c r="AM35" s="179">
        <f ca="1">IF(Assump!$AM$8=3,'Mgmt Backup'!AM35,SUM(AL35,Assump!AY16))</f>
        <v>0</v>
      </c>
      <c r="AN35" s="179">
        <f ca="1">IF(Assump!$AM$8=3,'Mgmt Backup'!AN35,SUM(AM35,Assump!AZ16))</f>
        <v>0</v>
      </c>
      <c r="AO35" s="208"/>
      <c r="AP35" s="367" t="str">
        <f ca="1">IFERROR(RATE(4,0,-AJ35,AN35),"NA")</f>
        <v>NA</v>
      </c>
    </row>
    <row r="36" spans="1:42" s="170" customFormat="1" outlineLevel="1" collapsed="1">
      <c r="A36" s="519" t="str">
        <f>'Hist &amp; Proj'!A40</f>
        <v xml:space="preserve">   Retained Earnings, Reserves &amp; Other</v>
      </c>
      <c r="B36" s="179">
        <f>IF(OR(Assump!$A$7="USD",Assump!$A$7="EURO"),'Hist &amp; Proj'!B40/'Hist &amp; Proj'!B$8,'Hist &amp; Proj'!B40)</f>
        <v>0</v>
      </c>
      <c r="C36" s="179">
        <f>IF(OR(Assump!$A$7="USD",Assump!$A$7="EURO"),'Hist &amp; Proj'!C40/'Hist &amp; Proj'!C$8,'Hist &amp; Proj'!C40)</f>
        <v>0</v>
      </c>
      <c r="D36" s="179">
        <f>IF(OR(Assump!$A$7="USD",Assump!$A$7="EURO"),'Hist &amp; Proj'!D40/'Hist &amp; Proj'!D$8,'Hist &amp; Proj'!D40)</f>
        <v>0</v>
      </c>
      <c r="E36" s="179">
        <f>IF(OR(Assump!$A$7="USD",Assump!$A$7="EURO"),'Hist &amp; Proj'!E40/'Hist &amp; Proj'!E$8,'Hist &amp; Proj'!E40)</f>
        <v>0</v>
      </c>
      <c r="F36" s="179">
        <f ca="1">IF(OR(Assump!$A$7="USD",Assump!$A$7="EURO"),'Hist &amp; Proj'!F40/'Hist &amp; Proj'!F$8,'Hist &amp; Proj'!F40)</f>
        <v>0</v>
      </c>
      <c r="G36" s="179">
        <f ca="1">IF(OR(Assump!$A$7="USD",Assump!$A$7="EURO"),'Hist &amp; Proj'!G40/'Hist &amp; Proj'!G$8,'Hist &amp; Proj'!G40)</f>
        <v>0</v>
      </c>
      <c r="H36" s="179">
        <f ca="1">IF(OR(Assump!$A$7="USD",Assump!$A$7="EURO"),'Hist &amp; Proj'!H40/'Hist &amp; Proj'!H$8,'Hist &amp; Proj'!H40)</f>
        <v>0</v>
      </c>
      <c r="I36" s="179">
        <f ca="1">IF(OR(Assump!$A$7="USD",Assump!$A$7="EURO"),'Hist &amp; Proj'!I40/'Hist &amp; Proj'!I$8,'Hist &amp; Proj'!I40)</f>
        <v>0</v>
      </c>
      <c r="J36" s="179">
        <f ca="1">IF(OR(Assump!$A$7="USD",Assump!$A$7="EURO"),'Hist &amp; Proj'!J40/'Hist &amp; Proj'!J$8,'Hist &amp; Proj'!J40)</f>
        <v>0</v>
      </c>
      <c r="K36" s="179">
        <f ca="1">IF(OR(Assump!$A$7="USD",Assump!$A$7="EURO"),'Hist &amp; Proj'!K40/'Hist &amp; Proj'!K$8,'Hist &amp; Proj'!K40)</f>
        <v>0</v>
      </c>
      <c r="L36" s="179">
        <f ca="1">IF(OR(Assump!$A$7="USD",Assump!$A$7="EURO"),'Hist &amp; Proj'!L40/'Hist &amp; Proj'!L$8,'Hist &amp; Proj'!L40)</f>
        <v>0</v>
      </c>
      <c r="M36" s="179">
        <f ca="1">IF(OR(Assump!$A$7="USD",Assump!$A$7="EURO"),'Hist &amp; Proj'!M40/'Hist &amp; Proj'!M$8,'Hist &amp; Proj'!M40)</f>
        <v>0</v>
      </c>
      <c r="N36" s="179">
        <f ca="1">IF(OR(Assump!$A$7="USD",Assump!$A$7="EURO"),'Hist &amp; Proj'!N40/'Hist &amp; Proj'!N$8,'Hist &amp; Proj'!N40)</f>
        <v>0</v>
      </c>
      <c r="O36" s="179">
        <f ca="1">IF(OR(Assump!$A$7="USD",Assump!$A$7="EURO"),'Hist &amp; Proj'!O40/'Hist &amp; Proj'!O$8,'Hist &amp; Proj'!O40)</f>
        <v>0</v>
      </c>
      <c r="P36" s="179">
        <f ca="1">IF(OR(Assump!$A$7="USD",Assump!$A$7="EURO"),'Hist &amp; Proj'!P40/'Hist &amp; Proj'!P$8,'Hist &amp; Proj'!P40)</f>
        <v>0</v>
      </c>
      <c r="Q36" s="179">
        <f ca="1">IF(OR(Assump!$A$7="USD",Assump!$A$7="EURO"),'Hist &amp; Proj'!Q40/'Hist &amp; Proj'!Q$8,'Hist &amp; Proj'!Q40)</f>
        <v>0</v>
      </c>
      <c r="R36" s="179">
        <f ca="1">IF(OR(Assump!$A$7="USD",Assump!$A$7="EURO"),'Hist &amp; Proj'!R40/'Hist &amp; Proj'!R$8,'Hist &amp; Proj'!R40)</f>
        <v>0</v>
      </c>
      <c r="S36" s="179">
        <f ca="1">IF(OR(Assump!$A$7="USD",Assump!$A$7="EURO"),'Hist &amp; Proj'!S40/'Hist &amp; Proj'!S$8,'Hist &amp; Proj'!S40)</f>
        <v>0</v>
      </c>
      <c r="T36" s="179">
        <f ca="1">IF(OR(Assump!$A$7="USD",Assump!$A$7="EURO"),'Hist &amp; Proj'!T40/'Hist &amp; Proj'!T$8,'Hist &amp; Proj'!T40)</f>
        <v>0</v>
      </c>
      <c r="U36" s="179">
        <f ca="1">IF(OR(Assump!$A$7="USD",Assump!$A$7="EURO"),'Hist &amp; Proj'!U40/'Hist &amp; Proj'!U$8,'Hist &amp; Proj'!U40)</f>
        <v>0</v>
      </c>
      <c r="V36" s="179">
        <f ca="1">IF(OR(Assump!$A$7="USD",Assump!$A$7="EURO"),'Hist &amp; Proj'!V40/'Hist &amp; Proj'!V$8,'Hist &amp; Proj'!V40)</f>
        <v>0</v>
      </c>
      <c r="W36" s="179">
        <f ca="1">IF(OR(Assump!$A$7="USD",Assump!$A$7="EURO"),'Hist &amp; Proj'!W40/'Hist &amp; Proj'!W$8,'Hist &amp; Proj'!W40)</f>
        <v>0</v>
      </c>
      <c r="X36" s="179">
        <f ca="1">IF(OR(Assump!$A$7="USD",Assump!$A$7="EURO"),'Hist &amp; Proj'!X40/'Hist &amp; Proj'!X$8,'Hist &amp; Proj'!X40)</f>
        <v>0</v>
      </c>
      <c r="Y36" s="179">
        <f ca="1">IF(OR(Assump!$A$7="USD",Assump!$A$7="EURO"),'Hist &amp; Proj'!Y40/'Hist &amp; Proj'!Y$8,'Hist &amp; Proj'!Y40)</f>
        <v>0</v>
      </c>
      <c r="Z36" s="179">
        <f ca="1">IF(OR(Assump!$A$7="USD",Assump!$A$7="EURO"),'Hist &amp; Proj'!Z40/'Hist &amp; Proj'!Z$8,'Hist &amp; Proj'!Z40)</f>
        <v>0</v>
      </c>
      <c r="AA36" s="179">
        <f ca="1">IF(OR(Assump!$A$7="USD",Assump!$A$7="EURO"),'Hist &amp; Proj'!AA40/'Hist &amp; Proj'!AA$8,'Hist &amp; Proj'!AA40)</f>
        <v>0</v>
      </c>
      <c r="AB36" s="179">
        <f ca="1">IF(OR(Assump!$A$7="USD",Assump!$A$7="EURO"),'Hist &amp; Proj'!AB40/'Hist &amp; Proj'!AB$8,'Hist &amp; Proj'!AB40)</f>
        <v>0</v>
      </c>
      <c r="AC36" s="179">
        <f ca="1">IF(OR(Assump!$A$7="USD",Assump!$A$7="EURO"),'Hist &amp; Proj'!AC40/'Hist &amp; Proj'!AC$8,'Hist &amp; Proj'!AC40)</f>
        <v>0</v>
      </c>
      <c r="AD36" s="179">
        <f ca="1">IF(OR(Assump!$A$7="USD",Assump!$A$7="EURO"),'Hist &amp; Proj'!AD40/'Hist &amp; Proj'!AD$8,'Hist &amp; Proj'!AD40)</f>
        <v>0</v>
      </c>
      <c r="AE36" s="179" t="e">
        <f ca="1">IF(OR(Assump!$A$7="USD",Assump!$A$7="EURO"),'Hist &amp; Proj'!AE40/'Hist &amp; Proj'!AE$8,'Hist &amp; Proj'!AE40)</f>
        <v>#N/A</v>
      </c>
      <c r="AF36" s="179"/>
      <c r="AG36" s="179"/>
      <c r="AH36" s="367" t="str">
        <f ca="1">IFERROR(RATE(3,0,-C36,R36),"NA")</f>
        <v>NA</v>
      </c>
      <c r="AJ36" s="179">
        <f ca="1">IF(Assump!$AM$8=3,'Mgmt Backup'!AJ36,SUM(R36,AJ72))</f>
        <v>0</v>
      </c>
      <c r="AK36" s="179">
        <f ca="1">IF(Assump!$AM$8=3,'Mgmt Backup'!AK36,SUM(AJ36,AK72))</f>
        <v>0</v>
      </c>
      <c r="AL36" s="179">
        <f ca="1">IF(Assump!$AM$8=3,'Mgmt Backup'!AL36,SUM(AK36,AL72))</f>
        <v>0</v>
      </c>
      <c r="AM36" s="179">
        <f ca="1">IF(Assump!$AM$8=3,'Mgmt Backup'!AM36,SUM(AL36,AM72))</f>
        <v>0</v>
      </c>
      <c r="AN36" s="179">
        <f ca="1">IF(Assump!$AM$8=3,'Mgmt Backup'!AN36,SUM(AM36,AN72))</f>
        <v>0</v>
      </c>
      <c r="AO36" s="208"/>
      <c r="AP36" s="367" t="str">
        <f ca="1">IFERROR(RATE(4,0,-AJ36,AN36),"NA")</f>
        <v>NA</v>
      </c>
    </row>
    <row r="37" spans="1:42">
      <c r="A37" s="172" t="str">
        <f>'Hist &amp; Proj'!A41</f>
        <v>Total Equity</v>
      </c>
      <c r="B37" s="181">
        <f>IF(OR(Assump!$A$7="USD",Assump!$A$7="EURO"),'Hist &amp; Proj'!B41/'Hist &amp; Proj'!B$8,'Hist &amp; Proj'!B41)</f>
        <v>0</v>
      </c>
      <c r="C37" s="181">
        <f>IF(OR(Assump!$A$7="USD",Assump!$A$7="EURO"),'Hist &amp; Proj'!C41/'Hist &amp; Proj'!C$8,'Hist &amp; Proj'!C41)</f>
        <v>0</v>
      </c>
      <c r="D37" s="181">
        <f>IF(OR(Assump!$A$7="USD",Assump!$A$7="EURO"),'Hist &amp; Proj'!D41/'Hist &amp; Proj'!D$8,'Hist &amp; Proj'!D41)</f>
        <v>0</v>
      </c>
      <c r="E37" s="181">
        <f>IF(OR(Assump!$A$7="USD",Assump!$A$7="EURO"),'Hist &amp; Proj'!E41/'Hist &amp; Proj'!E$8,'Hist &amp; Proj'!E41)</f>
        <v>0</v>
      </c>
      <c r="F37" s="181">
        <f ca="1">IF(OR(Assump!$A$7="USD",Assump!$A$7="EURO"),'Hist &amp; Proj'!F41/'Hist &amp; Proj'!F$8,'Hist &amp; Proj'!F41)</f>
        <v>0</v>
      </c>
      <c r="G37" s="181">
        <f ca="1">IF(OR(Assump!$A$7="USD",Assump!$A$7="EURO"),'Hist &amp; Proj'!G41/'Hist &amp; Proj'!G$8,'Hist &amp; Proj'!G41)</f>
        <v>0</v>
      </c>
      <c r="H37" s="181">
        <f ca="1">IF(OR(Assump!$A$7="USD",Assump!$A$7="EURO"),'Hist &amp; Proj'!H41/'Hist &amp; Proj'!H$8,'Hist &amp; Proj'!H41)</f>
        <v>0</v>
      </c>
      <c r="I37" s="181">
        <f ca="1">IF(OR(Assump!$A$7="USD",Assump!$A$7="EURO"),'Hist &amp; Proj'!I41/'Hist &amp; Proj'!I$8,'Hist &amp; Proj'!I41)</f>
        <v>0</v>
      </c>
      <c r="J37" s="181">
        <f ca="1">IF(OR(Assump!$A$7="USD",Assump!$A$7="EURO"),'Hist &amp; Proj'!J41/'Hist &amp; Proj'!J$8,'Hist &amp; Proj'!J41)</f>
        <v>0</v>
      </c>
      <c r="K37" s="181">
        <f ca="1">IF(OR(Assump!$A$7="USD",Assump!$A$7="EURO"),'Hist &amp; Proj'!K41/'Hist &amp; Proj'!K$8,'Hist &amp; Proj'!K41)</f>
        <v>0</v>
      </c>
      <c r="L37" s="181">
        <f ca="1">IF(OR(Assump!$A$7="USD",Assump!$A$7="EURO"),'Hist &amp; Proj'!L41/'Hist &amp; Proj'!L$8,'Hist &amp; Proj'!L41)</f>
        <v>0</v>
      </c>
      <c r="M37" s="181">
        <f ca="1">IF(OR(Assump!$A$7="USD",Assump!$A$7="EURO"),'Hist &amp; Proj'!M41/'Hist &amp; Proj'!M$8,'Hist &amp; Proj'!M41)</f>
        <v>0</v>
      </c>
      <c r="N37" s="181">
        <f ca="1">IF(OR(Assump!$A$7="USD",Assump!$A$7="EURO"),'Hist &amp; Proj'!N41/'Hist &amp; Proj'!N$8,'Hist &amp; Proj'!N41)</f>
        <v>0</v>
      </c>
      <c r="O37" s="181">
        <f ca="1">IF(OR(Assump!$A$7="USD",Assump!$A$7="EURO"),'Hist &amp; Proj'!O41/'Hist &amp; Proj'!O$8,'Hist &amp; Proj'!O41)</f>
        <v>0</v>
      </c>
      <c r="P37" s="181">
        <f ca="1">IF(OR(Assump!$A$7="USD",Assump!$A$7="EURO"),'Hist &amp; Proj'!P41/'Hist &amp; Proj'!P$8,'Hist &amp; Proj'!P41)</f>
        <v>0</v>
      </c>
      <c r="Q37" s="181">
        <f ca="1">IF(OR(Assump!$A$7="USD",Assump!$A$7="EURO"),'Hist &amp; Proj'!Q41/'Hist &amp; Proj'!Q$8,'Hist &amp; Proj'!Q41)</f>
        <v>0</v>
      </c>
      <c r="R37" s="181">
        <f ca="1">IF(OR(Assump!$A$7="USD",Assump!$A$7="EURO"),'Hist &amp; Proj'!R41/'Hist &amp; Proj'!R$8,'Hist &amp; Proj'!R41)</f>
        <v>0</v>
      </c>
      <c r="S37" s="181">
        <f ca="1">IF(OR(Assump!$A$7="USD",Assump!$A$7="EURO"),'Hist &amp; Proj'!S41/'Hist &amp; Proj'!S$8,'Hist &amp; Proj'!S41)</f>
        <v>0</v>
      </c>
      <c r="T37" s="181">
        <f ca="1">IF(OR(Assump!$A$7="USD",Assump!$A$7="EURO"),'Hist &amp; Proj'!T41/'Hist &amp; Proj'!T$8,'Hist &amp; Proj'!T41)</f>
        <v>0</v>
      </c>
      <c r="U37" s="181">
        <f ca="1">IF(OR(Assump!$A$7="USD",Assump!$A$7="EURO"),'Hist &amp; Proj'!U41/'Hist &amp; Proj'!U$8,'Hist &amp; Proj'!U41)</f>
        <v>0</v>
      </c>
      <c r="V37" s="181">
        <f ca="1">IF(OR(Assump!$A$7="USD",Assump!$A$7="EURO"),'Hist &amp; Proj'!V41/'Hist &amp; Proj'!V$8,'Hist &amp; Proj'!V41)</f>
        <v>0</v>
      </c>
      <c r="W37" s="181">
        <f ca="1">IF(OR(Assump!$A$7="USD",Assump!$A$7="EURO"),'Hist &amp; Proj'!W41/'Hist &amp; Proj'!W$8,'Hist &amp; Proj'!W41)</f>
        <v>0</v>
      </c>
      <c r="X37" s="181">
        <f ca="1">IF(OR(Assump!$A$7="USD",Assump!$A$7="EURO"),'Hist &amp; Proj'!X41/'Hist &amp; Proj'!X$8,'Hist &amp; Proj'!X41)</f>
        <v>0</v>
      </c>
      <c r="Y37" s="181">
        <f ca="1">IF(OR(Assump!$A$7="USD",Assump!$A$7="EURO"),'Hist &amp; Proj'!Y41/'Hist &amp; Proj'!Y$8,'Hist &amp; Proj'!Y41)</f>
        <v>0</v>
      </c>
      <c r="Z37" s="181">
        <f ca="1">IF(OR(Assump!$A$7="USD",Assump!$A$7="EURO"),'Hist &amp; Proj'!Z41/'Hist &amp; Proj'!Z$8,'Hist &amp; Proj'!Z41)</f>
        <v>0</v>
      </c>
      <c r="AA37" s="181">
        <f ca="1">IF(OR(Assump!$A$7="USD",Assump!$A$7="EURO"),'Hist &amp; Proj'!AA41/'Hist &amp; Proj'!AA$8,'Hist &amp; Proj'!AA41)</f>
        <v>0</v>
      </c>
      <c r="AB37" s="181">
        <f ca="1">IF(OR(Assump!$A$7="USD",Assump!$A$7="EURO"),'Hist &amp; Proj'!AB41/'Hist &amp; Proj'!AB$8,'Hist &amp; Proj'!AB41)</f>
        <v>0</v>
      </c>
      <c r="AC37" s="181">
        <f ca="1">IF(OR(Assump!$A$7="USD",Assump!$A$7="EURO"),'Hist &amp; Proj'!AC41/'Hist &amp; Proj'!AC$8,'Hist &amp; Proj'!AC41)</f>
        <v>0</v>
      </c>
      <c r="AD37" s="181">
        <f ca="1">IF(OR(Assump!$A$7="USD",Assump!$A$7="EURO"),'Hist &amp; Proj'!AD41/'Hist &amp; Proj'!AD$8,'Hist &amp; Proj'!AD41)</f>
        <v>0</v>
      </c>
      <c r="AE37" s="181" t="e">
        <f ca="1">IF(OR(Assump!$A$7="USD",Assump!$A$7="EURO"),'Hist &amp; Proj'!AE41/'Hist &amp; Proj'!AE$8,'Hist &amp; Proj'!AE41)</f>
        <v>#N/A</v>
      </c>
      <c r="AF37" s="856"/>
      <c r="AH37" s="178" t="str">
        <f ca="1">IFERROR(RATE(3,0,-C37,R37),"NA")</f>
        <v>NA</v>
      </c>
      <c r="AJ37" s="181">
        <f ca="1">IF(Assump!$AM$8=3,'Mgmt Backup'!AJ37,SUM(R37,AJ72,Assump!AJ16))</f>
        <v>0</v>
      </c>
      <c r="AK37" s="181">
        <f ca="1">IF(Assump!$AM$8=3,'Mgmt Backup'!AK37,SUM(AJ37,AK72,Assump!AK16))</f>
        <v>0</v>
      </c>
      <c r="AL37" s="181">
        <f ca="1">IF(Assump!$AM$8=3,'Mgmt Backup'!AL37,SUM(AK37,AL72,Assump!AL16))</f>
        <v>0</v>
      </c>
      <c r="AM37" s="181">
        <f ca="1">IF(Assump!$AM$8=3,'Mgmt Backup'!AM37,SUM(AL37,AM72,Assump!AM16))</f>
        <v>0</v>
      </c>
      <c r="AN37" s="181">
        <f ca="1">IF(Assump!$AM$8=3,'Mgmt Backup'!AN37,SUM(AM37,AN72,Assump!AN16))</f>
        <v>0</v>
      </c>
      <c r="AP37" s="178" t="str">
        <f ca="1">IFERROR(RATE(4,0,-AJ37,AN37),"NA")</f>
        <v>NA</v>
      </c>
    </row>
    <row r="38" spans="1:42" ht="5.2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81"/>
      <c r="AH38" s="178"/>
      <c r="AJ38" s="181"/>
      <c r="AK38" s="181"/>
      <c r="AL38" s="181"/>
      <c r="AM38" s="181"/>
      <c r="AN38" s="181"/>
      <c r="AP38" s="178"/>
    </row>
    <row r="39" spans="1:42">
      <c r="A39" s="185" t="str">
        <f>'Hist &amp; Proj'!A43</f>
        <v>LIABILITIES + EQUITY</v>
      </c>
      <c r="B39" s="186">
        <f t="shared" ref="B39:AE39" si="9">B32+B37</f>
        <v>0</v>
      </c>
      <c r="C39" s="186">
        <f t="shared" si="9"/>
        <v>0</v>
      </c>
      <c r="D39" s="186">
        <f t="shared" si="9"/>
        <v>0</v>
      </c>
      <c r="E39" s="186">
        <f t="shared" si="9"/>
        <v>0</v>
      </c>
      <c r="F39" s="186">
        <f t="shared" ca="1" si="9"/>
        <v>0</v>
      </c>
      <c r="G39" s="186">
        <f t="shared" ca="1" si="9"/>
        <v>0</v>
      </c>
      <c r="H39" s="186">
        <f t="shared" ca="1" si="9"/>
        <v>0</v>
      </c>
      <c r="I39" s="186">
        <f t="shared" ca="1" si="9"/>
        <v>0</v>
      </c>
      <c r="J39" s="186">
        <f t="shared" ca="1" si="9"/>
        <v>0</v>
      </c>
      <c r="K39" s="186">
        <f t="shared" ca="1" si="9"/>
        <v>0</v>
      </c>
      <c r="L39" s="186">
        <f t="shared" ca="1" si="9"/>
        <v>0</v>
      </c>
      <c r="M39" s="186">
        <f t="shared" ca="1" si="9"/>
        <v>0</v>
      </c>
      <c r="N39" s="186">
        <f t="shared" ca="1" si="9"/>
        <v>0</v>
      </c>
      <c r="O39" s="186">
        <f t="shared" ca="1" si="9"/>
        <v>0</v>
      </c>
      <c r="P39" s="186">
        <f t="shared" ca="1" si="9"/>
        <v>0</v>
      </c>
      <c r="Q39" s="186">
        <f t="shared" ca="1" si="9"/>
        <v>0</v>
      </c>
      <c r="R39" s="186">
        <f t="shared" ca="1" si="9"/>
        <v>0</v>
      </c>
      <c r="S39" s="186">
        <f t="shared" ca="1" si="9"/>
        <v>0</v>
      </c>
      <c r="T39" s="186">
        <f t="shared" ca="1" si="9"/>
        <v>0</v>
      </c>
      <c r="U39" s="186">
        <f t="shared" ca="1" si="9"/>
        <v>0</v>
      </c>
      <c r="V39" s="186">
        <f t="shared" ca="1" si="9"/>
        <v>0</v>
      </c>
      <c r="W39" s="186">
        <f t="shared" ca="1" si="9"/>
        <v>0</v>
      </c>
      <c r="X39" s="186">
        <f t="shared" ca="1" si="9"/>
        <v>0</v>
      </c>
      <c r="Y39" s="186">
        <f t="shared" ca="1" si="9"/>
        <v>0</v>
      </c>
      <c r="Z39" s="186">
        <f t="shared" ca="1" si="9"/>
        <v>0</v>
      </c>
      <c r="AA39" s="186">
        <f t="shared" ca="1" si="9"/>
        <v>0</v>
      </c>
      <c r="AB39" s="186">
        <f t="shared" ca="1" si="9"/>
        <v>0</v>
      </c>
      <c r="AC39" s="186">
        <f t="shared" ca="1" si="9"/>
        <v>0</v>
      </c>
      <c r="AD39" s="186">
        <f t="shared" ca="1" si="9"/>
        <v>0</v>
      </c>
      <c r="AE39" s="440" t="e">
        <f t="shared" ca="1" si="9"/>
        <v>#N/A</v>
      </c>
      <c r="AH39" s="370" t="str">
        <f ca="1">IFERROR(RATE(3,0,-C39,R39),"NA")</f>
        <v>NA</v>
      </c>
      <c r="AJ39" s="186" t="e">
        <f ca="1">AJ32+AJ37</f>
        <v>#DIV/0!</v>
      </c>
      <c r="AK39" s="186" t="e">
        <f ca="1">AK32+AK37</f>
        <v>#DIV/0!</v>
      </c>
      <c r="AL39" s="186" t="e">
        <f ca="1">AL32+AL37</f>
        <v>#DIV/0!</v>
      </c>
      <c r="AM39" s="186" t="e">
        <f ca="1">AM32+AM37</f>
        <v>#DIV/0!</v>
      </c>
      <c r="AN39" s="186" t="e">
        <f ca="1">AN32+AN37</f>
        <v>#DIV/0!</v>
      </c>
      <c r="AP39" s="370" t="str">
        <f ca="1">IFERROR(RATE(4,0,-AJ39,AN39),"NA")</f>
        <v>NA</v>
      </c>
    </row>
    <row r="40" spans="1:42">
      <c r="A40" s="372"/>
      <c r="B40" s="372"/>
      <c r="C40" s="372"/>
      <c r="D40" s="372"/>
      <c r="E40" s="372"/>
      <c r="F40" s="372"/>
      <c r="G40" s="372"/>
      <c r="H40" s="372"/>
      <c r="I40" s="372"/>
      <c r="J40" s="372"/>
      <c r="K40" s="372"/>
      <c r="L40" s="372"/>
      <c r="M40" s="372"/>
      <c r="N40" s="372"/>
      <c r="O40" s="372"/>
      <c r="P40" s="372"/>
      <c r="Q40" s="372"/>
      <c r="R40" s="372"/>
      <c r="S40" s="372"/>
      <c r="T40" s="372"/>
      <c r="U40" s="372"/>
      <c r="V40" s="372"/>
      <c r="W40" s="372"/>
      <c r="X40" s="372"/>
      <c r="Y40" s="372"/>
      <c r="Z40" s="372"/>
      <c r="AA40" s="372"/>
      <c r="AB40" s="372"/>
      <c r="AC40" s="372"/>
      <c r="AD40" s="372"/>
      <c r="AE40" s="170"/>
      <c r="AH40" s="373"/>
      <c r="AJ40" s="372"/>
      <c r="AK40" s="372"/>
      <c r="AL40" s="374"/>
      <c r="AM40" s="375"/>
      <c r="AN40" s="375"/>
      <c r="AP40" s="373"/>
    </row>
    <row r="41" spans="1:42">
      <c r="A41" s="170"/>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c r="AE41" s="170"/>
      <c r="AH41" s="334"/>
      <c r="AJ41" s="903"/>
      <c r="AK41" s="903"/>
      <c r="AL41" s="170"/>
      <c r="AM41" s="170"/>
      <c r="AN41" s="170"/>
      <c r="AP41" s="334"/>
    </row>
    <row r="42" spans="1:42">
      <c r="A42" s="360" t="str">
        <f>CONCATENATE('Hist &amp; Proj'!A46," (",Assump!$A$7,")")</f>
        <v>INCOME STATEMENT ()</v>
      </c>
      <c r="B42" s="760">
        <f>B$7</f>
        <v>692501</v>
      </c>
      <c r="C42" s="760">
        <f>C$7</f>
        <v>692867</v>
      </c>
      <c r="D42" s="760">
        <f>D$7</f>
        <v>693232</v>
      </c>
      <c r="E42" s="760">
        <f>E$7</f>
        <v>693597</v>
      </c>
      <c r="F42" s="362">
        <f t="shared" ref="F42:AD42" ca="1" si="10">F$7</f>
        <v>693628</v>
      </c>
      <c r="G42" s="362">
        <f t="shared" ca="1" si="10"/>
        <v>693656</v>
      </c>
      <c r="H42" s="362">
        <f t="shared" ca="1" si="10"/>
        <v>693687</v>
      </c>
      <c r="I42" s="362">
        <f t="shared" ca="1" si="10"/>
        <v>693717</v>
      </c>
      <c r="J42" s="362">
        <f t="shared" ca="1" si="10"/>
        <v>693748</v>
      </c>
      <c r="K42" s="362">
        <f t="shared" ca="1" si="10"/>
        <v>693778</v>
      </c>
      <c r="L42" s="362">
        <f t="shared" ca="1" si="10"/>
        <v>693809</v>
      </c>
      <c r="M42" s="362">
        <f t="shared" ca="1" si="10"/>
        <v>693840</v>
      </c>
      <c r="N42" s="362">
        <f t="shared" ca="1" si="10"/>
        <v>693870</v>
      </c>
      <c r="O42" s="362">
        <f t="shared" ca="1" si="10"/>
        <v>693901</v>
      </c>
      <c r="P42" s="362">
        <f t="shared" ca="1" si="10"/>
        <v>693931</v>
      </c>
      <c r="Q42" s="362">
        <f t="shared" ca="1" si="10"/>
        <v>693962</v>
      </c>
      <c r="R42" s="760">
        <f t="shared" ca="1" si="10"/>
        <v>693962</v>
      </c>
      <c r="S42" s="362">
        <f t="shared" ca="1" si="10"/>
        <v>31</v>
      </c>
      <c r="T42" s="362">
        <f t="shared" ca="1" si="10"/>
        <v>59</v>
      </c>
      <c r="U42" s="362">
        <f t="shared" ca="1" si="10"/>
        <v>91</v>
      </c>
      <c r="V42" s="362">
        <f t="shared" ca="1" si="10"/>
        <v>121</v>
      </c>
      <c r="W42" s="362">
        <f t="shared" ca="1" si="10"/>
        <v>152</v>
      </c>
      <c r="X42" s="362">
        <f t="shared" ca="1" si="10"/>
        <v>182</v>
      </c>
      <c r="Y42" s="362">
        <f t="shared" ca="1" si="10"/>
        <v>213</v>
      </c>
      <c r="Z42" s="362">
        <f t="shared" ca="1" si="10"/>
        <v>244</v>
      </c>
      <c r="AA42" s="362">
        <f t="shared" ca="1" si="10"/>
        <v>274</v>
      </c>
      <c r="AB42" s="362">
        <f t="shared" ca="1" si="10"/>
        <v>305</v>
      </c>
      <c r="AC42" s="362">
        <f t="shared" ca="1" si="10"/>
        <v>335</v>
      </c>
      <c r="AD42" s="362">
        <f t="shared" ca="1" si="10"/>
        <v>366</v>
      </c>
      <c r="AE42" s="364" t="e">
        <f ca="1">CONCATENATE("YTD ",TEXT(AE$7,"mmm-YY"))</f>
        <v>#N/A</v>
      </c>
      <c r="AF42" s="376" t="e">
        <f ca="1">CONCATENATE("LTM ",TEXT(AE$7,"mmm-YY"))</f>
        <v>#N/A</v>
      </c>
      <c r="AH42" s="365" t="str">
        <f ca="1">AH$7</f>
        <v>'96 - '99 CAGR/Avg.</v>
      </c>
      <c r="AJ42" s="760">
        <f ca="1">AJ$7</f>
        <v>694327</v>
      </c>
      <c r="AK42" s="760">
        <f ca="1">AK$7</f>
        <v>694692</v>
      </c>
      <c r="AL42" s="760">
        <f ca="1">AL$7</f>
        <v>695057</v>
      </c>
      <c r="AM42" s="760">
        <f ca="1">AM$7</f>
        <v>695422</v>
      </c>
      <c r="AN42" s="760">
        <f ca="1">AN$7</f>
        <v>695787</v>
      </c>
      <c r="AP42" s="365" t="str">
        <f ca="1">AP$7</f>
        <v>'00 - '04 CAGR/Avg.</v>
      </c>
    </row>
    <row r="43" spans="1:42" outlineLevel="1">
      <c r="A43" s="377"/>
      <c r="B43" s="378" t="str">
        <f>B$8</f>
        <v>Audited</v>
      </c>
      <c r="C43" s="378" t="str">
        <f t="shared" ref="C43:AE43" si="11">C$8</f>
        <v>Audited</v>
      </c>
      <c r="D43" s="378" t="str">
        <f t="shared" si="11"/>
        <v>Audited</v>
      </c>
      <c r="E43" s="378" t="str">
        <f t="shared" si="11"/>
        <v>Audited</v>
      </c>
      <c r="F43" s="378" t="str">
        <f t="shared" si="11"/>
        <v>Unaudited</v>
      </c>
      <c r="G43" s="378" t="str">
        <f t="shared" si="11"/>
        <v>Unaudited</v>
      </c>
      <c r="H43" s="378" t="str">
        <f t="shared" si="11"/>
        <v>Unaudited</v>
      </c>
      <c r="I43" s="378" t="str">
        <f t="shared" si="11"/>
        <v>Unaudited</v>
      </c>
      <c r="J43" s="378" t="str">
        <f t="shared" si="11"/>
        <v>Unaudited</v>
      </c>
      <c r="K43" s="378" t="str">
        <f t="shared" si="11"/>
        <v>Unaudited</v>
      </c>
      <c r="L43" s="378" t="str">
        <f t="shared" si="11"/>
        <v>Unaudited</v>
      </c>
      <c r="M43" s="378" t="str">
        <f t="shared" si="11"/>
        <v>Unaudited</v>
      </c>
      <c r="N43" s="378" t="str">
        <f t="shared" si="11"/>
        <v>Unaudited</v>
      </c>
      <c r="O43" s="378" t="str">
        <f t="shared" si="11"/>
        <v>Unaudited</v>
      </c>
      <c r="P43" s="378" t="str">
        <f t="shared" si="11"/>
        <v>Unaudited</v>
      </c>
      <c r="Q43" s="378" t="str">
        <f t="shared" si="11"/>
        <v>Unaudited</v>
      </c>
      <c r="R43" s="378" t="str">
        <f t="shared" si="11"/>
        <v>Audited</v>
      </c>
      <c r="S43" s="378" t="str">
        <f t="shared" si="11"/>
        <v>Unaudited</v>
      </c>
      <c r="T43" s="378" t="str">
        <f t="shared" si="11"/>
        <v>Unaudited</v>
      </c>
      <c r="U43" s="378" t="str">
        <f t="shared" si="11"/>
        <v>Unaudited</v>
      </c>
      <c r="V43" s="378" t="str">
        <f t="shared" si="11"/>
        <v>Unaudited</v>
      </c>
      <c r="W43" s="378" t="str">
        <f t="shared" si="11"/>
        <v>Unaudited</v>
      </c>
      <c r="X43" s="378" t="str">
        <f t="shared" si="11"/>
        <v>Unaudited</v>
      </c>
      <c r="Y43" s="378" t="str">
        <f t="shared" si="11"/>
        <v>Unaudited</v>
      </c>
      <c r="Z43" s="378" t="str">
        <f t="shared" si="11"/>
        <v>Unaudited</v>
      </c>
      <c r="AA43" s="378" t="str">
        <f t="shared" si="11"/>
        <v>Unaudited</v>
      </c>
      <c r="AB43" s="378" t="str">
        <f t="shared" si="11"/>
        <v>Unaudited</v>
      </c>
      <c r="AC43" s="378" t="str">
        <f t="shared" si="11"/>
        <v>Unaudited</v>
      </c>
      <c r="AD43" s="378" t="str">
        <f t="shared" si="11"/>
        <v>Unaudited</v>
      </c>
      <c r="AE43" s="378" t="str">
        <f t="shared" si="11"/>
        <v>Unaudited</v>
      </c>
      <c r="AF43" s="378" t="str">
        <f>AE43</f>
        <v>Unaudited</v>
      </c>
      <c r="AH43" s="379"/>
      <c r="AJ43" s="380" t="s">
        <v>307</v>
      </c>
      <c r="AK43" s="380" t="s">
        <v>307</v>
      </c>
      <c r="AL43" s="380" t="s">
        <v>307</v>
      </c>
      <c r="AM43" s="380" t="s">
        <v>307</v>
      </c>
      <c r="AN43" s="380" t="s">
        <v>307</v>
      </c>
      <c r="AP43" s="379"/>
    </row>
    <row r="44" spans="1:42">
      <c r="A44" s="127" t="str">
        <f>'Hist &amp; Proj'!A51</f>
        <v xml:space="preserve">Financial Revenue </v>
      </c>
      <c r="B44" s="179">
        <f>IF(OR(Assump!$A$7="USD",Assump!$A$7="EURO"),'Hist &amp; Proj'!B51/'Hist &amp; Proj'!B$8,'Hist &amp; Proj'!B51)</f>
        <v>0</v>
      </c>
      <c r="C44" s="179">
        <f>IF(OR(Assump!$A$7="USD",Assump!$A$7="EURO"),'Hist &amp; Proj'!C51/'Hist &amp; Proj'!C$9,'Hist &amp; Proj'!C51)</f>
        <v>0</v>
      </c>
      <c r="D44" s="179">
        <f>IF(OR(Assump!$A$7="USD",Assump!$A$7="EURO"),'Hist &amp; Proj'!D51/'Hist &amp; Proj'!D$9,'Hist &amp; Proj'!D51)</f>
        <v>0</v>
      </c>
      <c r="E44" s="179">
        <f>IF(OR(Assump!$A$7="USD",Assump!$A$7="EURO"),'Hist &amp; Proj'!E51/'Hist &amp; Proj'!E$9,'Hist &amp; Proj'!E51)</f>
        <v>0</v>
      </c>
      <c r="F44" s="179">
        <f ca="1">IF(OR(Assump!$A$7="USD",Assump!$A$7="EURO"),'Hist &amp; Proj'!F51/'Hist &amp; Proj'!F$10,'Hist &amp; Proj'!F51)</f>
        <v>0</v>
      </c>
      <c r="G44" s="179">
        <f ca="1">IF(OR(Assump!$A$7="USD",Assump!$A$7="EURO"),'Hist &amp; Proj'!G51/'Hist &amp; Proj'!G$10,'Hist &amp; Proj'!G51)</f>
        <v>0</v>
      </c>
      <c r="H44" s="179">
        <f ca="1">IF(OR(Assump!$A$7="USD",Assump!$A$7="EURO"),'Hist &amp; Proj'!H51/'Hist &amp; Proj'!H$10,'Hist &amp; Proj'!H51)</f>
        <v>0</v>
      </c>
      <c r="I44" s="179">
        <f ca="1">IF(OR(Assump!$A$7="USD",Assump!$A$7="EURO"),'Hist &amp; Proj'!I51/'Hist &amp; Proj'!I$10,'Hist &amp; Proj'!I51)</f>
        <v>0</v>
      </c>
      <c r="J44" s="179">
        <f ca="1">IF(OR(Assump!$A$7="USD",Assump!$A$7="EURO"),'Hist &amp; Proj'!J51/'Hist &amp; Proj'!J$10,'Hist &amp; Proj'!J51)</f>
        <v>0</v>
      </c>
      <c r="K44" s="179">
        <f ca="1">IF(OR(Assump!$A$7="USD",Assump!$A$7="EURO"),'Hist &amp; Proj'!K51/'Hist &amp; Proj'!K$10,'Hist &amp; Proj'!K51)</f>
        <v>0</v>
      </c>
      <c r="L44" s="179">
        <f ca="1">IF(OR(Assump!$A$7="USD",Assump!$A$7="EURO"),'Hist &amp; Proj'!L51/'Hist &amp; Proj'!L$10,'Hist &amp; Proj'!L51)</f>
        <v>0</v>
      </c>
      <c r="M44" s="179">
        <f ca="1">IF(OR(Assump!$A$7="USD",Assump!$A$7="EURO"),'Hist &amp; Proj'!M51/'Hist &amp; Proj'!M$10,'Hist &amp; Proj'!M51)</f>
        <v>0</v>
      </c>
      <c r="N44" s="179">
        <f ca="1">IF(OR(Assump!$A$7="USD",Assump!$A$7="EURO"),'Hist &amp; Proj'!N51/'Hist &amp; Proj'!N$10,'Hist &amp; Proj'!N51)</f>
        <v>0</v>
      </c>
      <c r="O44" s="179">
        <f ca="1">IF(OR(Assump!$A$7="USD",Assump!$A$7="EURO"),'Hist &amp; Proj'!O51/'Hist &amp; Proj'!O$10,'Hist &amp; Proj'!O51)</f>
        <v>0</v>
      </c>
      <c r="P44" s="179">
        <f ca="1">IF(OR(Assump!$A$7="USD",Assump!$A$7="EURO"),'Hist &amp; Proj'!P51/'Hist &amp; Proj'!P$10,'Hist &amp; Proj'!P51)</f>
        <v>0</v>
      </c>
      <c r="Q44" s="179">
        <f ca="1">IF(OR(Assump!$A$7="USD",Assump!$A$7="EURO"),'Hist &amp; Proj'!Q51/'Hist &amp; Proj'!Q$10,'Hist &amp; Proj'!Q51)</f>
        <v>0</v>
      </c>
      <c r="R44" s="179">
        <f ca="1">IF(OR(Assump!$A$7="USD",Assump!$A$7="EURO"),'Hist &amp; Proj'!R51/'Hist &amp; Proj'!R$10,'Hist &amp; Proj'!R51)</f>
        <v>0</v>
      </c>
      <c r="S44" s="179">
        <f ca="1">IF(OR(Assump!$A$7="USD",Assump!$A$7="EURO"),'Hist &amp; Proj'!S51/'Hist &amp; Proj'!S$10,'Hist &amp; Proj'!S51)</f>
        <v>0</v>
      </c>
      <c r="T44" s="179">
        <f ca="1">IF(OR(Assump!$A$7="USD",Assump!$A$7="EURO"),'Hist &amp; Proj'!T51/'Hist &amp; Proj'!T$10,'Hist &amp; Proj'!T51)</f>
        <v>0</v>
      </c>
      <c r="U44" s="179">
        <f ca="1">IF(OR(Assump!$A$7="USD",Assump!$A$7="EURO"),'Hist &amp; Proj'!U51/'Hist &amp; Proj'!U$10,'Hist &amp; Proj'!U51)</f>
        <v>0</v>
      </c>
      <c r="V44" s="179">
        <f ca="1">IF(OR(Assump!$A$7="USD",Assump!$A$7="EURO"),'Hist &amp; Proj'!V51/'Hist &amp; Proj'!V$10,'Hist &amp; Proj'!V51)</f>
        <v>0</v>
      </c>
      <c r="W44" s="179">
        <f ca="1">IF(OR(Assump!$A$7="USD",Assump!$A$7="EURO"),'Hist &amp; Proj'!W51/'Hist &amp; Proj'!W$10,'Hist &amp; Proj'!W51)</f>
        <v>0</v>
      </c>
      <c r="X44" s="179">
        <f ca="1">IF(OR(Assump!$A$7="USD",Assump!$A$7="EURO"),'Hist &amp; Proj'!X51/'Hist &amp; Proj'!X$10,'Hist &amp; Proj'!X51)</f>
        <v>0</v>
      </c>
      <c r="Y44" s="179">
        <f ca="1">IF(OR(Assump!$A$7="USD",Assump!$A$7="EURO"),'Hist &amp; Proj'!Y51/'Hist &amp; Proj'!Y$10,'Hist &amp; Proj'!Y51)</f>
        <v>0</v>
      </c>
      <c r="Z44" s="179">
        <f ca="1">IF(OR(Assump!$A$7="USD",Assump!$A$7="EURO"),'Hist &amp; Proj'!Z51/'Hist &amp; Proj'!Z$10,'Hist &amp; Proj'!Z51)</f>
        <v>0</v>
      </c>
      <c r="AA44" s="179">
        <f ca="1">IF(OR(Assump!$A$7="USD",Assump!$A$7="EURO"),'Hist &amp; Proj'!AA51/'Hist &amp; Proj'!AA$10,'Hist &amp; Proj'!AA51)</f>
        <v>0</v>
      </c>
      <c r="AB44" s="179">
        <f ca="1">IF(OR(Assump!$A$7="USD",Assump!$A$7="EURO"),'Hist &amp; Proj'!AB51/'Hist &amp; Proj'!AB$10,'Hist &amp; Proj'!AB51)</f>
        <v>0</v>
      </c>
      <c r="AC44" s="179">
        <f ca="1">IF(OR(Assump!$A$7="USD",Assump!$A$7="EURO"),'Hist &amp; Proj'!AC51/'Hist &amp; Proj'!AC$10,'Hist &amp; Proj'!AC51)</f>
        <v>0</v>
      </c>
      <c r="AD44" s="179">
        <f ca="1">IF(OR(Assump!$A$7="USD",Assump!$A$7="EURO"),'Hist &amp; Proj'!AD51/'Hist &amp; Proj'!AD$10,'Hist &amp; Proj'!AD51)</f>
        <v>0</v>
      </c>
      <c r="AE44" s="179" t="e">
        <f ca="1">IF(OR(Assump!$A$7="USD",Assump!$A$7="EURO"),'Hist &amp; Proj'!AE51/'Hist &amp; Proj'!AE$10,'Hist &amp; Proj'!AE51)</f>
        <v>#N/A</v>
      </c>
      <c r="AF44" s="179" t="e">
        <f ca="1">IF(OR(Assump!$A$7="USD",Assump!$A$7="EURO"),'Hist &amp; Proj'!AF51/'Hist &amp; Proj'!AE$9,'Hist &amp; Proj'!AF51)</f>
        <v>#N/A</v>
      </c>
      <c r="AH44" s="367" t="str">
        <f ca="1">IFERROR(RATE(3,0,-C44,R44),"NA")</f>
        <v>NA</v>
      </c>
      <c r="AJ44" s="873" t="e">
        <f ca="1">AVERAGE(AJ$15,R$15)*Assump!AJ21</f>
        <v>#DIV/0!</v>
      </c>
      <c r="AK44" s="179" t="e">
        <f ca="1">AVERAGE(AJ$15:AK15)*Assump!AK21</f>
        <v>#DIV/0!</v>
      </c>
      <c r="AL44" s="179" t="e">
        <f ca="1">AVERAGE(AK$15:AL15)*Assump!AL21</f>
        <v>#DIV/0!</v>
      </c>
      <c r="AM44" s="179" t="e">
        <f ca="1">AVERAGE(AL$15:AM15)*Assump!AM21</f>
        <v>#DIV/0!</v>
      </c>
      <c r="AN44" s="179" t="e">
        <f ca="1">AVERAGE(AM$15:AN15)*Assump!AN21</f>
        <v>#DIV/0!</v>
      </c>
      <c r="AP44" s="367" t="str">
        <f ca="1">IFERROR(RATE(4,0,-AJ44,AN44),"NA")</f>
        <v>NA</v>
      </c>
    </row>
    <row r="45" spans="1:42">
      <c r="A45" s="127" t="str">
        <f>'Hist &amp; Proj'!A52</f>
        <v>Financial Expenses</v>
      </c>
      <c r="B45" s="179">
        <f>IF(OR(Assump!$A$7="USD",Assump!$A$7="EURO"),'Hist &amp; Proj'!B52/'Hist &amp; Proj'!B$8,'Hist &amp; Proj'!B52)</f>
        <v>0</v>
      </c>
      <c r="C45" s="179">
        <f>IF(OR(Assump!$A$7="USD",Assump!$A$7="EURO"),'Hist &amp; Proj'!C52/'Hist &amp; Proj'!C$9,'Hist &amp; Proj'!C52)</f>
        <v>0</v>
      </c>
      <c r="D45" s="179">
        <f>IF(OR(Assump!$A$7="USD",Assump!$A$7="EURO"),'Hist &amp; Proj'!D52/'Hist &amp; Proj'!D$9,'Hist &amp; Proj'!D52)</f>
        <v>0</v>
      </c>
      <c r="E45" s="179">
        <f>IF(OR(Assump!$A$7="USD",Assump!$A$7="EURO"),'Hist &amp; Proj'!E52/'Hist &amp; Proj'!E$9,'Hist &amp; Proj'!E52)</f>
        <v>0</v>
      </c>
      <c r="F45" s="179">
        <f ca="1">IF(OR(Assump!$A$7="USD",Assump!$A$7="EURO"),'Hist &amp; Proj'!F52/'Hist &amp; Proj'!F$10,'Hist &amp; Proj'!F52)</f>
        <v>0</v>
      </c>
      <c r="G45" s="179">
        <f ca="1">IF(OR(Assump!$A$7="USD",Assump!$A$7="EURO"),'Hist &amp; Proj'!G52/'Hist &amp; Proj'!G$10,'Hist &amp; Proj'!G52)</f>
        <v>0</v>
      </c>
      <c r="H45" s="179">
        <f ca="1">IF(OR(Assump!$A$7="USD",Assump!$A$7="EURO"),'Hist &amp; Proj'!H52/'Hist &amp; Proj'!H$10,'Hist &amp; Proj'!H52)</f>
        <v>0</v>
      </c>
      <c r="I45" s="179">
        <f ca="1">IF(OR(Assump!$A$7="USD",Assump!$A$7="EURO"),'Hist &amp; Proj'!I52/'Hist &amp; Proj'!I$10,'Hist &amp; Proj'!I52)</f>
        <v>0</v>
      </c>
      <c r="J45" s="179">
        <f ca="1">IF(OR(Assump!$A$7="USD",Assump!$A$7="EURO"),'Hist &amp; Proj'!J52/'Hist &amp; Proj'!J$10,'Hist &amp; Proj'!J52)</f>
        <v>0</v>
      </c>
      <c r="K45" s="179">
        <f ca="1">IF(OR(Assump!$A$7="USD",Assump!$A$7="EURO"),'Hist &amp; Proj'!K52/'Hist &amp; Proj'!K$10,'Hist &amp; Proj'!K52)</f>
        <v>0</v>
      </c>
      <c r="L45" s="179">
        <f ca="1">IF(OR(Assump!$A$7="USD",Assump!$A$7="EURO"),'Hist &amp; Proj'!L52/'Hist &amp; Proj'!L$10,'Hist &amp; Proj'!L52)</f>
        <v>0</v>
      </c>
      <c r="M45" s="179">
        <f ca="1">IF(OR(Assump!$A$7="USD",Assump!$A$7="EURO"),'Hist &amp; Proj'!M52/'Hist &amp; Proj'!M$10,'Hist &amp; Proj'!M52)</f>
        <v>0</v>
      </c>
      <c r="N45" s="179">
        <f ca="1">IF(OR(Assump!$A$7="USD",Assump!$A$7="EURO"),'Hist &amp; Proj'!N52/'Hist &amp; Proj'!N$10,'Hist &amp; Proj'!N52)</f>
        <v>0</v>
      </c>
      <c r="O45" s="179">
        <f ca="1">IF(OR(Assump!$A$7="USD",Assump!$A$7="EURO"),'Hist &amp; Proj'!O52/'Hist &amp; Proj'!O$10,'Hist &amp; Proj'!O52)</f>
        <v>0</v>
      </c>
      <c r="P45" s="179">
        <f ca="1">IF(OR(Assump!$A$7="USD",Assump!$A$7="EURO"),'Hist &amp; Proj'!P52/'Hist &amp; Proj'!P$10,'Hist &amp; Proj'!P52)</f>
        <v>0</v>
      </c>
      <c r="Q45" s="179">
        <f ca="1">IF(OR(Assump!$A$7="USD",Assump!$A$7="EURO"),'Hist &amp; Proj'!Q52/'Hist &amp; Proj'!Q$10,'Hist &amp; Proj'!Q52)</f>
        <v>0</v>
      </c>
      <c r="R45" s="179">
        <f ca="1">IF(OR(Assump!$A$7="USD",Assump!$A$7="EURO"),'Hist &amp; Proj'!R52/'Hist &amp; Proj'!R$10,'Hist &amp; Proj'!R52)</f>
        <v>0</v>
      </c>
      <c r="S45" s="179">
        <f ca="1">IF(OR(Assump!$A$7="USD",Assump!$A$7="EURO"),'Hist &amp; Proj'!S52/'Hist &amp; Proj'!S$10,'Hist &amp; Proj'!S52)</f>
        <v>0</v>
      </c>
      <c r="T45" s="179">
        <f ca="1">IF(OR(Assump!$A$7="USD",Assump!$A$7="EURO"),'Hist &amp; Proj'!T52/'Hist &amp; Proj'!T$10,'Hist &amp; Proj'!T52)</f>
        <v>0</v>
      </c>
      <c r="U45" s="179">
        <f ca="1">IF(OR(Assump!$A$7="USD",Assump!$A$7="EURO"),'Hist &amp; Proj'!U52/'Hist &amp; Proj'!U$10,'Hist &amp; Proj'!U52)</f>
        <v>0</v>
      </c>
      <c r="V45" s="179">
        <f ca="1">IF(OR(Assump!$A$7="USD",Assump!$A$7="EURO"),'Hist &amp; Proj'!V52/'Hist &amp; Proj'!V$10,'Hist &amp; Proj'!V52)</f>
        <v>0</v>
      </c>
      <c r="W45" s="179">
        <f ca="1">IF(OR(Assump!$A$7="USD",Assump!$A$7="EURO"),'Hist &amp; Proj'!W52/'Hist &amp; Proj'!W$10,'Hist &amp; Proj'!W52)</f>
        <v>0</v>
      </c>
      <c r="X45" s="179">
        <f ca="1">IF(OR(Assump!$A$7="USD",Assump!$A$7="EURO"),'Hist &amp; Proj'!X52/'Hist &amp; Proj'!X$10,'Hist &amp; Proj'!X52)</f>
        <v>0</v>
      </c>
      <c r="Y45" s="179">
        <f ca="1">IF(OR(Assump!$A$7="USD",Assump!$A$7="EURO"),'Hist &amp; Proj'!Y52/'Hist &amp; Proj'!Y$10,'Hist &amp; Proj'!Y52)</f>
        <v>0</v>
      </c>
      <c r="Z45" s="179">
        <f ca="1">IF(OR(Assump!$A$7="USD",Assump!$A$7="EURO"),'Hist &amp; Proj'!Z52/'Hist &amp; Proj'!Z$10,'Hist &amp; Proj'!Z52)</f>
        <v>0</v>
      </c>
      <c r="AA45" s="179">
        <f ca="1">IF(OR(Assump!$A$7="USD",Assump!$A$7="EURO"),'Hist &amp; Proj'!AA52/'Hist &amp; Proj'!AA$10,'Hist &amp; Proj'!AA52)</f>
        <v>0</v>
      </c>
      <c r="AB45" s="179">
        <f ca="1">IF(OR(Assump!$A$7="USD",Assump!$A$7="EURO"),'Hist &amp; Proj'!AB52/'Hist &amp; Proj'!AB$10,'Hist &amp; Proj'!AB52)</f>
        <v>0</v>
      </c>
      <c r="AC45" s="179">
        <f ca="1">IF(OR(Assump!$A$7="USD",Assump!$A$7="EURO"),'Hist &amp; Proj'!AC52/'Hist &amp; Proj'!AC$10,'Hist &amp; Proj'!AC52)</f>
        <v>0</v>
      </c>
      <c r="AD45" s="179">
        <f ca="1">IF(OR(Assump!$A$7="USD",Assump!$A$7="EURO"),'Hist &amp; Proj'!AD52/'Hist &amp; Proj'!AD$10,'Hist &amp; Proj'!AD52)</f>
        <v>0</v>
      </c>
      <c r="AE45" s="179" t="e">
        <f ca="1">IF(OR(Assump!$A$7="USD",Assump!$A$7="EURO"),'Hist &amp; Proj'!AE52/'Hist &amp; Proj'!AE$10,'Hist &amp; Proj'!AE52)</f>
        <v>#N/A</v>
      </c>
      <c r="AF45" s="179" t="e">
        <f ca="1">IF(OR(Assump!$A$7="USD",Assump!$A$7="EURO"),'Hist &amp; Proj'!AF52/'Hist &amp; Proj'!AE$9,'Hist &amp; Proj'!AF52)</f>
        <v>#N/A</v>
      </c>
      <c r="AH45" s="367" t="str">
        <f ca="1">IFERROR(RATE(3,0,-C45,R45),"NA")</f>
        <v>NA</v>
      </c>
      <c r="AJ45" s="179" t="e">
        <f ca="1">IF(Assump!$AL$8=0,0,-AVERAGE(AJ$25+AJ$24,R$25+R$24)*Assump!AJ22)</f>
        <v>#DIV/0!</v>
      </c>
      <c r="AK45" s="179" t="e">
        <f ca="1">IF(Assump!$AL$8=0,0,-AVERAGE(AK$25+AK$24,AJ$25+AJ$24)*Assump!AK22)</f>
        <v>#DIV/0!</v>
      </c>
      <c r="AL45" s="179" t="e">
        <f ca="1">IF(Assump!$AL$8=0,0,-AVERAGE(AL$25+AL$24,AK$25+AK$24)*Assump!AL22)</f>
        <v>#DIV/0!</v>
      </c>
      <c r="AM45" s="179" t="e">
        <f ca="1">IF(Assump!$AL$8=0,0,-AVERAGE(AM$25+AM$24,AL$25+AL$24)*Assump!AM22)</f>
        <v>#DIV/0!</v>
      </c>
      <c r="AN45" s="179" t="e">
        <f ca="1">IF(Assump!$AL$8=0,0,-AVERAGE(AN$25+AN$24,AM$25+AM$24)*Assump!AN22)</f>
        <v>#DIV/0!</v>
      </c>
      <c r="AP45" s="367" t="str">
        <f ca="1">IFERROR(RATE(4,0,-AJ45,AN45),"NA")</f>
        <v>NA</v>
      </c>
    </row>
    <row r="46" spans="1:42" outlineLevel="1">
      <c r="A46" s="131" t="str">
        <f>'Hist &amp; Proj'!A53</f>
        <v>Net Monetary/Inflation Adjustments</v>
      </c>
      <c r="B46" s="179">
        <f>IF(OR(Assump!$A$7="USD",Assump!$A$7="EURO"),'Hist &amp; Proj'!B53/'Hist &amp; Proj'!B$8,'Hist &amp; Proj'!B53)</f>
        <v>0</v>
      </c>
      <c r="C46" s="179">
        <f>IF(OR(Assump!$A$7="USD",Assump!$A$7="EURO"),'Hist &amp; Proj'!C53/'Hist &amp; Proj'!C$9,'Hist &amp; Proj'!C53)</f>
        <v>0</v>
      </c>
      <c r="D46" s="179">
        <f>IF(OR(Assump!$A$7="USD",Assump!$A$7="EURO"),'Hist &amp; Proj'!D53/'Hist &amp; Proj'!D$9,'Hist &amp; Proj'!D53)</f>
        <v>0</v>
      </c>
      <c r="E46" s="179">
        <f>IF(OR(Assump!$A$7="USD",Assump!$A$7="EURO"),'Hist &amp; Proj'!E53/'Hist &amp; Proj'!E$9,'Hist &amp; Proj'!E53)</f>
        <v>0</v>
      </c>
      <c r="F46" s="179">
        <f ca="1">IF(OR(Assump!$A$7="USD",Assump!$A$7="EURO"),'Hist &amp; Proj'!F53/'Hist &amp; Proj'!F$10,'Hist &amp; Proj'!F53)</f>
        <v>0</v>
      </c>
      <c r="G46" s="179">
        <f ca="1">IF(OR(Assump!$A$7="USD",Assump!$A$7="EURO"),'Hist &amp; Proj'!G53/'Hist &amp; Proj'!G$10,'Hist &amp; Proj'!G53)</f>
        <v>0</v>
      </c>
      <c r="H46" s="179">
        <f ca="1">IF(OR(Assump!$A$7="USD",Assump!$A$7="EURO"),'Hist &amp; Proj'!H53/'Hist &amp; Proj'!H$10,'Hist &amp; Proj'!H53)</f>
        <v>0</v>
      </c>
      <c r="I46" s="179">
        <f ca="1">IF(OR(Assump!$A$7="USD",Assump!$A$7="EURO"),'Hist &amp; Proj'!I53/'Hist &amp; Proj'!I$10,'Hist &amp; Proj'!I53)</f>
        <v>0</v>
      </c>
      <c r="J46" s="179">
        <f ca="1">IF(OR(Assump!$A$7="USD",Assump!$A$7="EURO"),'Hist &amp; Proj'!J53/'Hist &amp; Proj'!J$10,'Hist &amp; Proj'!J53)</f>
        <v>0</v>
      </c>
      <c r="K46" s="179">
        <f ca="1">IF(OR(Assump!$A$7="USD",Assump!$A$7="EURO"),'Hist &amp; Proj'!K53/'Hist &amp; Proj'!K$10,'Hist &amp; Proj'!K53)</f>
        <v>0</v>
      </c>
      <c r="L46" s="179">
        <f ca="1">IF(OR(Assump!$A$7="USD",Assump!$A$7="EURO"),'Hist &amp; Proj'!L53/'Hist &amp; Proj'!L$10,'Hist &amp; Proj'!L53)</f>
        <v>0</v>
      </c>
      <c r="M46" s="179">
        <f ca="1">IF(OR(Assump!$A$7="USD",Assump!$A$7="EURO"),'Hist &amp; Proj'!M53/'Hist &amp; Proj'!M$10,'Hist &amp; Proj'!M53)</f>
        <v>0</v>
      </c>
      <c r="N46" s="179">
        <f ca="1">IF(OR(Assump!$A$7="USD",Assump!$A$7="EURO"),'Hist &amp; Proj'!N53/'Hist &amp; Proj'!N$10,'Hist &amp; Proj'!N53)</f>
        <v>0</v>
      </c>
      <c r="O46" s="179">
        <f ca="1">IF(OR(Assump!$A$7="USD",Assump!$A$7="EURO"),'Hist &amp; Proj'!O53/'Hist &amp; Proj'!O$10,'Hist &amp; Proj'!O53)</f>
        <v>0</v>
      </c>
      <c r="P46" s="179">
        <f ca="1">IF(OR(Assump!$A$7="USD",Assump!$A$7="EURO"),'Hist &amp; Proj'!P53/'Hist &amp; Proj'!P$10,'Hist &amp; Proj'!P53)</f>
        <v>0</v>
      </c>
      <c r="Q46" s="179">
        <f ca="1">IF(OR(Assump!$A$7="USD",Assump!$A$7="EURO"),'Hist &amp; Proj'!Q53/'Hist &amp; Proj'!Q$10,'Hist &amp; Proj'!Q53)</f>
        <v>0</v>
      </c>
      <c r="R46" s="179">
        <f ca="1">IF(OR(Assump!$A$7="USD",Assump!$A$7="EURO"),'Hist &amp; Proj'!R53/'Hist &amp; Proj'!R$10,'Hist &amp; Proj'!R53)</f>
        <v>0</v>
      </c>
      <c r="S46" s="179">
        <f ca="1">IF(OR(Assump!$A$7="USD",Assump!$A$7="EURO"),'Hist &amp; Proj'!S53/'Hist &amp; Proj'!S$10,'Hist &amp; Proj'!S53)</f>
        <v>0</v>
      </c>
      <c r="T46" s="179">
        <f ca="1">IF(OR(Assump!$A$7="USD",Assump!$A$7="EURO"),'Hist &amp; Proj'!T53/'Hist &amp; Proj'!T$10,'Hist &amp; Proj'!T53)</f>
        <v>0</v>
      </c>
      <c r="U46" s="179">
        <f ca="1">IF(OR(Assump!$A$7="USD",Assump!$A$7="EURO"),'Hist &amp; Proj'!U53/'Hist &amp; Proj'!U$10,'Hist &amp; Proj'!U53)</f>
        <v>0</v>
      </c>
      <c r="V46" s="179">
        <f ca="1">IF(OR(Assump!$A$7="USD",Assump!$A$7="EURO"),'Hist &amp; Proj'!V53/'Hist &amp; Proj'!V$10,'Hist &amp; Proj'!V53)</f>
        <v>0</v>
      </c>
      <c r="W46" s="179">
        <f ca="1">IF(OR(Assump!$A$7="USD",Assump!$A$7="EURO"),'Hist &amp; Proj'!W53/'Hist &amp; Proj'!W$10,'Hist &amp; Proj'!W53)</f>
        <v>0</v>
      </c>
      <c r="X46" s="179">
        <f ca="1">IF(OR(Assump!$A$7="USD",Assump!$A$7="EURO"),'Hist &amp; Proj'!X53/'Hist &amp; Proj'!X$10,'Hist &amp; Proj'!X53)</f>
        <v>0</v>
      </c>
      <c r="Y46" s="179">
        <f ca="1">IF(OR(Assump!$A$7="USD",Assump!$A$7="EURO"),'Hist &amp; Proj'!Y53/'Hist &amp; Proj'!Y$10,'Hist &amp; Proj'!Y53)</f>
        <v>0</v>
      </c>
      <c r="Z46" s="179">
        <f ca="1">IF(OR(Assump!$A$7="USD",Assump!$A$7="EURO"),'Hist &amp; Proj'!Z53/'Hist &amp; Proj'!Z$10,'Hist &amp; Proj'!Z53)</f>
        <v>0</v>
      </c>
      <c r="AA46" s="179">
        <f ca="1">IF(OR(Assump!$A$7="USD",Assump!$A$7="EURO"),'Hist &amp; Proj'!AA53/'Hist &amp; Proj'!AA$10,'Hist &amp; Proj'!AA53)</f>
        <v>0</v>
      </c>
      <c r="AB46" s="179">
        <f ca="1">IF(OR(Assump!$A$7="USD",Assump!$A$7="EURO"),'Hist &amp; Proj'!AB53/'Hist &amp; Proj'!AB$10,'Hist &amp; Proj'!AB53)</f>
        <v>0</v>
      </c>
      <c r="AC46" s="179">
        <f ca="1">IF(OR(Assump!$A$7="USD",Assump!$A$7="EURO"),'Hist &amp; Proj'!AC53/'Hist &amp; Proj'!AC$10,'Hist &amp; Proj'!AC53)</f>
        <v>0</v>
      </c>
      <c r="AD46" s="179">
        <f ca="1">IF(OR(Assump!$A$7="USD",Assump!$A$7="EURO"),'Hist &amp; Proj'!AD53/'Hist &amp; Proj'!AD$10,'Hist &amp; Proj'!AD53)</f>
        <v>0</v>
      </c>
      <c r="AE46" s="179" t="e">
        <f ca="1">IF(OR(Assump!$A$7="USD",Assump!$A$7="EURO"),'Hist &amp; Proj'!AE53/'Hist &amp; Proj'!AE$10,'Hist &amp; Proj'!AE53)</f>
        <v>#N/A</v>
      </c>
      <c r="AF46" s="179" t="e">
        <f ca="1">IF(OR(Assump!$A$7="USD",Assump!$A$7="EURO"),'Hist &amp; Proj'!AF53/'Hist &amp; Proj'!AE$9,'Hist &amp; Proj'!AF53)</f>
        <v>#N/A</v>
      </c>
      <c r="AH46" s="367" t="str">
        <f ca="1">IFERROR(RATE(3,0,-C46,R46),"NA")</f>
        <v>NA</v>
      </c>
      <c r="AJ46" s="179" t="e">
        <f ca="1">-AVERAGE(AJ$15,R$15)*Assump!AJ23</f>
        <v>#DIV/0!</v>
      </c>
      <c r="AK46" s="179" t="e">
        <f ca="1">-AVERAGE(AJ$15:AK17)*Assump!AK23</f>
        <v>#DIV/0!</v>
      </c>
      <c r="AL46" s="179" t="e">
        <f ca="1">-AVERAGE(AK$15:AL17)*Assump!AL23</f>
        <v>#DIV/0!</v>
      </c>
      <c r="AM46" s="179" t="e">
        <f ca="1">-AVERAGE(AL$15:AM17)*Assump!AM23</f>
        <v>#DIV/0!</v>
      </c>
      <c r="AN46" s="179" t="e">
        <f ca="1">-AVERAGE(AM$15:AN17)*Assump!AN23</f>
        <v>#DIV/0!</v>
      </c>
      <c r="AP46" s="367" t="str">
        <f ca="1">IFERROR(RATE(4,0,-AJ46,AN46),"NA")</f>
        <v>NA</v>
      </c>
    </row>
    <row r="47" spans="1:42">
      <c r="A47" s="187" t="str">
        <f>'Hist &amp; Proj'!A54</f>
        <v>Loan Loss Provision Expense</v>
      </c>
      <c r="B47" s="179">
        <f>IF(OR(Assump!$A$7="USD",Assump!$A$7="EURO"),'Hist &amp; Proj'!B54/'Hist &amp; Proj'!B$8,'Hist &amp; Proj'!B54)</f>
        <v>0</v>
      </c>
      <c r="C47" s="179">
        <f>IF(OR(Assump!$A$7="USD",Assump!$A$7="EURO"),'Hist &amp; Proj'!C54/'Hist &amp; Proj'!C$9,'Hist &amp; Proj'!C54)</f>
        <v>0</v>
      </c>
      <c r="D47" s="179">
        <f>IF(OR(Assump!$A$7="USD",Assump!$A$7="EURO"),'Hist &amp; Proj'!D54/'Hist &amp; Proj'!D$9,'Hist &amp; Proj'!D54)</f>
        <v>0</v>
      </c>
      <c r="E47" s="179">
        <f>IF(OR(Assump!$A$7="USD",Assump!$A$7="EURO"),'Hist &amp; Proj'!E54/'Hist &amp; Proj'!E$9,'Hist &amp; Proj'!E54)</f>
        <v>0</v>
      </c>
      <c r="F47" s="179">
        <f ca="1">IF(OR(Assump!$A$7="USD",Assump!$A$7="EURO"),'Hist &amp; Proj'!F54/'Hist &amp; Proj'!F$10,'Hist &amp; Proj'!F54)</f>
        <v>0</v>
      </c>
      <c r="G47" s="179">
        <f ca="1">IF(OR(Assump!$A$7="USD",Assump!$A$7="EURO"),'Hist &amp; Proj'!G54/'Hist &amp; Proj'!G$10,'Hist &amp; Proj'!G54)</f>
        <v>0</v>
      </c>
      <c r="H47" s="179">
        <f ca="1">IF(OR(Assump!$A$7="USD",Assump!$A$7="EURO"),'Hist &amp; Proj'!H54/'Hist &amp; Proj'!H$10,'Hist &amp; Proj'!H54)</f>
        <v>0</v>
      </c>
      <c r="I47" s="179">
        <f ca="1">IF(OR(Assump!$A$7="USD",Assump!$A$7="EURO"),'Hist &amp; Proj'!I54/'Hist &amp; Proj'!I$10,'Hist &amp; Proj'!I54)</f>
        <v>0</v>
      </c>
      <c r="J47" s="179">
        <f ca="1">IF(OR(Assump!$A$7="USD",Assump!$A$7="EURO"),'Hist &amp; Proj'!J54/'Hist &amp; Proj'!J$10,'Hist &amp; Proj'!J54)</f>
        <v>0</v>
      </c>
      <c r="K47" s="179">
        <f ca="1">IF(OR(Assump!$A$7="USD",Assump!$A$7="EURO"),'Hist &amp; Proj'!K54/'Hist &amp; Proj'!K$10,'Hist &amp; Proj'!K54)</f>
        <v>0</v>
      </c>
      <c r="L47" s="179">
        <f ca="1">IF(OR(Assump!$A$7="USD",Assump!$A$7="EURO"),'Hist &amp; Proj'!L54/'Hist &amp; Proj'!L$10,'Hist &amp; Proj'!L54)</f>
        <v>0</v>
      </c>
      <c r="M47" s="179">
        <f ca="1">IF(OR(Assump!$A$7="USD",Assump!$A$7="EURO"),'Hist &amp; Proj'!M54/'Hist &amp; Proj'!M$10,'Hist &amp; Proj'!M54)</f>
        <v>0</v>
      </c>
      <c r="N47" s="179">
        <f ca="1">IF(OR(Assump!$A$7="USD",Assump!$A$7="EURO"),'Hist &amp; Proj'!N54/'Hist &amp; Proj'!N$10,'Hist &amp; Proj'!N54)</f>
        <v>0</v>
      </c>
      <c r="O47" s="179">
        <f ca="1">IF(OR(Assump!$A$7="USD",Assump!$A$7="EURO"),'Hist &amp; Proj'!O54/'Hist &amp; Proj'!O$10,'Hist &amp; Proj'!O54)</f>
        <v>0</v>
      </c>
      <c r="P47" s="179">
        <f ca="1">IF(OR(Assump!$A$7="USD",Assump!$A$7="EURO"),'Hist &amp; Proj'!P54/'Hist &amp; Proj'!P$10,'Hist &amp; Proj'!P54)</f>
        <v>0</v>
      </c>
      <c r="Q47" s="179">
        <f ca="1">IF(OR(Assump!$A$7="USD",Assump!$A$7="EURO"),'Hist &amp; Proj'!Q54/'Hist &amp; Proj'!Q$10,'Hist &amp; Proj'!Q54)</f>
        <v>0</v>
      </c>
      <c r="R47" s="179">
        <f ca="1">IF(OR(Assump!$A$7="USD",Assump!$A$7="EURO"),'Hist &amp; Proj'!R54/'Hist &amp; Proj'!R$10,'Hist &amp; Proj'!R54)</f>
        <v>0</v>
      </c>
      <c r="S47" s="179">
        <f ca="1">IF(OR(Assump!$A$7="USD",Assump!$A$7="EURO"),'Hist &amp; Proj'!S54/'Hist &amp; Proj'!S$10,'Hist &amp; Proj'!S54)</f>
        <v>0</v>
      </c>
      <c r="T47" s="179">
        <f ca="1">IF(OR(Assump!$A$7="USD",Assump!$A$7="EURO"),'Hist &amp; Proj'!T54/'Hist &amp; Proj'!T$10,'Hist &amp; Proj'!T54)</f>
        <v>0</v>
      </c>
      <c r="U47" s="179">
        <f ca="1">IF(OR(Assump!$A$7="USD",Assump!$A$7="EURO"),'Hist &amp; Proj'!U54/'Hist &amp; Proj'!U$10,'Hist &amp; Proj'!U54)</f>
        <v>0</v>
      </c>
      <c r="V47" s="179">
        <f ca="1">IF(OR(Assump!$A$7="USD",Assump!$A$7="EURO"),'Hist &amp; Proj'!V54/'Hist &amp; Proj'!V$10,'Hist &amp; Proj'!V54)</f>
        <v>0</v>
      </c>
      <c r="W47" s="179">
        <f ca="1">IF(OR(Assump!$A$7="USD",Assump!$A$7="EURO"),'Hist &amp; Proj'!W54/'Hist &amp; Proj'!W$10,'Hist &amp; Proj'!W54)</f>
        <v>0</v>
      </c>
      <c r="X47" s="179">
        <f ca="1">IF(OR(Assump!$A$7="USD",Assump!$A$7="EURO"),'Hist &amp; Proj'!X54/'Hist &amp; Proj'!X$10,'Hist &amp; Proj'!X54)</f>
        <v>0</v>
      </c>
      <c r="Y47" s="179">
        <f ca="1">IF(OR(Assump!$A$7="USD",Assump!$A$7="EURO"),'Hist &amp; Proj'!Y54/'Hist &amp; Proj'!Y$10,'Hist &amp; Proj'!Y54)</f>
        <v>0</v>
      </c>
      <c r="Z47" s="179">
        <f ca="1">IF(OR(Assump!$A$7="USD",Assump!$A$7="EURO"),'Hist &amp; Proj'!Z54/'Hist &amp; Proj'!Z$10,'Hist &amp; Proj'!Z54)</f>
        <v>0</v>
      </c>
      <c r="AA47" s="179">
        <f ca="1">IF(OR(Assump!$A$7="USD",Assump!$A$7="EURO"),'Hist &amp; Proj'!AA54/'Hist &amp; Proj'!AA$10,'Hist &amp; Proj'!AA54)</f>
        <v>0</v>
      </c>
      <c r="AB47" s="179">
        <f ca="1">IF(OR(Assump!$A$7="USD",Assump!$A$7="EURO"),'Hist &amp; Proj'!AB54/'Hist &amp; Proj'!AB$10,'Hist &amp; Proj'!AB54)</f>
        <v>0</v>
      </c>
      <c r="AC47" s="179">
        <f ca="1">IF(OR(Assump!$A$7="USD",Assump!$A$7="EURO"),'Hist &amp; Proj'!AC54/'Hist &amp; Proj'!AC$10,'Hist &amp; Proj'!AC54)</f>
        <v>0</v>
      </c>
      <c r="AD47" s="179">
        <f ca="1">IF(OR(Assump!$A$7="USD",Assump!$A$7="EURO"),'Hist &amp; Proj'!AD54/'Hist &amp; Proj'!AD$10,'Hist &amp; Proj'!AD54)</f>
        <v>0</v>
      </c>
      <c r="AE47" s="179" t="e">
        <f ca="1">IF(OR(Assump!$A$7="USD",Assump!$A$7="EURO"),'Hist &amp; Proj'!AE54/'Hist &amp; Proj'!AE$10,'Hist &amp; Proj'!AE54)</f>
        <v>#N/A</v>
      </c>
      <c r="AF47" s="179" t="e">
        <f ca="1">IF(OR(Assump!$A$7="USD",Assump!$A$7="EURO"),'Hist &amp; Proj'!AF54/'Hist &amp; Proj'!AE$9,'Hist &amp; Proj'!AF54)</f>
        <v>#N/A</v>
      </c>
      <c r="AH47" s="367" t="str">
        <f ca="1">IFERROR(RATE(3,0,-C47,R47),"NA")</f>
        <v>NA</v>
      </c>
      <c r="AJ47" s="179">
        <f ca="1">IF(Assump!$AM$8=3,'Mgmt Backup'!AJ47,-(AJ169+AJ174)*Assump!AJ38-'Fin Output'!R17-'Fin Output'!AJ175+'Fin Output'!AJ176)</f>
        <v>0</v>
      </c>
      <c r="AK47" s="179">
        <f ca="1">IF(Assump!$AM$8=3,'Mgmt Backup'!AK47,-(AK169+AK174)*Assump!AK38-'Fin Output'!AJ17-'Fin Output'!AK175+'Fin Output'!AK176)</f>
        <v>0</v>
      </c>
      <c r="AL47" s="179">
        <f ca="1">IF(Assump!$AM$8=3,'Mgmt Backup'!AL47,-(AL169+AL174)*Assump!AL38-'Fin Output'!AK17-'Fin Output'!AL175+'Fin Output'!AL176)</f>
        <v>0</v>
      </c>
      <c r="AM47" s="179">
        <f ca="1">IF(Assump!$AM$8=3,'Mgmt Backup'!AM47,-(AM169+AM174)*Assump!AM38-'Fin Output'!AL17-'Fin Output'!AM175+'Fin Output'!AM176)</f>
        <v>0</v>
      </c>
      <c r="AN47" s="179">
        <f ca="1">IF(Assump!$AM$8=3,'Mgmt Backup'!AN47,-(AN169+AN174)*Assump!AN38-'Fin Output'!AM17-'Fin Output'!AN175+'Fin Output'!AN176)</f>
        <v>0</v>
      </c>
      <c r="AP47" s="367" t="str">
        <f ca="1">IFERROR(RATE(4,0,-AJ47,AN47),"NA")</f>
        <v>NA</v>
      </c>
    </row>
    <row r="48" spans="1:42" s="382" customFormat="1">
      <c r="A48" s="188" t="str">
        <f>'Hist &amp; Proj'!A55</f>
        <v>Net Financial Income</v>
      </c>
      <c r="B48" s="189">
        <f t="shared" ref="B48:AD48" si="12">SUM(B44:B47)</f>
        <v>0</v>
      </c>
      <c r="C48" s="189">
        <f t="shared" si="12"/>
        <v>0</v>
      </c>
      <c r="D48" s="189">
        <f t="shared" si="12"/>
        <v>0</v>
      </c>
      <c r="E48" s="189">
        <f t="shared" si="12"/>
        <v>0</v>
      </c>
      <c r="F48" s="189">
        <f t="shared" ca="1" si="12"/>
        <v>0</v>
      </c>
      <c r="G48" s="189">
        <f t="shared" ca="1" si="12"/>
        <v>0</v>
      </c>
      <c r="H48" s="189">
        <f t="shared" ca="1" si="12"/>
        <v>0</v>
      </c>
      <c r="I48" s="189">
        <f t="shared" ca="1" si="12"/>
        <v>0</v>
      </c>
      <c r="J48" s="189">
        <f t="shared" ca="1" si="12"/>
        <v>0</v>
      </c>
      <c r="K48" s="189">
        <f t="shared" ca="1" si="12"/>
        <v>0</v>
      </c>
      <c r="L48" s="189">
        <f t="shared" ca="1" si="12"/>
        <v>0</v>
      </c>
      <c r="M48" s="189">
        <f t="shared" ca="1" si="12"/>
        <v>0</v>
      </c>
      <c r="N48" s="189">
        <f t="shared" ca="1" si="12"/>
        <v>0</v>
      </c>
      <c r="O48" s="189">
        <f t="shared" ca="1" si="12"/>
        <v>0</v>
      </c>
      <c r="P48" s="189">
        <f t="shared" ca="1" si="12"/>
        <v>0</v>
      </c>
      <c r="Q48" s="189">
        <f t="shared" ca="1" si="12"/>
        <v>0</v>
      </c>
      <c r="R48" s="189">
        <f t="shared" ca="1" si="12"/>
        <v>0</v>
      </c>
      <c r="S48" s="189">
        <f t="shared" ca="1" si="12"/>
        <v>0</v>
      </c>
      <c r="T48" s="189">
        <f t="shared" ca="1" si="12"/>
        <v>0</v>
      </c>
      <c r="U48" s="189">
        <f t="shared" ca="1" si="12"/>
        <v>0</v>
      </c>
      <c r="V48" s="189">
        <f t="shared" ca="1" si="12"/>
        <v>0</v>
      </c>
      <c r="W48" s="189">
        <f t="shared" ca="1" si="12"/>
        <v>0</v>
      </c>
      <c r="X48" s="189">
        <f t="shared" ca="1" si="12"/>
        <v>0</v>
      </c>
      <c r="Y48" s="189">
        <f t="shared" ca="1" si="12"/>
        <v>0</v>
      </c>
      <c r="Z48" s="189">
        <f t="shared" ca="1" si="12"/>
        <v>0</v>
      </c>
      <c r="AA48" s="189">
        <f t="shared" ca="1" si="12"/>
        <v>0</v>
      </c>
      <c r="AB48" s="189">
        <f t="shared" ca="1" si="12"/>
        <v>0</v>
      </c>
      <c r="AC48" s="189">
        <f t="shared" ca="1" si="12"/>
        <v>0</v>
      </c>
      <c r="AD48" s="189">
        <f t="shared" ca="1" si="12"/>
        <v>0</v>
      </c>
      <c r="AE48" s="189" t="e">
        <f ca="1">SUM(AE44:AE47)</f>
        <v>#N/A</v>
      </c>
      <c r="AF48" s="189" t="e">
        <f ca="1">SUM(AF44:AF47)</f>
        <v>#N/A</v>
      </c>
      <c r="AG48" s="126"/>
      <c r="AH48" s="381" t="str">
        <f ca="1">IFERROR(RATE(3,0,-C48,R48),"NA")</f>
        <v>NA</v>
      </c>
      <c r="AJ48" s="189" t="e">
        <f ca="1">SUM(AJ44:AJ47)</f>
        <v>#DIV/0!</v>
      </c>
      <c r="AK48" s="189" t="e">
        <f ca="1">SUM(AK44:AK47)</f>
        <v>#DIV/0!</v>
      </c>
      <c r="AL48" s="189" t="e">
        <f ca="1">SUM(AL44:AL47)</f>
        <v>#DIV/0!</v>
      </c>
      <c r="AM48" s="189" t="e">
        <f ca="1">SUM(AM44:AM47)</f>
        <v>#DIV/0!</v>
      </c>
      <c r="AN48" s="189" t="e">
        <f ca="1">SUM(AN44:AN47)</f>
        <v>#DIV/0!</v>
      </c>
      <c r="AO48" s="383"/>
      <c r="AP48" s="381" t="str">
        <f ca="1">IFERROR(RATE(4,0,-AJ48,AN48),"NA")</f>
        <v>NA</v>
      </c>
    </row>
    <row r="49" spans="1:42">
      <c r="A49" s="182" t="str">
        <f>'Hist &amp; Proj'!A56</f>
        <v>Net Financial Margin (%)</v>
      </c>
      <c r="B49" s="183" t="str">
        <f t="shared" ref="B49:AD49" si="13">IF(B48=0,"",IF(B44=0,"",+B48/B44))</f>
        <v/>
      </c>
      <c r="C49" s="183" t="str">
        <f t="shared" si="13"/>
        <v/>
      </c>
      <c r="D49" s="183" t="str">
        <f t="shared" si="13"/>
        <v/>
      </c>
      <c r="E49" s="183" t="str">
        <f t="shared" si="13"/>
        <v/>
      </c>
      <c r="F49" s="183" t="str">
        <f t="shared" ca="1" si="13"/>
        <v/>
      </c>
      <c r="G49" s="183" t="str">
        <f t="shared" ca="1" si="13"/>
        <v/>
      </c>
      <c r="H49" s="183" t="str">
        <f t="shared" ca="1" si="13"/>
        <v/>
      </c>
      <c r="I49" s="183" t="str">
        <f t="shared" ca="1" si="13"/>
        <v/>
      </c>
      <c r="J49" s="183" t="str">
        <f t="shared" ca="1" si="13"/>
        <v/>
      </c>
      <c r="K49" s="183" t="str">
        <f t="shared" ca="1" si="13"/>
        <v/>
      </c>
      <c r="L49" s="183" t="str">
        <f t="shared" ca="1" si="13"/>
        <v/>
      </c>
      <c r="M49" s="183" t="str">
        <f t="shared" ca="1" si="13"/>
        <v/>
      </c>
      <c r="N49" s="183" t="str">
        <f t="shared" ca="1" si="13"/>
        <v/>
      </c>
      <c r="O49" s="183" t="str">
        <f t="shared" ca="1" si="13"/>
        <v/>
      </c>
      <c r="P49" s="183" t="str">
        <f t="shared" ca="1" si="13"/>
        <v/>
      </c>
      <c r="Q49" s="183" t="str">
        <f t="shared" ca="1" si="13"/>
        <v/>
      </c>
      <c r="R49" s="183" t="str">
        <f t="shared" ca="1" si="13"/>
        <v/>
      </c>
      <c r="S49" s="183" t="str">
        <f t="shared" ca="1" si="13"/>
        <v/>
      </c>
      <c r="T49" s="183" t="str">
        <f t="shared" ca="1" si="13"/>
        <v/>
      </c>
      <c r="U49" s="183" t="str">
        <f t="shared" ca="1" si="13"/>
        <v/>
      </c>
      <c r="V49" s="183" t="str">
        <f t="shared" ca="1" si="13"/>
        <v/>
      </c>
      <c r="W49" s="183" t="str">
        <f t="shared" ca="1" si="13"/>
        <v/>
      </c>
      <c r="X49" s="183" t="str">
        <f t="shared" ca="1" si="13"/>
        <v/>
      </c>
      <c r="Y49" s="183" t="str">
        <f t="shared" ca="1" si="13"/>
        <v/>
      </c>
      <c r="Z49" s="183" t="str">
        <f t="shared" ca="1" si="13"/>
        <v/>
      </c>
      <c r="AA49" s="183" t="str">
        <f t="shared" ca="1" si="13"/>
        <v/>
      </c>
      <c r="AB49" s="183" t="str">
        <f t="shared" ca="1" si="13"/>
        <v/>
      </c>
      <c r="AC49" s="183" t="str">
        <f t="shared" ca="1" si="13"/>
        <v/>
      </c>
      <c r="AD49" s="183" t="str">
        <f t="shared" ca="1" si="13"/>
        <v/>
      </c>
      <c r="AE49" s="183" t="e">
        <f ca="1">IF(AE48=0,"",IF(AE44=0,"",+AE48/AE44))</f>
        <v>#N/A</v>
      </c>
      <c r="AF49" s="183" t="e">
        <f ca="1">IF(AF48=0,"",IF(AF44=0,"",+AF48/AF44))</f>
        <v>#N/A</v>
      </c>
      <c r="AH49" s="368" t="str">
        <f ca="1">IFERROR(AVERAGE(C49:E49,R49),"NA")</f>
        <v>NA</v>
      </c>
      <c r="AJ49" s="183" t="e">
        <f ca="1">IF(AJ48=0,"",IF(AJ44=0,"",+AJ48/AJ44))</f>
        <v>#DIV/0!</v>
      </c>
      <c r="AK49" s="183" t="e">
        <f ca="1">IF(AK48=0,"",IF(AK44=0,"",+AK48/AK44))</f>
        <v>#DIV/0!</v>
      </c>
      <c r="AL49" s="183" t="e">
        <f ca="1">IF(AL48=0,"",IF(AL44=0,"",+AL48/AL44))</f>
        <v>#DIV/0!</v>
      </c>
      <c r="AM49" s="183" t="e">
        <f ca="1">IF(AM48=0,"",IF(AM44=0,"",+AM48/AM44))</f>
        <v>#DIV/0!</v>
      </c>
      <c r="AN49" s="183" t="e">
        <f ca="1">IF(AN48=0,"",IF(AN44=0,"",+AN48/AN44))</f>
        <v>#DIV/0!</v>
      </c>
      <c r="AP49" s="368" t="str">
        <f ca="1">IFERROR(AVERAGE(AJ49:AN49),"NA")</f>
        <v>NA</v>
      </c>
    </row>
    <row r="50" spans="1:42" ht="5.25" customHeight="1">
      <c r="A50" s="181"/>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H50" s="367"/>
      <c r="AJ50" s="179"/>
      <c r="AK50" s="179"/>
      <c r="AL50" s="179"/>
      <c r="AM50" s="179"/>
      <c r="AN50" s="179"/>
      <c r="AP50" s="367"/>
    </row>
    <row r="51" spans="1:42" outlineLevel="1">
      <c r="A51" s="127" t="str">
        <f>'Hist &amp; Proj'!A58</f>
        <v>Other Financial Service Income (Expense)</v>
      </c>
      <c r="B51" s="179">
        <f>IF(OR(Assump!$A$7="USD",Assump!$A$7="EURO"),'Hist &amp; Proj'!B58/'Hist &amp; Proj'!B$8,'Hist &amp; Proj'!B58)</f>
        <v>0</v>
      </c>
      <c r="C51" s="179">
        <f>IF(OR(Assump!$A$7="USD",Assump!$A$7="EURO"),'Hist &amp; Proj'!C58/'Hist &amp; Proj'!C$9,'Hist &amp; Proj'!C58)</f>
        <v>0</v>
      </c>
      <c r="D51" s="179">
        <f>IF(OR(Assump!$A$7="USD",Assump!$A$7="EURO"),'Hist &amp; Proj'!D58/'Hist &amp; Proj'!D$9,'Hist &amp; Proj'!D58)</f>
        <v>0</v>
      </c>
      <c r="E51" s="179">
        <f>IF(OR(Assump!$A$7="USD",Assump!$A$7="EURO"),'Hist &amp; Proj'!E58/'Hist &amp; Proj'!E$9,'Hist &amp; Proj'!E58)</f>
        <v>0</v>
      </c>
      <c r="F51" s="179">
        <f ca="1">IF(OR(Assump!$A$7="USD",Assump!$A$7="EURO"),'Hist &amp; Proj'!F58/'Hist &amp; Proj'!F$10,'Hist &amp; Proj'!F58)</f>
        <v>0</v>
      </c>
      <c r="G51" s="179">
        <f ca="1">IF(OR(Assump!$A$7="USD",Assump!$A$7="EURO"),'Hist &amp; Proj'!G58/'Hist &amp; Proj'!G$10,'Hist &amp; Proj'!G58)</f>
        <v>0</v>
      </c>
      <c r="H51" s="179">
        <f ca="1">IF(OR(Assump!$A$7="USD",Assump!$A$7="EURO"),'Hist &amp; Proj'!H58/'Hist &amp; Proj'!H$10,'Hist &amp; Proj'!H58)</f>
        <v>0</v>
      </c>
      <c r="I51" s="179">
        <f ca="1">IF(OR(Assump!$A$7="USD",Assump!$A$7="EURO"),'Hist &amp; Proj'!I58/'Hist &amp; Proj'!I$10,'Hist &amp; Proj'!I58)</f>
        <v>0</v>
      </c>
      <c r="J51" s="179">
        <f ca="1">IF(OR(Assump!$A$7="USD",Assump!$A$7="EURO"),'Hist &amp; Proj'!J58/'Hist &amp; Proj'!J$10,'Hist &amp; Proj'!J58)</f>
        <v>0</v>
      </c>
      <c r="K51" s="179">
        <f ca="1">IF(OR(Assump!$A$7="USD",Assump!$A$7="EURO"),'Hist &amp; Proj'!K58/'Hist &amp; Proj'!K$10,'Hist &amp; Proj'!K58)</f>
        <v>0</v>
      </c>
      <c r="L51" s="179">
        <f ca="1">IF(OR(Assump!$A$7="USD",Assump!$A$7="EURO"),'Hist &amp; Proj'!L58/'Hist &amp; Proj'!L$10,'Hist &amp; Proj'!L58)</f>
        <v>0</v>
      </c>
      <c r="M51" s="179">
        <f ca="1">IF(OR(Assump!$A$7="USD",Assump!$A$7="EURO"),'Hist &amp; Proj'!M58/'Hist &amp; Proj'!M$10,'Hist &amp; Proj'!M58)</f>
        <v>0</v>
      </c>
      <c r="N51" s="179">
        <f ca="1">IF(OR(Assump!$A$7="USD",Assump!$A$7="EURO"),'Hist &amp; Proj'!N58/'Hist &amp; Proj'!N$10,'Hist &amp; Proj'!N58)</f>
        <v>0</v>
      </c>
      <c r="O51" s="179">
        <f ca="1">IF(OR(Assump!$A$7="USD",Assump!$A$7="EURO"),'Hist &amp; Proj'!O58/'Hist &amp; Proj'!O$10,'Hist &amp; Proj'!O58)</f>
        <v>0</v>
      </c>
      <c r="P51" s="179">
        <f ca="1">IF(OR(Assump!$A$7="USD",Assump!$A$7="EURO"),'Hist &amp; Proj'!P58/'Hist &amp; Proj'!P$10,'Hist &amp; Proj'!P58)</f>
        <v>0</v>
      </c>
      <c r="Q51" s="179">
        <f ca="1">IF(OR(Assump!$A$7="USD",Assump!$A$7="EURO"),'Hist &amp; Proj'!Q58/'Hist &amp; Proj'!Q$10,'Hist &amp; Proj'!Q58)</f>
        <v>0</v>
      </c>
      <c r="R51" s="179">
        <f ca="1">IF(OR(Assump!$A$7="USD",Assump!$A$7="EURO"),'Hist &amp; Proj'!R58/'Hist &amp; Proj'!R$10,'Hist &amp; Proj'!R58)</f>
        <v>0</v>
      </c>
      <c r="S51" s="179">
        <f ca="1">IF(OR(Assump!$A$7="USD",Assump!$A$7="EURO"),'Hist &amp; Proj'!S58/'Hist &amp; Proj'!S$10,'Hist &amp; Proj'!S58)</f>
        <v>0</v>
      </c>
      <c r="T51" s="179">
        <f ca="1">IF(OR(Assump!$A$7="USD",Assump!$A$7="EURO"),'Hist &amp; Proj'!T58/'Hist &amp; Proj'!T$10,'Hist &amp; Proj'!T58)</f>
        <v>0</v>
      </c>
      <c r="U51" s="179">
        <f ca="1">IF(OR(Assump!$A$7="USD",Assump!$A$7="EURO"),'Hist &amp; Proj'!U58/'Hist &amp; Proj'!U$10,'Hist &amp; Proj'!U58)</f>
        <v>0</v>
      </c>
      <c r="V51" s="179">
        <f ca="1">IF(OR(Assump!$A$7="USD",Assump!$A$7="EURO"),'Hist &amp; Proj'!V58/'Hist &amp; Proj'!V$10,'Hist &amp; Proj'!V58)</f>
        <v>0</v>
      </c>
      <c r="W51" s="179">
        <f ca="1">IF(OR(Assump!$A$7="USD",Assump!$A$7="EURO"),'Hist &amp; Proj'!W58/'Hist &amp; Proj'!W$10,'Hist &amp; Proj'!W58)</f>
        <v>0</v>
      </c>
      <c r="X51" s="179">
        <f ca="1">IF(OR(Assump!$A$7="USD",Assump!$A$7="EURO"),'Hist &amp; Proj'!X58/'Hist &amp; Proj'!X$10,'Hist &amp; Proj'!X58)</f>
        <v>0</v>
      </c>
      <c r="Y51" s="179">
        <f ca="1">IF(OR(Assump!$A$7="USD",Assump!$A$7="EURO"),'Hist &amp; Proj'!Y58/'Hist &amp; Proj'!Y$10,'Hist &amp; Proj'!Y58)</f>
        <v>0</v>
      </c>
      <c r="Z51" s="179">
        <f ca="1">IF(OR(Assump!$A$7="USD",Assump!$A$7="EURO"),'Hist &amp; Proj'!Z58/'Hist &amp; Proj'!Z$10,'Hist &amp; Proj'!Z58)</f>
        <v>0</v>
      </c>
      <c r="AA51" s="179">
        <f ca="1">IF(OR(Assump!$A$7="USD",Assump!$A$7="EURO"),'Hist &amp; Proj'!AA58/'Hist &amp; Proj'!AA$10,'Hist &amp; Proj'!AA58)</f>
        <v>0</v>
      </c>
      <c r="AB51" s="179">
        <f ca="1">IF(OR(Assump!$A$7="USD",Assump!$A$7="EURO"),'Hist &amp; Proj'!AB58/'Hist &amp; Proj'!AB$10,'Hist &amp; Proj'!AB58)</f>
        <v>0</v>
      </c>
      <c r="AC51" s="179">
        <f ca="1">IF(OR(Assump!$A$7="USD",Assump!$A$7="EURO"),'Hist &amp; Proj'!AC58/'Hist &amp; Proj'!AC$10,'Hist &amp; Proj'!AC58)</f>
        <v>0</v>
      </c>
      <c r="AD51" s="179">
        <f ca="1">IF(OR(Assump!$A$7="USD",Assump!$A$7="EURO"),'Hist &amp; Proj'!AD58/'Hist &amp; Proj'!AD$10,'Hist &amp; Proj'!AD58)</f>
        <v>0</v>
      </c>
      <c r="AE51" s="179" t="e">
        <f ca="1">IF(OR(Assump!$A$7="USD",Assump!$A$7="EURO"),'Hist &amp; Proj'!AE58/'Hist &amp; Proj'!AE$10,'Hist &amp; Proj'!AE58)</f>
        <v>#N/A</v>
      </c>
      <c r="AF51" s="179" t="e">
        <f ca="1">IF(OR(Assump!$A$7="USD",Assump!$A$7="EURO"),'Hist &amp; Proj'!AF58/'Hist &amp; Proj'!AE$9,'Hist &amp; Proj'!AF58)</f>
        <v>#N/A</v>
      </c>
      <c r="AH51" s="367" t="str">
        <f ca="1">IFERROR(RATE(3,0,-C51,R51),"NA")</f>
        <v>NA</v>
      </c>
      <c r="AJ51" s="179" t="e">
        <f ca="1">AJ$44*Assump!AJ24</f>
        <v>#DIV/0!</v>
      </c>
      <c r="AK51" s="179" t="e">
        <f ca="1">AK$44*Assump!AK24</f>
        <v>#DIV/0!</v>
      </c>
      <c r="AL51" s="179" t="e">
        <f ca="1">AL$44*Assump!AL24</f>
        <v>#DIV/0!</v>
      </c>
      <c r="AM51" s="179" t="e">
        <f ca="1">AM$44*Assump!AM24</f>
        <v>#DIV/0!</v>
      </c>
      <c r="AN51" s="179" t="e">
        <f ca="1">AN$44*Assump!AN24</f>
        <v>#DIV/0!</v>
      </c>
      <c r="AP51" s="367" t="str">
        <f ca="1">IFERROR(RATE(4,0,-AJ51,AN51),"NA")</f>
        <v>NA</v>
      </c>
    </row>
    <row r="52" spans="1:42">
      <c r="A52" s="127" t="str">
        <f>'Hist &amp; Proj'!A59</f>
        <v>Operating Expense</v>
      </c>
      <c r="B52" s="179">
        <f>IF(OR(Assump!$A$7="USD",Assump!$A$7="EURO"),'Hist &amp; Proj'!B59/'Hist &amp; Proj'!B$8,'Hist &amp; Proj'!B59)</f>
        <v>0</v>
      </c>
      <c r="C52" s="179">
        <f>IF(OR(Assump!$A$7="USD",Assump!$A$7="EURO"),'Hist &amp; Proj'!C59/'Hist &amp; Proj'!C$9,'Hist &amp; Proj'!C59)</f>
        <v>0</v>
      </c>
      <c r="D52" s="179">
        <f>IF(OR(Assump!$A$7="USD",Assump!$A$7="EURO"),'Hist &amp; Proj'!D59/'Hist &amp; Proj'!D$9,'Hist &amp; Proj'!D59)</f>
        <v>0</v>
      </c>
      <c r="E52" s="179">
        <f>IF(OR(Assump!$A$7="USD",Assump!$A$7="EURO"),'Hist &amp; Proj'!E59/'Hist &amp; Proj'!E$9,'Hist &amp; Proj'!E59)</f>
        <v>0</v>
      </c>
      <c r="F52" s="179">
        <f ca="1">IF(OR(Assump!$A$7="USD",Assump!$A$7="EURO"),'Hist &amp; Proj'!F59/'Hist &amp; Proj'!F$10,'Hist &amp; Proj'!F59)</f>
        <v>0</v>
      </c>
      <c r="G52" s="179">
        <f ca="1">IF(OR(Assump!$A$7="USD",Assump!$A$7="EURO"),'Hist &amp; Proj'!G59/'Hist &amp; Proj'!G$10,'Hist &amp; Proj'!G59)</f>
        <v>0</v>
      </c>
      <c r="H52" s="179">
        <f ca="1">IF(OR(Assump!$A$7="USD",Assump!$A$7="EURO"),'Hist &amp; Proj'!H59/'Hist &amp; Proj'!H$10,'Hist &amp; Proj'!H59)</f>
        <v>0</v>
      </c>
      <c r="I52" s="179">
        <f ca="1">IF(OR(Assump!$A$7="USD",Assump!$A$7="EURO"),'Hist &amp; Proj'!I59/'Hist &amp; Proj'!I$10,'Hist &amp; Proj'!I59)</f>
        <v>0</v>
      </c>
      <c r="J52" s="179">
        <f ca="1">IF(OR(Assump!$A$7="USD",Assump!$A$7="EURO"),'Hist &amp; Proj'!J59/'Hist &amp; Proj'!J$10,'Hist &amp; Proj'!J59)</f>
        <v>0</v>
      </c>
      <c r="K52" s="179">
        <f ca="1">IF(OR(Assump!$A$7="USD",Assump!$A$7="EURO"),'Hist &amp; Proj'!K59/'Hist &amp; Proj'!K$10,'Hist &amp; Proj'!K59)</f>
        <v>0</v>
      </c>
      <c r="L52" s="179">
        <f ca="1">IF(OR(Assump!$A$7="USD",Assump!$A$7="EURO"),'Hist &amp; Proj'!L59/'Hist &amp; Proj'!L$10,'Hist &amp; Proj'!L59)</f>
        <v>0</v>
      </c>
      <c r="M52" s="179">
        <f ca="1">IF(OR(Assump!$A$7="USD",Assump!$A$7="EURO"),'Hist &amp; Proj'!M59/'Hist &amp; Proj'!M$10,'Hist &amp; Proj'!M59)</f>
        <v>0</v>
      </c>
      <c r="N52" s="179">
        <f ca="1">IF(OR(Assump!$A$7="USD",Assump!$A$7="EURO"),'Hist &amp; Proj'!N59/'Hist &amp; Proj'!N$10,'Hist &amp; Proj'!N59)</f>
        <v>0</v>
      </c>
      <c r="O52" s="179">
        <f ca="1">IF(OR(Assump!$A$7="USD",Assump!$A$7="EURO"),'Hist &amp; Proj'!O59/'Hist &amp; Proj'!O$10,'Hist &amp; Proj'!O59)</f>
        <v>0</v>
      </c>
      <c r="P52" s="179">
        <f ca="1">IF(OR(Assump!$A$7="USD",Assump!$A$7="EURO"),'Hist &amp; Proj'!P59/'Hist &amp; Proj'!P$10,'Hist &amp; Proj'!P59)</f>
        <v>0</v>
      </c>
      <c r="Q52" s="179">
        <f ca="1">IF(OR(Assump!$A$7="USD",Assump!$A$7="EURO"),'Hist &amp; Proj'!Q59/'Hist &amp; Proj'!Q$10,'Hist &amp; Proj'!Q59)</f>
        <v>0</v>
      </c>
      <c r="R52" s="179">
        <f ca="1">IF(OR(Assump!$A$7="USD",Assump!$A$7="EURO"),'Hist &amp; Proj'!R59/'Hist &amp; Proj'!R$10,'Hist &amp; Proj'!R59)</f>
        <v>0</v>
      </c>
      <c r="S52" s="179">
        <f ca="1">IF(OR(Assump!$A$7="USD",Assump!$A$7="EURO"),'Hist &amp; Proj'!S59/'Hist &amp; Proj'!S$10,'Hist &amp; Proj'!S59)</f>
        <v>0</v>
      </c>
      <c r="T52" s="179">
        <f ca="1">IF(OR(Assump!$A$7="USD",Assump!$A$7="EURO"),'Hist &amp; Proj'!T59/'Hist &amp; Proj'!T$10,'Hist &amp; Proj'!T59)</f>
        <v>0</v>
      </c>
      <c r="U52" s="179">
        <f ca="1">IF(OR(Assump!$A$7="USD",Assump!$A$7="EURO"),'Hist &amp; Proj'!U59/'Hist &amp; Proj'!U$10,'Hist &amp; Proj'!U59)</f>
        <v>0</v>
      </c>
      <c r="V52" s="179">
        <f ca="1">IF(OR(Assump!$A$7="USD",Assump!$A$7="EURO"),'Hist &amp; Proj'!V59/'Hist &amp; Proj'!V$10,'Hist &amp; Proj'!V59)</f>
        <v>0</v>
      </c>
      <c r="W52" s="179">
        <f ca="1">IF(OR(Assump!$A$7="USD",Assump!$A$7="EURO"),'Hist &amp; Proj'!W59/'Hist &amp; Proj'!W$10,'Hist &amp; Proj'!W59)</f>
        <v>0</v>
      </c>
      <c r="X52" s="179">
        <f ca="1">IF(OR(Assump!$A$7="USD",Assump!$A$7="EURO"),'Hist &amp; Proj'!X59/'Hist &amp; Proj'!X$10,'Hist &amp; Proj'!X59)</f>
        <v>0</v>
      </c>
      <c r="Y52" s="179">
        <f ca="1">IF(OR(Assump!$A$7="USD",Assump!$A$7="EURO"),'Hist &amp; Proj'!Y59/'Hist &amp; Proj'!Y$10,'Hist &amp; Proj'!Y59)</f>
        <v>0</v>
      </c>
      <c r="Z52" s="179">
        <f ca="1">IF(OR(Assump!$A$7="USD",Assump!$A$7="EURO"),'Hist &amp; Proj'!Z59/'Hist &amp; Proj'!Z$10,'Hist &amp; Proj'!Z59)</f>
        <v>0</v>
      </c>
      <c r="AA52" s="179">
        <f ca="1">IF(OR(Assump!$A$7="USD",Assump!$A$7="EURO"),'Hist &amp; Proj'!AA59/'Hist &amp; Proj'!AA$10,'Hist &amp; Proj'!AA59)</f>
        <v>0</v>
      </c>
      <c r="AB52" s="179">
        <f ca="1">IF(OR(Assump!$A$7="USD",Assump!$A$7="EURO"),'Hist &amp; Proj'!AB59/'Hist &amp; Proj'!AB$10,'Hist &amp; Proj'!AB59)</f>
        <v>0</v>
      </c>
      <c r="AC52" s="179">
        <f ca="1">IF(OR(Assump!$A$7="USD",Assump!$A$7="EURO"),'Hist &amp; Proj'!AC59/'Hist &amp; Proj'!AC$10,'Hist &amp; Proj'!AC59)</f>
        <v>0</v>
      </c>
      <c r="AD52" s="179">
        <f ca="1">IF(OR(Assump!$A$7="USD",Assump!$A$7="EURO"),'Hist &amp; Proj'!AD59/'Hist &amp; Proj'!AD$10,'Hist &amp; Proj'!AD59)</f>
        <v>0</v>
      </c>
      <c r="AE52" s="179" t="e">
        <f ca="1">IF(OR(Assump!$A$7="USD",Assump!$A$7="EURO"),'Hist &amp; Proj'!AE59/'Hist &amp; Proj'!AE$10,'Hist &amp; Proj'!AE59)</f>
        <v>#N/A</v>
      </c>
      <c r="AF52" s="179" t="e">
        <f ca="1">IF(OR(Assump!$A$7="USD",Assump!$A$7="EURO"),'Hist &amp; Proj'!AF59/'Hist &amp; Proj'!AE$9,'Hist &amp; Proj'!AF59)</f>
        <v>#N/A</v>
      </c>
      <c r="AH52" s="367" t="str">
        <f ca="1">IFERROR(RATE(3,0,-C52,R52),"NA")</f>
        <v>NA</v>
      </c>
      <c r="AJ52" s="179" t="e">
        <f ca="1">-AVERAGE(AJ$15,R$15)*Assump!AJ25</f>
        <v>#DIV/0!</v>
      </c>
      <c r="AK52" s="179" t="e">
        <f ca="1">-AVERAGE(AJ$15:AK$15)*Assump!AK25</f>
        <v>#DIV/0!</v>
      </c>
      <c r="AL52" s="179" t="e">
        <f ca="1">-AVERAGE(AK$15:AL$15)*Assump!AL25</f>
        <v>#DIV/0!</v>
      </c>
      <c r="AM52" s="179" t="e">
        <f ca="1">-AVERAGE(AL$15:AM$15)*Assump!AM25</f>
        <v>#DIV/0!</v>
      </c>
      <c r="AN52" s="179" t="e">
        <f ca="1">-AVERAGE(AM$15:AN$15)*Assump!AN25</f>
        <v>#DIV/0!</v>
      </c>
      <c r="AP52" s="367" t="str">
        <f ca="1">IFERROR(RATE(4,0,-AJ52,AN52),"NA")</f>
        <v>NA</v>
      </c>
    </row>
    <row r="53" spans="1:42" s="382" customFormat="1">
      <c r="A53" s="190" t="str">
        <f>'Hist &amp; Proj'!A60</f>
        <v>Net Operating Income</v>
      </c>
      <c r="B53" s="189">
        <f t="shared" ref="B53:AF53" si="14">SUM(B51:B52,B48)</f>
        <v>0</v>
      </c>
      <c r="C53" s="189">
        <f t="shared" si="14"/>
        <v>0</v>
      </c>
      <c r="D53" s="189">
        <f t="shared" si="14"/>
        <v>0</v>
      </c>
      <c r="E53" s="189">
        <f t="shared" si="14"/>
        <v>0</v>
      </c>
      <c r="F53" s="189">
        <f t="shared" ca="1" si="14"/>
        <v>0</v>
      </c>
      <c r="G53" s="189">
        <f t="shared" ca="1" si="14"/>
        <v>0</v>
      </c>
      <c r="H53" s="189">
        <f t="shared" ca="1" si="14"/>
        <v>0</v>
      </c>
      <c r="I53" s="189">
        <f t="shared" ca="1" si="14"/>
        <v>0</v>
      </c>
      <c r="J53" s="189">
        <f t="shared" ca="1" si="14"/>
        <v>0</v>
      </c>
      <c r="K53" s="189">
        <f t="shared" ca="1" si="14"/>
        <v>0</v>
      </c>
      <c r="L53" s="189">
        <f t="shared" ca="1" si="14"/>
        <v>0</v>
      </c>
      <c r="M53" s="189">
        <f t="shared" ca="1" si="14"/>
        <v>0</v>
      </c>
      <c r="N53" s="189">
        <f t="shared" ca="1" si="14"/>
        <v>0</v>
      </c>
      <c r="O53" s="189">
        <f t="shared" ca="1" si="14"/>
        <v>0</v>
      </c>
      <c r="P53" s="189">
        <f t="shared" ca="1" si="14"/>
        <v>0</v>
      </c>
      <c r="Q53" s="189">
        <f t="shared" ca="1" si="14"/>
        <v>0</v>
      </c>
      <c r="R53" s="189">
        <f t="shared" ca="1" si="14"/>
        <v>0</v>
      </c>
      <c r="S53" s="189">
        <f t="shared" ca="1" si="14"/>
        <v>0</v>
      </c>
      <c r="T53" s="189">
        <f t="shared" ca="1" si="14"/>
        <v>0</v>
      </c>
      <c r="U53" s="189">
        <f t="shared" ca="1" si="14"/>
        <v>0</v>
      </c>
      <c r="V53" s="189">
        <f t="shared" ca="1" si="14"/>
        <v>0</v>
      </c>
      <c r="W53" s="189">
        <f t="shared" ca="1" si="14"/>
        <v>0</v>
      </c>
      <c r="X53" s="189">
        <f t="shared" ca="1" si="14"/>
        <v>0</v>
      </c>
      <c r="Y53" s="189">
        <f t="shared" ca="1" si="14"/>
        <v>0</v>
      </c>
      <c r="Z53" s="189">
        <f t="shared" ca="1" si="14"/>
        <v>0</v>
      </c>
      <c r="AA53" s="189">
        <f t="shared" ca="1" si="14"/>
        <v>0</v>
      </c>
      <c r="AB53" s="189">
        <f t="shared" ca="1" si="14"/>
        <v>0</v>
      </c>
      <c r="AC53" s="189">
        <f t="shared" ca="1" si="14"/>
        <v>0</v>
      </c>
      <c r="AD53" s="189">
        <f t="shared" ca="1" si="14"/>
        <v>0</v>
      </c>
      <c r="AE53" s="189" t="e">
        <f t="shared" ca="1" si="14"/>
        <v>#N/A</v>
      </c>
      <c r="AF53" s="189" t="e">
        <f t="shared" ca="1" si="14"/>
        <v>#N/A</v>
      </c>
      <c r="AG53" s="126"/>
      <c r="AH53" s="381" t="str">
        <f ca="1">IFERROR(RATE(3,0,-C53,R53),"NA")</f>
        <v>NA</v>
      </c>
      <c r="AJ53" s="189" t="e">
        <f ca="1">SUM(AJ51:AJ52,AJ48)</f>
        <v>#DIV/0!</v>
      </c>
      <c r="AK53" s="189" t="e">
        <f ca="1">SUM(AK51:AK52,AK48)</f>
        <v>#DIV/0!</v>
      </c>
      <c r="AL53" s="189" t="e">
        <f ca="1">SUM(AL51:AL52,AL48)</f>
        <v>#DIV/0!</v>
      </c>
      <c r="AM53" s="189" t="e">
        <f ca="1">SUM(AM51:AM52,AM48)</f>
        <v>#DIV/0!</v>
      </c>
      <c r="AN53" s="189" t="e">
        <f ca="1">SUM(AN51:AN52,AN48)</f>
        <v>#DIV/0!</v>
      </c>
      <c r="AO53" s="383"/>
      <c r="AP53" s="381" t="str">
        <f ca="1">IFERROR(RATE(4,0,-AJ53,AN53),"NA")</f>
        <v>NA</v>
      </c>
    </row>
    <row r="54" spans="1:42">
      <c r="A54" s="182" t="str">
        <f>'Hist &amp; Proj'!A61</f>
        <v>Net Operating Income Margin (%)</v>
      </c>
      <c r="B54" s="183" t="str">
        <f t="shared" ref="B54:AD54" si="15">IF(B53=0,"",IF(B44=0,"",+B53/B44))</f>
        <v/>
      </c>
      <c r="C54" s="183" t="str">
        <f t="shared" si="15"/>
        <v/>
      </c>
      <c r="D54" s="183" t="str">
        <f t="shared" si="15"/>
        <v/>
      </c>
      <c r="E54" s="183" t="str">
        <f t="shared" si="15"/>
        <v/>
      </c>
      <c r="F54" s="183" t="str">
        <f t="shared" ca="1" si="15"/>
        <v/>
      </c>
      <c r="G54" s="183" t="str">
        <f t="shared" ca="1" si="15"/>
        <v/>
      </c>
      <c r="H54" s="183" t="str">
        <f t="shared" ca="1" si="15"/>
        <v/>
      </c>
      <c r="I54" s="183" t="str">
        <f t="shared" ca="1" si="15"/>
        <v/>
      </c>
      <c r="J54" s="183" t="str">
        <f t="shared" ca="1" si="15"/>
        <v/>
      </c>
      <c r="K54" s="183" t="str">
        <f t="shared" ca="1" si="15"/>
        <v/>
      </c>
      <c r="L54" s="183" t="str">
        <f t="shared" ca="1" si="15"/>
        <v/>
      </c>
      <c r="M54" s="183" t="str">
        <f t="shared" ca="1" si="15"/>
        <v/>
      </c>
      <c r="N54" s="183" t="str">
        <f t="shared" ca="1" si="15"/>
        <v/>
      </c>
      <c r="O54" s="183" t="str">
        <f t="shared" ca="1" si="15"/>
        <v/>
      </c>
      <c r="P54" s="183" t="str">
        <f t="shared" ca="1" si="15"/>
        <v/>
      </c>
      <c r="Q54" s="183" t="str">
        <f t="shared" ca="1" si="15"/>
        <v/>
      </c>
      <c r="R54" s="183" t="str">
        <f t="shared" ca="1" si="15"/>
        <v/>
      </c>
      <c r="S54" s="183" t="str">
        <f t="shared" ca="1" si="15"/>
        <v/>
      </c>
      <c r="T54" s="183" t="str">
        <f t="shared" ca="1" si="15"/>
        <v/>
      </c>
      <c r="U54" s="183" t="str">
        <f t="shared" ca="1" si="15"/>
        <v/>
      </c>
      <c r="V54" s="183" t="str">
        <f t="shared" ca="1" si="15"/>
        <v/>
      </c>
      <c r="W54" s="183" t="str">
        <f t="shared" ca="1" si="15"/>
        <v/>
      </c>
      <c r="X54" s="183" t="str">
        <f t="shared" ca="1" si="15"/>
        <v/>
      </c>
      <c r="Y54" s="183" t="str">
        <f t="shared" ca="1" si="15"/>
        <v/>
      </c>
      <c r="Z54" s="183" t="str">
        <f t="shared" ca="1" si="15"/>
        <v/>
      </c>
      <c r="AA54" s="183" t="str">
        <f t="shared" ca="1" si="15"/>
        <v/>
      </c>
      <c r="AB54" s="183" t="str">
        <f t="shared" ca="1" si="15"/>
        <v/>
      </c>
      <c r="AC54" s="183" t="str">
        <f t="shared" ca="1" si="15"/>
        <v/>
      </c>
      <c r="AD54" s="183" t="str">
        <f t="shared" ca="1" si="15"/>
        <v/>
      </c>
      <c r="AE54" s="183" t="e">
        <f ca="1">IF(AE53=0,"",IF(AE44=0,"",+AE53/AE44))</f>
        <v>#N/A</v>
      </c>
      <c r="AF54" s="183" t="e">
        <f ca="1">IF(AF53=0,"",IF(AF44=0,"",+AF53/AF44))</f>
        <v>#N/A</v>
      </c>
      <c r="AH54" s="368" t="str">
        <f ca="1">IFERROR(AVERAGE(C54:E54,R54),"NA")</f>
        <v>NA</v>
      </c>
      <c r="AJ54" s="183" t="e">
        <f ca="1">IF(AJ53=0,"",IF(AJ44=0,"",+AJ53/AJ44))</f>
        <v>#DIV/0!</v>
      </c>
      <c r="AK54" s="183" t="e">
        <f ca="1">IF(AK53=0,"",IF(AK44=0,"",+AK53/AK44))</f>
        <v>#DIV/0!</v>
      </c>
      <c r="AL54" s="183" t="e">
        <f ca="1">IF(AL53=0,"",IF(AL44=0,"",+AL53/AL44))</f>
        <v>#DIV/0!</v>
      </c>
      <c r="AM54" s="183" t="e">
        <f ca="1">IF(AM53=0,"",IF(AM44=0,"",+AM53/AM44))</f>
        <v>#DIV/0!</v>
      </c>
      <c r="AN54" s="183" t="e">
        <f ca="1">IF(AN53=0,"",IF(AN44=0,"",+AN53/AN44))</f>
        <v>#DIV/0!</v>
      </c>
      <c r="AP54" s="368" t="str">
        <f ca="1">IFERROR(AVERAGE(AJ54:AN54),"NA")</f>
        <v>NA</v>
      </c>
    </row>
    <row r="55" spans="1:42" ht="5.25" customHeight="1">
      <c r="A55" s="191"/>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H55" s="367"/>
      <c r="AJ55" s="179"/>
      <c r="AK55" s="179"/>
      <c r="AL55" s="179"/>
      <c r="AM55" s="179"/>
      <c r="AN55" s="179"/>
      <c r="AP55" s="367"/>
    </row>
    <row r="56" spans="1:42" outlineLevel="1">
      <c r="A56" s="518" t="str">
        <f>'Hist &amp; Proj'!A63</f>
        <v>Non-Operating Revenue</v>
      </c>
      <c r="B56" s="179">
        <f>IF(OR(Assump!$A$7="USD",Assump!$A$7="EURO"),'Hist &amp; Proj'!B63/'Hist &amp; Proj'!B$8,'Hist &amp; Proj'!B63)</f>
        <v>0</v>
      </c>
      <c r="C56" s="179">
        <f>IF(OR(Assump!$A$7="USD",Assump!$A$7="EURO"),'Hist &amp; Proj'!C63/'Hist &amp; Proj'!C$9,'Hist &amp; Proj'!C63)</f>
        <v>0</v>
      </c>
      <c r="D56" s="179">
        <f>IF(OR(Assump!$A$7="USD",Assump!$A$7="EURO"),'Hist &amp; Proj'!D63/'Hist &amp; Proj'!D$9,'Hist &amp; Proj'!D63)</f>
        <v>0</v>
      </c>
      <c r="E56" s="179">
        <f>IF(OR(Assump!$A$7="USD",Assump!$A$7="EURO"),'Hist &amp; Proj'!E63/'Hist &amp; Proj'!E$9,'Hist &amp; Proj'!E63)</f>
        <v>0</v>
      </c>
      <c r="F56" s="179">
        <f ca="1">IF(OR(Assump!$A$7="USD",Assump!$A$7="EURO"),'Hist &amp; Proj'!F63/'Hist &amp; Proj'!F$10,'Hist &amp; Proj'!F63)</f>
        <v>0</v>
      </c>
      <c r="G56" s="179">
        <f ca="1">IF(OR(Assump!$A$7="USD",Assump!$A$7="EURO"),'Hist &amp; Proj'!G63/'Hist &amp; Proj'!G$10,'Hist &amp; Proj'!G63)</f>
        <v>0</v>
      </c>
      <c r="H56" s="179">
        <f ca="1">IF(OR(Assump!$A$7="USD",Assump!$A$7="EURO"),'Hist &amp; Proj'!H63/'Hist &amp; Proj'!H$10,'Hist &amp; Proj'!H63)</f>
        <v>0</v>
      </c>
      <c r="I56" s="179">
        <f ca="1">IF(OR(Assump!$A$7="USD",Assump!$A$7="EURO"),'Hist &amp; Proj'!I63/'Hist &amp; Proj'!I$10,'Hist &amp; Proj'!I63)</f>
        <v>0</v>
      </c>
      <c r="J56" s="179">
        <f ca="1">IF(OR(Assump!$A$7="USD",Assump!$A$7="EURO"),'Hist &amp; Proj'!J63/'Hist &amp; Proj'!J$10,'Hist &amp; Proj'!J63)</f>
        <v>0</v>
      </c>
      <c r="K56" s="179">
        <f ca="1">IF(OR(Assump!$A$7="USD",Assump!$A$7="EURO"),'Hist &amp; Proj'!K63/'Hist &amp; Proj'!K$10,'Hist &amp; Proj'!K63)</f>
        <v>0</v>
      </c>
      <c r="L56" s="179">
        <f ca="1">IF(OR(Assump!$A$7="USD",Assump!$A$7="EURO"),'Hist &amp; Proj'!L63/'Hist &amp; Proj'!L$10,'Hist &amp; Proj'!L63)</f>
        <v>0</v>
      </c>
      <c r="M56" s="179">
        <f ca="1">IF(OR(Assump!$A$7="USD",Assump!$A$7="EURO"),'Hist &amp; Proj'!M63/'Hist &amp; Proj'!M$10,'Hist &amp; Proj'!M63)</f>
        <v>0</v>
      </c>
      <c r="N56" s="179">
        <f ca="1">IF(OR(Assump!$A$7="USD",Assump!$A$7="EURO"),'Hist &amp; Proj'!N63/'Hist &amp; Proj'!N$10,'Hist &amp; Proj'!N63)</f>
        <v>0</v>
      </c>
      <c r="O56" s="179">
        <f ca="1">IF(OR(Assump!$A$7="USD",Assump!$A$7="EURO"),'Hist &amp; Proj'!O63/'Hist &amp; Proj'!O$10,'Hist &amp; Proj'!O63)</f>
        <v>0</v>
      </c>
      <c r="P56" s="179">
        <f ca="1">IF(OR(Assump!$A$7="USD",Assump!$A$7="EURO"),'Hist &amp; Proj'!P63/'Hist &amp; Proj'!P$10,'Hist &amp; Proj'!P63)</f>
        <v>0</v>
      </c>
      <c r="Q56" s="179">
        <f ca="1">IF(OR(Assump!$A$7="USD",Assump!$A$7="EURO"),'Hist &amp; Proj'!Q63/'Hist &amp; Proj'!Q$10,'Hist &amp; Proj'!Q63)</f>
        <v>0</v>
      </c>
      <c r="R56" s="179">
        <f ca="1">IF(OR(Assump!$A$7="USD",Assump!$A$7="EURO"),'Hist &amp; Proj'!R63/'Hist &amp; Proj'!R$10,'Hist &amp; Proj'!R63)</f>
        <v>0</v>
      </c>
      <c r="S56" s="179">
        <f ca="1">IF(OR(Assump!$A$7="USD",Assump!$A$7="EURO"),'Hist &amp; Proj'!S63/'Hist &amp; Proj'!S$10,'Hist &amp; Proj'!S63)</f>
        <v>0</v>
      </c>
      <c r="T56" s="179">
        <f ca="1">IF(OR(Assump!$A$7="USD",Assump!$A$7="EURO"),'Hist &amp; Proj'!T63/'Hist &amp; Proj'!T$10,'Hist &amp; Proj'!T63)</f>
        <v>0</v>
      </c>
      <c r="U56" s="179">
        <f ca="1">IF(OR(Assump!$A$7="USD",Assump!$A$7="EURO"),'Hist &amp; Proj'!U63/'Hist &amp; Proj'!U$10,'Hist &amp; Proj'!U63)</f>
        <v>0</v>
      </c>
      <c r="V56" s="179">
        <f ca="1">IF(OR(Assump!$A$7="USD",Assump!$A$7="EURO"),'Hist &amp; Proj'!V63/'Hist &amp; Proj'!V$10,'Hist &amp; Proj'!V63)</f>
        <v>0</v>
      </c>
      <c r="W56" s="179">
        <f ca="1">IF(OR(Assump!$A$7="USD",Assump!$A$7="EURO"),'Hist &amp; Proj'!W63/'Hist &amp; Proj'!W$10,'Hist &amp; Proj'!W63)</f>
        <v>0</v>
      </c>
      <c r="X56" s="179">
        <f ca="1">IF(OR(Assump!$A$7="USD",Assump!$A$7="EURO"),'Hist &amp; Proj'!X63/'Hist &amp; Proj'!X$10,'Hist &amp; Proj'!X63)</f>
        <v>0</v>
      </c>
      <c r="Y56" s="179">
        <f ca="1">IF(OR(Assump!$A$7="USD",Assump!$A$7="EURO"),'Hist &amp; Proj'!Y63/'Hist &amp; Proj'!Y$10,'Hist &amp; Proj'!Y63)</f>
        <v>0</v>
      </c>
      <c r="Z56" s="179">
        <f ca="1">IF(OR(Assump!$A$7="USD",Assump!$A$7="EURO"),'Hist &amp; Proj'!Z63/'Hist &amp; Proj'!Z$10,'Hist &amp; Proj'!Z63)</f>
        <v>0</v>
      </c>
      <c r="AA56" s="179">
        <f ca="1">IF(OR(Assump!$A$7="USD",Assump!$A$7="EURO"),'Hist &amp; Proj'!AA63/'Hist &amp; Proj'!AA$10,'Hist &amp; Proj'!AA63)</f>
        <v>0</v>
      </c>
      <c r="AB56" s="179">
        <f ca="1">IF(OR(Assump!$A$7="USD",Assump!$A$7="EURO"),'Hist &amp; Proj'!AB63/'Hist &amp; Proj'!AB$10,'Hist &amp; Proj'!AB63)</f>
        <v>0</v>
      </c>
      <c r="AC56" s="179">
        <f ca="1">IF(OR(Assump!$A$7="USD",Assump!$A$7="EURO"),'Hist &amp; Proj'!AC63/'Hist &amp; Proj'!AC$10,'Hist &amp; Proj'!AC63)</f>
        <v>0</v>
      </c>
      <c r="AD56" s="179">
        <f ca="1">IF(OR(Assump!$A$7="USD",Assump!$A$7="EURO"),'Hist &amp; Proj'!AD63/'Hist &amp; Proj'!AD$10,'Hist &amp; Proj'!AD63)</f>
        <v>0</v>
      </c>
      <c r="AE56" s="179" t="e">
        <f ca="1">IF(OR(Assump!$A$7="USD",Assump!$A$7="EURO"),'Hist &amp; Proj'!AE63/'Hist &amp; Proj'!AE$10,'Hist &amp; Proj'!AE63)</f>
        <v>#N/A</v>
      </c>
      <c r="AF56" s="179" t="e">
        <f ca="1">IF(OR(Assump!$A$7="USD",Assump!$A$7="EURO"),'Hist &amp; Proj'!AF63/'Hist &amp; Proj'!AE$9,'Hist &amp; Proj'!AF63)</f>
        <v>#N/A</v>
      </c>
      <c r="AH56" s="367" t="str">
        <f ca="1">IFERROR(RATE(3,0,-C56,R56),"NA")</f>
        <v>NA</v>
      </c>
      <c r="AJ56" s="179"/>
      <c r="AK56" s="179"/>
      <c r="AL56" s="179"/>
      <c r="AM56" s="179"/>
      <c r="AN56" s="179"/>
      <c r="AP56" s="367" t="str">
        <f>IFERROR(RATE(4,0,-AJ56,AN56),"NA")</f>
        <v>NA</v>
      </c>
    </row>
    <row r="57" spans="1:42" s="170" customFormat="1" outlineLevel="1">
      <c r="A57" s="518" t="str">
        <f>'Hist &amp; Proj'!A64</f>
        <v>Non-Operating Expense</v>
      </c>
      <c r="B57" s="179">
        <f>IF(OR(Assump!$A$7="USD",Assump!$A$7="EURO"),'Hist &amp; Proj'!B64/'Hist &amp; Proj'!B$8,'Hist &amp; Proj'!B64)</f>
        <v>0</v>
      </c>
      <c r="C57" s="179">
        <f>IF(OR(Assump!$A$7="USD",Assump!$A$7="EURO"),'Hist &amp; Proj'!C64/'Hist &amp; Proj'!C$9,'Hist &amp; Proj'!C64)</f>
        <v>0</v>
      </c>
      <c r="D57" s="179">
        <f>IF(OR(Assump!$A$7="USD",Assump!$A$7="EURO"),'Hist &amp; Proj'!D64/'Hist &amp; Proj'!D$9,'Hist &amp; Proj'!D64)</f>
        <v>0</v>
      </c>
      <c r="E57" s="179">
        <f>IF(OR(Assump!$A$7="USD",Assump!$A$7="EURO"),'Hist &amp; Proj'!E64/'Hist &amp; Proj'!E$9,'Hist &amp; Proj'!E64)</f>
        <v>0</v>
      </c>
      <c r="F57" s="179">
        <f ca="1">IF(OR(Assump!$A$7="USD",Assump!$A$7="EURO"),'Hist &amp; Proj'!F64/'Hist &amp; Proj'!F$10,'Hist &amp; Proj'!F64)</f>
        <v>0</v>
      </c>
      <c r="G57" s="179">
        <f ca="1">IF(OR(Assump!$A$7="USD",Assump!$A$7="EURO"),'Hist &amp; Proj'!G64/'Hist &amp; Proj'!G$10,'Hist &amp; Proj'!G64)</f>
        <v>0</v>
      </c>
      <c r="H57" s="179">
        <f ca="1">IF(OR(Assump!$A$7="USD",Assump!$A$7="EURO"),'Hist &amp; Proj'!H64/'Hist &amp; Proj'!H$10,'Hist &amp; Proj'!H64)</f>
        <v>0</v>
      </c>
      <c r="I57" s="179">
        <f ca="1">IF(OR(Assump!$A$7="USD",Assump!$A$7="EURO"),'Hist &amp; Proj'!I64/'Hist &amp; Proj'!I$10,'Hist &amp; Proj'!I64)</f>
        <v>0</v>
      </c>
      <c r="J57" s="179">
        <f ca="1">IF(OR(Assump!$A$7="USD",Assump!$A$7="EURO"),'Hist &amp; Proj'!J64/'Hist &amp; Proj'!J$10,'Hist &amp; Proj'!J64)</f>
        <v>0</v>
      </c>
      <c r="K57" s="179">
        <f ca="1">IF(OR(Assump!$A$7="USD",Assump!$A$7="EURO"),'Hist &amp; Proj'!K64/'Hist &amp; Proj'!K$10,'Hist &amp; Proj'!K64)</f>
        <v>0</v>
      </c>
      <c r="L57" s="179">
        <f ca="1">IF(OR(Assump!$A$7="USD",Assump!$A$7="EURO"),'Hist &amp; Proj'!L64/'Hist &amp; Proj'!L$10,'Hist &amp; Proj'!L64)</f>
        <v>0</v>
      </c>
      <c r="M57" s="179">
        <f ca="1">IF(OR(Assump!$A$7="USD",Assump!$A$7="EURO"),'Hist &amp; Proj'!M64/'Hist &amp; Proj'!M$10,'Hist &amp; Proj'!M64)</f>
        <v>0</v>
      </c>
      <c r="N57" s="179">
        <f ca="1">IF(OR(Assump!$A$7="USD",Assump!$A$7="EURO"),'Hist &amp; Proj'!N64/'Hist &amp; Proj'!N$10,'Hist &amp; Proj'!N64)</f>
        <v>0</v>
      </c>
      <c r="O57" s="179">
        <f ca="1">IF(OR(Assump!$A$7="USD",Assump!$A$7="EURO"),'Hist &amp; Proj'!O64/'Hist &amp; Proj'!O$10,'Hist &amp; Proj'!O64)</f>
        <v>0</v>
      </c>
      <c r="P57" s="179">
        <f ca="1">IF(OR(Assump!$A$7="USD",Assump!$A$7="EURO"),'Hist &amp; Proj'!P64/'Hist &amp; Proj'!P$10,'Hist &amp; Proj'!P64)</f>
        <v>0</v>
      </c>
      <c r="Q57" s="179">
        <f ca="1">IF(OR(Assump!$A$7="USD",Assump!$A$7="EURO"),'Hist &amp; Proj'!Q64/'Hist &amp; Proj'!Q$10,'Hist &amp; Proj'!Q64)</f>
        <v>0</v>
      </c>
      <c r="R57" s="179">
        <f ca="1">IF(OR(Assump!$A$7="USD",Assump!$A$7="EURO"),'Hist &amp; Proj'!R64/'Hist &amp; Proj'!R$10,'Hist &amp; Proj'!R64)</f>
        <v>0</v>
      </c>
      <c r="S57" s="179">
        <f ca="1">IF(OR(Assump!$A$7="USD",Assump!$A$7="EURO"),'Hist &amp; Proj'!S64/'Hist &amp; Proj'!S$10,'Hist &amp; Proj'!S64)</f>
        <v>0</v>
      </c>
      <c r="T57" s="179">
        <f ca="1">IF(OR(Assump!$A$7="USD",Assump!$A$7="EURO"),'Hist &amp; Proj'!T64/'Hist &amp; Proj'!T$10,'Hist &amp; Proj'!T64)</f>
        <v>0</v>
      </c>
      <c r="U57" s="179">
        <f ca="1">IF(OR(Assump!$A$7="USD",Assump!$A$7="EURO"),'Hist &amp; Proj'!U64/'Hist &amp; Proj'!U$10,'Hist &amp; Proj'!U64)</f>
        <v>0</v>
      </c>
      <c r="V57" s="179">
        <f ca="1">IF(OR(Assump!$A$7="USD",Assump!$A$7="EURO"),'Hist &amp; Proj'!V64/'Hist &amp; Proj'!V$10,'Hist &amp; Proj'!V64)</f>
        <v>0</v>
      </c>
      <c r="W57" s="179">
        <f ca="1">IF(OR(Assump!$A$7="USD",Assump!$A$7="EURO"),'Hist &amp; Proj'!W64/'Hist &amp; Proj'!W$10,'Hist &amp; Proj'!W64)</f>
        <v>0</v>
      </c>
      <c r="X57" s="179">
        <f ca="1">IF(OR(Assump!$A$7="USD",Assump!$A$7="EURO"),'Hist &amp; Proj'!X64/'Hist &amp; Proj'!X$10,'Hist &amp; Proj'!X64)</f>
        <v>0</v>
      </c>
      <c r="Y57" s="179">
        <f ca="1">IF(OR(Assump!$A$7="USD",Assump!$A$7="EURO"),'Hist &amp; Proj'!Y64/'Hist &amp; Proj'!Y$10,'Hist &amp; Proj'!Y64)</f>
        <v>0</v>
      </c>
      <c r="Z57" s="179">
        <f ca="1">IF(OR(Assump!$A$7="USD",Assump!$A$7="EURO"),'Hist &amp; Proj'!Z64/'Hist &amp; Proj'!Z$10,'Hist &amp; Proj'!Z64)</f>
        <v>0</v>
      </c>
      <c r="AA57" s="179">
        <f ca="1">IF(OR(Assump!$A$7="USD",Assump!$A$7="EURO"),'Hist &amp; Proj'!AA64/'Hist &amp; Proj'!AA$10,'Hist &amp; Proj'!AA64)</f>
        <v>0</v>
      </c>
      <c r="AB57" s="179">
        <f ca="1">IF(OR(Assump!$A$7="USD",Assump!$A$7="EURO"),'Hist &amp; Proj'!AB64/'Hist &amp; Proj'!AB$10,'Hist &amp; Proj'!AB64)</f>
        <v>0</v>
      </c>
      <c r="AC57" s="179">
        <f ca="1">IF(OR(Assump!$A$7="USD",Assump!$A$7="EURO"),'Hist &amp; Proj'!AC64/'Hist &amp; Proj'!AC$10,'Hist &amp; Proj'!AC64)</f>
        <v>0</v>
      </c>
      <c r="AD57" s="179">
        <f ca="1">IF(OR(Assump!$A$7="USD",Assump!$A$7="EURO"),'Hist &amp; Proj'!AD64/'Hist &amp; Proj'!AD$10,'Hist &amp; Proj'!AD64)</f>
        <v>0</v>
      </c>
      <c r="AE57" s="179" t="e">
        <f ca="1">IF(OR(Assump!$A$7="USD",Assump!$A$7="EURO"),'Hist &amp; Proj'!AE64/'Hist &amp; Proj'!AE$10,'Hist &amp; Proj'!AE64)</f>
        <v>#N/A</v>
      </c>
      <c r="AF57" s="179" t="e">
        <f ca="1">IF(OR(Assump!$A$7="USD",Assump!$A$7="EURO"),'Hist &amp; Proj'!AF64/'Hist &amp; Proj'!AE$9,'Hist &amp; Proj'!AF64)</f>
        <v>#N/A</v>
      </c>
      <c r="AH57" s="367" t="str">
        <f ca="1">IFERROR(RATE(3,0,-C57,R57),"NA")</f>
        <v>NA</v>
      </c>
      <c r="AJ57" s="179"/>
      <c r="AK57" s="179"/>
      <c r="AL57" s="179"/>
      <c r="AM57" s="179"/>
      <c r="AN57" s="179"/>
      <c r="AO57" s="208"/>
      <c r="AP57" s="367" t="str">
        <f>IFERROR(RATE(4,0,-AJ57,AN57),"NA")</f>
        <v>NA</v>
      </c>
    </row>
    <row r="58" spans="1:42" s="355" customFormat="1">
      <c r="A58" s="172" t="str">
        <f>'Hist &amp; Proj'!A65</f>
        <v>Net Non-Operating Income</v>
      </c>
      <c r="B58" s="181">
        <f t="shared" ref="B58:AF58" si="16">SUM(B56:B57)</f>
        <v>0</v>
      </c>
      <c r="C58" s="181">
        <f t="shared" si="16"/>
        <v>0</v>
      </c>
      <c r="D58" s="181">
        <f t="shared" si="16"/>
        <v>0</v>
      </c>
      <c r="E58" s="181">
        <f t="shared" si="16"/>
        <v>0</v>
      </c>
      <c r="F58" s="181">
        <f t="shared" ca="1" si="16"/>
        <v>0</v>
      </c>
      <c r="G58" s="181">
        <f t="shared" ca="1" si="16"/>
        <v>0</v>
      </c>
      <c r="H58" s="181">
        <f t="shared" ca="1" si="16"/>
        <v>0</v>
      </c>
      <c r="I58" s="181">
        <f t="shared" ca="1" si="16"/>
        <v>0</v>
      </c>
      <c r="J58" s="181">
        <f t="shared" ca="1" si="16"/>
        <v>0</v>
      </c>
      <c r="K58" s="181">
        <f t="shared" ca="1" si="16"/>
        <v>0</v>
      </c>
      <c r="L58" s="181">
        <f t="shared" ca="1" si="16"/>
        <v>0</v>
      </c>
      <c r="M58" s="181">
        <f t="shared" ca="1" si="16"/>
        <v>0</v>
      </c>
      <c r="N58" s="181">
        <f t="shared" ca="1" si="16"/>
        <v>0</v>
      </c>
      <c r="O58" s="181">
        <f t="shared" ca="1" si="16"/>
        <v>0</v>
      </c>
      <c r="P58" s="181">
        <f t="shared" ca="1" si="16"/>
        <v>0</v>
      </c>
      <c r="Q58" s="181">
        <f t="shared" ca="1" si="16"/>
        <v>0</v>
      </c>
      <c r="R58" s="181">
        <f t="shared" ca="1" si="16"/>
        <v>0</v>
      </c>
      <c r="S58" s="181">
        <f t="shared" ca="1" si="16"/>
        <v>0</v>
      </c>
      <c r="T58" s="181">
        <f t="shared" ca="1" si="16"/>
        <v>0</v>
      </c>
      <c r="U58" s="181">
        <f t="shared" ca="1" si="16"/>
        <v>0</v>
      </c>
      <c r="V58" s="181">
        <f t="shared" ca="1" si="16"/>
        <v>0</v>
      </c>
      <c r="W58" s="181">
        <f t="shared" ca="1" si="16"/>
        <v>0</v>
      </c>
      <c r="X58" s="181">
        <f t="shared" ca="1" si="16"/>
        <v>0</v>
      </c>
      <c r="Y58" s="181">
        <f t="shared" ca="1" si="16"/>
        <v>0</v>
      </c>
      <c r="Z58" s="181">
        <f t="shared" ca="1" si="16"/>
        <v>0</v>
      </c>
      <c r="AA58" s="181">
        <f t="shared" ca="1" si="16"/>
        <v>0</v>
      </c>
      <c r="AB58" s="181">
        <f t="shared" ca="1" si="16"/>
        <v>0</v>
      </c>
      <c r="AC58" s="181">
        <f t="shared" ca="1" si="16"/>
        <v>0</v>
      </c>
      <c r="AD58" s="181">
        <f t="shared" ca="1" si="16"/>
        <v>0</v>
      </c>
      <c r="AE58" s="181" t="e">
        <f t="shared" ca="1" si="16"/>
        <v>#N/A</v>
      </c>
      <c r="AF58" s="181" t="e">
        <f t="shared" ca="1" si="16"/>
        <v>#N/A</v>
      </c>
      <c r="AG58" s="126"/>
      <c r="AH58" s="178" t="str">
        <f ca="1">IFERROR(RATE(3,0,-C58,R58),"NA")</f>
        <v>NA</v>
      </c>
      <c r="AJ58" s="181">
        <f ca="1">Assump!AJ26</f>
        <v>0</v>
      </c>
      <c r="AK58" s="181">
        <f ca="1">Assump!AK26</f>
        <v>0</v>
      </c>
      <c r="AL58" s="181">
        <f ca="1">Assump!AL26</f>
        <v>0</v>
      </c>
      <c r="AM58" s="181">
        <f ca="1">Assump!AM26</f>
        <v>0</v>
      </c>
      <c r="AN58" s="181">
        <f ca="1">Assump!AN26</f>
        <v>0</v>
      </c>
      <c r="AO58" s="358"/>
      <c r="AP58" s="178" t="str">
        <f ca="1">IFERROR(RATE(4,0,-AJ58,AN58),"NA")</f>
        <v>NA</v>
      </c>
    </row>
    <row r="59" spans="1:42" outlineLevel="1">
      <c r="A59" s="127"/>
      <c r="B59" s="179"/>
      <c r="C59" s="179"/>
      <c r="D59" s="179"/>
      <c r="E59" s="179"/>
      <c r="F59" s="179"/>
      <c r="G59" s="179"/>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c r="AE59" s="179"/>
      <c r="AF59" s="179"/>
      <c r="AH59" s="367"/>
      <c r="AJ59" s="179"/>
      <c r="AK59" s="179"/>
      <c r="AL59" s="179"/>
      <c r="AM59" s="179"/>
      <c r="AN59" s="179"/>
      <c r="AP59" s="367"/>
    </row>
    <row r="60" spans="1:42" s="382" customFormat="1">
      <c r="A60" s="190" t="str">
        <f>'Hist &amp; Proj'!A67</f>
        <v>Net Income (Before Taxes &amp; Donations)</v>
      </c>
      <c r="B60" s="189">
        <f t="shared" ref="B60:AD60" si="17">SUM(B58,B53)</f>
        <v>0</v>
      </c>
      <c r="C60" s="189">
        <f t="shared" si="17"/>
        <v>0</v>
      </c>
      <c r="D60" s="189">
        <f t="shared" si="17"/>
        <v>0</v>
      </c>
      <c r="E60" s="189">
        <f t="shared" si="17"/>
        <v>0</v>
      </c>
      <c r="F60" s="189">
        <f t="shared" ca="1" si="17"/>
        <v>0</v>
      </c>
      <c r="G60" s="189">
        <f t="shared" ca="1" si="17"/>
        <v>0</v>
      </c>
      <c r="H60" s="189">
        <f t="shared" ca="1" si="17"/>
        <v>0</v>
      </c>
      <c r="I60" s="189">
        <f t="shared" ca="1" si="17"/>
        <v>0</v>
      </c>
      <c r="J60" s="189">
        <f t="shared" ca="1" si="17"/>
        <v>0</v>
      </c>
      <c r="K60" s="189">
        <f t="shared" ca="1" si="17"/>
        <v>0</v>
      </c>
      <c r="L60" s="189">
        <f t="shared" ca="1" si="17"/>
        <v>0</v>
      </c>
      <c r="M60" s="189">
        <f t="shared" ca="1" si="17"/>
        <v>0</v>
      </c>
      <c r="N60" s="189">
        <f t="shared" ca="1" si="17"/>
        <v>0</v>
      </c>
      <c r="O60" s="189">
        <f t="shared" ca="1" si="17"/>
        <v>0</v>
      </c>
      <c r="P60" s="189">
        <f t="shared" ca="1" si="17"/>
        <v>0</v>
      </c>
      <c r="Q60" s="189">
        <f t="shared" ca="1" si="17"/>
        <v>0</v>
      </c>
      <c r="R60" s="189">
        <f t="shared" ca="1" si="17"/>
        <v>0</v>
      </c>
      <c r="S60" s="189">
        <f t="shared" ca="1" si="17"/>
        <v>0</v>
      </c>
      <c r="T60" s="189">
        <f t="shared" ca="1" si="17"/>
        <v>0</v>
      </c>
      <c r="U60" s="189">
        <f t="shared" ca="1" si="17"/>
        <v>0</v>
      </c>
      <c r="V60" s="189">
        <f t="shared" ca="1" si="17"/>
        <v>0</v>
      </c>
      <c r="W60" s="189">
        <f t="shared" ca="1" si="17"/>
        <v>0</v>
      </c>
      <c r="X60" s="189">
        <f t="shared" ca="1" si="17"/>
        <v>0</v>
      </c>
      <c r="Y60" s="189">
        <f t="shared" ca="1" si="17"/>
        <v>0</v>
      </c>
      <c r="Z60" s="189">
        <f t="shared" ca="1" si="17"/>
        <v>0</v>
      </c>
      <c r="AA60" s="189">
        <f t="shared" ca="1" si="17"/>
        <v>0</v>
      </c>
      <c r="AB60" s="189">
        <f t="shared" ca="1" si="17"/>
        <v>0</v>
      </c>
      <c r="AC60" s="189">
        <f t="shared" ca="1" si="17"/>
        <v>0</v>
      </c>
      <c r="AD60" s="189">
        <f t="shared" ca="1" si="17"/>
        <v>0</v>
      </c>
      <c r="AE60" s="189" t="e">
        <f ca="1">SUM(AE58,AE53)</f>
        <v>#N/A</v>
      </c>
      <c r="AF60" s="189" t="e">
        <f ca="1">SUM(AF58,AF53)</f>
        <v>#N/A</v>
      </c>
      <c r="AG60" s="126"/>
      <c r="AH60" s="381" t="str">
        <f ca="1">IFERROR(RATE(3,0,-C60,R60),"NA")</f>
        <v>NA</v>
      </c>
      <c r="AJ60" s="189" t="e">
        <f ca="1">SUM(AJ58,AJ53)</f>
        <v>#DIV/0!</v>
      </c>
      <c r="AK60" s="189" t="e">
        <f ca="1">SUM(AK58,AK53)</f>
        <v>#DIV/0!</v>
      </c>
      <c r="AL60" s="189" t="e">
        <f ca="1">SUM(AL58,AL53)</f>
        <v>#DIV/0!</v>
      </c>
      <c r="AM60" s="189" t="e">
        <f ca="1">SUM(AM58,AM53)</f>
        <v>#DIV/0!</v>
      </c>
      <c r="AN60" s="189" t="e">
        <f ca="1">SUM(AN58,AN53)</f>
        <v>#DIV/0!</v>
      </c>
      <c r="AO60" s="383"/>
      <c r="AP60" s="381" t="str">
        <f ca="1">IFERROR(RATE(4,0,-AJ60,AN60),"NA")</f>
        <v>NA</v>
      </c>
    </row>
    <row r="61" spans="1:42">
      <c r="A61" s="182" t="str">
        <f>'Hist &amp; Proj'!A68</f>
        <v>Net Income (Before Taxes &amp; Donations) Margin (%)</v>
      </c>
      <c r="B61" s="183" t="str">
        <f t="shared" ref="B61:AF61" si="18">IF(B60=0,"",IF(B44=0,"",+B60/B44))</f>
        <v/>
      </c>
      <c r="C61" s="183" t="str">
        <f t="shared" si="18"/>
        <v/>
      </c>
      <c r="D61" s="183" t="str">
        <f t="shared" si="18"/>
        <v/>
      </c>
      <c r="E61" s="183" t="str">
        <f t="shared" si="18"/>
        <v/>
      </c>
      <c r="F61" s="183" t="str">
        <f t="shared" ca="1" si="18"/>
        <v/>
      </c>
      <c r="G61" s="183" t="str">
        <f t="shared" ca="1" si="18"/>
        <v/>
      </c>
      <c r="H61" s="183" t="str">
        <f t="shared" ca="1" si="18"/>
        <v/>
      </c>
      <c r="I61" s="183" t="str">
        <f t="shared" ca="1" si="18"/>
        <v/>
      </c>
      <c r="J61" s="183" t="str">
        <f t="shared" ca="1" si="18"/>
        <v/>
      </c>
      <c r="K61" s="183" t="str">
        <f t="shared" ca="1" si="18"/>
        <v/>
      </c>
      <c r="L61" s="183" t="str">
        <f t="shared" ca="1" si="18"/>
        <v/>
      </c>
      <c r="M61" s="183" t="str">
        <f t="shared" ca="1" si="18"/>
        <v/>
      </c>
      <c r="N61" s="183" t="str">
        <f t="shared" ca="1" si="18"/>
        <v/>
      </c>
      <c r="O61" s="183" t="str">
        <f t="shared" ca="1" si="18"/>
        <v/>
      </c>
      <c r="P61" s="183" t="str">
        <f t="shared" ca="1" si="18"/>
        <v/>
      </c>
      <c r="Q61" s="183" t="str">
        <f t="shared" ca="1" si="18"/>
        <v/>
      </c>
      <c r="R61" s="183" t="str">
        <f t="shared" ca="1" si="18"/>
        <v/>
      </c>
      <c r="S61" s="183" t="str">
        <f t="shared" ca="1" si="18"/>
        <v/>
      </c>
      <c r="T61" s="183" t="str">
        <f t="shared" ca="1" si="18"/>
        <v/>
      </c>
      <c r="U61" s="183" t="str">
        <f t="shared" ca="1" si="18"/>
        <v/>
      </c>
      <c r="V61" s="183" t="str">
        <f t="shared" ca="1" si="18"/>
        <v/>
      </c>
      <c r="W61" s="183" t="str">
        <f t="shared" ca="1" si="18"/>
        <v/>
      </c>
      <c r="X61" s="183" t="str">
        <f t="shared" ca="1" si="18"/>
        <v/>
      </c>
      <c r="Y61" s="183" t="str">
        <f t="shared" ca="1" si="18"/>
        <v/>
      </c>
      <c r="Z61" s="183" t="str">
        <f t="shared" ca="1" si="18"/>
        <v/>
      </c>
      <c r="AA61" s="183" t="str">
        <f t="shared" ca="1" si="18"/>
        <v/>
      </c>
      <c r="AB61" s="183" t="str">
        <f t="shared" ca="1" si="18"/>
        <v/>
      </c>
      <c r="AC61" s="183" t="str">
        <f t="shared" ca="1" si="18"/>
        <v/>
      </c>
      <c r="AD61" s="183" t="str">
        <f t="shared" ca="1" si="18"/>
        <v/>
      </c>
      <c r="AE61" s="183" t="e">
        <f t="shared" ca="1" si="18"/>
        <v>#N/A</v>
      </c>
      <c r="AF61" s="183" t="e">
        <f t="shared" ca="1" si="18"/>
        <v>#N/A</v>
      </c>
      <c r="AH61" s="368" t="str">
        <f ca="1">IFERROR(AVERAGE(C61:E61,R61),"NA")</f>
        <v>NA</v>
      </c>
      <c r="AJ61" s="183" t="e">
        <f ca="1">IF(AJ60=0,"",IF(AJ44=0,"",+AJ60/AJ44))</f>
        <v>#DIV/0!</v>
      </c>
      <c r="AK61" s="183" t="e">
        <f ca="1">IF(AK60=0,"",IF(AK44=0,"",+AK60/AK44))</f>
        <v>#DIV/0!</v>
      </c>
      <c r="AL61" s="183" t="e">
        <f ca="1">IF(AL60=0,"",IF(AL44=0,"",+AL60/AL44))</f>
        <v>#DIV/0!</v>
      </c>
      <c r="AM61" s="183" t="e">
        <f ca="1">IF(AM60=0,"",IF(AM44=0,"",+AM60/AM44))</f>
        <v>#DIV/0!</v>
      </c>
      <c r="AN61" s="183" t="e">
        <f ca="1">IF(AN60=0,"",IF(AN44=0,"",+AN60/AN44))</f>
        <v>#DIV/0!</v>
      </c>
      <c r="AP61" s="368" t="str">
        <f ca="1">IFERROR(AVERAGE(AJ61:AN61),"NA")</f>
        <v>NA</v>
      </c>
    </row>
    <row r="62" spans="1:42" ht="5.25" customHeight="1">
      <c r="A62" s="181"/>
      <c r="B62" s="181"/>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1"/>
      <c r="AC62" s="181"/>
      <c r="AD62" s="181"/>
      <c r="AE62" s="181"/>
      <c r="AF62" s="181"/>
      <c r="AH62" s="178"/>
      <c r="AJ62" s="181"/>
      <c r="AK62" s="181"/>
      <c r="AL62" s="181"/>
      <c r="AM62" s="181"/>
      <c r="AN62" s="181"/>
      <c r="AP62" s="178"/>
    </row>
    <row r="63" spans="1:42">
      <c r="A63" s="179" t="str">
        <f>'Hist &amp; Proj'!A70</f>
        <v>Taxes</v>
      </c>
      <c r="B63" s="179">
        <f>IF(OR(Assump!$A$7="USD",Assump!$A$7="EURO"),'Hist &amp; Proj'!B70/'Hist &amp; Proj'!B$8,'Hist &amp; Proj'!B70)</f>
        <v>0</v>
      </c>
      <c r="C63" s="179">
        <f>IF(OR(Assump!$A$7="USD",Assump!$A$7="EURO"),'Hist &amp; Proj'!C70/'Hist &amp; Proj'!C$9,'Hist &amp; Proj'!C70)</f>
        <v>0</v>
      </c>
      <c r="D63" s="179">
        <f>IF(OR(Assump!$A$7="USD",Assump!$A$7="EURO"),'Hist &amp; Proj'!D70/'Hist &amp; Proj'!D$9,'Hist &amp; Proj'!D70)</f>
        <v>0</v>
      </c>
      <c r="E63" s="179">
        <f>IF(OR(Assump!$A$7="USD",Assump!$A$7="EURO"),'Hist &amp; Proj'!E70/'Hist &amp; Proj'!E$9,'Hist &amp; Proj'!E70)</f>
        <v>0</v>
      </c>
      <c r="F63" s="179">
        <f ca="1">IF(OR(Assump!$A$7="USD",Assump!$A$7="EURO"),'Hist &amp; Proj'!F70/'Hist &amp; Proj'!F$10,'Hist &amp; Proj'!F70)</f>
        <v>0</v>
      </c>
      <c r="G63" s="179">
        <f ca="1">IF(OR(Assump!$A$7="USD",Assump!$A$7="EURO"),'Hist &amp; Proj'!G70/'Hist &amp; Proj'!G$10,'Hist &amp; Proj'!G70)</f>
        <v>0</v>
      </c>
      <c r="H63" s="179">
        <f ca="1">IF(OR(Assump!$A$7="USD",Assump!$A$7="EURO"),'Hist &amp; Proj'!H70/'Hist &amp; Proj'!H$10,'Hist &amp; Proj'!H70)</f>
        <v>0</v>
      </c>
      <c r="I63" s="179">
        <f ca="1">IF(OR(Assump!$A$7="USD",Assump!$A$7="EURO"),'Hist &amp; Proj'!I70/'Hist &amp; Proj'!I$10,'Hist &amp; Proj'!I70)</f>
        <v>0</v>
      </c>
      <c r="J63" s="179">
        <f ca="1">IF(OR(Assump!$A$7="USD",Assump!$A$7="EURO"),'Hist &amp; Proj'!J70/'Hist &amp; Proj'!J$10,'Hist &amp; Proj'!J70)</f>
        <v>0</v>
      </c>
      <c r="K63" s="179">
        <f ca="1">IF(OR(Assump!$A$7="USD",Assump!$A$7="EURO"),'Hist &amp; Proj'!K70/'Hist &amp; Proj'!K$10,'Hist &amp; Proj'!K70)</f>
        <v>0</v>
      </c>
      <c r="L63" s="179">
        <f ca="1">IF(OR(Assump!$A$7="USD",Assump!$A$7="EURO"),'Hist &amp; Proj'!L70/'Hist &amp; Proj'!L$10,'Hist &amp; Proj'!L70)</f>
        <v>0</v>
      </c>
      <c r="M63" s="179">
        <f ca="1">IF(OR(Assump!$A$7="USD",Assump!$A$7="EURO"),'Hist &amp; Proj'!M70/'Hist &amp; Proj'!M$10,'Hist &amp; Proj'!M70)</f>
        <v>0</v>
      </c>
      <c r="N63" s="179">
        <f ca="1">IF(OR(Assump!$A$7="USD",Assump!$A$7="EURO"),'Hist &amp; Proj'!N70/'Hist &amp; Proj'!N$10,'Hist &amp; Proj'!N70)</f>
        <v>0</v>
      </c>
      <c r="O63" s="179">
        <f ca="1">IF(OR(Assump!$A$7="USD",Assump!$A$7="EURO"),'Hist &amp; Proj'!O70/'Hist &amp; Proj'!O$10,'Hist &amp; Proj'!O70)</f>
        <v>0</v>
      </c>
      <c r="P63" s="179">
        <f ca="1">IF(OR(Assump!$A$7="USD",Assump!$A$7="EURO"),'Hist &amp; Proj'!P70/'Hist &amp; Proj'!P$10,'Hist &amp; Proj'!P70)</f>
        <v>0</v>
      </c>
      <c r="Q63" s="179">
        <f ca="1">IF(OR(Assump!$A$7="USD",Assump!$A$7="EURO"),'Hist &amp; Proj'!Q70/'Hist &amp; Proj'!Q$10,'Hist &amp; Proj'!Q70)</f>
        <v>0</v>
      </c>
      <c r="R63" s="179">
        <f ca="1">IF(OR(Assump!$A$7="USD",Assump!$A$7="EURO"),'Hist &amp; Proj'!R70/'Hist &amp; Proj'!R$10,'Hist &amp; Proj'!R70)</f>
        <v>0</v>
      </c>
      <c r="S63" s="179">
        <f ca="1">IF(OR(Assump!$A$7="USD",Assump!$A$7="EURO"),'Hist &amp; Proj'!S70/'Hist &amp; Proj'!S$10,'Hist &amp; Proj'!S70)</f>
        <v>0</v>
      </c>
      <c r="T63" s="179">
        <f ca="1">IF(OR(Assump!$A$7="USD",Assump!$A$7="EURO"),'Hist &amp; Proj'!T70/'Hist &amp; Proj'!T$10,'Hist &amp; Proj'!T70)</f>
        <v>0</v>
      </c>
      <c r="U63" s="179">
        <f ca="1">IF(OR(Assump!$A$7="USD",Assump!$A$7="EURO"),'Hist &amp; Proj'!U70/'Hist &amp; Proj'!U$10,'Hist &amp; Proj'!U70)</f>
        <v>0</v>
      </c>
      <c r="V63" s="179">
        <f ca="1">IF(OR(Assump!$A$7="USD",Assump!$A$7="EURO"),'Hist &amp; Proj'!V70/'Hist &amp; Proj'!V$10,'Hist &amp; Proj'!V70)</f>
        <v>0</v>
      </c>
      <c r="W63" s="179">
        <f ca="1">IF(OR(Assump!$A$7="USD",Assump!$A$7="EURO"),'Hist &amp; Proj'!W70/'Hist &amp; Proj'!W$10,'Hist &amp; Proj'!W70)</f>
        <v>0</v>
      </c>
      <c r="X63" s="179">
        <f ca="1">IF(OR(Assump!$A$7="USD",Assump!$A$7="EURO"),'Hist &amp; Proj'!X70/'Hist &amp; Proj'!X$10,'Hist &amp; Proj'!X70)</f>
        <v>0</v>
      </c>
      <c r="Y63" s="179">
        <f ca="1">IF(OR(Assump!$A$7="USD",Assump!$A$7="EURO"),'Hist &amp; Proj'!Y70/'Hist &amp; Proj'!Y$10,'Hist &amp; Proj'!Y70)</f>
        <v>0</v>
      </c>
      <c r="Z63" s="179">
        <f ca="1">IF(OR(Assump!$A$7="USD",Assump!$A$7="EURO"),'Hist &amp; Proj'!Z70/'Hist &amp; Proj'!Z$10,'Hist &amp; Proj'!Z70)</f>
        <v>0</v>
      </c>
      <c r="AA63" s="179">
        <f ca="1">IF(OR(Assump!$A$7="USD",Assump!$A$7="EURO"),'Hist &amp; Proj'!AA70/'Hist &amp; Proj'!AA$10,'Hist &amp; Proj'!AA70)</f>
        <v>0</v>
      </c>
      <c r="AB63" s="179">
        <f ca="1">IF(OR(Assump!$A$7="USD",Assump!$A$7="EURO"),'Hist &amp; Proj'!AB70/'Hist &amp; Proj'!AB$10,'Hist &amp; Proj'!AB70)</f>
        <v>0</v>
      </c>
      <c r="AC63" s="179">
        <f ca="1">IF(OR(Assump!$A$7="USD",Assump!$A$7="EURO"),'Hist &amp; Proj'!AC70/'Hist &amp; Proj'!AC$10,'Hist &amp; Proj'!AC70)</f>
        <v>0</v>
      </c>
      <c r="AD63" s="179">
        <f ca="1">IF(OR(Assump!$A$7="USD",Assump!$A$7="EURO"),'Hist &amp; Proj'!AD70/'Hist &amp; Proj'!AD$10,'Hist &amp; Proj'!AD70)</f>
        <v>0</v>
      </c>
      <c r="AE63" s="179" t="e">
        <f ca="1">IF(OR(Assump!$A$7="USD",Assump!$A$7="EURO"),'Hist &amp; Proj'!AE70/'Hist &amp; Proj'!AE$10,'Hist &amp; Proj'!AE70)</f>
        <v>#N/A</v>
      </c>
      <c r="AF63" s="179" t="e">
        <f ca="1">IF(OR(Assump!$A$7="USD",Assump!$A$7="EURO"),'Hist &amp; Proj'!AF70/'Hist &amp; Proj'!AE$9,'Hist &amp; Proj'!AF70)</f>
        <v>#N/A</v>
      </c>
      <c r="AH63" s="367" t="str">
        <f ca="1">IFERROR(RATE(3,0,-C63,R63),"NA")</f>
        <v>NA</v>
      </c>
      <c r="AJ63" s="179" t="e">
        <f ca="1">-AJ60*Assump!AJ27</f>
        <v>#DIV/0!</v>
      </c>
      <c r="AK63" s="179" t="e">
        <f ca="1">-AK60*Assump!AK27</f>
        <v>#DIV/0!</v>
      </c>
      <c r="AL63" s="179" t="e">
        <f ca="1">-AL60*Assump!AL27</f>
        <v>#DIV/0!</v>
      </c>
      <c r="AM63" s="179" t="e">
        <f ca="1">-AM60*Assump!AM27</f>
        <v>#DIV/0!</v>
      </c>
      <c r="AN63" s="179" t="e">
        <f ca="1">-AN60*Assump!AN27</f>
        <v>#DIV/0!</v>
      </c>
      <c r="AP63" s="367" t="str">
        <f ca="1">IFERROR(RATE(4,0,-AJ63,AN63),"NA")</f>
        <v>NA</v>
      </c>
    </row>
    <row r="64" spans="1:42">
      <c r="A64" s="182" t="s">
        <v>564</v>
      </c>
      <c r="B64" s="183" t="str">
        <f t="shared" ref="B64:AF64" si="19">IF(B63=0,"",IF(B60&lt;0,"",-B63/B60))</f>
        <v/>
      </c>
      <c r="C64" s="183" t="str">
        <f t="shared" si="19"/>
        <v/>
      </c>
      <c r="D64" s="183" t="str">
        <f t="shared" si="19"/>
        <v/>
      </c>
      <c r="E64" s="183" t="str">
        <f t="shared" si="19"/>
        <v/>
      </c>
      <c r="F64" s="183" t="str">
        <f t="shared" ca="1" si="19"/>
        <v/>
      </c>
      <c r="G64" s="183" t="str">
        <f t="shared" ca="1" si="19"/>
        <v/>
      </c>
      <c r="H64" s="183" t="str">
        <f t="shared" ca="1" si="19"/>
        <v/>
      </c>
      <c r="I64" s="183" t="str">
        <f t="shared" ca="1" si="19"/>
        <v/>
      </c>
      <c r="J64" s="183" t="str">
        <f t="shared" ca="1" si="19"/>
        <v/>
      </c>
      <c r="K64" s="183" t="str">
        <f t="shared" ca="1" si="19"/>
        <v/>
      </c>
      <c r="L64" s="183" t="str">
        <f t="shared" ca="1" si="19"/>
        <v/>
      </c>
      <c r="M64" s="183" t="str">
        <f t="shared" ca="1" si="19"/>
        <v/>
      </c>
      <c r="N64" s="183" t="str">
        <f t="shared" ca="1" si="19"/>
        <v/>
      </c>
      <c r="O64" s="183" t="str">
        <f t="shared" ca="1" si="19"/>
        <v/>
      </c>
      <c r="P64" s="183" t="str">
        <f t="shared" ca="1" si="19"/>
        <v/>
      </c>
      <c r="Q64" s="183" t="str">
        <f t="shared" ca="1" si="19"/>
        <v/>
      </c>
      <c r="R64" s="183" t="str">
        <f t="shared" ca="1" si="19"/>
        <v/>
      </c>
      <c r="S64" s="183" t="str">
        <f t="shared" ca="1" si="19"/>
        <v/>
      </c>
      <c r="T64" s="183" t="str">
        <f t="shared" ca="1" si="19"/>
        <v/>
      </c>
      <c r="U64" s="183" t="str">
        <f t="shared" ca="1" si="19"/>
        <v/>
      </c>
      <c r="V64" s="183" t="str">
        <f t="shared" ca="1" si="19"/>
        <v/>
      </c>
      <c r="W64" s="183" t="str">
        <f t="shared" ca="1" si="19"/>
        <v/>
      </c>
      <c r="X64" s="183" t="str">
        <f t="shared" ca="1" si="19"/>
        <v/>
      </c>
      <c r="Y64" s="183" t="str">
        <f t="shared" ca="1" si="19"/>
        <v/>
      </c>
      <c r="Z64" s="183" t="str">
        <f t="shared" ca="1" si="19"/>
        <v/>
      </c>
      <c r="AA64" s="183" t="str">
        <f t="shared" ca="1" si="19"/>
        <v/>
      </c>
      <c r="AB64" s="183" t="str">
        <f t="shared" ca="1" si="19"/>
        <v/>
      </c>
      <c r="AC64" s="183" t="str">
        <f t="shared" ca="1" si="19"/>
        <v/>
      </c>
      <c r="AD64" s="183" t="str">
        <f t="shared" ca="1" si="19"/>
        <v/>
      </c>
      <c r="AE64" s="183" t="e">
        <f t="shared" ca="1" si="19"/>
        <v>#N/A</v>
      </c>
      <c r="AF64" s="183" t="e">
        <f t="shared" ca="1" si="19"/>
        <v>#N/A</v>
      </c>
      <c r="AH64" s="368" t="str">
        <f ca="1">IFERROR(AVERAGE(C64:E64,R64),"NA")</f>
        <v>NA</v>
      </c>
      <c r="AJ64" s="183" t="e">
        <f ca="1">IF(AJ63=0,"",IF(AJ60&lt;0,"",-AJ63/AJ60))</f>
        <v>#DIV/0!</v>
      </c>
      <c r="AK64" s="183" t="e">
        <f ca="1">IF(AK63=0,"",IF(AK60&lt;0,"",-AK63/AK60))</f>
        <v>#DIV/0!</v>
      </c>
      <c r="AL64" s="183" t="e">
        <f ca="1">IF(AL63=0,"",IF(AL60&lt;0,"",-AL63/AL60))</f>
        <v>#DIV/0!</v>
      </c>
      <c r="AM64" s="183" t="e">
        <f ca="1">IF(AM63=0,"",IF(AM60&lt;0,"",-AM63/AM60))</f>
        <v>#DIV/0!</v>
      </c>
      <c r="AN64" s="183" t="e">
        <f ca="1">IF(AN63=0,"",IF(AN60&lt;0,"",-AN63/AN60))</f>
        <v>#DIV/0!</v>
      </c>
      <c r="AP64" s="368" t="str">
        <f ca="1">IFERROR(AVERAGE(AJ64:AN64),"NA")</f>
        <v>NA</v>
      </c>
    </row>
    <row r="65" spans="1:42" ht="5.25" customHeight="1">
      <c r="A65" s="192"/>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H65" s="384"/>
      <c r="AJ65" s="193"/>
      <c r="AK65" s="193"/>
      <c r="AL65" s="193"/>
      <c r="AM65" s="193"/>
      <c r="AN65" s="193"/>
      <c r="AP65" s="384"/>
    </row>
    <row r="66" spans="1:42">
      <c r="A66" s="194" t="str">
        <f>'Hist &amp; Proj'!A71</f>
        <v>Net Income (After Taxes Before Donations)</v>
      </c>
      <c r="B66" s="194">
        <f t="shared" ref="B66:AD66" si="20">SUM(B60,B63)</f>
        <v>0</v>
      </c>
      <c r="C66" s="194">
        <f t="shared" si="20"/>
        <v>0</v>
      </c>
      <c r="D66" s="194">
        <f t="shared" si="20"/>
        <v>0</v>
      </c>
      <c r="E66" s="194">
        <f t="shared" si="20"/>
        <v>0</v>
      </c>
      <c r="F66" s="194">
        <f t="shared" ca="1" si="20"/>
        <v>0</v>
      </c>
      <c r="G66" s="194">
        <f t="shared" ca="1" si="20"/>
        <v>0</v>
      </c>
      <c r="H66" s="194">
        <f t="shared" ca="1" si="20"/>
        <v>0</v>
      </c>
      <c r="I66" s="194">
        <f t="shared" ca="1" si="20"/>
        <v>0</v>
      </c>
      <c r="J66" s="194">
        <f t="shared" ca="1" si="20"/>
        <v>0</v>
      </c>
      <c r="K66" s="194">
        <f t="shared" ca="1" si="20"/>
        <v>0</v>
      </c>
      <c r="L66" s="194">
        <f t="shared" ca="1" si="20"/>
        <v>0</v>
      </c>
      <c r="M66" s="194">
        <f t="shared" ca="1" si="20"/>
        <v>0</v>
      </c>
      <c r="N66" s="194">
        <f t="shared" ca="1" si="20"/>
        <v>0</v>
      </c>
      <c r="O66" s="194">
        <f t="shared" ca="1" si="20"/>
        <v>0</v>
      </c>
      <c r="P66" s="194">
        <f t="shared" ca="1" si="20"/>
        <v>0</v>
      </c>
      <c r="Q66" s="194">
        <f t="shared" ca="1" si="20"/>
        <v>0</v>
      </c>
      <c r="R66" s="194">
        <f t="shared" ca="1" si="20"/>
        <v>0</v>
      </c>
      <c r="S66" s="194">
        <f t="shared" ca="1" si="20"/>
        <v>0</v>
      </c>
      <c r="T66" s="194">
        <f t="shared" ca="1" si="20"/>
        <v>0</v>
      </c>
      <c r="U66" s="194">
        <f t="shared" ca="1" si="20"/>
        <v>0</v>
      </c>
      <c r="V66" s="194">
        <f t="shared" ca="1" si="20"/>
        <v>0</v>
      </c>
      <c r="W66" s="194">
        <f t="shared" ca="1" si="20"/>
        <v>0</v>
      </c>
      <c r="X66" s="194">
        <f t="shared" ca="1" si="20"/>
        <v>0</v>
      </c>
      <c r="Y66" s="194">
        <f t="shared" ca="1" si="20"/>
        <v>0</v>
      </c>
      <c r="Z66" s="194">
        <f t="shared" ca="1" si="20"/>
        <v>0</v>
      </c>
      <c r="AA66" s="194">
        <f t="shared" ca="1" si="20"/>
        <v>0</v>
      </c>
      <c r="AB66" s="194">
        <f t="shared" ca="1" si="20"/>
        <v>0</v>
      </c>
      <c r="AC66" s="194">
        <f t="shared" ca="1" si="20"/>
        <v>0</v>
      </c>
      <c r="AD66" s="194">
        <f t="shared" ca="1" si="20"/>
        <v>0</v>
      </c>
      <c r="AE66" s="194" t="e">
        <f ca="1">SUM(AE60,AE63)</f>
        <v>#N/A</v>
      </c>
      <c r="AF66" s="194" t="e">
        <f ca="1">SUM(AF60,AF63)</f>
        <v>#N/A</v>
      </c>
      <c r="AH66" s="385" t="str">
        <f ca="1">IFERROR(RATE(3,0,-C66,R66),"NA")</f>
        <v>NA</v>
      </c>
      <c r="AJ66" s="194" t="e">
        <f ca="1">SUM(AJ60,AJ63)</f>
        <v>#DIV/0!</v>
      </c>
      <c r="AK66" s="194" t="e">
        <f ca="1">SUM(AK60,AK63)</f>
        <v>#DIV/0!</v>
      </c>
      <c r="AL66" s="194" t="e">
        <f ca="1">SUM(AL60,AL63)</f>
        <v>#DIV/0!</v>
      </c>
      <c r="AM66" s="194" t="e">
        <f ca="1">SUM(AM60,AM63)</f>
        <v>#DIV/0!</v>
      </c>
      <c r="AN66" s="194" t="e">
        <f ca="1">SUM(AN60,AN63)</f>
        <v>#DIV/0!</v>
      </c>
      <c r="AP66" s="385" t="str">
        <f ca="1">IFERROR(RATE(4,0,-AJ66,AN66),"NA")</f>
        <v>NA</v>
      </c>
    </row>
    <row r="67" spans="1:42" outlineLevel="1">
      <c r="A67" s="181"/>
      <c r="B67" s="181"/>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H67" s="178"/>
      <c r="AJ67" s="181"/>
      <c r="AK67" s="181"/>
      <c r="AL67" s="181"/>
      <c r="AM67" s="181"/>
      <c r="AN67" s="181"/>
      <c r="AP67" s="178"/>
    </row>
    <row r="68" spans="1:42" outlineLevel="1">
      <c r="A68" s="179" t="str">
        <f>'Hist &amp; Proj'!A73</f>
        <v>Donations</v>
      </c>
      <c r="B68" s="179">
        <f>IF(OR(Assump!$A$7="USD",Assump!$A$7="EURO"),'Hist &amp; Proj'!B73/'Hist &amp; Proj'!B$8,'Hist &amp; Proj'!B73)</f>
        <v>0</v>
      </c>
      <c r="C68" s="179">
        <f>IF(OR(Assump!$A$7="USD",Assump!$A$7="EURO"),'Hist &amp; Proj'!C73/'Hist &amp; Proj'!C$9,'Hist &amp; Proj'!C73)</f>
        <v>0</v>
      </c>
      <c r="D68" s="179">
        <f>IF(OR(Assump!$A$7="USD",Assump!$A$7="EURO"),'Hist &amp; Proj'!D73/'Hist &amp; Proj'!D$9,'Hist &amp; Proj'!D73)</f>
        <v>0</v>
      </c>
      <c r="E68" s="179">
        <f>IF(OR(Assump!$A$7="USD",Assump!$A$7="EURO"),'Hist &amp; Proj'!E73/'Hist &amp; Proj'!E$9,'Hist &amp; Proj'!E73)</f>
        <v>0</v>
      </c>
      <c r="F68" s="179">
        <f ca="1">IF(OR(Assump!$A$7="USD",Assump!$A$7="EURO"),'Hist &amp; Proj'!F73/'Hist &amp; Proj'!F$10,'Hist &amp; Proj'!F73)</f>
        <v>0</v>
      </c>
      <c r="G68" s="179">
        <f ca="1">IF(OR(Assump!$A$7="USD",Assump!$A$7="EURO"),'Hist &amp; Proj'!G73/'Hist &amp; Proj'!G$10,'Hist &amp; Proj'!G73)</f>
        <v>0</v>
      </c>
      <c r="H68" s="179">
        <f ca="1">IF(OR(Assump!$A$7="USD",Assump!$A$7="EURO"),'Hist &amp; Proj'!H73/'Hist &amp; Proj'!H$10,'Hist &amp; Proj'!H73)</f>
        <v>0</v>
      </c>
      <c r="I68" s="179">
        <f ca="1">IF(OR(Assump!$A$7="USD",Assump!$A$7="EURO"),'Hist &amp; Proj'!I73/'Hist &amp; Proj'!I$10,'Hist &amp; Proj'!I73)</f>
        <v>0</v>
      </c>
      <c r="J68" s="179">
        <f ca="1">IF(OR(Assump!$A$7="USD",Assump!$A$7="EURO"),'Hist &amp; Proj'!J73/'Hist &amp; Proj'!J$10,'Hist &amp; Proj'!J73)</f>
        <v>0</v>
      </c>
      <c r="K68" s="179">
        <f ca="1">IF(OR(Assump!$A$7="USD",Assump!$A$7="EURO"),'Hist &amp; Proj'!K73/'Hist &amp; Proj'!K$10,'Hist &amp; Proj'!K73)</f>
        <v>0</v>
      </c>
      <c r="L68" s="179">
        <f ca="1">IF(OR(Assump!$A$7="USD",Assump!$A$7="EURO"),'Hist &amp; Proj'!L73/'Hist &amp; Proj'!L$10,'Hist &amp; Proj'!L73)</f>
        <v>0</v>
      </c>
      <c r="M68" s="179">
        <f ca="1">IF(OR(Assump!$A$7="USD",Assump!$A$7="EURO"),'Hist &amp; Proj'!M73/'Hist &amp; Proj'!M$10,'Hist &amp; Proj'!M73)</f>
        <v>0</v>
      </c>
      <c r="N68" s="179">
        <f ca="1">IF(OR(Assump!$A$7="USD",Assump!$A$7="EURO"),'Hist &amp; Proj'!N73/'Hist &amp; Proj'!N$10,'Hist &amp; Proj'!N73)</f>
        <v>0</v>
      </c>
      <c r="O68" s="179">
        <f ca="1">IF(OR(Assump!$A$7="USD",Assump!$A$7="EURO"),'Hist &amp; Proj'!O73/'Hist &amp; Proj'!O$10,'Hist &amp; Proj'!O73)</f>
        <v>0</v>
      </c>
      <c r="P68" s="179">
        <f ca="1">IF(OR(Assump!$A$7="USD",Assump!$A$7="EURO"),'Hist &amp; Proj'!P73/'Hist &amp; Proj'!P$10,'Hist &amp; Proj'!P73)</f>
        <v>0</v>
      </c>
      <c r="Q68" s="179">
        <f ca="1">IF(OR(Assump!$A$7="USD",Assump!$A$7="EURO"),'Hist &amp; Proj'!Q73/'Hist &amp; Proj'!Q$10,'Hist &amp; Proj'!Q73)</f>
        <v>0</v>
      </c>
      <c r="R68" s="179">
        <f ca="1">IF(OR(Assump!$A$7="USD",Assump!$A$7="EURO"),'Hist &amp; Proj'!R73/'Hist &amp; Proj'!R$10,'Hist &amp; Proj'!R73)</f>
        <v>0</v>
      </c>
      <c r="S68" s="179">
        <f ca="1">IF(OR(Assump!$A$7="USD",Assump!$A$7="EURO"),'Hist &amp; Proj'!S73/'Hist &amp; Proj'!S$10,'Hist &amp; Proj'!S73)</f>
        <v>0</v>
      </c>
      <c r="T68" s="179">
        <f ca="1">IF(OR(Assump!$A$7="USD",Assump!$A$7="EURO"),'Hist &amp; Proj'!T73/'Hist &amp; Proj'!T$10,'Hist &amp; Proj'!T73)</f>
        <v>0</v>
      </c>
      <c r="U68" s="179">
        <f ca="1">IF(OR(Assump!$A$7="USD",Assump!$A$7="EURO"),'Hist &amp; Proj'!U73/'Hist &amp; Proj'!U$10,'Hist &amp; Proj'!U73)</f>
        <v>0</v>
      </c>
      <c r="V68" s="179">
        <f ca="1">IF(OR(Assump!$A$7="USD",Assump!$A$7="EURO"),'Hist &amp; Proj'!V73/'Hist &amp; Proj'!V$10,'Hist &amp; Proj'!V73)</f>
        <v>0</v>
      </c>
      <c r="W68" s="179">
        <f ca="1">IF(OR(Assump!$A$7="USD",Assump!$A$7="EURO"),'Hist &amp; Proj'!W73/'Hist &amp; Proj'!W$10,'Hist &amp; Proj'!W73)</f>
        <v>0</v>
      </c>
      <c r="X68" s="179">
        <f ca="1">IF(OR(Assump!$A$7="USD",Assump!$A$7="EURO"),'Hist &amp; Proj'!X73/'Hist &amp; Proj'!X$10,'Hist &amp; Proj'!X73)</f>
        <v>0</v>
      </c>
      <c r="Y68" s="179">
        <f ca="1">IF(OR(Assump!$A$7="USD",Assump!$A$7="EURO"),'Hist &amp; Proj'!Y73/'Hist &amp; Proj'!Y$10,'Hist &amp; Proj'!Y73)</f>
        <v>0</v>
      </c>
      <c r="Z68" s="179">
        <f ca="1">IF(OR(Assump!$A$7="USD",Assump!$A$7="EURO"),'Hist &amp; Proj'!Z73/'Hist &amp; Proj'!Z$10,'Hist &amp; Proj'!Z73)</f>
        <v>0</v>
      </c>
      <c r="AA68" s="179">
        <f ca="1">IF(OR(Assump!$A$7="USD",Assump!$A$7="EURO"),'Hist &amp; Proj'!AA73/'Hist &amp; Proj'!AA$10,'Hist &amp; Proj'!AA73)</f>
        <v>0</v>
      </c>
      <c r="AB68" s="179">
        <f ca="1">IF(OR(Assump!$A$7="USD",Assump!$A$7="EURO"),'Hist &amp; Proj'!AB73/'Hist &amp; Proj'!AB$10,'Hist &amp; Proj'!AB73)</f>
        <v>0</v>
      </c>
      <c r="AC68" s="179">
        <f ca="1">IF(OR(Assump!$A$7="USD",Assump!$A$7="EURO"),'Hist &amp; Proj'!AC73/'Hist &amp; Proj'!AC$10,'Hist &amp; Proj'!AC73)</f>
        <v>0</v>
      </c>
      <c r="AD68" s="179">
        <f ca="1">IF(OR(Assump!$A$7="USD",Assump!$A$7="EURO"),'Hist &amp; Proj'!AD73/'Hist &amp; Proj'!AD$10,'Hist &amp; Proj'!AD73)</f>
        <v>0</v>
      </c>
      <c r="AE68" s="179" t="e">
        <f ca="1">IF(OR(Assump!$A$7="USD",Assump!$A$7="EURO"),'Hist &amp; Proj'!AE73/'Hist &amp; Proj'!AE$10,'Hist &amp; Proj'!AE73)</f>
        <v>#N/A</v>
      </c>
      <c r="AF68" s="179" t="e">
        <f ca="1">IF(OR(Assump!$A$7="USD",Assump!$A$7="EURO"),'Hist &amp; Proj'!AF73/'Hist &amp; Proj'!AE$9,'Hist &amp; Proj'!AF73)</f>
        <v>#N/A</v>
      </c>
      <c r="AH68" s="367" t="str">
        <f ca="1">IFERROR(RATE(3,0,-C68,R68),"NA")</f>
        <v>NA</v>
      </c>
      <c r="AJ68" s="179">
        <f ca="1">Assump!AJ28</f>
        <v>0</v>
      </c>
      <c r="AK68" s="179">
        <f ca="1">Assump!AK28</f>
        <v>0</v>
      </c>
      <c r="AL68" s="179">
        <f ca="1">Assump!AL28</f>
        <v>0</v>
      </c>
      <c r="AM68" s="179">
        <f ca="1">Assump!AM28</f>
        <v>0</v>
      </c>
      <c r="AN68" s="179">
        <f ca="1">Assump!AN28</f>
        <v>0</v>
      </c>
      <c r="AP68" s="367" t="str">
        <f ca="1">IFERROR(RATE(4,0,-AJ68,AN68),"NA")</f>
        <v>NA</v>
      </c>
    </row>
    <row r="69" spans="1:42" outlineLevel="1">
      <c r="A69" s="194" t="str">
        <f>'Hist &amp; Proj'!A74</f>
        <v>Net Income After Taxes &amp; Donations</v>
      </c>
      <c r="B69" s="194">
        <f t="shared" ref="B69:AF69" si="21">SUM(B66,B68)</f>
        <v>0</v>
      </c>
      <c r="C69" s="194">
        <f t="shared" si="21"/>
        <v>0</v>
      </c>
      <c r="D69" s="194">
        <f t="shared" si="21"/>
        <v>0</v>
      </c>
      <c r="E69" s="194">
        <f t="shared" si="21"/>
        <v>0</v>
      </c>
      <c r="F69" s="194">
        <f t="shared" ca="1" si="21"/>
        <v>0</v>
      </c>
      <c r="G69" s="194">
        <f t="shared" ca="1" si="21"/>
        <v>0</v>
      </c>
      <c r="H69" s="194">
        <f t="shared" ca="1" si="21"/>
        <v>0</v>
      </c>
      <c r="I69" s="194">
        <f t="shared" ca="1" si="21"/>
        <v>0</v>
      </c>
      <c r="J69" s="194">
        <f t="shared" ca="1" si="21"/>
        <v>0</v>
      </c>
      <c r="K69" s="194">
        <f t="shared" ca="1" si="21"/>
        <v>0</v>
      </c>
      <c r="L69" s="194">
        <f t="shared" ca="1" si="21"/>
        <v>0</v>
      </c>
      <c r="M69" s="194">
        <f t="shared" ca="1" si="21"/>
        <v>0</v>
      </c>
      <c r="N69" s="194">
        <f t="shared" ca="1" si="21"/>
        <v>0</v>
      </c>
      <c r="O69" s="194">
        <f t="shared" ca="1" si="21"/>
        <v>0</v>
      </c>
      <c r="P69" s="194">
        <f t="shared" ca="1" si="21"/>
        <v>0</v>
      </c>
      <c r="Q69" s="194">
        <f t="shared" ca="1" si="21"/>
        <v>0</v>
      </c>
      <c r="R69" s="194">
        <f t="shared" ca="1" si="21"/>
        <v>0</v>
      </c>
      <c r="S69" s="194">
        <f t="shared" ca="1" si="21"/>
        <v>0</v>
      </c>
      <c r="T69" s="194">
        <f t="shared" ca="1" si="21"/>
        <v>0</v>
      </c>
      <c r="U69" s="194">
        <f t="shared" ca="1" si="21"/>
        <v>0</v>
      </c>
      <c r="V69" s="194">
        <f t="shared" ca="1" si="21"/>
        <v>0</v>
      </c>
      <c r="W69" s="194">
        <f t="shared" ca="1" si="21"/>
        <v>0</v>
      </c>
      <c r="X69" s="194">
        <f t="shared" ca="1" si="21"/>
        <v>0</v>
      </c>
      <c r="Y69" s="194">
        <f t="shared" ca="1" si="21"/>
        <v>0</v>
      </c>
      <c r="Z69" s="194">
        <f t="shared" ca="1" si="21"/>
        <v>0</v>
      </c>
      <c r="AA69" s="194">
        <f t="shared" ca="1" si="21"/>
        <v>0</v>
      </c>
      <c r="AB69" s="194">
        <f t="shared" ca="1" si="21"/>
        <v>0</v>
      </c>
      <c r="AC69" s="194">
        <f t="shared" ca="1" si="21"/>
        <v>0</v>
      </c>
      <c r="AD69" s="194">
        <f t="shared" ca="1" si="21"/>
        <v>0</v>
      </c>
      <c r="AE69" s="194" t="e">
        <f t="shared" ca="1" si="21"/>
        <v>#N/A</v>
      </c>
      <c r="AF69" s="194" t="e">
        <f t="shared" ca="1" si="21"/>
        <v>#N/A</v>
      </c>
      <c r="AH69" s="385" t="str">
        <f ca="1">IFERROR(RATE(3,0,-C69,R69),"NA")</f>
        <v>NA</v>
      </c>
      <c r="AJ69" s="194" t="e">
        <f ca="1">SUM(AJ66,AJ68)</f>
        <v>#DIV/0!</v>
      </c>
      <c r="AK69" s="194" t="e">
        <f ca="1">SUM(AK66,AK68)</f>
        <v>#DIV/0!</v>
      </c>
      <c r="AL69" s="194" t="e">
        <f ca="1">SUM(AL66,AL68)</f>
        <v>#DIV/0!</v>
      </c>
      <c r="AM69" s="194" t="e">
        <f ca="1">SUM(AM66,AM68)</f>
        <v>#DIV/0!</v>
      </c>
      <c r="AN69" s="194" t="e">
        <f ca="1">SUM(AN66,AN68)</f>
        <v>#DIV/0!</v>
      </c>
      <c r="AP69" s="385" t="str">
        <f ca="1">IFERROR(RATE(4,0,-AJ69,AN69),"NA")</f>
        <v>NA</v>
      </c>
    </row>
    <row r="70" spans="1:42" outlineLevel="1">
      <c r="A70" s="181"/>
      <c r="B70" s="181"/>
      <c r="C70" s="181"/>
      <c r="D70" s="181"/>
      <c r="E70" s="181"/>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c r="AE70" s="181"/>
      <c r="AF70" s="181"/>
      <c r="AH70" s="178"/>
      <c r="AJ70" s="181"/>
      <c r="AK70" s="181"/>
      <c r="AL70" s="181"/>
      <c r="AM70" s="181"/>
      <c r="AN70" s="181"/>
      <c r="AP70" s="178"/>
    </row>
    <row r="71" spans="1:42" outlineLevel="1">
      <c r="A71" s="179" t="str">
        <f>'Hist &amp; Proj'!A76</f>
        <v>Dividends</v>
      </c>
      <c r="B71" s="179">
        <f>IF(OR(Assump!$A$7="USD",Assump!$A$7="EURO"),'Hist &amp; Proj'!B76/'Hist &amp; Proj'!B$8,'Hist &amp; Proj'!B76)</f>
        <v>0</v>
      </c>
      <c r="C71" s="179">
        <f>IF(OR(Assump!$A$7="USD",Assump!$A$7="EURO"),'Hist &amp; Proj'!C76/'Hist &amp; Proj'!C$9,'Hist &amp; Proj'!C76)</f>
        <v>0</v>
      </c>
      <c r="D71" s="179">
        <f>IF(OR(Assump!$A$7="USD",Assump!$A$7="EURO"),'Hist &amp; Proj'!D76/'Hist &amp; Proj'!D$9,'Hist &amp; Proj'!D76)</f>
        <v>0</v>
      </c>
      <c r="E71" s="179">
        <f>IF(OR(Assump!$A$7="USD",Assump!$A$7="EURO"),'Hist &amp; Proj'!E76/'Hist &amp; Proj'!E$9,'Hist &amp; Proj'!E76)</f>
        <v>0</v>
      </c>
      <c r="F71" s="179">
        <f ca="1">IF(OR(Assump!$A$7="USD",Assump!$A$7="EURO"),'Hist &amp; Proj'!F76/'Hist &amp; Proj'!F$10,'Hist &amp; Proj'!F76)</f>
        <v>0</v>
      </c>
      <c r="G71" s="179">
        <f ca="1">IF(OR(Assump!$A$7="USD",Assump!$A$7="EURO"),'Hist &amp; Proj'!G76/'Hist &amp; Proj'!G$10,'Hist &amp; Proj'!G76)</f>
        <v>0</v>
      </c>
      <c r="H71" s="179">
        <f ca="1">IF(OR(Assump!$A$7="USD",Assump!$A$7="EURO"),'Hist &amp; Proj'!H76/'Hist &amp; Proj'!H$10,'Hist &amp; Proj'!H76)</f>
        <v>0</v>
      </c>
      <c r="I71" s="179">
        <f ca="1">IF(OR(Assump!$A$7="USD",Assump!$A$7="EURO"),'Hist &amp; Proj'!I76/'Hist &amp; Proj'!I$10,'Hist &amp; Proj'!I76)</f>
        <v>0</v>
      </c>
      <c r="J71" s="179">
        <f ca="1">IF(OR(Assump!$A$7="USD",Assump!$A$7="EURO"),'Hist &amp; Proj'!J76/'Hist &amp; Proj'!J$10,'Hist &amp; Proj'!J76)</f>
        <v>0</v>
      </c>
      <c r="K71" s="179">
        <f ca="1">IF(OR(Assump!$A$7="USD",Assump!$A$7="EURO"),'Hist &amp; Proj'!K76/'Hist &amp; Proj'!K$10,'Hist &amp; Proj'!K76)</f>
        <v>0</v>
      </c>
      <c r="L71" s="179">
        <f ca="1">IF(OR(Assump!$A$7="USD",Assump!$A$7="EURO"),'Hist &amp; Proj'!L76/'Hist &amp; Proj'!L$10,'Hist &amp; Proj'!L76)</f>
        <v>0</v>
      </c>
      <c r="M71" s="179">
        <f ca="1">IF(OR(Assump!$A$7="USD",Assump!$A$7="EURO"),'Hist &amp; Proj'!M76/'Hist &amp; Proj'!M$10,'Hist &amp; Proj'!M76)</f>
        <v>0</v>
      </c>
      <c r="N71" s="179">
        <f ca="1">IF(OR(Assump!$A$7="USD",Assump!$A$7="EURO"),'Hist &amp; Proj'!N76/'Hist &amp; Proj'!N$10,'Hist &amp; Proj'!N76)</f>
        <v>0</v>
      </c>
      <c r="O71" s="179">
        <f ca="1">IF(OR(Assump!$A$7="USD",Assump!$A$7="EURO"),'Hist &amp; Proj'!O76/'Hist &amp; Proj'!O$10,'Hist &amp; Proj'!O76)</f>
        <v>0</v>
      </c>
      <c r="P71" s="179">
        <f ca="1">IF(OR(Assump!$A$7="USD",Assump!$A$7="EURO"),'Hist &amp; Proj'!P76/'Hist &amp; Proj'!P$10,'Hist &amp; Proj'!P76)</f>
        <v>0</v>
      </c>
      <c r="Q71" s="179">
        <f ca="1">IF(OR(Assump!$A$7="USD",Assump!$A$7="EURO"),'Hist &amp; Proj'!Q76/'Hist &amp; Proj'!Q$10,'Hist &amp; Proj'!Q76)</f>
        <v>0</v>
      </c>
      <c r="R71" s="179">
        <f ca="1">IF(OR(Assump!$A$7="USD",Assump!$A$7="EURO"),'Hist &amp; Proj'!R76/'Hist &amp; Proj'!R$10,'Hist &amp; Proj'!R76)</f>
        <v>0</v>
      </c>
      <c r="S71" s="179">
        <f ca="1">IF(OR(Assump!$A$7="USD",Assump!$A$7="EURO"),'Hist &amp; Proj'!S76/'Hist &amp; Proj'!S$10,'Hist &amp; Proj'!S76)</f>
        <v>0</v>
      </c>
      <c r="T71" s="179">
        <f ca="1">IF(OR(Assump!$A$7="USD",Assump!$A$7="EURO"),'Hist &amp; Proj'!T76/'Hist &amp; Proj'!T$10,'Hist &amp; Proj'!T76)</f>
        <v>0</v>
      </c>
      <c r="U71" s="179">
        <f ca="1">IF(OR(Assump!$A$7="USD",Assump!$A$7="EURO"),'Hist &amp; Proj'!U76/'Hist &amp; Proj'!U$10,'Hist &amp; Proj'!U76)</f>
        <v>0</v>
      </c>
      <c r="V71" s="179">
        <f ca="1">IF(OR(Assump!$A$7="USD",Assump!$A$7="EURO"),'Hist &amp; Proj'!V76/'Hist &amp; Proj'!V$10,'Hist &amp; Proj'!V76)</f>
        <v>0</v>
      </c>
      <c r="W71" s="179">
        <f ca="1">IF(OR(Assump!$A$7="USD",Assump!$A$7="EURO"),'Hist &amp; Proj'!W76/'Hist &amp; Proj'!W$10,'Hist &amp; Proj'!W76)</f>
        <v>0</v>
      </c>
      <c r="X71" s="179">
        <f ca="1">IF(OR(Assump!$A$7="USD",Assump!$A$7="EURO"),'Hist &amp; Proj'!X76/'Hist &amp; Proj'!X$10,'Hist &amp; Proj'!X76)</f>
        <v>0</v>
      </c>
      <c r="Y71" s="179">
        <f ca="1">IF(OR(Assump!$A$7="USD",Assump!$A$7="EURO"),'Hist &amp; Proj'!Y76/'Hist &amp; Proj'!Y$10,'Hist &amp; Proj'!Y76)</f>
        <v>0</v>
      </c>
      <c r="Z71" s="179">
        <f ca="1">IF(OR(Assump!$A$7="USD",Assump!$A$7="EURO"),'Hist &amp; Proj'!Z76/'Hist &amp; Proj'!Z$10,'Hist &amp; Proj'!Z76)</f>
        <v>0</v>
      </c>
      <c r="AA71" s="179">
        <f ca="1">IF(OR(Assump!$A$7="USD",Assump!$A$7="EURO"),'Hist &amp; Proj'!AA76/'Hist &amp; Proj'!AA$10,'Hist &amp; Proj'!AA76)</f>
        <v>0</v>
      </c>
      <c r="AB71" s="179">
        <f ca="1">IF(OR(Assump!$A$7="USD",Assump!$A$7="EURO"),'Hist &amp; Proj'!AB76/'Hist &amp; Proj'!AB$10,'Hist &amp; Proj'!AB76)</f>
        <v>0</v>
      </c>
      <c r="AC71" s="179">
        <f ca="1">IF(OR(Assump!$A$7="USD",Assump!$A$7="EURO"),'Hist &amp; Proj'!AC76/'Hist &amp; Proj'!AC$10,'Hist &amp; Proj'!AC76)</f>
        <v>0</v>
      </c>
      <c r="AD71" s="179">
        <f ca="1">IF(OR(Assump!$A$7="USD",Assump!$A$7="EURO"),'Hist &amp; Proj'!AD76/'Hist &amp; Proj'!AD$10,'Hist &amp; Proj'!AD76)</f>
        <v>0</v>
      </c>
      <c r="AE71" s="179" t="e">
        <f ca="1">IF(OR(Assump!$A$7="USD",Assump!$A$7="EURO"),'Hist &amp; Proj'!AE76/'Hist &amp; Proj'!AE$10,'Hist &amp; Proj'!AE76)</f>
        <v>#N/A</v>
      </c>
      <c r="AF71" s="179" t="e">
        <f ca="1">IF(OR(Assump!$A$7="USD",Assump!$A$7="EURO"),'Hist &amp; Proj'!AF76/'Hist &amp; Proj'!AE$9,'Hist &amp; Proj'!AF76)</f>
        <v>#N/A</v>
      </c>
      <c r="AH71" s="367" t="str">
        <f ca="1">IFERROR(RATE(3,0,-C71,R71),"NA")</f>
        <v>NA</v>
      </c>
      <c r="AJ71" s="873" t="e">
        <f ca="1">AJ69*Assump!AJ29</f>
        <v>#DIV/0!</v>
      </c>
      <c r="AK71" s="873" t="e">
        <f ca="1">AK69*Assump!AK29</f>
        <v>#DIV/0!</v>
      </c>
      <c r="AL71" s="873" t="e">
        <f ca="1">AL69*Assump!AL29</f>
        <v>#DIV/0!</v>
      </c>
      <c r="AM71" s="873" t="e">
        <f ca="1">AM69*Assump!AM29</f>
        <v>#DIV/0!</v>
      </c>
      <c r="AN71" s="873" t="e">
        <f ca="1">AN69*Assump!AN29</f>
        <v>#DIV/0!</v>
      </c>
      <c r="AP71" s="367" t="str">
        <f ca="1">IFERROR(RATE(4,0,-AJ71,AN71),"NA")</f>
        <v>NA</v>
      </c>
    </row>
    <row r="72" spans="1:42" outlineLevel="1">
      <c r="A72" s="194" t="str">
        <f>'Hist &amp; Proj'!A77</f>
        <v>Net Income to Retained Earnings</v>
      </c>
      <c r="B72" s="194">
        <f t="shared" ref="B72:AF72" si="22">SUM(B69,B71)</f>
        <v>0</v>
      </c>
      <c r="C72" s="194">
        <f t="shared" si="22"/>
        <v>0</v>
      </c>
      <c r="D72" s="194">
        <f t="shared" si="22"/>
        <v>0</v>
      </c>
      <c r="E72" s="194">
        <f t="shared" si="22"/>
        <v>0</v>
      </c>
      <c r="F72" s="194">
        <f t="shared" ca="1" si="22"/>
        <v>0</v>
      </c>
      <c r="G72" s="194">
        <f t="shared" ca="1" si="22"/>
        <v>0</v>
      </c>
      <c r="H72" s="194">
        <f t="shared" ca="1" si="22"/>
        <v>0</v>
      </c>
      <c r="I72" s="194">
        <f t="shared" ca="1" si="22"/>
        <v>0</v>
      </c>
      <c r="J72" s="194">
        <f t="shared" ca="1" si="22"/>
        <v>0</v>
      </c>
      <c r="K72" s="194">
        <f t="shared" ca="1" si="22"/>
        <v>0</v>
      </c>
      <c r="L72" s="194">
        <f t="shared" ca="1" si="22"/>
        <v>0</v>
      </c>
      <c r="M72" s="194">
        <f t="shared" ca="1" si="22"/>
        <v>0</v>
      </c>
      <c r="N72" s="194">
        <f t="shared" ca="1" si="22"/>
        <v>0</v>
      </c>
      <c r="O72" s="194">
        <f t="shared" ca="1" si="22"/>
        <v>0</v>
      </c>
      <c r="P72" s="194">
        <f t="shared" ca="1" si="22"/>
        <v>0</v>
      </c>
      <c r="Q72" s="194">
        <f t="shared" ca="1" si="22"/>
        <v>0</v>
      </c>
      <c r="R72" s="194">
        <f t="shared" ca="1" si="22"/>
        <v>0</v>
      </c>
      <c r="S72" s="194">
        <f t="shared" ca="1" si="22"/>
        <v>0</v>
      </c>
      <c r="T72" s="194">
        <f t="shared" ca="1" si="22"/>
        <v>0</v>
      </c>
      <c r="U72" s="194">
        <f t="shared" ca="1" si="22"/>
        <v>0</v>
      </c>
      <c r="V72" s="194">
        <f t="shared" ca="1" si="22"/>
        <v>0</v>
      </c>
      <c r="W72" s="194">
        <f t="shared" ca="1" si="22"/>
        <v>0</v>
      </c>
      <c r="X72" s="194">
        <f t="shared" ca="1" si="22"/>
        <v>0</v>
      </c>
      <c r="Y72" s="194">
        <f t="shared" ca="1" si="22"/>
        <v>0</v>
      </c>
      <c r="Z72" s="194">
        <f t="shared" ca="1" si="22"/>
        <v>0</v>
      </c>
      <c r="AA72" s="194">
        <f t="shared" ca="1" si="22"/>
        <v>0</v>
      </c>
      <c r="AB72" s="194">
        <f t="shared" ca="1" si="22"/>
        <v>0</v>
      </c>
      <c r="AC72" s="194">
        <f t="shared" ca="1" si="22"/>
        <v>0</v>
      </c>
      <c r="AD72" s="194">
        <f t="shared" ca="1" si="22"/>
        <v>0</v>
      </c>
      <c r="AE72" s="194" t="e">
        <f t="shared" ca="1" si="22"/>
        <v>#N/A</v>
      </c>
      <c r="AF72" s="194" t="e">
        <f t="shared" ca="1" si="22"/>
        <v>#N/A</v>
      </c>
      <c r="AH72" s="385" t="str">
        <f ca="1">IFERROR(RATE(3,0,-C72,R72),"NA")</f>
        <v>NA</v>
      </c>
      <c r="AJ72" s="194" t="e">
        <f ca="1">SUM(AJ69,AJ71)</f>
        <v>#DIV/0!</v>
      </c>
      <c r="AK72" s="194" t="e">
        <f ca="1">SUM(AK69,AK71)</f>
        <v>#DIV/0!</v>
      </c>
      <c r="AL72" s="194" t="e">
        <f ca="1">SUM(AL69,AL71)</f>
        <v>#DIV/0!</v>
      </c>
      <c r="AM72" s="194" t="e">
        <f ca="1">SUM(AM69,AM71)</f>
        <v>#DIV/0!</v>
      </c>
      <c r="AN72" s="194" t="e">
        <f ca="1">SUM(AN69,AN71)</f>
        <v>#DIV/0!</v>
      </c>
      <c r="AP72" s="385" t="str">
        <f ca="1">IFERROR(RATE(4,0,-AJ72,AN72),"NA")</f>
        <v>NA</v>
      </c>
    </row>
    <row r="73" spans="1:42">
      <c r="A73" s="182" t="str">
        <f>'Hist &amp; Proj'!A78</f>
        <v>Net Income Margin (%)</v>
      </c>
      <c r="B73" s="183" t="str">
        <f t="shared" ref="B73:AF73" si="23">IF(B72=0,"",B72/B44)</f>
        <v/>
      </c>
      <c r="C73" s="183" t="str">
        <f t="shared" si="23"/>
        <v/>
      </c>
      <c r="D73" s="183" t="str">
        <f t="shared" si="23"/>
        <v/>
      </c>
      <c r="E73" s="183" t="str">
        <f t="shared" si="23"/>
        <v/>
      </c>
      <c r="F73" s="183" t="str">
        <f t="shared" ca="1" si="23"/>
        <v/>
      </c>
      <c r="G73" s="183" t="str">
        <f t="shared" ca="1" si="23"/>
        <v/>
      </c>
      <c r="H73" s="183" t="str">
        <f t="shared" ca="1" si="23"/>
        <v/>
      </c>
      <c r="I73" s="183" t="str">
        <f t="shared" ca="1" si="23"/>
        <v/>
      </c>
      <c r="J73" s="183" t="str">
        <f t="shared" ca="1" si="23"/>
        <v/>
      </c>
      <c r="K73" s="183" t="str">
        <f t="shared" ca="1" si="23"/>
        <v/>
      </c>
      <c r="L73" s="183" t="str">
        <f t="shared" ca="1" si="23"/>
        <v/>
      </c>
      <c r="M73" s="183" t="str">
        <f t="shared" ca="1" si="23"/>
        <v/>
      </c>
      <c r="N73" s="183" t="str">
        <f t="shared" ca="1" si="23"/>
        <v/>
      </c>
      <c r="O73" s="183" t="str">
        <f t="shared" ca="1" si="23"/>
        <v/>
      </c>
      <c r="P73" s="183" t="str">
        <f t="shared" ca="1" si="23"/>
        <v/>
      </c>
      <c r="Q73" s="183" t="str">
        <f t="shared" ca="1" si="23"/>
        <v/>
      </c>
      <c r="R73" s="183" t="str">
        <f t="shared" ca="1" si="23"/>
        <v/>
      </c>
      <c r="S73" s="183" t="str">
        <f t="shared" ca="1" si="23"/>
        <v/>
      </c>
      <c r="T73" s="183" t="str">
        <f t="shared" ca="1" si="23"/>
        <v/>
      </c>
      <c r="U73" s="183" t="str">
        <f t="shared" ca="1" si="23"/>
        <v/>
      </c>
      <c r="V73" s="183" t="str">
        <f t="shared" ca="1" si="23"/>
        <v/>
      </c>
      <c r="W73" s="183" t="str">
        <f t="shared" ca="1" si="23"/>
        <v/>
      </c>
      <c r="X73" s="183" t="str">
        <f t="shared" ca="1" si="23"/>
        <v/>
      </c>
      <c r="Y73" s="183" t="str">
        <f t="shared" ca="1" si="23"/>
        <v/>
      </c>
      <c r="Z73" s="183" t="str">
        <f t="shared" ca="1" si="23"/>
        <v/>
      </c>
      <c r="AA73" s="183" t="str">
        <f t="shared" ca="1" si="23"/>
        <v/>
      </c>
      <c r="AB73" s="183" t="str">
        <f t="shared" ca="1" si="23"/>
        <v/>
      </c>
      <c r="AC73" s="183" t="str">
        <f t="shared" ca="1" si="23"/>
        <v/>
      </c>
      <c r="AD73" s="183" t="str">
        <f t="shared" ca="1" si="23"/>
        <v/>
      </c>
      <c r="AE73" s="183" t="e">
        <f t="shared" ca="1" si="23"/>
        <v>#N/A</v>
      </c>
      <c r="AF73" s="183" t="e">
        <f t="shared" ca="1" si="23"/>
        <v>#N/A</v>
      </c>
      <c r="AH73" s="368" t="str">
        <f ca="1">IFERROR(AVERAGE(C73:E73,R73),"NA")</f>
        <v>NA</v>
      </c>
      <c r="AJ73" s="183" t="e">
        <f ca="1">IF(AJ72=0,"",AJ72/AJ44)</f>
        <v>#DIV/0!</v>
      </c>
      <c r="AK73" s="183" t="e">
        <f ca="1">IF(AK72=0,"",AK72/AK44)</f>
        <v>#DIV/0!</v>
      </c>
      <c r="AL73" s="183" t="e">
        <f ca="1">IF(AL72=0,"",AL72/AL44)</f>
        <v>#DIV/0!</v>
      </c>
      <c r="AM73" s="183" t="e">
        <f ca="1">IF(AM72=0,"",AM72/AM44)</f>
        <v>#DIV/0!</v>
      </c>
      <c r="AN73" s="183" t="e">
        <f ca="1">IF(AN72=0,"",AN72/AN44)</f>
        <v>#DIV/0!</v>
      </c>
      <c r="AP73" s="368" t="str">
        <f ca="1">IFERROR(AVERAGE(AJ73:AN73),"NA")</f>
        <v>NA</v>
      </c>
    </row>
    <row r="74" spans="1:42">
      <c r="A74" s="338"/>
      <c r="B74" s="386"/>
      <c r="C74" s="386"/>
      <c r="D74" s="386"/>
      <c r="E74" s="386"/>
      <c r="F74" s="386"/>
      <c r="G74" s="386"/>
      <c r="H74" s="386"/>
      <c r="I74" s="386"/>
      <c r="J74" s="386"/>
      <c r="K74" s="386"/>
      <c r="L74" s="386"/>
      <c r="M74" s="386"/>
      <c r="N74" s="386"/>
      <c r="O74" s="386"/>
      <c r="P74" s="386"/>
      <c r="Q74" s="386"/>
      <c r="R74" s="386"/>
      <c r="S74" s="386"/>
      <c r="T74" s="386"/>
      <c r="U74" s="386"/>
      <c r="V74" s="386"/>
      <c r="W74" s="386"/>
      <c r="X74" s="339"/>
      <c r="Y74" s="339"/>
      <c r="Z74" s="339"/>
      <c r="AA74" s="339"/>
      <c r="AB74" s="339"/>
      <c r="AC74" s="339"/>
      <c r="AD74" s="339"/>
      <c r="AE74" s="339"/>
      <c r="AF74" s="339"/>
      <c r="AH74" s="387"/>
      <c r="AJ74" s="339"/>
      <c r="AK74" s="339"/>
      <c r="AL74" s="339"/>
      <c r="AM74" s="339"/>
      <c r="AN74" s="339"/>
      <c r="AP74" s="387"/>
    </row>
    <row r="75" spans="1:42" ht="12" customHeight="1">
      <c r="AL75" s="126"/>
      <c r="AM75" s="126"/>
      <c r="AN75" s="126"/>
      <c r="AO75" s="126"/>
    </row>
    <row r="76" spans="1:42">
      <c r="A76" s="389" t="s">
        <v>434</v>
      </c>
      <c r="B76" s="760">
        <f>B$7</f>
        <v>692501</v>
      </c>
      <c r="C76" s="760">
        <f t="shared" ref="C76:AD76" si="24">C$7</f>
        <v>692867</v>
      </c>
      <c r="D76" s="760">
        <f t="shared" si="24"/>
        <v>693232</v>
      </c>
      <c r="E76" s="760">
        <f t="shared" si="24"/>
        <v>693597</v>
      </c>
      <c r="F76" s="362">
        <f t="shared" ca="1" si="24"/>
        <v>693628</v>
      </c>
      <c r="G76" s="362">
        <f t="shared" ca="1" si="24"/>
        <v>693656</v>
      </c>
      <c r="H76" s="362">
        <f t="shared" ca="1" si="24"/>
        <v>693687</v>
      </c>
      <c r="I76" s="362">
        <f t="shared" ca="1" si="24"/>
        <v>693717</v>
      </c>
      <c r="J76" s="362">
        <f t="shared" ca="1" si="24"/>
        <v>693748</v>
      </c>
      <c r="K76" s="362">
        <f t="shared" ca="1" si="24"/>
        <v>693778</v>
      </c>
      <c r="L76" s="362">
        <f t="shared" ca="1" si="24"/>
        <v>693809</v>
      </c>
      <c r="M76" s="362">
        <f t="shared" ca="1" si="24"/>
        <v>693840</v>
      </c>
      <c r="N76" s="362">
        <f t="shared" ca="1" si="24"/>
        <v>693870</v>
      </c>
      <c r="O76" s="362">
        <f t="shared" ca="1" si="24"/>
        <v>693901</v>
      </c>
      <c r="P76" s="362">
        <f t="shared" ca="1" si="24"/>
        <v>693931</v>
      </c>
      <c r="Q76" s="362">
        <f t="shared" ca="1" si="24"/>
        <v>693962</v>
      </c>
      <c r="R76" s="760">
        <f t="shared" ca="1" si="24"/>
        <v>693962</v>
      </c>
      <c r="S76" s="362">
        <f t="shared" ca="1" si="24"/>
        <v>31</v>
      </c>
      <c r="T76" s="362">
        <f t="shared" ca="1" si="24"/>
        <v>59</v>
      </c>
      <c r="U76" s="362">
        <f t="shared" ca="1" si="24"/>
        <v>91</v>
      </c>
      <c r="V76" s="362">
        <f t="shared" ca="1" si="24"/>
        <v>121</v>
      </c>
      <c r="W76" s="362">
        <f t="shared" ca="1" si="24"/>
        <v>152</v>
      </c>
      <c r="X76" s="362">
        <f t="shared" ca="1" si="24"/>
        <v>182</v>
      </c>
      <c r="Y76" s="362">
        <f t="shared" ca="1" si="24"/>
        <v>213</v>
      </c>
      <c r="Z76" s="362">
        <f t="shared" ca="1" si="24"/>
        <v>244</v>
      </c>
      <c r="AA76" s="362">
        <f t="shared" ca="1" si="24"/>
        <v>274</v>
      </c>
      <c r="AB76" s="362">
        <f t="shared" ca="1" si="24"/>
        <v>305</v>
      </c>
      <c r="AC76" s="362">
        <f t="shared" ca="1" si="24"/>
        <v>335</v>
      </c>
      <c r="AD76" s="362">
        <f t="shared" ca="1" si="24"/>
        <v>366</v>
      </c>
      <c r="AE76" s="376" t="e">
        <f ca="1">AE$42</f>
        <v>#N/A</v>
      </c>
      <c r="AF76" s="376" t="e">
        <f ca="1">AF$42</f>
        <v>#N/A</v>
      </c>
      <c r="AH76" s="365" t="str">
        <f ca="1">AH$7</f>
        <v>'96 - '99 CAGR/Avg.</v>
      </c>
      <c r="AJ76" s="760">
        <f ca="1">AJ$7</f>
        <v>694327</v>
      </c>
      <c r="AK76" s="760">
        <f ca="1">AK$7</f>
        <v>694692</v>
      </c>
      <c r="AL76" s="760">
        <f ca="1">AL$7</f>
        <v>695057</v>
      </c>
      <c r="AM76" s="760">
        <f ca="1">AM$7</f>
        <v>695422</v>
      </c>
      <c r="AN76" s="760">
        <f ca="1">AN$7</f>
        <v>695787</v>
      </c>
      <c r="AP76" s="365" t="str">
        <f ca="1">AP$7</f>
        <v>'00 - '04 CAGR/Avg.</v>
      </c>
    </row>
    <row r="77" spans="1:42">
      <c r="A77" s="341" t="str">
        <f>"Total Assets ("&amp;Assump!A7&amp;")"</f>
        <v>Total Assets ()</v>
      </c>
      <c r="B77" s="390">
        <f t="shared" ref="B77:AE77" si="25">B21</f>
        <v>0</v>
      </c>
      <c r="C77" s="390">
        <f t="shared" si="25"/>
        <v>0</v>
      </c>
      <c r="D77" s="390">
        <f t="shared" si="25"/>
        <v>0</v>
      </c>
      <c r="E77" s="390">
        <f t="shared" si="25"/>
        <v>0</v>
      </c>
      <c r="F77" s="390">
        <f t="shared" ca="1" si="25"/>
        <v>0</v>
      </c>
      <c r="G77" s="390">
        <f t="shared" ca="1" si="25"/>
        <v>0</v>
      </c>
      <c r="H77" s="390">
        <f t="shared" ca="1" si="25"/>
        <v>0</v>
      </c>
      <c r="I77" s="390">
        <f t="shared" ca="1" si="25"/>
        <v>0</v>
      </c>
      <c r="J77" s="390">
        <f t="shared" ca="1" si="25"/>
        <v>0</v>
      </c>
      <c r="K77" s="390">
        <f t="shared" ca="1" si="25"/>
        <v>0</v>
      </c>
      <c r="L77" s="390">
        <f t="shared" ca="1" si="25"/>
        <v>0</v>
      </c>
      <c r="M77" s="390">
        <f t="shared" ca="1" si="25"/>
        <v>0</v>
      </c>
      <c r="N77" s="390">
        <f t="shared" ca="1" si="25"/>
        <v>0</v>
      </c>
      <c r="O77" s="390">
        <f t="shared" ca="1" si="25"/>
        <v>0</v>
      </c>
      <c r="P77" s="390">
        <f t="shared" ca="1" si="25"/>
        <v>0</v>
      </c>
      <c r="Q77" s="390">
        <f t="shared" ca="1" si="25"/>
        <v>0</v>
      </c>
      <c r="R77" s="390">
        <f t="shared" ca="1" si="25"/>
        <v>0</v>
      </c>
      <c r="S77" s="390">
        <f t="shared" ca="1" si="25"/>
        <v>0</v>
      </c>
      <c r="T77" s="390">
        <f t="shared" ca="1" si="25"/>
        <v>0</v>
      </c>
      <c r="U77" s="390">
        <f t="shared" ca="1" si="25"/>
        <v>0</v>
      </c>
      <c r="V77" s="390">
        <f t="shared" ca="1" si="25"/>
        <v>0</v>
      </c>
      <c r="W77" s="390">
        <f t="shared" ca="1" si="25"/>
        <v>0</v>
      </c>
      <c r="X77" s="390">
        <f t="shared" ca="1" si="25"/>
        <v>0</v>
      </c>
      <c r="Y77" s="390">
        <f t="shared" ca="1" si="25"/>
        <v>0</v>
      </c>
      <c r="Z77" s="390">
        <f t="shared" ca="1" si="25"/>
        <v>0</v>
      </c>
      <c r="AA77" s="390">
        <f t="shared" ca="1" si="25"/>
        <v>0</v>
      </c>
      <c r="AB77" s="390">
        <f t="shared" ca="1" si="25"/>
        <v>0</v>
      </c>
      <c r="AC77" s="390">
        <f t="shared" ca="1" si="25"/>
        <v>0</v>
      </c>
      <c r="AD77" s="390">
        <f t="shared" ca="1" si="25"/>
        <v>0</v>
      </c>
      <c r="AE77" s="390" t="e">
        <f t="shared" ca="1" si="25"/>
        <v>#N/A</v>
      </c>
      <c r="AF77" s="390" t="e">
        <f ca="1">AE77</f>
        <v>#N/A</v>
      </c>
      <c r="AH77" s="391" t="str">
        <f ca="1">AH21</f>
        <v>NA</v>
      </c>
      <c r="AJ77" s="179" t="e">
        <f ca="1">AJ21</f>
        <v>#DIV/0!</v>
      </c>
      <c r="AK77" s="179" t="e">
        <f ca="1">AK21</f>
        <v>#DIV/0!</v>
      </c>
      <c r="AL77" s="179" t="e">
        <f ca="1">AL21</f>
        <v>#DIV/0!</v>
      </c>
      <c r="AM77" s="179" t="e">
        <f ca="1">AM21</f>
        <v>#DIV/0!</v>
      </c>
      <c r="AN77" s="179" t="e">
        <f ca="1">AN21</f>
        <v>#DIV/0!</v>
      </c>
      <c r="AP77" s="391" t="str">
        <f ca="1">AP21</f>
        <v>NA</v>
      </c>
    </row>
    <row r="78" spans="1:42">
      <c r="A78" s="341" t="str">
        <f t="shared" ref="A78:AF78" si="26">A153</f>
        <v>GLP ()</v>
      </c>
      <c r="B78" s="390">
        <f t="shared" si="26"/>
        <v>0</v>
      </c>
      <c r="C78" s="390">
        <f t="shared" si="26"/>
        <v>0</v>
      </c>
      <c r="D78" s="390">
        <f t="shared" si="26"/>
        <v>0</v>
      </c>
      <c r="E78" s="390">
        <f t="shared" si="26"/>
        <v>0</v>
      </c>
      <c r="F78" s="390">
        <f t="shared" ca="1" si="26"/>
        <v>0</v>
      </c>
      <c r="G78" s="390">
        <f t="shared" ca="1" si="26"/>
        <v>0</v>
      </c>
      <c r="H78" s="390">
        <f t="shared" ca="1" si="26"/>
        <v>0</v>
      </c>
      <c r="I78" s="390">
        <f t="shared" ca="1" si="26"/>
        <v>0</v>
      </c>
      <c r="J78" s="390">
        <f t="shared" ca="1" si="26"/>
        <v>0</v>
      </c>
      <c r="K78" s="390">
        <f t="shared" ca="1" si="26"/>
        <v>0</v>
      </c>
      <c r="L78" s="390">
        <f t="shared" ca="1" si="26"/>
        <v>0</v>
      </c>
      <c r="M78" s="390">
        <f t="shared" ca="1" si="26"/>
        <v>0</v>
      </c>
      <c r="N78" s="390">
        <f t="shared" ca="1" si="26"/>
        <v>0</v>
      </c>
      <c r="O78" s="390">
        <f t="shared" ca="1" si="26"/>
        <v>0</v>
      </c>
      <c r="P78" s="390">
        <f t="shared" ca="1" si="26"/>
        <v>0</v>
      </c>
      <c r="Q78" s="390">
        <f t="shared" ca="1" si="26"/>
        <v>0</v>
      </c>
      <c r="R78" s="390">
        <f t="shared" ca="1" si="26"/>
        <v>0</v>
      </c>
      <c r="S78" s="390">
        <f t="shared" ca="1" si="26"/>
        <v>0</v>
      </c>
      <c r="T78" s="390">
        <f t="shared" ca="1" si="26"/>
        <v>0</v>
      </c>
      <c r="U78" s="390">
        <f t="shared" ca="1" si="26"/>
        <v>0</v>
      </c>
      <c r="V78" s="390">
        <f t="shared" ca="1" si="26"/>
        <v>0</v>
      </c>
      <c r="W78" s="390">
        <f t="shared" ca="1" si="26"/>
        <v>0</v>
      </c>
      <c r="X78" s="390">
        <f t="shared" ca="1" si="26"/>
        <v>0</v>
      </c>
      <c r="Y78" s="390">
        <f t="shared" ca="1" si="26"/>
        <v>0</v>
      </c>
      <c r="Z78" s="390">
        <f t="shared" ca="1" si="26"/>
        <v>0</v>
      </c>
      <c r="AA78" s="390">
        <f t="shared" ca="1" si="26"/>
        <v>0</v>
      </c>
      <c r="AB78" s="390">
        <f t="shared" ca="1" si="26"/>
        <v>0</v>
      </c>
      <c r="AC78" s="390">
        <f t="shared" ca="1" si="26"/>
        <v>0</v>
      </c>
      <c r="AD78" s="390">
        <f t="shared" ca="1" si="26"/>
        <v>0</v>
      </c>
      <c r="AE78" s="390" t="e">
        <f t="shared" ca="1" si="26"/>
        <v>#N/A</v>
      </c>
      <c r="AF78" s="390" t="e">
        <f t="shared" ca="1" si="26"/>
        <v>#N/A</v>
      </c>
      <c r="AH78" s="391" t="str">
        <f ca="1">AH153</f>
        <v>NA</v>
      </c>
      <c r="AJ78" s="179" t="e">
        <f ca="1">AJ153</f>
        <v>#DIV/0!</v>
      </c>
      <c r="AK78" s="179" t="e">
        <f ca="1">AK153</f>
        <v>#DIV/0!</v>
      </c>
      <c r="AL78" s="179" t="e">
        <f ca="1">AL153</f>
        <v>#DIV/0!</v>
      </c>
      <c r="AM78" s="179" t="e">
        <f ca="1">AM153</f>
        <v>#DIV/0!</v>
      </c>
      <c r="AN78" s="179" t="e">
        <f ca="1">AN153</f>
        <v>#DIV/0!</v>
      </c>
      <c r="AP78" s="391" t="str">
        <f ca="1">AP153</f>
        <v>NA</v>
      </c>
    </row>
    <row r="79" spans="1:42">
      <c r="A79" s="341" t="str">
        <f t="shared" ref="A79:AF79" si="27">A156</f>
        <v>Active Borrowers</v>
      </c>
      <c r="B79" s="390">
        <f t="shared" si="27"/>
        <v>0</v>
      </c>
      <c r="C79" s="390">
        <f t="shared" si="27"/>
        <v>0</v>
      </c>
      <c r="D79" s="390">
        <f t="shared" si="27"/>
        <v>0</v>
      </c>
      <c r="E79" s="390">
        <f t="shared" si="27"/>
        <v>0</v>
      </c>
      <c r="F79" s="390">
        <f t="shared" ca="1" si="27"/>
        <v>0</v>
      </c>
      <c r="G79" s="390">
        <f t="shared" ca="1" si="27"/>
        <v>0</v>
      </c>
      <c r="H79" s="390">
        <f t="shared" ca="1" si="27"/>
        <v>0</v>
      </c>
      <c r="I79" s="390">
        <f t="shared" ca="1" si="27"/>
        <v>0</v>
      </c>
      <c r="J79" s="390">
        <f t="shared" ca="1" si="27"/>
        <v>0</v>
      </c>
      <c r="K79" s="390">
        <f t="shared" ca="1" si="27"/>
        <v>0</v>
      </c>
      <c r="L79" s="390">
        <f t="shared" ca="1" si="27"/>
        <v>0</v>
      </c>
      <c r="M79" s="390">
        <f t="shared" ca="1" si="27"/>
        <v>0</v>
      </c>
      <c r="N79" s="390">
        <f t="shared" ca="1" si="27"/>
        <v>0</v>
      </c>
      <c r="O79" s="390">
        <f t="shared" ca="1" si="27"/>
        <v>0</v>
      </c>
      <c r="P79" s="390">
        <f t="shared" ca="1" si="27"/>
        <v>0</v>
      </c>
      <c r="Q79" s="390">
        <f t="shared" ca="1" si="27"/>
        <v>0</v>
      </c>
      <c r="R79" s="390">
        <f t="shared" ca="1" si="27"/>
        <v>0</v>
      </c>
      <c r="S79" s="390">
        <f t="shared" ca="1" si="27"/>
        <v>0</v>
      </c>
      <c r="T79" s="390">
        <f t="shared" ca="1" si="27"/>
        <v>0</v>
      </c>
      <c r="U79" s="390">
        <f t="shared" ca="1" si="27"/>
        <v>0</v>
      </c>
      <c r="V79" s="390">
        <f t="shared" ca="1" si="27"/>
        <v>0</v>
      </c>
      <c r="W79" s="390">
        <f t="shared" ca="1" si="27"/>
        <v>0</v>
      </c>
      <c r="X79" s="390">
        <f t="shared" ca="1" si="27"/>
        <v>0</v>
      </c>
      <c r="Y79" s="390">
        <f t="shared" ca="1" si="27"/>
        <v>0</v>
      </c>
      <c r="Z79" s="390">
        <f t="shared" ca="1" si="27"/>
        <v>0</v>
      </c>
      <c r="AA79" s="390">
        <f t="shared" ca="1" si="27"/>
        <v>0</v>
      </c>
      <c r="AB79" s="390">
        <f t="shared" ca="1" si="27"/>
        <v>0</v>
      </c>
      <c r="AC79" s="390">
        <f t="shared" ca="1" si="27"/>
        <v>0</v>
      </c>
      <c r="AD79" s="390">
        <f t="shared" ca="1" si="27"/>
        <v>0</v>
      </c>
      <c r="AE79" s="390" t="e">
        <f t="shared" ca="1" si="27"/>
        <v>#N/A</v>
      </c>
      <c r="AF79" s="390" t="e">
        <f t="shared" ca="1" si="27"/>
        <v>#N/A</v>
      </c>
      <c r="AH79" s="391" t="str">
        <f ca="1">AH156</f>
        <v>NA</v>
      </c>
      <c r="AJ79" s="179">
        <f ca="1">AJ156</f>
        <v>0</v>
      </c>
      <c r="AK79" s="179">
        <f ca="1">AK156</f>
        <v>0</v>
      </c>
      <c r="AL79" s="179">
        <f ca="1">AL156</f>
        <v>0</v>
      </c>
      <c r="AM79" s="179">
        <f ca="1">AM156</f>
        <v>0</v>
      </c>
      <c r="AN79" s="179">
        <f ca="1">AN156</f>
        <v>0</v>
      </c>
      <c r="AP79" s="391" t="str">
        <f ca="1">AP156</f>
        <v>NA</v>
      </c>
    </row>
    <row r="80" spans="1:42">
      <c r="A80" s="341" t="str">
        <f t="shared" ref="A80:AF80" si="28">A160</f>
        <v>Loan Officers</v>
      </c>
      <c r="B80" s="390">
        <f t="shared" si="28"/>
        <v>0</v>
      </c>
      <c r="C80" s="390">
        <f t="shared" si="28"/>
        <v>0</v>
      </c>
      <c r="D80" s="390">
        <f t="shared" si="28"/>
        <v>0</v>
      </c>
      <c r="E80" s="390">
        <f t="shared" si="28"/>
        <v>0</v>
      </c>
      <c r="F80" s="390">
        <f t="shared" ca="1" si="28"/>
        <v>0</v>
      </c>
      <c r="G80" s="390">
        <f t="shared" ca="1" si="28"/>
        <v>0</v>
      </c>
      <c r="H80" s="390">
        <f t="shared" ca="1" si="28"/>
        <v>0</v>
      </c>
      <c r="I80" s="390">
        <f t="shared" ca="1" si="28"/>
        <v>0</v>
      </c>
      <c r="J80" s="390">
        <f t="shared" ca="1" si="28"/>
        <v>0</v>
      </c>
      <c r="K80" s="390">
        <f t="shared" ca="1" si="28"/>
        <v>0</v>
      </c>
      <c r="L80" s="390">
        <f t="shared" ca="1" si="28"/>
        <v>0</v>
      </c>
      <c r="M80" s="390">
        <f t="shared" ca="1" si="28"/>
        <v>0</v>
      </c>
      <c r="N80" s="390">
        <f t="shared" ca="1" si="28"/>
        <v>0</v>
      </c>
      <c r="O80" s="390">
        <f t="shared" ca="1" si="28"/>
        <v>0</v>
      </c>
      <c r="P80" s="390">
        <f t="shared" ca="1" si="28"/>
        <v>0</v>
      </c>
      <c r="Q80" s="390">
        <f t="shared" ca="1" si="28"/>
        <v>0</v>
      </c>
      <c r="R80" s="390">
        <f t="shared" ca="1" si="28"/>
        <v>0</v>
      </c>
      <c r="S80" s="390">
        <f t="shared" ca="1" si="28"/>
        <v>0</v>
      </c>
      <c r="T80" s="390">
        <f t="shared" ca="1" si="28"/>
        <v>0</v>
      </c>
      <c r="U80" s="390">
        <f t="shared" ca="1" si="28"/>
        <v>0</v>
      </c>
      <c r="V80" s="390">
        <f t="shared" ca="1" si="28"/>
        <v>0</v>
      </c>
      <c r="W80" s="390">
        <f t="shared" ca="1" si="28"/>
        <v>0</v>
      </c>
      <c r="X80" s="390">
        <f t="shared" ca="1" si="28"/>
        <v>0</v>
      </c>
      <c r="Y80" s="390">
        <f t="shared" ca="1" si="28"/>
        <v>0</v>
      </c>
      <c r="Z80" s="390">
        <f t="shared" ca="1" si="28"/>
        <v>0</v>
      </c>
      <c r="AA80" s="390">
        <f t="shared" ca="1" si="28"/>
        <v>0</v>
      </c>
      <c r="AB80" s="390">
        <f t="shared" ca="1" si="28"/>
        <v>0</v>
      </c>
      <c r="AC80" s="390">
        <f t="shared" ca="1" si="28"/>
        <v>0</v>
      </c>
      <c r="AD80" s="390">
        <f t="shared" ca="1" si="28"/>
        <v>0</v>
      </c>
      <c r="AE80" s="390" t="e">
        <f t="shared" ca="1" si="28"/>
        <v>#N/A</v>
      </c>
      <c r="AF80" s="390" t="e">
        <f t="shared" ca="1" si="28"/>
        <v>#N/A</v>
      </c>
      <c r="AH80" s="367" t="str">
        <f ca="1">AH160</f>
        <v>NA</v>
      </c>
      <c r="AJ80" s="390">
        <f ca="1">AJ160</f>
        <v>0</v>
      </c>
      <c r="AK80" s="390">
        <f ca="1">AK160</f>
        <v>0</v>
      </c>
      <c r="AL80" s="390">
        <f ca="1">AL160</f>
        <v>0</v>
      </c>
      <c r="AM80" s="390">
        <f ca="1">AM160</f>
        <v>0</v>
      </c>
      <c r="AN80" s="390">
        <f ca="1">AN160</f>
        <v>0</v>
      </c>
      <c r="AP80" s="367" t="str">
        <f ca="1">AP160</f>
        <v>NA</v>
      </c>
    </row>
    <row r="81" spans="1:42">
      <c r="A81" s="341" t="str">
        <f t="shared" ref="A81:AF81" si="29">A200</f>
        <v>PAR (&gt;30 days)</v>
      </c>
      <c r="B81" s="342" t="e">
        <f t="shared" si="29"/>
        <v>#DIV/0!</v>
      </c>
      <c r="C81" s="342" t="e">
        <f t="shared" si="29"/>
        <v>#DIV/0!</v>
      </c>
      <c r="D81" s="342" t="e">
        <f t="shared" si="29"/>
        <v>#DIV/0!</v>
      </c>
      <c r="E81" s="342" t="e">
        <f t="shared" si="29"/>
        <v>#DIV/0!</v>
      </c>
      <c r="F81" s="342" t="e">
        <f t="shared" ca="1" si="29"/>
        <v>#DIV/0!</v>
      </c>
      <c r="G81" s="342" t="e">
        <f t="shared" ca="1" si="29"/>
        <v>#DIV/0!</v>
      </c>
      <c r="H81" s="342" t="e">
        <f t="shared" ca="1" si="29"/>
        <v>#DIV/0!</v>
      </c>
      <c r="I81" s="342" t="e">
        <f t="shared" ca="1" si="29"/>
        <v>#DIV/0!</v>
      </c>
      <c r="J81" s="342" t="e">
        <f t="shared" ca="1" si="29"/>
        <v>#DIV/0!</v>
      </c>
      <c r="K81" s="342" t="e">
        <f t="shared" ca="1" si="29"/>
        <v>#DIV/0!</v>
      </c>
      <c r="L81" s="342" t="e">
        <f t="shared" ca="1" si="29"/>
        <v>#DIV/0!</v>
      </c>
      <c r="M81" s="342" t="e">
        <f t="shared" ca="1" si="29"/>
        <v>#DIV/0!</v>
      </c>
      <c r="N81" s="342" t="e">
        <f t="shared" ca="1" si="29"/>
        <v>#DIV/0!</v>
      </c>
      <c r="O81" s="342" t="e">
        <f t="shared" ca="1" si="29"/>
        <v>#DIV/0!</v>
      </c>
      <c r="P81" s="342" t="e">
        <f t="shared" ca="1" si="29"/>
        <v>#DIV/0!</v>
      </c>
      <c r="Q81" s="342" t="e">
        <f t="shared" ca="1" si="29"/>
        <v>#DIV/0!</v>
      </c>
      <c r="R81" s="342" t="e">
        <f t="shared" ca="1" si="29"/>
        <v>#DIV/0!</v>
      </c>
      <c r="S81" s="342" t="e">
        <f t="shared" ca="1" si="29"/>
        <v>#DIV/0!</v>
      </c>
      <c r="T81" s="342" t="e">
        <f t="shared" ca="1" si="29"/>
        <v>#DIV/0!</v>
      </c>
      <c r="U81" s="342" t="e">
        <f t="shared" ca="1" si="29"/>
        <v>#DIV/0!</v>
      </c>
      <c r="V81" s="342" t="e">
        <f t="shared" ca="1" si="29"/>
        <v>#DIV/0!</v>
      </c>
      <c r="W81" s="342" t="e">
        <f t="shared" ca="1" si="29"/>
        <v>#DIV/0!</v>
      </c>
      <c r="X81" s="342" t="e">
        <f t="shared" ca="1" si="29"/>
        <v>#DIV/0!</v>
      </c>
      <c r="Y81" s="342" t="e">
        <f t="shared" ca="1" si="29"/>
        <v>#DIV/0!</v>
      </c>
      <c r="Z81" s="342" t="e">
        <f t="shared" ca="1" si="29"/>
        <v>#DIV/0!</v>
      </c>
      <c r="AA81" s="342" t="e">
        <f t="shared" ca="1" si="29"/>
        <v>#DIV/0!</v>
      </c>
      <c r="AB81" s="342" t="e">
        <f t="shared" ca="1" si="29"/>
        <v>#DIV/0!</v>
      </c>
      <c r="AC81" s="342" t="e">
        <f t="shared" ca="1" si="29"/>
        <v>#DIV/0!</v>
      </c>
      <c r="AD81" s="342" t="e">
        <f t="shared" ca="1" si="29"/>
        <v>#DIV/0!</v>
      </c>
      <c r="AE81" s="342" t="e">
        <f t="shared" ca="1" si="29"/>
        <v>#N/A</v>
      </c>
      <c r="AF81" s="342" t="e">
        <f t="shared" ca="1" si="29"/>
        <v>#N/A</v>
      </c>
      <c r="AH81" s="340" t="str">
        <f>AH200</f>
        <v>NA</v>
      </c>
      <c r="AJ81" s="342" t="e">
        <f ca="1">AJ200</f>
        <v>#DIV/0!</v>
      </c>
      <c r="AK81" s="342" t="e">
        <f ca="1">AK200</f>
        <v>#DIV/0!</v>
      </c>
      <c r="AL81" s="342" t="e">
        <f ca="1">AL200</f>
        <v>#DIV/0!</v>
      </c>
      <c r="AM81" s="342" t="e">
        <f ca="1">AM200</f>
        <v>#DIV/0!</v>
      </c>
      <c r="AN81" s="342" t="e">
        <f ca="1">AN200</f>
        <v>#DIV/0!</v>
      </c>
      <c r="AP81" s="340" t="str">
        <f ca="1">AP200</f>
        <v>NA</v>
      </c>
    </row>
    <row r="82" spans="1:42">
      <c r="A82" s="341" t="str">
        <f t="shared" ref="A82:AF82" si="30">A140</f>
        <v>Solvency ratio (E/TA)</v>
      </c>
      <c r="B82" s="342" t="e">
        <f t="shared" si="30"/>
        <v>#DIV/0!</v>
      </c>
      <c r="C82" s="342" t="e">
        <f t="shared" si="30"/>
        <v>#DIV/0!</v>
      </c>
      <c r="D82" s="342" t="e">
        <f t="shared" si="30"/>
        <v>#DIV/0!</v>
      </c>
      <c r="E82" s="342" t="e">
        <f t="shared" si="30"/>
        <v>#DIV/0!</v>
      </c>
      <c r="F82" s="342" t="e">
        <f t="shared" ca="1" si="30"/>
        <v>#DIV/0!</v>
      </c>
      <c r="G82" s="342" t="e">
        <f t="shared" ca="1" si="30"/>
        <v>#DIV/0!</v>
      </c>
      <c r="H82" s="342" t="e">
        <f t="shared" ca="1" si="30"/>
        <v>#DIV/0!</v>
      </c>
      <c r="I82" s="342" t="e">
        <f t="shared" ca="1" si="30"/>
        <v>#DIV/0!</v>
      </c>
      <c r="J82" s="342" t="e">
        <f t="shared" ca="1" si="30"/>
        <v>#DIV/0!</v>
      </c>
      <c r="K82" s="342" t="e">
        <f t="shared" ca="1" si="30"/>
        <v>#DIV/0!</v>
      </c>
      <c r="L82" s="342" t="e">
        <f t="shared" ca="1" si="30"/>
        <v>#DIV/0!</v>
      </c>
      <c r="M82" s="342" t="e">
        <f t="shared" ca="1" si="30"/>
        <v>#DIV/0!</v>
      </c>
      <c r="N82" s="342" t="e">
        <f t="shared" ca="1" si="30"/>
        <v>#DIV/0!</v>
      </c>
      <c r="O82" s="342" t="e">
        <f t="shared" ca="1" si="30"/>
        <v>#DIV/0!</v>
      </c>
      <c r="P82" s="342" t="e">
        <f t="shared" ca="1" si="30"/>
        <v>#DIV/0!</v>
      </c>
      <c r="Q82" s="342" t="e">
        <f t="shared" ca="1" si="30"/>
        <v>#DIV/0!</v>
      </c>
      <c r="R82" s="342" t="e">
        <f t="shared" ca="1" si="30"/>
        <v>#DIV/0!</v>
      </c>
      <c r="S82" s="342" t="e">
        <f t="shared" ca="1" si="30"/>
        <v>#DIV/0!</v>
      </c>
      <c r="T82" s="342" t="e">
        <f t="shared" ca="1" si="30"/>
        <v>#DIV/0!</v>
      </c>
      <c r="U82" s="342" t="e">
        <f t="shared" ca="1" si="30"/>
        <v>#DIV/0!</v>
      </c>
      <c r="V82" s="342" t="e">
        <f t="shared" ca="1" si="30"/>
        <v>#DIV/0!</v>
      </c>
      <c r="W82" s="342" t="e">
        <f t="shared" ca="1" si="30"/>
        <v>#DIV/0!</v>
      </c>
      <c r="X82" s="342" t="e">
        <f t="shared" ca="1" si="30"/>
        <v>#DIV/0!</v>
      </c>
      <c r="Y82" s="342" t="e">
        <f t="shared" ca="1" si="30"/>
        <v>#DIV/0!</v>
      </c>
      <c r="Z82" s="342" t="e">
        <f t="shared" ca="1" si="30"/>
        <v>#DIV/0!</v>
      </c>
      <c r="AA82" s="342" t="e">
        <f t="shared" ca="1" si="30"/>
        <v>#DIV/0!</v>
      </c>
      <c r="AB82" s="342" t="e">
        <f t="shared" ca="1" si="30"/>
        <v>#DIV/0!</v>
      </c>
      <c r="AC82" s="342" t="e">
        <f t="shared" ca="1" si="30"/>
        <v>#DIV/0!</v>
      </c>
      <c r="AD82" s="342" t="e">
        <f t="shared" ca="1" si="30"/>
        <v>#DIV/0!</v>
      </c>
      <c r="AE82" s="342" t="e">
        <f t="shared" ca="1" si="30"/>
        <v>#N/A</v>
      </c>
      <c r="AF82" s="342" t="e">
        <f t="shared" ca="1" si="30"/>
        <v>#N/A</v>
      </c>
      <c r="AH82" s="340" t="str">
        <f>AH140</f>
        <v>NA</v>
      </c>
      <c r="AJ82" s="342" t="e">
        <f ca="1">AJ140</f>
        <v>#DIV/0!</v>
      </c>
      <c r="AK82" s="342" t="e">
        <f ca="1">AK140</f>
        <v>#DIV/0!</v>
      </c>
      <c r="AL82" s="342" t="e">
        <f ca="1">AL140</f>
        <v>#DIV/0!</v>
      </c>
      <c r="AM82" s="342" t="e">
        <f ca="1">AM140</f>
        <v>#DIV/0!</v>
      </c>
      <c r="AN82" s="342" t="e">
        <f ca="1">AN140</f>
        <v>#DIV/0!</v>
      </c>
      <c r="AP82" s="340" t="str">
        <f ca="1">AP140</f>
        <v>NA</v>
      </c>
    </row>
    <row r="83" spans="1:42">
      <c r="A83" s="341" t="str">
        <f t="shared" ref="A83:AF83" si="31">A97</f>
        <v>OpEx Ratio (as % of GLP)</v>
      </c>
      <c r="B83" s="342" t="str">
        <f t="shared" si="31"/>
        <v>NA</v>
      </c>
      <c r="C83" s="342" t="e">
        <f t="shared" si="31"/>
        <v>#DIV/0!</v>
      </c>
      <c r="D83" s="342" t="e">
        <f t="shared" si="31"/>
        <v>#DIV/0!</v>
      </c>
      <c r="E83" s="342" t="e">
        <f t="shared" si="31"/>
        <v>#DIV/0!</v>
      </c>
      <c r="F83" s="342" t="e">
        <f t="shared" ca="1" si="31"/>
        <v>#DIV/0!</v>
      </c>
      <c r="G83" s="342" t="e">
        <f t="shared" ca="1" si="31"/>
        <v>#DIV/0!</v>
      </c>
      <c r="H83" s="342" t="e">
        <f t="shared" ca="1" si="31"/>
        <v>#DIV/0!</v>
      </c>
      <c r="I83" s="342" t="e">
        <f t="shared" ca="1" si="31"/>
        <v>#DIV/0!</v>
      </c>
      <c r="J83" s="342" t="e">
        <f t="shared" ca="1" si="31"/>
        <v>#DIV/0!</v>
      </c>
      <c r="K83" s="342" t="e">
        <f t="shared" ca="1" si="31"/>
        <v>#DIV/0!</v>
      </c>
      <c r="L83" s="342" t="e">
        <f t="shared" ca="1" si="31"/>
        <v>#DIV/0!</v>
      </c>
      <c r="M83" s="342" t="e">
        <f t="shared" ca="1" si="31"/>
        <v>#DIV/0!</v>
      </c>
      <c r="N83" s="342" t="e">
        <f t="shared" ca="1" si="31"/>
        <v>#DIV/0!</v>
      </c>
      <c r="O83" s="342" t="e">
        <f t="shared" ca="1" si="31"/>
        <v>#DIV/0!</v>
      </c>
      <c r="P83" s="342" t="e">
        <f t="shared" ca="1" si="31"/>
        <v>#DIV/0!</v>
      </c>
      <c r="Q83" s="342" t="e">
        <f t="shared" ca="1" si="31"/>
        <v>#DIV/0!</v>
      </c>
      <c r="R83" s="342" t="e">
        <f t="shared" ca="1" si="31"/>
        <v>#DIV/0!</v>
      </c>
      <c r="S83" s="342" t="e">
        <f t="shared" ca="1" si="31"/>
        <v>#DIV/0!</v>
      </c>
      <c r="T83" s="342" t="e">
        <f t="shared" ca="1" si="31"/>
        <v>#DIV/0!</v>
      </c>
      <c r="U83" s="342" t="e">
        <f t="shared" ca="1" si="31"/>
        <v>#DIV/0!</v>
      </c>
      <c r="V83" s="342" t="e">
        <f t="shared" ca="1" si="31"/>
        <v>#DIV/0!</v>
      </c>
      <c r="W83" s="342" t="e">
        <f t="shared" ca="1" si="31"/>
        <v>#DIV/0!</v>
      </c>
      <c r="X83" s="342" t="e">
        <f t="shared" ca="1" si="31"/>
        <v>#DIV/0!</v>
      </c>
      <c r="Y83" s="342" t="e">
        <f t="shared" ca="1" si="31"/>
        <v>#DIV/0!</v>
      </c>
      <c r="Z83" s="342" t="e">
        <f t="shared" ca="1" si="31"/>
        <v>#DIV/0!</v>
      </c>
      <c r="AA83" s="342" t="e">
        <f t="shared" ca="1" si="31"/>
        <v>#DIV/0!</v>
      </c>
      <c r="AB83" s="342" t="e">
        <f t="shared" ca="1" si="31"/>
        <v>#DIV/0!</v>
      </c>
      <c r="AC83" s="342" t="e">
        <f t="shared" ca="1" si="31"/>
        <v>#DIV/0!</v>
      </c>
      <c r="AD83" s="342" t="e">
        <f t="shared" ca="1" si="31"/>
        <v>#DIV/0!</v>
      </c>
      <c r="AE83" s="342" t="e">
        <f t="shared" ca="1" si="31"/>
        <v>#N/A</v>
      </c>
      <c r="AF83" s="342" t="e">
        <f t="shared" ca="1" si="31"/>
        <v>#N/A</v>
      </c>
      <c r="AH83" s="340" t="str">
        <f>AH97</f>
        <v>NA</v>
      </c>
      <c r="AJ83" s="342" t="e">
        <f ca="1">AJ97</f>
        <v>#DIV/0!</v>
      </c>
      <c r="AK83" s="342" t="e">
        <f ca="1">AK97</f>
        <v>#DIV/0!</v>
      </c>
      <c r="AL83" s="342" t="e">
        <f ca="1">AL97</f>
        <v>#DIV/0!</v>
      </c>
      <c r="AM83" s="342" t="e">
        <f ca="1">AM97</f>
        <v>#DIV/0!</v>
      </c>
      <c r="AN83" s="342" t="e">
        <f ca="1">AN97</f>
        <v>#DIV/0!</v>
      </c>
      <c r="AP83" s="340" t="str">
        <f ca="1">AP97</f>
        <v>NA</v>
      </c>
    </row>
    <row r="84" spans="1:42">
      <c r="A84" s="341" t="str">
        <f t="shared" ref="A84:AF84" si="32">A93</f>
        <v>Op. Self-Sufficiency</v>
      </c>
      <c r="B84" s="342" t="e">
        <f t="shared" si="32"/>
        <v>#DIV/0!</v>
      </c>
      <c r="C84" s="342" t="e">
        <f t="shared" si="32"/>
        <v>#DIV/0!</v>
      </c>
      <c r="D84" s="342" t="e">
        <f t="shared" si="32"/>
        <v>#DIV/0!</v>
      </c>
      <c r="E84" s="342" t="e">
        <f t="shared" si="32"/>
        <v>#DIV/0!</v>
      </c>
      <c r="F84" s="342" t="e">
        <f t="shared" ca="1" si="32"/>
        <v>#DIV/0!</v>
      </c>
      <c r="G84" s="342" t="e">
        <f t="shared" ca="1" si="32"/>
        <v>#DIV/0!</v>
      </c>
      <c r="H84" s="342" t="e">
        <f t="shared" ca="1" si="32"/>
        <v>#DIV/0!</v>
      </c>
      <c r="I84" s="342" t="e">
        <f t="shared" ca="1" si="32"/>
        <v>#DIV/0!</v>
      </c>
      <c r="J84" s="342" t="e">
        <f t="shared" ca="1" si="32"/>
        <v>#DIV/0!</v>
      </c>
      <c r="K84" s="342" t="e">
        <f t="shared" ca="1" si="32"/>
        <v>#DIV/0!</v>
      </c>
      <c r="L84" s="342" t="e">
        <f t="shared" ca="1" si="32"/>
        <v>#DIV/0!</v>
      </c>
      <c r="M84" s="342" t="e">
        <f t="shared" ca="1" si="32"/>
        <v>#DIV/0!</v>
      </c>
      <c r="N84" s="342" t="e">
        <f t="shared" ca="1" si="32"/>
        <v>#DIV/0!</v>
      </c>
      <c r="O84" s="342" t="e">
        <f t="shared" ca="1" si="32"/>
        <v>#DIV/0!</v>
      </c>
      <c r="P84" s="342" t="e">
        <f t="shared" ca="1" si="32"/>
        <v>#DIV/0!</v>
      </c>
      <c r="Q84" s="342" t="e">
        <f t="shared" ca="1" si="32"/>
        <v>#DIV/0!</v>
      </c>
      <c r="R84" s="342" t="e">
        <f t="shared" ca="1" si="32"/>
        <v>#DIV/0!</v>
      </c>
      <c r="S84" s="342" t="e">
        <f t="shared" ca="1" si="32"/>
        <v>#DIV/0!</v>
      </c>
      <c r="T84" s="342" t="e">
        <f t="shared" ca="1" si="32"/>
        <v>#DIV/0!</v>
      </c>
      <c r="U84" s="342" t="e">
        <f t="shared" ca="1" si="32"/>
        <v>#DIV/0!</v>
      </c>
      <c r="V84" s="342" t="e">
        <f t="shared" ca="1" si="32"/>
        <v>#DIV/0!</v>
      </c>
      <c r="W84" s="342" t="e">
        <f t="shared" ca="1" si="32"/>
        <v>#DIV/0!</v>
      </c>
      <c r="X84" s="342" t="e">
        <f t="shared" ca="1" si="32"/>
        <v>#DIV/0!</v>
      </c>
      <c r="Y84" s="342" t="e">
        <f t="shared" ca="1" si="32"/>
        <v>#DIV/0!</v>
      </c>
      <c r="Z84" s="342" t="e">
        <f t="shared" ca="1" si="32"/>
        <v>#DIV/0!</v>
      </c>
      <c r="AA84" s="342" t="e">
        <f t="shared" ca="1" si="32"/>
        <v>#DIV/0!</v>
      </c>
      <c r="AB84" s="342" t="e">
        <f t="shared" ca="1" si="32"/>
        <v>#DIV/0!</v>
      </c>
      <c r="AC84" s="342" t="e">
        <f t="shared" ca="1" si="32"/>
        <v>#DIV/0!</v>
      </c>
      <c r="AD84" s="342" t="e">
        <f t="shared" ca="1" si="32"/>
        <v>#DIV/0!</v>
      </c>
      <c r="AE84" s="342" t="e">
        <f t="shared" ca="1" si="32"/>
        <v>#N/A</v>
      </c>
      <c r="AF84" s="342" t="e">
        <f t="shared" ca="1" si="32"/>
        <v>#N/A</v>
      </c>
      <c r="AH84" s="340" t="str">
        <f>AH93</f>
        <v>NA</v>
      </c>
      <c r="AJ84" s="342" t="e">
        <f ca="1">AJ93</f>
        <v>#DIV/0!</v>
      </c>
      <c r="AK84" s="342" t="e">
        <f ca="1">AK93</f>
        <v>#DIV/0!</v>
      </c>
      <c r="AL84" s="342" t="e">
        <f ca="1">AL93</f>
        <v>#DIV/0!</v>
      </c>
      <c r="AM84" s="342" t="e">
        <f ca="1">AM93</f>
        <v>#DIV/0!</v>
      </c>
      <c r="AN84" s="342" t="e">
        <f ca="1">AN93</f>
        <v>#DIV/0!</v>
      </c>
      <c r="AO84" s="126"/>
      <c r="AP84" s="340" t="str">
        <f ca="1">AP93</f>
        <v>NA</v>
      </c>
    </row>
    <row r="85" spans="1:42">
      <c r="A85" s="341" t="str">
        <f t="shared" ref="A85:AF85" si="33">A91</f>
        <v>ROA</v>
      </c>
      <c r="B85" s="342" t="str">
        <f t="shared" si="33"/>
        <v>NA</v>
      </c>
      <c r="C85" s="342" t="e">
        <f t="shared" si="33"/>
        <v>#DIV/0!</v>
      </c>
      <c r="D85" s="342" t="e">
        <f t="shared" si="33"/>
        <v>#DIV/0!</v>
      </c>
      <c r="E85" s="342" t="e">
        <f t="shared" si="33"/>
        <v>#DIV/0!</v>
      </c>
      <c r="F85" s="342" t="e">
        <f t="shared" ca="1" si="33"/>
        <v>#DIV/0!</v>
      </c>
      <c r="G85" s="342" t="e">
        <f t="shared" ca="1" si="33"/>
        <v>#DIV/0!</v>
      </c>
      <c r="H85" s="342" t="e">
        <f t="shared" ca="1" si="33"/>
        <v>#DIV/0!</v>
      </c>
      <c r="I85" s="342" t="e">
        <f t="shared" ca="1" si="33"/>
        <v>#DIV/0!</v>
      </c>
      <c r="J85" s="342" t="e">
        <f t="shared" ca="1" si="33"/>
        <v>#DIV/0!</v>
      </c>
      <c r="K85" s="342" t="e">
        <f t="shared" ca="1" si="33"/>
        <v>#DIV/0!</v>
      </c>
      <c r="L85" s="342" t="e">
        <f t="shared" ca="1" si="33"/>
        <v>#DIV/0!</v>
      </c>
      <c r="M85" s="342" t="e">
        <f t="shared" ca="1" si="33"/>
        <v>#DIV/0!</v>
      </c>
      <c r="N85" s="342" t="e">
        <f t="shared" ca="1" si="33"/>
        <v>#DIV/0!</v>
      </c>
      <c r="O85" s="342" t="e">
        <f t="shared" ca="1" si="33"/>
        <v>#DIV/0!</v>
      </c>
      <c r="P85" s="342" t="e">
        <f t="shared" ca="1" si="33"/>
        <v>#DIV/0!</v>
      </c>
      <c r="Q85" s="342" t="e">
        <f t="shared" ca="1" si="33"/>
        <v>#DIV/0!</v>
      </c>
      <c r="R85" s="342" t="e">
        <f t="shared" ca="1" si="33"/>
        <v>#DIV/0!</v>
      </c>
      <c r="S85" s="342" t="e">
        <f t="shared" ca="1" si="33"/>
        <v>#DIV/0!</v>
      </c>
      <c r="T85" s="342" t="e">
        <f t="shared" ca="1" si="33"/>
        <v>#DIV/0!</v>
      </c>
      <c r="U85" s="342" t="e">
        <f t="shared" ca="1" si="33"/>
        <v>#DIV/0!</v>
      </c>
      <c r="V85" s="342" t="e">
        <f t="shared" ca="1" si="33"/>
        <v>#DIV/0!</v>
      </c>
      <c r="W85" s="342" t="e">
        <f t="shared" ca="1" si="33"/>
        <v>#DIV/0!</v>
      </c>
      <c r="X85" s="342" t="e">
        <f t="shared" ca="1" si="33"/>
        <v>#DIV/0!</v>
      </c>
      <c r="Y85" s="342" t="e">
        <f t="shared" ca="1" si="33"/>
        <v>#DIV/0!</v>
      </c>
      <c r="Z85" s="342" t="e">
        <f t="shared" ca="1" si="33"/>
        <v>#DIV/0!</v>
      </c>
      <c r="AA85" s="342" t="e">
        <f t="shared" ca="1" si="33"/>
        <v>#DIV/0!</v>
      </c>
      <c r="AB85" s="342" t="e">
        <f t="shared" ca="1" si="33"/>
        <v>#DIV/0!</v>
      </c>
      <c r="AC85" s="342" t="e">
        <f t="shared" ca="1" si="33"/>
        <v>#DIV/0!</v>
      </c>
      <c r="AD85" s="342" t="e">
        <f t="shared" ca="1" si="33"/>
        <v>#DIV/0!</v>
      </c>
      <c r="AE85" s="342" t="e">
        <f t="shared" ca="1" si="33"/>
        <v>#N/A</v>
      </c>
      <c r="AF85" s="342" t="e">
        <f t="shared" ca="1" si="33"/>
        <v>#N/A</v>
      </c>
      <c r="AH85" s="340" t="str">
        <f>AH91</f>
        <v>NA</v>
      </c>
      <c r="AJ85" s="342" t="e">
        <f t="shared" ref="AJ85:AN86" ca="1" si="34">AJ91</f>
        <v>#DIV/0!</v>
      </c>
      <c r="AK85" s="342" t="e">
        <f t="shared" ca="1" si="34"/>
        <v>#DIV/0!</v>
      </c>
      <c r="AL85" s="342" t="e">
        <f t="shared" ca="1" si="34"/>
        <v>#DIV/0!</v>
      </c>
      <c r="AM85" s="342" t="e">
        <f t="shared" ca="1" si="34"/>
        <v>#DIV/0!</v>
      </c>
      <c r="AN85" s="342" t="e">
        <f t="shared" ca="1" si="34"/>
        <v>#DIV/0!</v>
      </c>
      <c r="AO85" s="126"/>
      <c r="AP85" s="340" t="str">
        <f ca="1">AP91</f>
        <v>NA</v>
      </c>
    </row>
    <row r="86" spans="1:42">
      <c r="A86" s="341" t="str">
        <f t="shared" ref="A86:AF86" si="35">A92</f>
        <v xml:space="preserve">ROE </v>
      </c>
      <c r="B86" s="342" t="str">
        <f t="shared" si="35"/>
        <v>NA</v>
      </c>
      <c r="C86" s="342" t="e">
        <f t="shared" si="35"/>
        <v>#DIV/0!</v>
      </c>
      <c r="D86" s="342" t="e">
        <f t="shared" si="35"/>
        <v>#DIV/0!</v>
      </c>
      <c r="E86" s="342" t="e">
        <f t="shared" si="35"/>
        <v>#DIV/0!</v>
      </c>
      <c r="F86" s="342" t="e">
        <f t="shared" ca="1" si="35"/>
        <v>#DIV/0!</v>
      </c>
      <c r="G86" s="342" t="e">
        <f t="shared" ca="1" si="35"/>
        <v>#DIV/0!</v>
      </c>
      <c r="H86" s="342" t="e">
        <f t="shared" ca="1" si="35"/>
        <v>#DIV/0!</v>
      </c>
      <c r="I86" s="342" t="e">
        <f t="shared" ca="1" si="35"/>
        <v>#DIV/0!</v>
      </c>
      <c r="J86" s="342" t="e">
        <f t="shared" ca="1" si="35"/>
        <v>#DIV/0!</v>
      </c>
      <c r="K86" s="342" t="e">
        <f t="shared" ca="1" si="35"/>
        <v>#DIV/0!</v>
      </c>
      <c r="L86" s="342" t="e">
        <f t="shared" ca="1" si="35"/>
        <v>#DIV/0!</v>
      </c>
      <c r="M86" s="342" t="e">
        <f t="shared" ca="1" si="35"/>
        <v>#DIV/0!</v>
      </c>
      <c r="N86" s="342" t="e">
        <f t="shared" ca="1" si="35"/>
        <v>#DIV/0!</v>
      </c>
      <c r="O86" s="342" t="e">
        <f t="shared" ca="1" si="35"/>
        <v>#DIV/0!</v>
      </c>
      <c r="P86" s="342" t="e">
        <f t="shared" ca="1" si="35"/>
        <v>#DIV/0!</v>
      </c>
      <c r="Q86" s="342" t="e">
        <f t="shared" ca="1" si="35"/>
        <v>#DIV/0!</v>
      </c>
      <c r="R86" s="342" t="e">
        <f t="shared" ca="1" si="35"/>
        <v>#DIV/0!</v>
      </c>
      <c r="S86" s="342" t="e">
        <f t="shared" ca="1" si="35"/>
        <v>#DIV/0!</v>
      </c>
      <c r="T86" s="342" t="e">
        <f t="shared" ca="1" si="35"/>
        <v>#DIV/0!</v>
      </c>
      <c r="U86" s="342" t="e">
        <f t="shared" ca="1" si="35"/>
        <v>#DIV/0!</v>
      </c>
      <c r="V86" s="342" t="e">
        <f t="shared" ca="1" si="35"/>
        <v>#DIV/0!</v>
      </c>
      <c r="W86" s="342" t="e">
        <f t="shared" ca="1" si="35"/>
        <v>#DIV/0!</v>
      </c>
      <c r="X86" s="342" t="e">
        <f t="shared" ca="1" si="35"/>
        <v>#DIV/0!</v>
      </c>
      <c r="Y86" s="342" t="e">
        <f t="shared" ca="1" si="35"/>
        <v>#DIV/0!</v>
      </c>
      <c r="Z86" s="342" t="e">
        <f t="shared" ca="1" si="35"/>
        <v>#DIV/0!</v>
      </c>
      <c r="AA86" s="342" t="e">
        <f t="shared" ca="1" si="35"/>
        <v>#DIV/0!</v>
      </c>
      <c r="AB86" s="342" t="e">
        <f t="shared" ca="1" si="35"/>
        <v>#DIV/0!</v>
      </c>
      <c r="AC86" s="342" t="e">
        <f t="shared" ca="1" si="35"/>
        <v>#DIV/0!</v>
      </c>
      <c r="AD86" s="342" t="e">
        <f t="shared" ca="1" si="35"/>
        <v>#DIV/0!</v>
      </c>
      <c r="AE86" s="342" t="e">
        <f t="shared" ca="1" si="35"/>
        <v>#N/A</v>
      </c>
      <c r="AF86" s="342" t="e">
        <f t="shared" ca="1" si="35"/>
        <v>#N/A</v>
      </c>
      <c r="AH86" s="340" t="str">
        <f>AH92</f>
        <v>NA</v>
      </c>
      <c r="AJ86" s="342" t="e">
        <f t="shared" ca="1" si="34"/>
        <v>#DIV/0!</v>
      </c>
      <c r="AK86" s="342" t="e">
        <f t="shared" ca="1" si="34"/>
        <v>#DIV/0!</v>
      </c>
      <c r="AL86" s="342" t="e">
        <f t="shared" ca="1" si="34"/>
        <v>#DIV/0!</v>
      </c>
      <c r="AM86" s="342" t="e">
        <f t="shared" ca="1" si="34"/>
        <v>#DIV/0!</v>
      </c>
      <c r="AN86" s="342" t="e">
        <f t="shared" ca="1" si="34"/>
        <v>#DIV/0!</v>
      </c>
      <c r="AO86" s="126"/>
      <c r="AP86" s="340" t="str">
        <f ca="1">AP92</f>
        <v>NA</v>
      </c>
    </row>
    <row r="87" spans="1:42">
      <c r="A87" s="338"/>
      <c r="B87" s="386"/>
      <c r="C87" s="386"/>
      <c r="D87" s="386"/>
      <c r="E87" s="386"/>
      <c r="F87" s="386"/>
      <c r="G87" s="386"/>
      <c r="H87" s="386"/>
      <c r="I87" s="386"/>
      <c r="J87" s="386"/>
      <c r="K87" s="386"/>
      <c r="L87" s="386"/>
      <c r="M87" s="386"/>
      <c r="N87" s="386"/>
      <c r="O87" s="386"/>
      <c r="P87" s="386"/>
      <c r="Q87" s="386"/>
      <c r="R87" s="386"/>
      <c r="S87" s="386"/>
      <c r="T87" s="386"/>
      <c r="U87" s="386"/>
      <c r="V87" s="386"/>
      <c r="W87" s="386"/>
      <c r="X87" s="339"/>
      <c r="Y87" s="339"/>
      <c r="Z87" s="339"/>
      <c r="AA87" s="339"/>
      <c r="AB87" s="339"/>
      <c r="AC87" s="339"/>
      <c r="AD87" s="339"/>
      <c r="AE87" s="339"/>
      <c r="AF87" s="339"/>
      <c r="AH87" s="387"/>
      <c r="AJ87" s="339"/>
      <c r="AK87" s="339"/>
      <c r="AL87" s="339"/>
      <c r="AM87" s="339"/>
      <c r="AN87" s="339"/>
      <c r="AO87" s="126"/>
      <c r="AP87" s="387"/>
    </row>
    <row r="88" spans="1:42" s="392" customFormat="1" ht="24" customHeight="1">
      <c r="AH88" s="393"/>
      <c r="AL88" s="394"/>
      <c r="AM88" s="395"/>
      <c r="AN88" s="395"/>
      <c r="AO88" s="395"/>
      <c r="AP88" s="393"/>
    </row>
    <row r="89" spans="1:42" s="170" customFormat="1">
      <c r="AH89" s="334"/>
      <c r="AL89" s="335"/>
      <c r="AM89" s="208"/>
      <c r="AN89" s="208"/>
      <c r="AO89" s="208"/>
      <c r="AP89" s="334"/>
    </row>
    <row r="90" spans="1:42">
      <c r="A90" s="360" t="s">
        <v>543</v>
      </c>
      <c r="B90" s="760">
        <f>B$7</f>
        <v>692501</v>
      </c>
      <c r="C90" s="760">
        <f t="shared" ref="C90:AD90" si="36">C$7</f>
        <v>692867</v>
      </c>
      <c r="D90" s="760">
        <f t="shared" si="36"/>
        <v>693232</v>
      </c>
      <c r="E90" s="760">
        <f t="shared" si="36"/>
        <v>693597</v>
      </c>
      <c r="F90" s="362">
        <f t="shared" ca="1" si="36"/>
        <v>693628</v>
      </c>
      <c r="G90" s="362">
        <f t="shared" ca="1" si="36"/>
        <v>693656</v>
      </c>
      <c r="H90" s="362">
        <f t="shared" ca="1" si="36"/>
        <v>693687</v>
      </c>
      <c r="I90" s="362">
        <f t="shared" ca="1" si="36"/>
        <v>693717</v>
      </c>
      <c r="J90" s="362">
        <f t="shared" ca="1" si="36"/>
        <v>693748</v>
      </c>
      <c r="K90" s="362">
        <f t="shared" ca="1" si="36"/>
        <v>693778</v>
      </c>
      <c r="L90" s="362">
        <f t="shared" ca="1" si="36"/>
        <v>693809</v>
      </c>
      <c r="M90" s="362">
        <f t="shared" ca="1" si="36"/>
        <v>693840</v>
      </c>
      <c r="N90" s="362">
        <f t="shared" ca="1" si="36"/>
        <v>693870</v>
      </c>
      <c r="O90" s="362">
        <f t="shared" ca="1" si="36"/>
        <v>693901</v>
      </c>
      <c r="P90" s="362">
        <f t="shared" ca="1" si="36"/>
        <v>693931</v>
      </c>
      <c r="Q90" s="362">
        <f t="shared" ca="1" si="36"/>
        <v>693962</v>
      </c>
      <c r="R90" s="760">
        <f t="shared" ca="1" si="36"/>
        <v>693962</v>
      </c>
      <c r="S90" s="362">
        <f t="shared" ca="1" si="36"/>
        <v>31</v>
      </c>
      <c r="T90" s="362">
        <f t="shared" ca="1" si="36"/>
        <v>59</v>
      </c>
      <c r="U90" s="362">
        <f t="shared" ca="1" si="36"/>
        <v>91</v>
      </c>
      <c r="V90" s="362">
        <f t="shared" ca="1" si="36"/>
        <v>121</v>
      </c>
      <c r="W90" s="362">
        <f t="shared" ca="1" si="36"/>
        <v>152</v>
      </c>
      <c r="X90" s="362">
        <f t="shared" ca="1" si="36"/>
        <v>182</v>
      </c>
      <c r="Y90" s="362">
        <f t="shared" ca="1" si="36"/>
        <v>213</v>
      </c>
      <c r="Z90" s="362">
        <f t="shared" ca="1" si="36"/>
        <v>244</v>
      </c>
      <c r="AA90" s="362">
        <f t="shared" ca="1" si="36"/>
        <v>274</v>
      </c>
      <c r="AB90" s="362">
        <f t="shared" ca="1" si="36"/>
        <v>305</v>
      </c>
      <c r="AC90" s="362">
        <f t="shared" ca="1" si="36"/>
        <v>335</v>
      </c>
      <c r="AD90" s="362">
        <f t="shared" ca="1" si="36"/>
        <v>366</v>
      </c>
      <c r="AE90" s="376" t="e">
        <f ca="1">AE$42</f>
        <v>#N/A</v>
      </c>
      <c r="AF90" s="376" t="e">
        <f ca="1">AF$42</f>
        <v>#N/A</v>
      </c>
      <c r="AH90" s="365" t="str">
        <f ca="1">AH$7</f>
        <v>'96 - '99 CAGR/Avg.</v>
      </c>
      <c r="AJ90" s="760">
        <f ca="1">AJ$7</f>
        <v>694327</v>
      </c>
      <c r="AK90" s="760">
        <f ca="1">AK$7</f>
        <v>694692</v>
      </c>
      <c r="AL90" s="760">
        <f ca="1">AL$7</f>
        <v>695057</v>
      </c>
      <c r="AM90" s="760">
        <f ca="1">AM$7</f>
        <v>695422</v>
      </c>
      <c r="AN90" s="760">
        <f ca="1">AN$7</f>
        <v>695787</v>
      </c>
      <c r="AP90" s="365" t="str">
        <f ca="1">AP$7</f>
        <v>'00 - '04 CAGR/Avg.</v>
      </c>
    </row>
    <row r="91" spans="1:42">
      <c r="A91" s="341" t="s">
        <v>165</v>
      </c>
      <c r="B91" s="342" t="s">
        <v>533</v>
      </c>
      <c r="C91" s="342" t="e">
        <f>IFERROR(C$66/HLOOKUP('Fin Output'!C$90,Aggregated_Data!$C$1:$AL$50,36,FALSE),C$66/AVERAGE(B$21,C$21))</f>
        <v>#DIV/0!</v>
      </c>
      <c r="D91" s="342" t="e">
        <f>IFERROR(D$66/HLOOKUP('Fin Output'!D$90,Aggregated_Data!$C$1:$AL$50,36,FALSE),D$66/AVERAGE(C$21,D$21))</f>
        <v>#DIV/0!</v>
      </c>
      <c r="E91" s="342" t="e">
        <f>IFERROR(E$66/HLOOKUP('Fin Output'!E$90,Aggregated_Data!$C$1:$AL$50,36,FALSE),E$66/AVERAGE(D$21,E$21))</f>
        <v>#DIV/0!</v>
      </c>
      <c r="F91" s="342" t="e">
        <f ca="1">IFERROR((F$66*(12/F$5))/HLOOKUP('Fin Output'!F$90,Aggregated_Data!$C$1:$AL$50,36,FALSE),(F$66*(12/F$5))/AVERAGE($E$21,F$21))</f>
        <v>#DIV/0!</v>
      </c>
      <c r="G91" s="342" t="e">
        <f ca="1">IFERROR((G$66*(12/G$5))/HLOOKUP('Fin Output'!G$90,Aggregated_Data!$C$1:$AL$50,36,FALSE),(G$66*(12/G$5))/AVERAGE($E$21,G$21))</f>
        <v>#DIV/0!</v>
      </c>
      <c r="H91" s="342" t="e">
        <f ca="1">IFERROR((H$66*(12/H$5))/HLOOKUP('Fin Output'!H$90,Aggregated_Data!$C$1:$AL$50,36,FALSE),(H$66*(12/H$5))/AVERAGE($E$21,H$21))</f>
        <v>#DIV/0!</v>
      </c>
      <c r="I91" s="342" t="e">
        <f ca="1">IFERROR((I$66*(12/I$5))/HLOOKUP('Fin Output'!I$90,Aggregated_Data!$C$1:$AL$50,36,FALSE),(I$66*(12/I$5))/AVERAGE($E$21,I$21))</f>
        <v>#DIV/0!</v>
      </c>
      <c r="J91" s="342" t="e">
        <f ca="1">IFERROR((J$66*(12/J$5))/HLOOKUP('Fin Output'!J$90,Aggregated_Data!$C$1:$AL$50,36,FALSE),(J$66*(12/J$5))/AVERAGE($E$21,J$21))</f>
        <v>#DIV/0!</v>
      </c>
      <c r="K91" s="342" t="e">
        <f ca="1">IFERROR((K$66*(12/K$5))/HLOOKUP('Fin Output'!K$90,Aggregated_Data!$C$1:$AL$50,36,FALSE),(K$66*(12/K$5))/AVERAGE($E$21,K$21))</f>
        <v>#DIV/0!</v>
      </c>
      <c r="L91" s="342" t="e">
        <f ca="1">IFERROR((L$66*(12/L$5))/HLOOKUP('Fin Output'!L$90,Aggregated_Data!$C$1:$AL$50,36,FALSE),(L$66*(12/L$5))/AVERAGE($E$21,L$21))</f>
        <v>#DIV/0!</v>
      </c>
      <c r="M91" s="342" t="e">
        <f ca="1">IFERROR((M$66*(12/M$5))/HLOOKUP('Fin Output'!M$90,Aggregated_Data!$C$1:$AL$50,36,FALSE),(M$66*(12/M$5))/AVERAGE($E$21,M$21))</f>
        <v>#DIV/0!</v>
      </c>
      <c r="N91" s="342" t="e">
        <f ca="1">IFERROR((N$66*(12/N$5))/HLOOKUP('Fin Output'!N$90,Aggregated_Data!$C$1:$AL$50,36,FALSE),(N$66*(12/N$5))/AVERAGE($E$21,N$21))</f>
        <v>#DIV/0!</v>
      </c>
      <c r="O91" s="342" t="e">
        <f ca="1">IFERROR((O$66*(12/O$5))/HLOOKUP('Fin Output'!O$90,Aggregated_Data!$C$1:$AL$50,36,FALSE),(O$66*(12/O$5))/AVERAGE($E$21,O$21))</f>
        <v>#DIV/0!</v>
      </c>
      <c r="P91" s="342" t="e">
        <f ca="1">IFERROR((P$66*(12/P$5))/HLOOKUP('Fin Output'!P$90,Aggregated_Data!$C$1:$AL$50,36,FALSE),(P$66*(12/P$5))/AVERAGE($E$21,P$21))</f>
        <v>#DIV/0!</v>
      </c>
      <c r="Q91" s="342" t="e">
        <f ca="1">IFERROR((Q$66*(12/Q$5))/HLOOKUP('Fin Output'!Q$90,Aggregated_Data!$C$1:$AL$50,36,FALSE),(Q$66*(12/Q$5))/AVERAGE($E$21,Q$21))</f>
        <v>#DIV/0!</v>
      </c>
      <c r="R91" s="342" t="e">
        <f ca="1">IFERROR(R$66/HLOOKUP('Fin Output'!R$90,Aggregated_Data!$C$1:$AL$50,36,FALSE),R$66/AVERAGE(E$21,R$21))</f>
        <v>#DIV/0!</v>
      </c>
      <c r="S91" s="342" t="e">
        <f ca="1">IFERROR((S$66*(12/S$5))/HLOOKUP('Fin Output'!S$90,Aggregated_Data!$C$1:$AL$50,36,FALSE),(S$66*(12/S$5))/AVERAGE($R$21,S$21))</f>
        <v>#DIV/0!</v>
      </c>
      <c r="T91" s="342" t="e">
        <f ca="1">IFERROR((T$66*(12/T$5))/HLOOKUP('Fin Output'!T$90,Aggregated_Data!$C$1:$AL$50,36,FALSE),(T$66*(12/T$5))/AVERAGE($R$21,T$21))</f>
        <v>#DIV/0!</v>
      </c>
      <c r="U91" s="342" t="e">
        <f ca="1">IFERROR((U$66*(12/U$5))/HLOOKUP('Fin Output'!U$90,Aggregated_Data!$C$1:$AL$50,36,FALSE),(U$66*(12/U$5))/AVERAGE($R$21,U$21))</f>
        <v>#DIV/0!</v>
      </c>
      <c r="V91" s="342" t="e">
        <f ca="1">IFERROR((V$66*(12/V$5))/HLOOKUP('Fin Output'!V$90,Aggregated_Data!$C$1:$AL$50,36,FALSE),(V$66*(12/V$5))/AVERAGE($R$21,V$21))</f>
        <v>#DIV/0!</v>
      </c>
      <c r="W91" s="342" t="e">
        <f ca="1">IFERROR((W$66*(12/W$5))/HLOOKUP('Fin Output'!W$90,Aggregated_Data!$C$1:$AL$50,36,FALSE),(W$66*(12/W$5))/AVERAGE($R$21,W$21))</f>
        <v>#DIV/0!</v>
      </c>
      <c r="X91" s="342" t="e">
        <f ca="1">IFERROR((X$66*(12/X$5))/HLOOKUP('Fin Output'!X$90,Aggregated_Data!$C$1:$AL$50,36,FALSE),(X$66*(12/X$5))/AVERAGE($R$21,X$21))</f>
        <v>#DIV/0!</v>
      </c>
      <c r="Y91" s="342" t="e">
        <f ca="1">IFERROR((Y$66*(12/Y$5))/HLOOKUP('Fin Output'!Y$90,Aggregated_Data!$C$1:$AL$50,36,FALSE),(Y$66*(12/Y$5))/AVERAGE($R$21,Y$21))</f>
        <v>#DIV/0!</v>
      </c>
      <c r="Z91" s="342" t="e">
        <f ca="1">IFERROR((Z$66*(12/Z$5))/HLOOKUP('Fin Output'!Z$90,Aggregated_Data!$C$1:$AL$50,36,FALSE),(Z$66*(12/Z$5))/AVERAGE($R$21,Z$21))</f>
        <v>#DIV/0!</v>
      </c>
      <c r="AA91" s="342" t="e">
        <f ca="1">IFERROR((AA$66*(12/AA$5))/HLOOKUP('Fin Output'!AA$90,Aggregated_Data!$C$1:$AL$50,36,FALSE),(AA$66*(12/AA$5))/AVERAGE($R$21,AA$21))</f>
        <v>#DIV/0!</v>
      </c>
      <c r="AB91" s="342" t="e">
        <f ca="1">IFERROR((AB$66*(12/AB$5))/HLOOKUP('Fin Output'!AB$90,Aggregated_Data!$C$1:$AL$50,36,FALSE),(AB$66*(12/AB$5))/AVERAGE($R$21,AB$21))</f>
        <v>#DIV/0!</v>
      </c>
      <c r="AC91" s="342" t="e">
        <f ca="1">IFERROR((AC$66*(12/AC$5))/HLOOKUP('Fin Output'!AC$90,Aggregated_Data!$C$1:$AL$50,36,FALSE),(AC$66*(12/AC$5))/AVERAGE($R$21,AC$21))</f>
        <v>#DIV/0!</v>
      </c>
      <c r="AD91" s="342" t="e">
        <f ca="1">IFERROR((AD$66*(12/AD$5))/HLOOKUP('Fin Output'!AD$90,Aggregated_Data!$C$1:$AL$50,36,FALSE),(AD$66*(12/AD$5))/AVERAGE($R$21,AD$21))</f>
        <v>#DIV/0!</v>
      </c>
      <c r="AE91" s="342" t="e">
        <f ca="1">HLOOKUP(1,S$6:AD91,ROW(AE91)-5,FALSE)</f>
        <v>#N/A</v>
      </c>
      <c r="AF91" s="342" t="e">
        <f ca="1">AF$66/AVERAGE(HLOOKUP(1,S$6:AD21,ROW(AE21)-5,FALSE),HLOOKUP(1,F$6:Q21,ROW(AE21)-5,FALSE))</f>
        <v>#N/A</v>
      </c>
      <c r="AH91" s="340" t="str">
        <f t="shared" ref="AH91:AH101" si="37">IFERROR(AVERAGE(C91:E91,R91),"NA")</f>
        <v>NA</v>
      </c>
      <c r="AJ91" s="342" t="e">
        <f ca="1">AJ$66/AVERAGE(R$21,AJ$21)</f>
        <v>#DIV/0!</v>
      </c>
      <c r="AK91" s="342" t="e">
        <f ca="1">AK$66/AVERAGE(AJ$21:AK$21)</f>
        <v>#DIV/0!</v>
      </c>
      <c r="AL91" s="342" t="e">
        <f ca="1">AL$66/AVERAGE(AK$21:AL$21)</f>
        <v>#DIV/0!</v>
      </c>
      <c r="AM91" s="342" t="e">
        <f ca="1">AM$66/AVERAGE(AL$21:AM$21)</f>
        <v>#DIV/0!</v>
      </c>
      <c r="AN91" s="342" t="e">
        <f ca="1">AN$66/AVERAGE(AM$21:AN$21)</f>
        <v>#DIV/0!</v>
      </c>
      <c r="AP91" s="340" t="str">
        <f t="shared" ref="AP91:AP101" ca="1" si="38">IFERROR(AVERAGE(AJ91:AN91),"NA")</f>
        <v>NA</v>
      </c>
    </row>
    <row r="92" spans="1:42">
      <c r="A92" s="341" t="s">
        <v>900</v>
      </c>
      <c r="B92" s="342" t="s">
        <v>533</v>
      </c>
      <c r="C92" s="342" t="e">
        <f>IFERROR(C$66/HLOOKUP('Fin Output'!C$90,Aggregated_Data!$C$1:$AL$50,38,FALSE),C$66/AVERAGE(B$37,C$37))</f>
        <v>#DIV/0!</v>
      </c>
      <c r="D92" s="342" t="e">
        <f>IFERROR(D$66/HLOOKUP('Fin Output'!D$90,Aggregated_Data!$C$1:$AL$50,38,FALSE),D$66/AVERAGE(C$37,D$37))</f>
        <v>#DIV/0!</v>
      </c>
      <c r="E92" s="342" t="e">
        <f>IFERROR(E$66/HLOOKUP('Fin Output'!E$90,Aggregated_Data!$C$1:$AL$50,38,FALSE),E$66/AVERAGE(D$37,E$37))</f>
        <v>#DIV/0!</v>
      </c>
      <c r="F92" s="342" t="e">
        <f ca="1">IFERROR((F$66*(12/F$5))/HLOOKUP('Fin Output'!F$90,Aggregated_Data!$C$1:$AL$50,38,FALSE),(F$66*(12/F$5))/AVERAGE($E$37,F$37))</f>
        <v>#DIV/0!</v>
      </c>
      <c r="G92" s="342" t="e">
        <f ca="1">IFERROR((G$66*(12/G$5))/HLOOKUP('Fin Output'!G$90,Aggregated_Data!$C$1:$AL$50,38,FALSE),(G$66*(12/G$5))/AVERAGE($E$37,G$37))</f>
        <v>#DIV/0!</v>
      </c>
      <c r="H92" s="342" t="e">
        <f ca="1">IFERROR((H$66*(12/H$5))/HLOOKUP('Fin Output'!H$90,Aggregated_Data!$C$1:$AL$50,38,FALSE),(H$66*(12/H$5))/AVERAGE($E$37,H$37))</f>
        <v>#DIV/0!</v>
      </c>
      <c r="I92" s="342" t="e">
        <f ca="1">IFERROR((I$66*(12/I$5))/HLOOKUP('Fin Output'!I$90,Aggregated_Data!$C$1:$AL$50,38,FALSE),(I$66*(12/I$5))/AVERAGE($E$37,I$37))</f>
        <v>#DIV/0!</v>
      </c>
      <c r="J92" s="342" t="e">
        <f ca="1">IFERROR((J$66*(12/J$5))/HLOOKUP('Fin Output'!J$90,Aggregated_Data!$C$1:$AL$50,38,FALSE),(J$66*(12/J$5))/AVERAGE($E$37,J$37))</f>
        <v>#DIV/0!</v>
      </c>
      <c r="K92" s="342" t="e">
        <f ca="1">IFERROR((K$66*(12/K$5))/HLOOKUP('Fin Output'!K$90,Aggregated_Data!$C$1:$AL$50,38,FALSE),(K$66*(12/K$5))/AVERAGE($E$37,K$37))</f>
        <v>#DIV/0!</v>
      </c>
      <c r="L92" s="342" t="e">
        <f ca="1">IFERROR((L$66*(12/L$5))/HLOOKUP('Fin Output'!L$90,Aggregated_Data!$C$1:$AL$50,38,FALSE),(L$66*(12/L$5))/AVERAGE($E$37,L$37))</f>
        <v>#DIV/0!</v>
      </c>
      <c r="M92" s="342" t="e">
        <f ca="1">IFERROR((M$66*(12/M$5))/HLOOKUP('Fin Output'!M$90,Aggregated_Data!$C$1:$AL$50,38,FALSE),(M$66*(12/M$5))/AVERAGE($E$37,M$37))</f>
        <v>#DIV/0!</v>
      </c>
      <c r="N92" s="342" t="e">
        <f ca="1">IFERROR((N$66*(12/N$5))/HLOOKUP('Fin Output'!N$90,Aggregated_Data!$C$1:$AL$50,38,FALSE),(N$66*(12/N$5))/AVERAGE($E$37,N$37))</f>
        <v>#DIV/0!</v>
      </c>
      <c r="O92" s="342" t="e">
        <f ca="1">IFERROR((O$66*(12/O$5))/HLOOKUP('Fin Output'!O$90,Aggregated_Data!$C$1:$AL$50,38,FALSE),(O$66*(12/O$5))/AVERAGE($E$37,O$37))</f>
        <v>#DIV/0!</v>
      </c>
      <c r="P92" s="342" t="e">
        <f ca="1">IFERROR((P$66*(12/P$5))/HLOOKUP('Fin Output'!P$90,Aggregated_Data!$C$1:$AL$50,38,FALSE),(P$66*(12/P$5))/AVERAGE($E$37,P$37))</f>
        <v>#DIV/0!</v>
      </c>
      <c r="Q92" s="342" t="e">
        <f ca="1">IFERROR((Q$66*(12/Q$5))/HLOOKUP('Fin Output'!Q$90,Aggregated_Data!$C$1:$AL$50,38,FALSE),(Q$66*(12/Q$5))/AVERAGE($E$37,Q$37))</f>
        <v>#DIV/0!</v>
      </c>
      <c r="R92" s="342" t="e">
        <f ca="1">IFERROR(R$66/HLOOKUP('Fin Output'!R$90,Aggregated_Data!$C$1:$AL$50,38,FALSE),R$66/AVERAGE(E$37,R$37))</f>
        <v>#DIV/0!</v>
      </c>
      <c r="S92" s="342" t="e">
        <f ca="1">IFERROR((S$66*(12/S$5))/HLOOKUP('Fin Output'!S$90,Aggregated_Data!$C$1:$AL$50,38,FALSE),(S$66*(12/S$5))/AVERAGE($R$37,S$37))</f>
        <v>#DIV/0!</v>
      </c>
      <c r="T92" s="342" t="e">
        <f ca="1">IFERROR((T$66*(12/T$5))/HLOOKUP('Fin Output'!T$90,Aggregated_Data!$C$1:$AL$50,38,FALSE),(T$66*(12/T$5))/AVERAGE($R$37,T$37))</f>
        <v>#DIV/0!</v>
      </c>
      <c r="U92" s="342" t="e">
        <f ca="1">IFERROR((U$66*(12/U$5))/HLOOKUP('Fin Output'!U$90,Aggregated_Data!$C$1:$AL$50,38,FALSE),(U$66*(12/U$5))/AVERAGE($R$37,U$37))</f>
        <v>#DIV/0!</v>
      </c>
      <c r="V92" s="342" t="e">
        <f ca="1">IFERROR((V$66*(12/V$5))/HLOOKUP('Fin Output'!V$90,Aggregated_Data!$C$1:$AL$50,38,FALSE),(V$66*(12/V$5))/AVERAGE($R$37,V$37))</f>
        <v>#DIV/0!</v>
      </c>
      <c r="W92" s="342" t="e">
        <f ca="1">IFERROR((W$66*(12/W$5))/HLOOKUP('Fin Output'!W$90,Aggregated_Data!$C$1:$AL$50,38,FALSE),(W$66*(12/W$5))/AVERAGE($R$37,W$37))</f>
        <v>#DIV/0!</v>
      </c>
      <c r="X92" s="342" t="e">
        <f ca="1">IFERROR((X$66*(12/X$5))/HLOOKUP('Fin Output'!X$90,Aggregated_Data!$C$1:$AL$50,38,FALSE),(X$66*(12/X$5))/AVERAGE($R$37,X$37))</f>
        <v>#DIV/0!</v>
      </c>
      <c r="Y92" s="342" t="e">
        <f ca="1">IFERROR((Y$66*(12/Y$5))/HLOOKUP('Fin Output'!Y$90,Aggregated_Data!$C$1:$AL$50,38,FALSE),(Y$66*(12/Y$5))/AVERAGE($R$37,Y$37))</f>
        <v>#DIV/0!</v>
      </c>
      <c r="Z92" s="342" t="e">
        <f ca="1">IFERROR((Z$66*(12/Z$5))/HLOOKUP('Fin Output'!Z$90,Aggregated_Data!$C$1:$AL$50,38,FALSE),(Z$66*(12/Z$5))/AVERAGE($R$37,Z$37))</f>
        <v>#DIV/0!</v>
      </c>
      <c r="AA92" s="342" t="e">
        <f ca="1">IFERROR((AA$66*(12/AA$5))/HLOOKUP('Fin Output'!AA$90,Aggregated_Data!$C$1:$AL$50,38,FALSE),(AA$66*(12/AA$5))/AVERAGE($R$37,AA$37))</f>
        <v>#DIV/0!</v>
      </c>
      <c r="AB92" s="342" t="e">
        <f ca="1">IFERROR((AB$66*(12/AB$5))/HLOOKUP('Fin Output'!AB$90,Aggregated_Data!$C$1:$AL$50,38,FALSE),(AB$66*(12/AB$5))/AVERAGE($R$37,AB$37))</f>
        <v>#DIV/0!</v>
      </c>
      <c r="AC92" s="342" t="e">
        <f ca="1">IFERROR((AC$66*(12/AC$5))/HLOOKUP('Fin Output'!AC$90,Aggregated_Data!$C$1:$AL$50,38,FALSE),(AC$66*(12/AC$5))/AVERAGE($R$37,AC$37))</f>
        <v>#DIV/0!</v>
      </c>
      <c r="AD92" s="342" t="e">
        <f ca="1">IFERROR((AD$66*(12/AD$5))/HLOOKUP('Fin Output'!AD$90,Aggregated_Data!$C$1:$AL$50,38,FALSE),(AD$66*(12/AD$5))/AVERAGE($R$37,AD$37))</f>
        <v>#DIV/0!</v>
      </c>
      <c r="AE92" s="342" t="e">
        <f ca="1">HLOOKUP(1,S$6:AD92,ROW(AE92)-5,FALSE)</f>
        <v>#N/A</v>
      </c>
      <c r="AF92" s="342" t="e">
        <f ca="1">AF$66/AVERAGE(HLOOKUP(1,S$6:AD37,ROW(AE37)-5,FALSE),HLOOKUP(1,F$6:Q37,ROW(AE37)-5,FALSE))</f>
        <v>#N/A</v>
      </c>
      <c r="AH92" s="340" t="str">
        <f t="shared" si="37"/>
        <v>NA</v>
      </c>
      <c r="AJ92" s="342" t="e">
        <f ca="1">AJ$66/AVERAGE(R$37,AJ$37)</f>
        <v>#DIV/0!</v>
      </c>
      <c r="AK92" s="342" t="e">
        <f ca="1">AK$66/AVERAGE(AJ$37:AK$37)</f>
        <v>#DIV/0!</v>
      </c>
      <c r="AL92" s="342" t="e">
        <f ca="1">AL$66/AVERAGE(AK$37:AL$37)</f>
        <v>#DIV/0!</v>
      </c>
      <c r="AM92" s="342" t="e">
        <f ca="1">AM$66/AVERAGE(AL$37:AM$37)</f>
        <v>#DIV/0!</v>
      </c>
      <c r="AN92" s="342" t="e">
        <f ca="1">AN$66/AVERAGE(AM$37:AN$37)</f>
        <v>#DIV/0!</v>
      </c>
      <c r="AP92" s="340" t="str">
        <f t="shared" ca="1" si="38"/>
        <v>NA</v>
      </c>
    </row>
    <row r="93" spans="1:42">
      <c r="A93" s="341" t="s">
        <v>436</v>
      </c>
      <c r="B93" s="342" t="e">
        <f t="shared" ref="B93:AF93" si="39">SUM(B44,B51)/-SUM(B45:B47,B52)</f>
        <v>#DIV/0!</v>
      </c>
      <c r="C93" s="342" t="e">
        <f t="shared" si="39"/>
        <v>#DIV/0!</v>
      </c>
      <c r="D93" s="342" t="e">
        <f t="shared" si="39"/>
        <v>#DIV/0!</v>
      </c>
      <c r="E93" s="342" t="e">
        <f t="shared" si="39"/>
        <v>#DIV/0!</v>
      </c>
      <c r="F93" s="342" t="e">
        <f t="shared" ca="1" si="39"/>
        <v>#DIV/0!</v>
      </c>
      <c r="G93" s="342" t="e">
        <f t="shared" ca="1" si="39"/>
        <v>#DIV/0!</v>
      </c>
      <c r="H93" s="342" t="e">
        <f t="shared" ca="1" si="39"/>
        <v>#DIV/0!</v>
      </c>
      <c r="I93" s="342" t="e">
        <f t="shared" ca="1" si="39"/>
        <v>#DIV/0!</v>
      </c>
      <c r="J93" s="342" t="e">
        <f t="shared" ca="1" si="39"/>
        <v>#DIV/0!</v>
      </c>
      <c r="K93" s="342" t="e">
        <f t="shared" ca="1" si="39"/>
        <v>#DIV/0!</v>
      </c>
      <c r="L93" s="342" t="e">
        <f t="shared" ca="1" si="39"/>
        <v>#DIV/0!</v>
      </c>
      <c r="M93" s="342" t="e">
        <f t="shared" ca="1" si="39"/>
        <v>#DIV/0!</v>
      </c>
      <c r="N93" s="342" t="e">
        <f t="shared" ca="1" si="39"/>
        <v>#DIV/0!</v>
      </c>
      <c r="O93" s="342" t="e">
        <f t="shared" ca="1" si="39"/>
        <v>#DIV/0!</v>
      </c>
      <c r="P93" s="342" t="e">
        <f t="shared" ca="1" si="39"/>
        <v>#DIV/0!</v>
      </c>
      <c r="Q93" s="342" t="e">
        <f t="shared" ca="1" si="39"/>
        <v>#DIV/0!</v>
      </c>
      <c r="R93" s="342" t="e">
        <f t="shared" ca="1" si="39"/>
        <v>#DIV/0!</v>
      </c>
      <c r="S93" s="342" t="e">
        <f t="shared" ca="1" si="39"/>
        <v>#DIV/0!</v>
      </c>
      <c r="T93" s="342" t="e">
        <f t="shared" ca="1" si="39"/>
        <v>#DIV/0!</v>
      </c>
      <c r="U93" s="342" t="e">
        <f t="shared" ca="1" si="39"/>
        <v>#DIV/0!</v>
      </c>
      <c r="V93" s="342" t="e">
        <f t="shared" ca="1" si="39"/>
        <v>#DIV/0!</v>
      </c>
      <c r="W93" s="342" t="e">
        <f t="shared" ca="1" si="39"/>
        <v>#DIV/0!</v>
      </c>
      <c r="X93" s="342" t="e">
        <f t="shared" ca="1" si="39"/>
        <v>#DIV/0!</v>
      </c>
      <c r="Y93" s="342" t="e">
        <f t="shared" ca="1" si="39"/>
        <v>#DIV/0!</v>
      </c>
      <c r="Z93" s="342" t="e">
        <f t="shared" ca="1" si="39"/>
        <v>#DIV/0!</v>
      </c>
      <c r="AA93" s="342" t="e">
        <f t="shared" ca="1" si="39"/>
        <v>#DIV/0!</v>
      </c>
      <c r="AB93" s="342" t="e">
        <f t="shared" ca="1" si="39"/>
        <v>#DIV/0!</v>
      </c>
      <c r="AC93" s="342" t="e">
        <f t="shared" ca="1" si="39"/>
        <v>#DIV/0!</v>
      </c>
      <c r="AD93" s="342" t="e">
        <f t="shared" ca="1" si="39"/>
        <v>#DIV/0!</v>
      </c>
      <c r="AE93" s="342" t="e">
        <f t="shared" ca="1" si="39"/>
        <v>#N/A</v>
      </c>
      <c r="AF93" s="342" t="e">
        <f t="shared" ca="1" si="39"/>
        <v>#N/A</v>
      </c>
      <c r="AH93" s="340" t="str">
        <f t="shared" si="37"/>
        <v>NA</v>
      </c>
      <c r="AJ93" s="342" t="e">
        <f ca="1">SUM(AJ44,AJ51)/-SUM(AJ45:AJ47,AJ52)</f>
        <v>#DIV/0!</v>
      </c>
      <c r="AK93" s="342" t="e">
        <f ca="1">SUM(AK44,AK51)/-SUM(AK45:AK47,AK52)</f>
        <v>#DIV/0!</v>
      </c>
      <c r="AL93" s="342" t="e">
        <f ca="1">SUM(AL44,AL51)/-SUM(AL45:AL47,AL52)</f>
        <v>#DIV/0!</v>
      </c>
      <c r="AM93" s="342" t="e">
        <f ca="1">SUM(AM44,AM51)/-SUM(AM45:AM47,AM52)</f>
        <v>#DIV/0!</v>
      </c>
      <c r="AN93" s="342" t="e">
        <f ca="1">SUM(AN44,AN51)/-SUM(AN45:AN47,AN52)</f>
        <v>#DIV/0!</v>
      </c>
      <c r="AP93" s="340" t="str">
        <f t="shared" ca="1" si="38"/>
        <v>NA</v>
      </c>
    </row>
    <row r="94" spans="1:42">
      <c r="A94" s="341" t="s">
        <v>539</v>
      </c>
      <c r="B94" s="342" t="s">
        <v>533</v>
      </c>
      <c r="C94" s="342" t="e">
        <f>IFERROR(C44/HLOOKUP('Fin Output'!C$90,Aggregated_Data!$C$1:$AL$50,31,FALSE),C44/AVERAGE(B$15:C$15))</f>
        <v>#DIV/0!</v>
      </c>
      <c r="D94" s="342" t="e">
        <f>IFERROR(D44/HLOOKUP('Fin Output'!D$90,Aggregated_Data!$C$1:$AL$50,31,FALSE),D44/AVERAGE(C$15:D$15))</f>
        <v>#DIV/0!</v>
      </c>
      <c r="E94" s="342" t="e">
        <f>IFERROR(E44/HLOOKUP('Fin Output'!E$90,Aggregated_Data!$C$1:$AL$50,31,FALSE),E44/AVERAGE(D$15:E$15))</f>
        <v>#DIV/0!</v>
      </c>
      <c r="F94" s="342" t="e">
        <f ca="1">IFERROR((F44*(12/F$5))/HLOOKUP('Fin Output'!F$90,Aggregated_Data!$C$1:$AL$50,31,FALSE),(F44*(12/F$5))/AVERAGE($E$15,F$15))</f>
        <v>#DIV/0!</v>
      </c>
      <c r="G94" s="342" t="e">
        <f ca="1">IFERROR((G44*(12/G$5))/HLOOKUP('Fin Output'!G$90,Aggregated_Data!$C$1:$AL$50,31,FALSE),(G44*(12/G$5))/AVERAGE($E$15,G$15))</f>
        <v>#DIV/0!</v>
      </c>
      <c r="H94" s="342" t="e">
        <f ca="1">IFERROR((H44*(12/H$5))/HLOOKUP('Fin Output'!H$90,Aggregated_Data!$C$1:$AL$50,31,FALSE),(H44*(12/H$5))/AVERAGE($E$15,H$15))</f>
        <v>#DIV/0!</v>
      </c>
      <c r="I94" s="342" t="e">
        <f ca="1">IFERROR((I44*(12/I$5))/HLOOKUP('Fin Output'!I$90,Aggregated_Data!$C$1:$AL$50,31,FALSE),(I44*(12/I$5))/AVERAGE($E$15,I$15))</f>
        <v>#DIV/0!</v>
      </c>
      <c r="J94" s="342" t="e">
        <f ca="1">IFERROR((J44*(12/J$5))/HLOOKUP('Fin Output'!J$90,Aggregated_Data!$C$1:$AL$50,31,FALSE),(J44*(12/J$5))/AVERAGE($E$15,J$15))</f>
        <v>#DIV/0!</v>
      </c>
      <c r="K94" s="342" t="e">
        <f ca="1">IFERROR((K44*(12/K$5))/HLOOKUP('Fin Output'!K$90,Aggregated_Data!$C$1:$AL$50,31,FALSE),(K44*(12/K$5))/AVERAGE($E$15,K$15))</f>
        <v>#DIV/0!</v>
      </c>
      <c r="L94" s="342" t="e">
        <f ca="1">IFERROR((L44*(12/L$5))/HLOOKUP('Fin Output'!L$90,Aggregated_Data!$C$1:$AL$50,31,FALSE),(L44*(12/L$5))/AVERAGE($E$15,L$15))</f>
        <v>#DIV/0!</v>
      </c>
      <c r="M94" s="342" t="e">
        <f ca="1">IFERROR((M44*(12/M$5))/HLOOKUP('Fin Output'!M$90,Aggregated_Data!$C$1:$AL$50,31,FALSE),(M44*(12/M$5))/AVERAGE($E$15,M$15))</f>
        <v>#DIV/0!</v>
      </c>
      <c r="N94" s="342" t="e">
        <f ca="1">IFERROR((N44*(12/N$5))/HLOOKUP('Fin Output'!N$90,Aggregated_Data!$C$1:$AL$50,31,FALSE),(N44*(12/N$5))/AVERAGE($E$15,N$15))</f>
        <v>#DIV/0!</v>
      </c>
      <c r="O94" s="342" t="e">
        <f ca="1">IFERROR((O44*(12/O$5))/HLOOKUP('Fin Output'!O$90,Aggregated_Data!$C$1:$AL$50,31,FALSE),(O44*(12/O$5))/AVERAGE($E$15,O$15))</f>
        <v>#DIV/0!</v>
      </c>
      <c r="P94" s="342" t="e">
        <f ca="1">IFERROR((P44*(12/P$5))/HLOOKUP('Fin Output'!P$90,Aggregated_Data!$C$1:$AL$50,31,FALSE),(P44*(12/P$5))/AVERAGE($E$15,P$15))</f>
        <v>#DIV/0!</v>
      </c>
      <c r="Q94" s="342" t="e">
        <f ca="1">IFERROR((Q44*(12/Q$5))/HLOOKUP('Fin Output'!Q$90,Aggregated_Data!$C$1:$AL$50,31,FALSE),(Q44*(12/Q$5))/AVERAGE($E$15,Q$15))</f>
        <v>#DIV/0!</v>
      </c>
      <c r="R94" s="342" t="e">
        <f ca="1">IFERROR(R44/HLOOKUP('Fin Output'!R$90,Aggregated_Data!$C$1:$AL$50,31,FALSE),R44/AVERAGE(E$15,R$15))</f>
        <v>#DIV/0!</v>
      </c>
      <c r="S94" s="342" t="e">
        <f ca="1">IFERROR((S44*(12/S$5))/HLOOKUP('Fin Output'!S$90,Aggregated_Data!$C$1:$AL$50,31,FALSE),(S44*(12/S$5))/AVERAGE($R$15,S$15))</f>
        <v>#DIV/0!</v>
      </c>
      <c r="T94" s="342" t="e">
        <f ca="1">IFERROR((T44*(12/T$5))/HLOOKUP('Fin Output'!T$90,Aggregated_Data!$C$1:$AL$50,31,FALSE),(T44*(12/T$5))/AVERAGE($R$15,T$15))</f>
        <v>#DIV/0!</v>
      </c>
      <c r="U94" s="342" t="e">
        <f ca="1">IFERROR((U44*(12/U$5))/HLOOKUP('Fin Output'!U$90,Aggregated_Data!$C$1:$AL$50,31,FALSE),(U44*(12/U$5))/AVERAGE($R$15,U$15))</f>
        <v>#DIV/0!</v>
      </c>
      <c r="V94" s="342" t="e">
        <f ca="1">IFERROR((V44*(12/V$5))/HLOOKUP('Fin Output'!V$90,Aggregated_Data!$C$1:$AL$50,31,FALSE),(V44*(12/V$5))/AVERAGE($R$15,V$15))</f>
        <v>#DIV/0!</v>
      </c>
      <c r="W94" s="342" t="e">
        <f ca="1">IFERROR((W44*(12/W$5))/HLOOKUP('Fin Output'!W$90,Aggregated_Data!$C$1:$AL$50,31,FALSE),(W44*(12/W$5))/AVERAGE($R$15,W$15))</f>
        <v>#DIV/0!</v>
      </c>
      <c r="X94" s="342" t="e">
        <f ca="1">IFERROR((X44*(12/X$5))/HLOOKUP('Fin Output'!X$90,Aggregated_Data!$C$1:$AL$50,31,FALSE),(X44*(12/X$5))/AVERAGE($R$15,X$15))</f>
        <v>#DIV/0!</v>
      </c>
      <c r="Y94" s="342" t="e">
        <f ca="1">IFERROR((Y44*(12/Y$5))/HLOOKUP('Fin Output'!Y$90,Aggregated_Data!$C$1:$AL$50,31,FALSE),(Y44*(12/Y$5))/AVERAGE($R$15,Y$15))</f>
        <v>#DIV/0!</v>
      </c>
      <c r="Z94" s="342" t="e">
        <f ca="1">IFERROR((Z44*(12/Z$5))/HLOOKUP('Fin Output'!Z$90,Aggregated_Data!$C$1:$AL$50,31,FALSE),(Z44*(12/Z$5))/AVERAGE($R$15,Z$15))</f>
        <v>#DIV/0!</v>
      </c>
      <c r="AA94" s="342" t="e">
        <f ca="1">IFERROR((AA44*(12/AA$5))/HLOOKUP('Fin Output'!AA$90,Aggregated_Data!$C$1:$AL$50,31,FALSE),(AA44*(12/AA$5))/AVERAGE($R$15,AA$15))</f>
        <v>#DIV/0!</v>
      </c>
      <c r="AB94" s="342" t="e">
        <f ca="1">IFERROR((AB44*(12/AB$5))/HLOOKUP('Fin Output'!AB$90,Aggregated_Data!$C$1:$AL$50,31,FALSE),(AB44*(12/AB$5))/AVERAGE($R$15,AB$15))</f>
        <v>#DIV/0!</v>
      </c>
      <c r="AC94" s="342" t="e">
        <f ca="1">IFERROR((AC44*(12/AC$5))/HLOOKUP('Fin Output'!AC$90,Aggregated_Data!$C$1:$AL$50,31,FALSE),(AC44*(12/AC$5))/AVERAGE($R$15,AC$15))</f>
        <v>#DIV/0!</v>
      </c>
      <c r="AD94" s="342" t="e">
        <f ca="1">IFERROR((AD44*(12/AD$5))/HLOOKUP('Fin Output'!AD$90,Aggregated_Data!$C$1:$AL$50,31,FALSE),(AD44*(12/AD$5))/AVERAGE($R$15,AD$15))</f>
        <v>#DIV/0!</v>
      </c>
      <c r="AE94" s="342" t="e">
        <f ca="1">HLOOKUP(1,S$6:AD94,ROW(AE94)-5,FALSE)</f>
        <v>#N/A</v>
      </c>
      <c r="AF94" s="342" t="e">
        <f ca="1">AF44/AVERAGE(HLOOKUP(1,S$6:AD$15,ROW(AE$15)-5,FALSE),HLOOKUP(1,F$6:Q$15,ROW(AE$15)-5,FALSE))</f>
        <v>#N/A</v>
      </c>
      <c r="AH94" s="340" t="str">
        <f t="shared" si="37"/>
        <v>NA</v>
      </c>
      <c r="AJ94" s="342" t="e">
        <f ca="1">AJ44/AVERAGE(R$15,AJ$15)</f>
        <v>#DIV/0!</v>
      </c>
      <c r="AK94" s="342" t="e">
        <f ca="1">AK44/AVERAGE(AJ$15:AK$15)</f>
        <v>#DIV/0!</v>
      </c>
      <c r="AL94" s="342" t="e">
        <f ca="1">AL44/AVERAGE(AK$15:AL$15)</f>
        <v>#DIV/0!</v>
      </c>
      <c r="AM94" s="342" t="e">
        <f ca="1">AM44/AVERAGE(AL$15:AM$15)</f>
        <v>#DIV/0!</v>
      </c>
      <c r="AN94" s="342" t="e">
        <f ca="1">AN44/AVERAGE(AM$15:AN$15)</f>
        <v>#DIV/0!</v>
      </c>
      <c r="AP94" s="340" t="str">
        <f t="shared" ca="1" si="38"/>
        <v>NA</v>
      </c>
    </row>
    <row r="95" spans="1:42">
      <c r="A95" s="341" t="s">
        <v>540</v>
      </c>
      <c r="B95" s="342" t="s">
        <v>533</v>
      </c>
      <c r="C95" s="342" t="e">
        <f>-IFERROR(C45/HLOOKUP('Fin Output'!C$90,Aggregated_Data!$C$1:$AL$50,31,FALSE),C45/AVERAGE(B$15:C$15))</f>
        <v>#DIV/0!</v>
      </c>
      <c r="D95" s="342" t="e">
        <f>-IFERROR(D45/HLOOKUP('Fin Output'!D$90,Aggregated_Data!$C$1:$AL$50,31,FALSE),D45/AVERAGE(C$15:D$15))</f>
        <v>#DIV/0!</v>
      </c>
      <c r="E95" s="342" t="e">
        <f>-IFERROR(E45/HLOOKUP('Fin Output'!E$90,Aggregated_Data!$C$1:$AL$50,31,FALSE),E45/AVERAGE(D$15:E$15))</f>
        <v>#DIV/0!</v>
      </c>
      <c r="F95" s="342" t="e">
        <f ca="1">-IFERROR((F45*(12/F$5))/HLOOKUP('Fin Output'!F$90,Aggregated_Data!$C$1:$AL$50,31,FALSE),(F45*(12/F$5))/AVERAGE($E$15,F$15))</f>
        <v>#DIV/0!</v>
      </c>
      <c r="G95" s="342" t="e">
        <f ca="1">-IFERROR((G45*(12/G$5))/HLOOKUP('Fin Output'!G$90,Aggregated_Data!$C$1:$AL$50,31,FALSE),(G45*(12/G$5))/AVERAGE($E$15,G$15))</f>
        <v>#DIV/0!</v>
      </c>
      <c r="H95" s="342" t="e">
        <f ca="1">-IFERROR((H45*(12/H$5))/HLOOKUP('Fin Output'!H$90,Aggregated_Data!$C$1:$AL$50,31,FALSE),(H45*(12/H$5))/AVERAGE($E$15,H$15))</f>
        <v>#DIV/0!</v>
      </c>
      <c r="I95" s="342" t="e">
        <f ca="1">-IFERROR((I45*(12/I$5))/HLOOKUP('Fin Output'!I$90,Aggregated_Data!$C$1:$AL$50,31,FALSE),(I45*(12/I$5))/AVERAGE($E$15,I$15))</f>
        <v>#DIV/0!</v>
      </c>
      <c r="J95" s="342" t="e">
        <f ca="1">-IFERROR((J45*(12/J$5))/HLOOKUP('Fin Output'!J$90,Aggregated_Data!$C$1:$AL$50,31,FALSE),(J45*(12/J$5))/AVERAGE($E$15,J$15))</f>
        <v>#DIV/0!</v>
      </c>
      <c r="K95" s="342" t="e">
        <f ca="1">-IFERROR((K45*(12/K$5))/HLOOKUP('Fin Output'!K$90,Aggregated_Data!$C$1:$AL$50,31,FALSE),(K45*(12/K$5))/AVERAGE($E$15,K$15))</f>
        <v>#DIV/0!</v>
      </c>
      <c r="L95" s="342" t="e">
        <f ca="1">-IFERROR((L45*(12/L$5))/HLOOKUP('Fin Output'!L$90,Aggregated_Data!$C$1:$AL$50,31,FALSE),(L45*(12/L$5))/AVERAGE($E$15,L$15))</f>
        <v>#DIV/0!</v>
      </c>
      <c r="M95" s="342" t="e">
        <f ca="1">-IFERROR((M45*(12/M$5))/HLOOKUP('Fin Output'!M$90,Aggregated_Data!$C$1:$AL$50,31,FALSE),(M45*(12/M$5))/AVERAGE($E$15,M$15))</f>
        <v>#DIV/0!</v>
      </c>
      <c r="N95" s="342" t="e">
        <f ca="1">-IFERROR((N45*(12/N$5))/HLOOKUP('Fin Output'!N$90,Aggregated_Data!$C$1:$AL$50,31,FALSE),(N45*(12/N$5))/AVERAGE($E$15,N$15))</f>
        <v>#DIV/0!</v>
      </c>
      <c r="O95" s="342" t="e">
        <f ca="1">-IFERROR((O45*(12/O$5))/HLOOKUP('Fin Output'!O$90,Aggregated_Data!$C$1:$AL$50,31,FALSE),(O45*(12/O$5))/AVERAGE($E$15,O$15))</f>
        <v>#DIV/0!</v>
      </c>
      <c r="P95" s="342" t="e">
        <f ca="1">-IFERROR((P45*(12/P$5))/HLOOKUP('Fin Output'!P$90,Aggregated_Data!$C$1:$AL$50,31,FALSE),(P45*(12/P$5))/AVERAGE($E$15,P$15))</f>
        <v>#DIV/0!</v>
      </c>
      <c r="Q95" s="342" t="e">
        <f ca="1">-IFERROR((Q45*(12/Q$5))/HLOOKUP('Fin Output'!Q$90,Aggregated_Data!$C$1:$AL$50,31,FALSE),(Q45*(12/Q$5))/AVERAGE($E$15,Q$15))</f>
        <v>#DIV/0!</v>
      </c>
      <c r="R95" s="342" t="e">
        <f ca="1">-IFERROR(R45/HLOOKUP('Fin Output'!R$90,Aggregated_Data!$C$1:$AL$50,31,FALSE),R45/AVERAGE(E$15:R$15))</f>
        <v>#DIV/0!</v>
      </c>
      <c r="S95" s="342" t="e">
        <f ca="1">-IFERROR((S45*(12/S$5))/HLOOKUP('Fin Output'!S$90,Aggregated_Data!$C$1:$AL$50,31,FALSE),(S45*(12/S$5))/AVERAGE($R$15,S$15))</f>
        <v>#DIV/0!</v>
      </c>
      <c r="T95" s="342" t="e">
        <f ca="1">-IFERROR((T45*(12/T$5))/HLOOKUP('Fin Output'!T$90,Aggregated_Data!$C$1:$AL$50,31,FALSE),(T45*(12/T$5))/AVERAGE($R$15,T$15))</f>
        <v>#DIV/0!</v>
      </c>
      <c r="U95" s="342" t="e">
        <f ca="1">-IFERROR((U45*(12/U$5))/HLOOKUP('Fin Output'!U$90,Aggregated_Data!$C$1:$AL$50,31,FALSE),(U45*(12/U$5))/AVERAGE($R$15,U$15))</f>
        <v>#DIV/0!</v>
      </c>
      <c r="V95" s="342" t="e">
        <f ca="1">-IFERROR((V45*(12/V$5))/HLOOKUP('Fin Output'!V$90,Aggregated_Data!$C$1:$AL$50,31,FALSE),(V45*(12/V$5))/AVERAGE($R$15,V$15))</f>
        <v>#DIV/0!</v>
      </c>
      <c r="W95" s="342" t="e">
        <f ca="1">-IFERROR((W45*(12/W$5))/HLOOKUP('Fin Output'!W$90,Aggregated_Data!$C$1:$AL$50,31,FALSE),(W45*(12/W$5))/AVERAGE($R$15,W$15))</f>
        <v>#DIV/0!</v>
      </c>
      <c r="X95" s="342" t="e">
        <f ca="1">-IFERROR((X45*(12/X$5))/HLOOKUP('Fin Output'!X$90,Aggregated_Data!$C$1:$AL$50,31,FALSE),(X45*(12/X$5))/AVERAGE($R$15,X$15))</f>
        <v>#DIV/0!</v>
      </c>
      <c r="Y95" s="342" t="e">
        <f ca="1">-IFERROR((Y45*(12/Y$5))/HLOOKUP('Fin Output'!Y$90,Aggregated_Data!$C$1:$AL$50,31,FALSE),(Y45*(12/Y$5))/AVERAGE($R$15,Y$15))</f>
        <v>#DIV/0!</v>
      </c>
      <c r="Z95" s="342" t="e">
        <f ca="1">-IFERROR((Z45*(12/Z$5))/HLOOKUP('Fin Output'!Z$90,Aggregated_Data!$C$1:$AL$50,31,FALSE),(Z45*(12/Z$5))/AVERAGE($R$15,Z$15))</f>
        <v>#DIV/0!</v>
      </c>
      <c r="AA95" s="342" t="e">
        <f ca="1">-IFERROR((AA45*(12/AA$5))/HLOOKUP('Fin Output'!AA$90,Aggregated_Data!$C$1:$AL$50,31,FALSE),(AA45*(12/AA$5))/AVERAGE($R$15,AA$15))</f>
        <v>#DIV/0!</v>
      </c>
      <c r="AB95" s="342" t="e">
        <f ca="1">-IFERROR((AB45*(12/AB$5))/HLOOKUP('Fin Output'!AB$90,Aggregated_Data!$C$1:$AL$50,31,FALSE),(AB45*(12/AB$5))/AVERAGE($R$15,AB$15))</f>
        <v>#DIV/0!</v>
      </c>
      <c r="AC95" s="342" t="e">
        <f ca="1">-IFERROR((AC45*(12/AC$5))/HLOOKUP('Fin Output'!AC$90,Aggregated_Data!$C$1:$AL$50,31,FALSE),(AC45*(12/AC$5))/AVERAGE($R$15,AC$15))</f>
        <v>#DIV/0!</v>
      </c>
      <c r="AD95" s="342" t="e">
        <f ca="1">-IFERROR((AD45*(12/AD$5))/HLOOKUP('Fin Output'!AD$90,Aggregated_Data!$C$1:$AL$50,31,FALSE),(AD45*(12/AD$5))/AVERAGE($R$15,AD$15))</f>
        <v>#DIV/0!</v>
      </c>
      <c r="AE95" s="342" t="e">
        <f ca="1">HLOOKUP(1,S$6:AD95,ROW(AE95)-5,FALSE)</f>
        <v>#N/A</v>
      </c>
      <c r="AF95" s="342" t="e">
        <f ca="1">-AF45/AVERAGE(HLOOKUP(1,S$6:AD$15,ROW(AE$15)-5,FALSE),HLOOKUP(1,F$6:Q$15,ROW(AE$15)-5,FALSE))</f>
        <v>#N/A</v>
      </c>
      <c r="AH95" s="340" t="str">
        <f t="shared" si="37"/>
        <v>NA</v>
      </c>
      <c r="AJ95" s="342" t="e">
        <f ca="1">-AJ45/AVERAGE(R$15,AJ$15)</f>
        <v>#DIV/0!</v>
      </c>
      <c r="AK95" s="342" t="e">
        <f ca="1">-AK45/AVERAGE(AJ$15:AK$15)</f>
        <v>#DIV/0!</v>
      </c>
      <c r="AL95" s="342" t="e">
        <f ca="1">-AL45/AVERAGE(AK$15:AL$15)</f>
        <v>#DIV/0!</v>
      </c>
      <c r="AM95" s="342" t="e">
        <f ca="1">-AM45/AVERAGE(AL$15:AM$15)</f>
        <v>#DIV/0!</v>
      </c>
      <c r="AN95" s="342" t="e">
        <f ca="1">-AN45/AVERAGE(AM$15:AN$15)</f>
        <v>#DIV/0!</v>
      </c>
      <c r="AP95" s="340" t="str">
        <f t="shared" ca="1" si="38"/>
        <v>NA</v>
      </c>
    </row>
    <row r="96" spans="1:42">
      <c r="A96" s="341" t="s">
        <v>541</v>
      </c>
      <c r="B96" s="342" t="s">
        <v>533</v>
      </c>
      <c r="C96" s="342" t="e">
        <f>-IFERROR(C47/HLOOKUP('Fin Output'!C$90,Aggregated_Data!$C$1:$AL$50,31,FALSE),C47/AVERAGE(B$15:C$15))</f>
        <v>#DIV/0!</v>
      </c>
      <c r="D96" s="342" t="e">
        <f>-IFERROR(D47/HLOOKUP('Fin Output'!D$90,Aggregated_Data!$C$1:$AL$50,31,FALSE),D47/AVERAGE(C$15:D$15))</f>
        <v>#DIV/0!</v>
      </c>
      <c r="E96" s="342" t="e">
        <f>-IFERROR(E47/HLOOKUP('Fin Output'!E$90,Aggregated_Data!$C$1:$AL$50,31,FALSE),E47/AVERAGE(D$15:E$15))</f>
        <v>#DIV/0!</v>
      </c>
      <c r="F96" s="342" t="e">
        <f ca="1">-IFERROR((F47*(12/F$5))/HLOOKUP('Fin Output'!F$90,Aggregated_Data!$C$1:$AL$50,31,FALSE),(F47*(12/F$5))/AVERAGE($E$15,F$15))</f>
        <v>#DIV/0!</v>
      </c>
      <c r="G96" s="342" t="e">
        <f ca="1">-IFERROR((G47*(12/G$5))/HLOOKUP('Fin Output'!G$90,Aggregated_Data!$C$1:$AL$50,31,FALSE),(G47*(12/G$5))/AVERAGE($E$15,G$15))</f>
        <v>#DIV/0!</v>
      </c>
      <c r="H96" s="342" t="e">
        <f ca="1">-IFERROR((H47*(12/H$5))/HLOOKUP('Fin Output'!H$90,Aggregated_Data!$C$1:$AL$50,31,FALSE),(H47*(12/H$5))/AVERAGE($E$15,H$15))</f>
        <v>#DIV/0!</v>
      </c>
      <c r="I96" s="342" t="e">
        <f ca="1">-IFERROR((I47*(12/I$5))/HLOOKUP('Fin Output'!I$90,Aggregated_Data!$C$1:$AL$50,31,FALSE),(I47*(12/I$5))/AVERAGE($E$15,I$15))</f>
        <v>#DIV/0!</v>
      </c>
      <c r="J96" s="342" t="e">
        <f ca="1">-IFERROR((J47*(12/J$5))/HLOOKUP('Fin Output'!J$90,Aggregated_Data!$C$1:$AL$50,31,FALSE),(J47*(12/J$5))/AVERAGE($E$15,J$15))</f>
        <v>#DIV/0!</v>
      </c>
      <c r="K96" s="342" t="e">
        <f ca="1">-IFERROR((K47*(12/K$5))/HLOOKUP('Fin Output'!K$90,Aggregated_Data!$C$1:$AL$50,31,FALSE),(K47*(12/K$5))/AVERAGE($E$15,K$15))</f>
        <v>#DIV/0!</v>
      </c>
      <c r="L96" s="342" t="e">
        <f ca="1">-IFERROR((L47*(12/L$5))/HLOOKUP('Fin Output'!L$90,Aggregated_Data!$C$1:$AL$50,31,FALSE),(L47*(12/L$5))/AVERAGE($E$15,L$15))</f>
        <v>#DIV/0!</v>
      </c>
      <c r="M96" s="342" t="e">
        <f ca="1">-IFERROR((M47*(12/M$5))/HLOOKUP('Fin Output'!M$90,Aggregated_Data!$C$1:$AL$50,31,FALSE),(M47*(12/M$5))/AVERAGE($E$15,M$15))</f>
        <v>#DIV/0!</v>
      </c>
      <c r="N96" s="342" t="e">
        <f ca="1">-IFERROR((N47*(12/N$5))/HLOOKUP('Fin Output'!N$90,Aggregated_Data!$C$1:$AL$50,31,FALSE),(N47*(12/N$5))/AVERAGE($E$15,N$15))</f>
        <v>#DIV/0!</v>
      </c>
      <c r="O96" s="342" t="e">
        <f ca="1">-IFERROR((O47*(12/O$5))/HLOOKUP('Fin Output'!O$90,Aggregated_Data!$C$1:$AL$50,31,FALSE),(O47*(12/O$5))/AVERAGE($E$15,O$15))</f>
        <v>#DIV/0!</v>
      </c>
      <c r="P96" s="342" t="e">
        <f ca="1">-IFERROR((P47*(12/P$5))/HLOOKUP('Fin Output'!P$90,Aggregated_Data!$C$1:$AL$50,31,FALSE),(P47*(12/P$5))/AVERAGE($E$15,P$15))</f>
        <v>#DIV/0!</v>
      </c>
      <c r="Q96" s="342" t="e">
        <f ca="1">-IFERROR((Q47*(12/Q$5))/HLOOKUP('Fin Output'!Q$90,Aggregated_Data!$C$1:$AL$50,31,FALSE),(Q47*(12/Q$5))/AVERAGE($E$15,Q$15))</f>
        <v>#DIV/0!</v>
      </c>
      <c r="R96" s="342" t="e">
        <f ca="1">-IFERROR(R47/HLOOKUP('Fin Output'!R$90,Aggregated_Data!$C$1:$AL$50,31,FALSE),R47/AVERAGE(E$15:R$15))</f>
        <v>#DIV/0!</v>
      </c>
      <c r="S96" s="342" t="e">
        <f ca="1">-IFERROR((S47*(12/S$5))/HLOOKUP('Fin Output'!S$90,Aggregated_Data!$C$1:$AL$50,31,FALSE),(S47*(12/S$5))/AVERAGE($R$15,S$15))</f>
        <v>#DIV/0!</v>
      </c>
      <c r="T96" s="342" t="e">
        <f ca="1">-IFERROR((T47*(12/T$5))/HLOOKUP('Fin Output'!T$90,Aggregated_Data!$C$1:$AL$50,31,FALSE),(T47*(12/T$5))/AVERAGE($R$15,T$15))</f>
        <v>#DIV/0!</v>
      </c>
      <c r="U96" s="342" t="e">
        <f ca="1">-IFERROR((U47*(12/U$5))/HLOOKUP('Fin Output'!U$90,Aggregated_Data!$C$1:$AL$50,31,FALSE),(U47*(12/U$5))/AVERAGE($R$15,U$15))</f>
        <v>#DIV/0!</v>
      </c>
      <c r="V96" s="342" t="e">
        <f ca="1">-IFERROR((V47*(12/V$5))/HLOOKUP('Fin Output'!V$90,Aggregated_Data!$C$1:$AL$50,31,FALSE),(V47*(12/V$5))/AVERAGE($R$15,V$15))</f>
        <v>#DIV/0!</v>
      </c>
      <c r="W96" s="342" t="e">
        <f ca="1">-IFERROR((W47*(12/W$5))/HLOOKUP('Fin Output'!W$90,Aggregated_Data!$C$1:$AL$50,31,FALSE),(W47*(12/W$5))/AVERAGE($R$15,W$15))</f>
        <v>#DIV/0!</v>
      </c>
      <c r="X96" s="342" t="e">
        <f ca="1">-IFERROR((X47*(12/X$5))/HLOOKUP('Fin Output'!X$90,Aggregated_Data!$C$1:$AL$50,31,FALSE),(X47*(12/X$5))/AVERAGE($R$15,X$15))</f>
        <v>#DIV/0!</v>
      </c>
      <c r="Y96" s="342" t="e">
        <f ca="1">-IFERROR((Y47*(12/Y$5))/HLOOKUP('Fin Output'!Y$90,Aggregated_Data!$C$1:$AL$50,31,FALSE),(Y47*(12/Y$5))/AVERAGE($R$15,Y$15))</f>
        <v>#DIV/0!</v>
      </c>
      <c r="Z96" s="342" t="e">
        <f ca="1">-IFERROR((Z47*(12/Z$5))/HLOOKUP('Fin Output'!Z$90,Aggregated_Data!$C$1:$AL$50,31,FALSE),(Z47*(12/Z$5))/AVERAGE($R$15,Z$15))</f>
        <v>#DIV/0!</v>
      </c>
      <c r="AA96" s="342" t="e">
        <f ca="1">-IFERROR((AA47*(12/AA$5))/HLOOKUP('Fin Output'!AA$90,Aggregated_Data!$C$1:$AL$50,31,FALSE),(AA47*(12/AA$5))/AVERAGE($R$15,AA$15))</f>
        <v>#DIV/0!</v>
      </c>
      <c r="AB96" s="342" t="e">
        <f ca="1">-IFERROR((AB47*(12/AB$5))/HLOOKUP('Fin Output'!AB$90,Aggregated_Data!$C$1:$AL$50,31,FALSE),(AB47*(12/AB$5))/AVERAGE($R$15,AB$15))</f>
        <v>#DIV/0!</v>
      </c>
      <c r="AC96" s="342" t="e">
        <f ca="1">-IFERROR((AC47*(12/AC$5))/HLOOKUP('Fin Output'!AC$90,Aggregated_Data!$C$1:$AL$50,31,FALSE),(AC47*(12/AC$5))/AVERAGE($R$15,AC$15))</f>
        <v>#DIV/0!</v>
      </c>
      <c r="AD96" s="342" t="e">
        <f ca="1">-IFERROR((AD47*(12/AD$5))/HLOOKUP('Fin Output'!AD$90,Aggregated_Data!$C$1:$AL$50,31,FALSE),(AD47*(12/AD$5))/AVERAGE($R$15,AD$15))</f>
        <v>#DIV/0!</v>
      </c>
      <c r="AE96" s="342" t="e">
        <f ca="1">HLOOKUP(1,S$6:AD96,ROW(AE96)-5,FALSE)</f>
        <v>#N/A</v>
      </c>
      <c r="AF96" s="342" t="e">
        <f ca="1">-AF47/AVERAGE(HLOOKUP(1,S$6:AD$15,ROW(AE$15)-5,FALSE),HLOOKUP(1,F$6:Q$15,ROW(AE$15)-5,FALSE))</f>
        <v>#N/A</v>
      </c>
      <c r="AH96" s="340" t="str">
        <f t="shared" si="37"/>
        <v>NA</v>
      </c>
      <c r="AJ96" s="342" t="e">
        <f ca="1">-AJ47/AVERAGE(R$15,AJ$15)</f>
        <v>#DIV/0!</v>
      </c>
      <c r="AK96" s="342" t="e">
        <f ca="1">-AK47/AVERAGE(AJ$15:AK$15)</f>
        <v>#DIV/0!</v>
      </c>
      <c r="AL96" s="342" t="e">
        <f ca="1">-AL47/AVERAGE(AK$15:AL$15)</f>
        <v>#DIV/0!</v>
      </c>
      <c r="AM96" s="342" t="e">
        <f ca="1">-AM47/AVERAGE(AL$15:AM$15)</f>
        <v>#DIV/0!</v>
      </c>
      <c r="AN96" s="342" t="e">
        <f ca="1">-AN47/AVERAGE(AM$15:AN$15)</f>
        <v>#DIV/0!</v>
      </c>
      <c r="AP96" s="340" t="str">
        <f t="shared" ca="1" si="38"/>
        <v>NA</v>
      </c>
    </row>
    <row r="97" spans="1:52">
      <c r="A97" s="341" t="s">
        <v>542</v>
      </c>
      <c r="B97" s="342" t="s">
        <v>533</v>
      </c>
      <c r="C97" s="342" t="e">
        <f>-IFERROR(C52/HLOOKUP('Fin Output'!C$90,Aggregated_Data!$C$1:$AL$50,31,FALSE),C52/AVERAGE(B$15:C$15))</f>
        <v>#DIV/0!</v>
      </c>
      <c r="D97" s="342" t="e">
        <f>-IFERROR(D52/HLOOKUP('Fin Output'!D$90,Aggregated_Data!$C$1:$AL$50,31,FALSE),D52/AVERAGE(C$15:D$15))</f>
        <v>#DIV/0!</v>
      </c>
      <c r="E97" s="342" t="e">
        <f>-IFERROR(E52/HLOOKUP('Fin Output'!E$90,Aggregated_Data!$C$1:$AL$50,31,FALSE),E52/AVERAGE(D$15:E$15))</f>
        <v>#DIV/0!</v>
      </c>
      <c r="F97" s="342" t="e">
        <f ca="1">-IFERROR((F52*(12/F$5))/HLOOKUP('Fin Output'!F$90,Aggregated_Data!$C$1:$AL$50,31,FALSE),(F52*(12/F$5))/AVERAGE($E$15,F$15))</f>
        <v>#DIV/0!</v>
      </c>
      <c r="G97" s="342" t="e">
        <f ca="1">-IFERROR((G52*(12/G$5))/HLOOKUP('Fin Output'!G$90,Aggregated_Data!$C$1:$AL$50,31,FALSE),(G52*(12/G$5))/AVERAGE($E$15,G$15))</f>
        <v>#DIV/0!</v>
      </c>
      <c r="H97" s="342" t="e">
        <f ca="1">-IFERROR((H52*(12/H$5))/HLOOKUP('Fin Output'!H$90,Aggregated_Data!$C$1:$AL$50,31,FALSE),(H52*(12/H$5))/AVERAGE($E$15,H$15))</f>
        <v>#DIV/0!</v>
      </c>
      <c r="I97" s="342" t="e">
        <f ca="1">-IFERROR((I52*(12/I$5))/HLOOKUP('Fin Output'!I$90,Aggregated_Data!$C$1:$AL$50,31,FALSE),(I52*(12/I$5))/AVERAGE($E$15,I$15))</f>
        <v>#DIV/0!</v>
      </c>
      <c r="J97" s="342" t="e">
        <f ca="1">-IFERROR((J52*(12/J$5))/HLOOKUP('Fin Output'!J$90,Aggregated_Data!$C$1:$AL$50,31,FALSE),(J52*(12/J$5))/AVERAGE($E$15,J$15))</f>
        <v>#DIV/0!</v>
      </c>
      <c r="K97" s="342" t="e">
        <f ca="1">-IFERROR((K52*(12/K$5))/HLOOKUP('Fin Output'!K$90,Aggregated_Data!$C$1:$AL$50,31,FALSE),(K52*(12/K$5))/AVERAGE($E$15,K$15))</f>
        <v>#DIV/0!</v>
      </c>
      <c r="L97" s="342" t="e">
        <f ca="1">-IFERROR((L52*(12/L$5))/HLOOKUP('Fin Output'!L$90,Aggregated_Data!$C$1:$AL$50,31,FALSE),(L52*(12/L$5))/AVERAGE($E$15,L$15))</f>
        <v>#DIV/0!</v>
      </c>
      <c r="M97" s="342" t="e">
        <f ca="1">-IFERROR((M52*(12/M$5))/HLOOKUP('Fin Output'!M$90,Aggregated_Data!$C$1:$AL$50,31,FALSE),(M52*(12/M$5))/AVERAGE($E$15,M$15))</f>
        <v>#DIV/0!</v>
      </c>
      <c r="N97" s="342" t="e">
        <f ca="1">-IFERROR((N52*(12/N$5))/HLOOKUP('Fin Output'!N$90,Aggregated_Data!$C$1:$AL$50,31,FALSE),(N52*(12/N$5))/AVERAGE($E$15,N$15))</f>
        <v>#DIV/0!</v>
      </c>
      <c r="O97" s="342" t="e">
        <f ca="1">-IFERROR((O52*(12/O$5))/HLOOKUP('Fin Output'!O$90,Aggregated_Data!$C$1:$AL$50,31,FALSE),(O52*(12/O$5))/AVERAGE($E$15,O$15))</f>
        <v>#DIV/0!</v>
      </c>
      <c r="P97" s="342" t="e">
        <f ca="1">-IFERROR((P52*(12/P$5))/HLOOKUP('Fin Output'!P$90,Aggregated_Data!$C$1:$AL$50,31,FALSE),(P52*(12/P$5))/AVERAGE($E$15,P$15))</f>
        <v>#DIV/0!</v>
      </c>
      <c r="Q97" s="342" t="e">
        <f ca="1">-IFERROR((Q52*(12/Q$5))/HLOOKUP('Fin Output'!Q$90,Aggregated_Data!$C$1:$AL$50,31,FALSE),(Q52*(12/Q$5))/AVERAGE($E$15,Q$15))</f>
        <v>#DIV/0!</v>
      </c>
      <c r="R97" s="342" t="e">
        <f ca="1">-IFERROR(R52/HLOOKUP('Fin Output'!R$90,Aggregated_Data!$C$1:$AL$50,31,FALSE),R52/AVERAGE(E$15:R$15))</f>
        <v>#DIV/0!</v>
      </c>
      <c r="S97" s="342" t="e">
        <f ca="1">-IFERROR((S52*(12/S$5))/HLOOKUP('Fin Output'!S$90,Aggregated_Data!$C$1:$AL$50,31,FALSE),(S52*(12/S$5))/AVERAGE($R$15,S$15))</f>
        <v>#DIV/0!</v>
      </c>
      <c r="T97" s="342" t="e">
        <f ca="1">-IFERROR((T52*(12/T$5))/HLOOKUP('Fin Output'!T$90,Aggregated_Data!$C$1:$AL$50,31,FALSE),(T52*(12/T$5))/AVERAGE($R$15,T$15))</f>
        <v>#DIV/0!</v>
      </c>
      <c r="U97" s="342" t="e">
        <f ca="1">-IFERROR((U52*(12/U$5))/HLOOKUP('Fin Output'!U$90,Aggregated_Data!$C$1:$AL$50,31,FALSE),(U52*(12/U$5))/AVERAGE($R$15,U$15))</f>
        <v>#DIV/0!</v>
      </c>
      <c r="V97" s="342" t="e">
        <f ca="1">-IFERROR((V52*(12/V$5))/HLOOKUP('Fin Output'!V$90,Aggregated_Data!$C$1:$AL$50,31,FALSE),(V52*(12/V$5))/AVERAGE($R$15,V$15))</f>
        <v>#DIV/0!</v>
      </c>
      <c r="W97" s="342" t="e">
        <f ca="1">-IFERROR((W52*(12/W$5))/HLOOKUP('Fin Output'!W$90,Aggregated_Data!$C$1:$AL$50,31,FALSE),(W52*(12/W$5))/AVERAGE($R$15,W$15))</f>
        <v>#DIV/0!</v>
      </c>
      <c r="X97" s="342" t="e">
        <f ca="1">-IFERROR((X52*(12/X$5))/HLOOKUP('Fin Output'!X$90,Aggregated_Data!$C$1:$AL$50,31,FALSE),(X52*(12/X$5))/AVERAGE($R$15,X$15))</f>
        <v>#DIV/0!</v>
      </c>
      <c r="Y97" s="342" t="e">
        <f ca="1">-IFERROR((Y52*(12/Y$5))/HLOOKUP('Fin Output'!Y$90,Aggregated_Data!$C$1:$AL$50,31,FALSE),(Y52*(12/Y$5))/AVERAGE($R$15,Y$15))</f>
        <v>#DIV/0!</v>
      </c>
      <c r="Z97" s="342" t="e">
        <f ca="1">-IFERROR((Z52*(12/Z$5))/HLOOKUP('Fin Output'!Z$90,Aggregated_Data!$C$1:$AL$50,31,FALSE),(Z52*(12/Z$5))/AVERAGE($R$15,Z$15))</f>
        <v>#DIV/0!</v>
      </c>
      <c r="AA97" s="342" t="e">
        <f ca="1">-IFERROR((AA52*(12/AA$5))/HLOOKUP('Fin Output'!AA$90,Aggregated_Data!$C$1:$AL$50,31,FALSE),(AA52*(12/AA$5))/AVERAGE($R$15,AA$15))</f>
        <v>#DIV/0!</v>
      </c>
      <c r="AB97" s="342" t="e">
        <f ca="1">-IFERROR((AB52*(12/AB$5))/HLOOKUP('Fin Output'!AB$90,Aggregated_Data!$C$1:$AL$50,31,FALSE),(AB52*(12/AB$5))/AVERAGE($R$15,AB$15))</f>
        <v>#DIV/0!</v>
      </c>
      <c r="AC97" s="342" t="e">
        <f ca="1">-IFERROR((AC52*(12/AC$5))/HLOOKUP('Fin Output'!AC$90,Aggregated_Data!$C$1:$AL$50,31,FALSE),(AC52*(12/AC$5))/AVERAGE($R$15,AC$15))</f>
        <v>#DIV/0!</v>
      </c>
      <c r="AD97" s="342" t="e">
        <f ca="1">-IFERROR((AD52*(12/AD$5))/HLOOKUP('Fin Output'!AD$90,Aggregated_Data!$C$1:$AL$50,31,FALSE),(AD52*(12/AD$5))/AVERAGE($R$15,AD$15))</f>
        <v>#DIV/0!</v>
      </c>
      <c r="AE97" s="342" t="e">
        <f ca="1">HLOOKUP(1,S$6:AD97,ROW(AE97)-5,FALSE)</f>
        <v>#N/A</v>
      </c>
      <c r="AF97" s="342" t="e">
        <f ca="1">-AF52/AVERAGE(HLOOKUP(1,S$6:AD$15,ROW(AE$15)-5,FALSE),HLOOKUP(1,F$6:Q$15,ROW(AE$15)-5,FALSE))</f>
        <v>#N/A</v>
      </c>
      <c r="AH97" s="340" t="str">
        <f t="shared" si="37"/>
        <v>NA</v>
      </c>
      <c r="AJ97" s="342" t="e">
        <f ca="1">-AJ52/AVERAGE(R$15,AJ$15)</f>
        <v>#DIV/0!</v>
      </c>
      <c r="AK97" s="342" t="e">
        <f ca="1">-AK52/AVERAGE(AJ$15:AK$15)</f>
        <v>#DIV/0!</v>
      </c>
      <c r="AL97" s="342" t="e">
        <f ca="1">-AL52/AVERAGE(AK$15:AL$15)</f>
        <v>#DIV/0!</v>
      </c>
      <c r="AM97" s="342" t="e">
        <f ca="1">-AM52/AVERAGE(AL$15:AM$15)</f>
        <v>#DIV/0!</v>
      </c>
      <c r="AN97" s="342" t="e">
        <f ca="1">-AN52/AVERAGE(AM$15:AN$15)</f>
        <v>#DIV/0!</v>
      </c>
      <c r="AP97" s="340" t="str">
        <f t="shared" ca="1" si="38"/>
        <v>NA</v>
      </c>
    </row>
    <row r="98" spans="1:52" s="128" customFormat="1">
      <c r="A98" s="430" t="s">
        <v>538</v>
      </c>
      <c r="B98" s="529" t="s">
        <v>533</v>
      </c>
      <c r="C98" s="529" t="e">
        <f>-IFERROR(C45/(HLOOKUP('Fin Output'!C$90,Aggregated_Data!$C$1:$AL$50,34,FALSE)+HLOOKUP('Fin Output'!C$90,Aggregated_Data!$C$1:$AL$51,51,FALSE)),C45/AVERAGE(B$25+B$24,C$25+C$24))</f>
        <v>#DIV/0!</v>
      </c>
      <c r="D98" s="529" t="e">
        <f>-IFERROR(D45/(HLOOKUP('Fin Output'!D$90,Aggregated_Data!$C$1:$AL$50,34,FALSE)+HLOOKUP('Fin Output'!D$90,Aggregated_Data!$C$1:$AL$51,51,FALSE)),D45/AVERAGE(C$25+C$24,D$25+D$24))</f>
        <v>#DIV/0!</v>
      </c>
      <c r="E98" s="529" t="e">
        <f>-IFERROR(E45/(HLOOKUP('Fin Output'!E$90,Aggregated_Data!$C$1:$AL$50,34,FALSE)+HLOOKUP('Fin Output'!E$90,Aggregated_Data!$C$1:$AL$51,51,FALSE)),E45/AVERAGE(D$25+D$24,E$25+E$24))</f>
        <v>#DIV/0!</v>
      </c>
      <c r="F98" s="529" t="e">
        <f ca="1">-IFERROR((F45*(12/F$5))/(HLOOKUP('Fin Output'!F$90,Aggregated_Data!$C$1:$AL$50,34,FALSE)+HLOOKUP('Fin Output'!F$90,Aggregated_Data!$C$1:$AL$51,51,FALSE)),(F45*(12/F$5)/AVERAGE(E$25+E$24,F$25+F$24)))</f>
        <v>#DIV/0!</v>
      </c>
      <c r="G98" s="529" t="e">
        <f ca="1">-IFERROR((G45*(12/G$5))/(HLOOKUP('Fin Output'!G$90,Aggregated_Data!$C$1:$AL$50,34,FALSE)+HLOOKUP('Fin Output'!G$90,Aggregated_Data!$C$1:$AL$51,51,FALSE)),(G45*(12/G$5)/AVERAGE(F$25+F$24,G$25+G$24)))</f>
        <v>#DIV/0!</v>
      </c>
      <c r="H98" s="529" t="e">
        <f ca="1">-IFERROR((H45*(12/H$5))/(HLOOKUP('Fin Output'!H$90,Aggregated_Data!$C$1:$AL$50,34,FALSE)+HLOOKUP('Fin Output'!H$90,Aggregated_Data!$C$1:$AL$51,51,FALSE)),(H45*(12/H$5)/AVERAGE(G$25+G$24,H$25+H$24)))</f>
        <v>#DIV/0!</v>
      </c>
      <c r="I98" s="529" t="e">
        <f ca="1">-IFERROR((I45*(12/I$5))/(HLOOKUP('Fin Output'!I$90,Aggregated_Data!$C$1:$AL$50,34,FALSE)+HLOOKUP('Fin Output'!I$90,Aggregated_Data!$C$1:$AL$51,51,FALSE)),(I45*(12/I$5)/AVERAGE(H$25+H$24,I$25+I$24)))</f>
        <v>#DIV/0!</v>
      </c>
      <c r="J98" s="529" t="e">
        <f ca="1">-IFERROR((J45*(12/J$5))/(HLOOKUP('Fin Output'!J$90,Aggregated_Data!$C$1:$AL$50,34,FALSE)+HLOOKUP('Fin Output'!J$90,Aggregated_Data!$C$1:$AL$51,51,FALSE)),(J45*(12/J$5)/AVERAGE(I$25+I$24,J$25+J$24)))</f>
        <v>#DIV/0!</v>
      </c>
      <c r="K98" s="529" t="e">
        <f ca="1">-IFERROR((K45*(12/K$5))/(HLOOKUP('Fin Output'!K$90,Aggregated_Data!$C$1:$AL$50,34,FALSE)+HLOOKUP('Fin Output'!K$90,Aggregated_Data!$C$1:$AL$51,51,FALSE)),(K45*(12/K$5)/AVERAGE(J$25+J$24,K$25+K$24)))</f>
        <v>#DIV/0!</v>
      </c>
      <c r="L98" s="529" t="e">
        <f ca="1">-IFERROR((L45*(12/L$5))/(HLOOKUP('Fin Output'!L$90,Aggregated_Data!$C$1:$AL$50,34,FALSE)+HLOOKUP('Fin Output'!L$90,Aggregated_Data!$C$1:$AL$51,51,FALSE)),(L45*(12/L$5)/AVERAGE(K$25+K$24,L$25+L$24)))</f>
        <v>#DIV/0!</v>
      </c>
      <c r="M98" s="529" t="e">
        <f ca="1">-IFERROR((M45*(12/M$5))/(HLOOKUP('Fin Output'!M$90,Aggregated_Data!$C$1:$AL$50,34,FALSE)+HLOOKUP('Fin Output'!M$90,Aggregated_Data!$C$1:$AL$51,51,FALSE)),(M45*(12/M$5)/AVERAGE(L$25+L$24,M$25+M$24)))</f>
        <v>#DIV/0!</v>
      </c>
      <c r="N98" s="529" t="e">
        <f ca="1">-IFERROR((N45*(12/N$5))/(HLOOKUP('Fin Output'!N$90,Aggregated_Data!$C$1:$AL$50,34,FALSE)+HLOOKUP('Fin Output'!N$90,Aggregated_Data!$C$1:$AL$51,51,FALSE)),(N45*(12/N$5)/AVERAGE(M$25+M$24,N$25+N$24)))</f>
        <v>#DIV/0!</v>
      </c>
      <c r="O98" s="529" t="e">
        <f ca="1">-IFERROR((O45*(12/O$5))/(HLOOKUP('Fin Output'!O$90,Aggregated_Data!$C$1:$AL$50,34,FALSE)+HLOOKUP('Fin Output'!O$90,Aggregated_Data!$C$1:$AL$51,51,FALSE)),(O45*(12/O$5)/AVERAGE(N$25+N$24,O$25+O$24)))</f>
        <v>#DIV/0!</v>
      </c>
      <c r="P98" s="529" t="e">
        <f ca="1">-IFERROR((P45*(12/P$5))/(HLOOKUP('Fin Output'!P$90,Aggregated_Data!$C$1:$AL$50,34,FALSE)+HLOOKUP('Fin Output'!P$90,Aggregated_Data!$C$1:$AL$51,51,FALSE)),(P45*(12/P$5)/AVERAGE(O$25+O$24,P$25+P$24)))</f>
        <v>#DIV/0!</v>
      </c>
      <c r="Q98" s="529" t="e">
        <f ca="1">-IFERROR((Q45*(12/Q$5))/(HLOOKUP('Fin Output'!Q$90,Aggregated_Data!$C$1:$AL$50,34,FALSE)+HLOOKUP('Fin Output'!Q$90,Aggregated_Data!$C$1:$AL$51,51,FALSE)),(Q45*(12/Q$5)/AVERAGE(P$25+P$24,Q$25+Q$24)))</f>
        <v>#DIV/0!</v>
      </c>
      <c r="R98" s="529" t="e">
        <f ca="1">-IFERROR(R45/(HLOOKUP('Fin Output'!R$90,Aggregated_Data!$C$1:$AL$50,34,FALSE)+HLOOKUP('Fin Output'!R$90,Aggregated_Data!$C$1:$AL$51,51,FALSE)),R45/AVERAGE(E$25+E$24,R$25+R$24))</f>
        <v>#DIV/0!</v>
      </c>
      <c r="S98" s="529" t="e">
        <f ca="1">-IFERROR((S45*(12/S$5))/(HLOOKUP('Fin Output'!S$90,Aggregated_Data!$C$1:$AL$50,34,FALSE)+HLOOKUP('Fin Output'!S$90,Aggregated_Data!$C$1:$AL$51,51,FALSE)),(S45*(12/S$5)/AVERAGE(R$25+R$24,S$25+S$24)))</f>
        <v>#DIV/0!</v>
      </c>
      <c r="T98" s="529" t="e">
        <f ca="1">-IFERROR((T45*(12/T$5))/(HLOOKUP('Fin Output'!T$90,Aggregated_Data!$C$1:$AL$50,34,FALSE)+HLOOKUP('Fin Output'!T$90,Aggregated_Data!$C$1:$AL$51,51,FALSE)),(T45*(12/T$5)/AVERAGE(S$25+S$24,T$25+T$24)))</f>
        <v>#DIV/0!</v>
      </c>
      <c r="U98" s="529" t="e">
        <f ca="1">-IFERROR((U45*(12/U$5))/(HLOOKUP('Fin Output'!U$90,Aggregated_Data!$C$1:$AL$50,34,FALSE)+HLOOKUP('Fin Output'!U$90,Aggregated_Data!$C$1:$AL$51,51,FALSE)),(U45*(12/U$5)/AVERAGE(T$25+T$24,U$25+U$24)))</f>
        <v>#DIV/0!</v>
      </c>
      <c r="V98" s="529" t="e">
        <f ca="1">-IFERROR((V45*(12/V$5))/(HLOOKUP('Fin Output'!V$90,Aggregated_Data!$C$1:$AL$50,34,FALSE)+HLOOKUP('Fin Output'!V$90,Aggregated_Data!$C$1:$AL$51,51,FALSE)),(V45*(12/V$5)/AVERAGE(U$25+U$24,V$25+V$24)))</f>
        <v>#DIV/0!</v>
      </c>
      <c r="W98" s="529" t="e">
        <f ca="1">-IFERROR((W45*(12/W$5))/(HLOOKUP('Fin Output'!W$90,Aggregated_Data!$C$1:$AL$50,34,FALSE)+HLOOKUP('Fin Output'!W$90,Aggregated_Data!$C$1:$AL$51,51,FALSE)),(W45*(12/W$5)/AVERAGE(V$25+V$24,W$25+W$24)))</f>
        <v>#DIV/0!</v>
      </c>
      <c r="X98" s="529" t="e">
        <f ca="1">-IFERROR((X45*(12/X$5))/(HLOOKUP('Fin Output'!X$90,Aggregated_Data!$C$1:$AL$50,34,FALSE)+HLOOKUP('Fin Output'!X$90,Aggregated_Data!$C$1:$AL$51,51,FALSE)),(X45*(12/X$5)/AVERAGE(W$25+W$24,X$25+X$24)))</f>
        <v>#DIV/0!</v>
      </c>
      <c r="Y98" s="529" t="e">
        <f ca="1">-IFERROR((Y45*(12/Y$5))/(HLOOKUP('Fin Output'!Y$90,Aggregated_Data!$C$1:$AL$50,34,FALSE)+HLOOKUP('Fin Output'!Y$90,Aggregated_Data!$C$1:$AL$51,51,FALSE)),(Y45*(12/Y$5)/AVERAGE(X$25+X$24,Y$25+Y$24)))</f>
        <v>#DIV/0!</v>
      </c>
      <c r="Z98" s="529" t="e">
        <f ca="1">-IFERROR((Z45*(12/Z$5))/(HLOOKUP('Fin Output'!Z$90,Aggregated_Data!$C$1:$AL$50,34,FALSE)+HLOOKUP('Fin Output'!Z$90,Aggregated_Data!$C$1:$AL$51,51,FALSE)),(Z45*(12/Z$5)/AVERAGE(Y$25+Y$24,Z$25+Z$24)))</f>
        <v>#DIV/0!</v>
      </c>
      <c r="AA98" s="529" t="e">
        <f ca="1">-IFERROR((AA45*(12/AA$5))/(HLOOKUP('Fin Output'!AA$90,Aggregated_Data!$C$1:$AL$50,34,FALSE)+HLOOKUP('Fin Output'!AA$90,Aggregated_Data!$C$1:$AL$51,51,FALSE)),(AA45*(12/AA$5)/AVERAGE(Z$25+Z$24,AA$25+AA$24)))</f>
        <v>#DIV/0!</v>
      </c>
      <c r="AB98" s="529" t="e">
        <f ca="1">-IFERROR((AB45*(12/AB$5))/(HLOOKUP('Fin Output'!AB$90,Aggregated_Data!$C$1:$AL$50,34,FALSE)+HLOOKUP('Fin Output'!AB$90,Aggregated_Data!$C$1:$AL$51,51,FALSE)),(AB45*(12/AB$5)/AVERAGE(AA$25+AA$24,AB$25+AB$24)))</f>
        <v>#DIV/0!</v>
      </c>
      <c r="AC98" s="529" t="e">
        <f ca="1">-IFERROR((AC45*(12/AC$5))/(HLOOKUP('Fin Output'!AC$90,Aggregated_Data!$C$1:$AL$50,34,FALSE)+HLOOKUP('Fin Output'!AC$90,Aggregated_Data!$C$1:$AL$51,51,FALSE)),(AC45*(12/AC$5)/AVERAGE(AB$25+AB$24,AC$25+AC$24)))</f>
        <v>#DIV/0!</v>
      </c>
      <c r="AD98" s="529" t="e">
        <f ca="1">-IFERROR((AD45*(12/AD$5))/(HLOOKUP('Fin Output'!AD$90,Aggregated_Data!$C$1:$AL$50,34,FALSE)+HLOOKUP('Fin Output'!AD$90,Aggregated_Data!$C$1:$AL$51,51,FALSE)),(AD45*(12/AD$5)/AVERAGE(AC$25+AC$24,AD$25+AD$24)))</f>
        <v>#DIV/0!</v>
      </c>
      <c r="AE98" s="529" t="e">
        <f ca="1">HLOOKUP(1,S$6:AD98,ROW(AE98)-5,FALSE)</f>
        <v>#N/A</v>
      </c>
      <c r="AF98" s="529" t="e">
        <f ca="1">-AF45/AVERAGE(HLOOKUP(1,S$6:AD$25,ROW(AE$25)-5,FALSE),HLOOKUP(1,F$6:Q$25,ROW(AE$25)-5,FALSE))</f>
        <v>#N/A</v>
      </c>
      <c r="AH98" s="367" t="str">
        <f t="shared" si="37"/>
        <v>NA</v>
      </c>
      <c r="AJ98" s="860" t="e">
        <f ca="1">-AJ45/AVERAGE(R$25+R$24,AJ$25+AJ$24)</f>
        <v>#DIV/0!</v>
      </c>
      <c r="AK98" s="860" t="e">
        <f ca="1">-AK45/AVERAGE(AJ$25+AJ$24,AK$25+AK$24)</f>
        <v>#DIV/0!</v>
      </c>
      <c r="AL98" s="860" t="e">
        <f ca="1">-AL45/AVERAGE(AK$25+AK$24,AL$25+AL$24)</f>
        <v>#DIV/0!</v>
      </c>
      <c r="AM98" s="860" t="e">
        <f ca="1">-AM45/AVERAGE(AL$25+AL$24,AM$25+AM$24)</f>
        <v>#DIV/0!</v>
      </c>
      <c r="AN98" s="860" t="e">
        <f ca="1">-AN45/AVERAGE(AM$25+AM$24,AN$25+AN$24)</f>
        <v>#DIV/0!</v>
      </c>
      <c r="AO98" s="861"/>
      <c r="AP98" s="367" t="str">
        <f t="shared" ca="1" si="38"/>
        <v>NA</v>
      </c>
    </row>
    <row r="99" spans="1:52" s="396" customFormat="1">
      <c r="A99" s="341" t="s">
        <v>545</v>
      </c>
      <c r="B99" s="342" t="str">
        <f t="shared" ref="B99:AF99" si="40">B54</f>
        <v/>
      </c>
      <c r="C99" s="342" t="str">
        <f t="shared" si="40"/>
        <v/>
      </c>
      <c r="D99" s="342" t="str">
        <f t="shared" si="40"/>
        <v/>
      </c>
      <c r="E99" s="342" t="str">
        <f t="shared" si="40"/>
        <v/>
      </c>
      <c r="F99" s="342" t="str">
        <f t="shared" ca="1" si="40"/>
        <v/>
      </c>
      <c r="G99" s="342" t="str">
        <f t="shared" ca="1" si="40"/>
        <v/>
      </c>
      <c r="H99" s="342" t="str">
        <f t="shared" ca="1" si="40"/>
        <v/>
      </c>
      <c r="I99" s="342" t="str">
        <f t="shared" ca="1" si="40"/>
        <v/>
      </c>
      <c r="J99" s="342" t="str">
        <f t="shared" ca="1" si="40"/>
        <v/>
      </c>
      <c r="K99" s="342" t="str">
        <f t="shared" ca="1" si="40"/>
        <v/>
      </c>
      <c r="L99" s="342" t="str">
        <f t="shared" ca="1" si="40"/>
        <v/>
      </c>
      <c r="M99" s="342" t="str">
        <f t="shared" ca="1" si="40"/>
        <v/>
      </c>
      <c r="N99" s="342" t="str">
        <f t="shared" ca="1" si="40"/>
        <v/>
      </c>
      <c r="O99" s="342" t="str">
        <f t="shared" ca="1" si="40"/>
        <v/>
      </c>
      <c r="P99" s="342" t="str">
        <f t="shared" ca="1" si="40"/>
        <v/>
      </c>
      <c r="Q99" s="342" t="str">
        <f t="shared" ca="1" si="40"/>
        <v/>
      </c>
      <c r="R99" s="342" t="str">
        <f t="shared" ca="1" si="40"/>
        <v/>
      </c>
      <c r="S99" s="342" t="str">
        <f t="shared" ca="1" si="40"/>
        <v/>
      </c>
      <c r="T99" s="342" t="str">
        <f t="shared" ca="1" si="40"/>
        <v/>
      </c>
      <c r="U99" s="342" t="str">
        <f t="shared" ca="1" si="40"/>
        <v/>
      </c>
      <c r="V99" s="342" t="str">
        <f t="shared" ca="1" si="40"/>
        <v/>
      </c>
      <c r="W99" s="342" t="str">
        <f t="shared" ca="1" si="40"/>
        <v/>
      </c>
      <c r="X99" s="342" t="str">
        <f t="shared" ca="1" si="40"/>
        <v/>
      </c>
      <c r="Y99" s="342" t="str">
        <f t="shared" ca="1" si="40"/>
        <v/>
      </c>
      <c r="Z99" s="342" t="str">
        <f t="shared" ca="1" si="40"/>
        <v/>
      </c>
      <c r="AA99" s="342" t="str">
        <f t="shared" ca="1" si="40"/>
        <v/>
      </c>
      <c r="AB99" s="342" t="str">
        <f t="shared" ca="1" si="40"/>
        <v/>
      </c>
      <c r="AC99" s="342" t="str">
        <f t="shared" ca="1" si="40"/>
        <v/>
      </c>
      <c r="AD99" s="342" t="str">
        <f t="shared" ca="1" si="40"/>
        <v/>
      </c>
      <c r="AE99" s="342" t="e">
        <f t="shared" ca="1" si="40"/>
        <v>#N/A</v>
      </c>
      <c r="AF99" s="342" t="e">
        <f t="shared" ca="1" si="40"/>
        <v>#N/A</v>
      </c>
      <c r="AH99" s="340" t="str">
        <f t="shared" ca="1" si="37"/>
        <v>NA</v>
      </c>
      <c r="AJ99" s="342" t="e">
        <f ca="1">AJ54</f>
        <v>#DIV/0!</v>
      </c>
      <c r="AK99" s="342" t="e">
        <f ca="1">AK54</f>
        <v>#DIV/0!</v>
      </c>
      <c r="AL99" s="342" t="e">
        <f ca="1">AL54</f>
        <v>#DIV/0!</v>
      </c>
      <c r="AM99" s="342" t="e">
        <f ca="1">AM54</f>
        <v>#DIV/0!</v>
      </c>
      <c r="AN99" s="342" t="e">
        <f ca="1">AN54</f>
        <v>#DIV/0!</v>
      </c>
      <c r="AP99" s="340" t="str">
        <f t="shared" ca="1" si="38"/>
        <v>NA</v>
      </c>
    </row>
    <row r="100" spans="1:52" s="396" customFormat="1">
      <c r="A100" s="341" t="s">
        <v>565</v>
      </c>
      <c r="B100" s="342" t="str">
        <f>B64</f>
        <v/>
      </c>
      <c r="C100" s="342" t="str">
        <f>C64</f>
        <v/>
      </c>
      <c r="D100" s="904" t="str">
        <f t="shared" ref="D100:AF100" si="41">D64</f>
        <v/>
      </c>
      <c r="E100" s="342" t="str">
        <f t="shared" si="41"/>
        <v/>
      </c>
      <c r="F100" s="342" t="str">
        <f t="shared" ca="1" si="41"/>
        <v/>
      </c>
      <c r="G100" s="342" t="str">
        <f t="shared" ca="1" si="41"/>
        <v/>
      </c>
      <c r="H100" s="342" t="str">
        <f t="shared" ca="1" si="41"/>
        <v/>
      </c>
      <c r="I100" s="342" t="str">
        <f t="shared" ca="1" si="41"/>
        <v/>
      </c>
      <c r="J100" s="342" t="str">
        <f t="shared" ca="1" si="41"/>
        <v/>
      </c>
      <c r="K100" s="342" t="str">
        <f t="shared" ca="1" si="41"/>
        <v/>
      </c>
      <c r="L100" s="342" t="str">
        <f t="shared" ca="1" si="41"/>
        <v/>
      </c>
      <c r="M100" s="342" t="str">
        <f t="shared" ca="1" si="41"/>
        <v/>
      </c>
      <c r="N100" s="342" t="str">
        <f t="shared" ca="1" si="41"/>
        <v/>
      </c>
      <c r="O100" s="342" t="str">
        <f t="shared" ca="1" si="41"/>
        <v/>
      </c>
      <c r="P100" s="342" t="str">
        <f t="shared" ca="1" si="41"/>
        <v/>
      </c>
      <c r="Q100" s="342" t="str">
        <f t="shared" ca="1" si="41"/>
        <v/>
      </c>
      <c r="R100" s="342" t="str">
        <f t="shared" ca="1" si="41"/>
        <v/>
      </c>
      <c r="S100" s="342" t="str">
        <f t="shared" ca="1" si="41"/>
        <v/>
      </c>
      <c r="T100" s="342" t="str">
        <f t="shared" ca="1" si="41"/>
        <v/>
      </c>
      <c r="U100" s="342" t="str">
        <f t="shared" ca="1" si="41"/>
        <v/>
      </c>
      <c r="V100" s="342" t="str">
        <f t="shared" ca="1" si="41"/>
        <v/>
      </c>
      <c r="W100" s="342" t="str">
        <f t="shared" ca="1" si="41"/>
        <v/>
      </c>
      <c r="X100" s="342" t="str">
        <f t="shared" ca="1" si="41"/>
        <v/>
      </c>
      <c r="Y100" s="342" t="str">
        <f t="shared" ca="1" si="41"/>
        <v/>
      </c>
      <c r="Z100" s="342" t="str">
        <f t="shared" ca="1" si="41"/>
        <v/>
      </c>
      <c r="AA100" s="342" t="str">
        <f t="shared" ca="1" si="41"/>
        <v/>
      </c>
      <c r="AB100" s="342" t="str">
        <f t="shared" ca="1" si="41"/>
        <v/>
      </c>
      <c r="AC100" s="342" t="str">
        <f t="shared" ca="1" si="41"/>
        <v/>
      </c>
      <c r="AD100" s="342" t="str">
        <f t="shared" ca="1" si="41"/>
        <v/>
      </c>
      <c r="AE100" s="342" t="e">
        <f t="shared" ca="1" si="41"/>
        <v>#N/A</v>
      </c>
      <c r="AF100" s="342" t="e">
        <f t="shared" ca="1" si="41"/>
        <v>#N/A</v>
      </c>
      <c r="AH100" s="340" t="str">
        <f t="shared" ca="1" si="37"/>
        <v>NA</v>
      </c>
      <c r="AJ100" s="342" t="e">
        <f ca="1">AJ64</f>
        <v>#DIV/0!</v>
      </c>
      <c r="AK100" s="342" t="e">
        <f ca="1">AK64</f>
        <v>#DIV/0!</v>
      </c>
      <c r="AL100" s="342" t="e">
        <f ca="1">AL64</f>
        <v>#DIV/0!</v>
      </c>
      <c r="AM100" s="342" t="e">
        <f ca="1">AM64</f>
        <v>#DIV/0!</v>
      </c>
      <c r="AN100" s="342" t="e">
        <f ca="1">AN64</f>
        <v>#DIV/0!</v>
      </c>
      <c r="AP100" s="340" t="str">
        <f t="shared" ca="1" si="38"/>
        <v>NA</v>
      </c>
    </row>
    <row r="101" spans="1:52" s="396" customFormat="1">
      <c r="A101" s="341" t="s">
        <v>82</v>
      </c>
      <c r="B101" s="342" t="str">
        <f>B73</f>
        <v/>
      </c>
      <c r="C101" s="342" t="str">
        <f t="shared" ref="C101:AF101" si="42">C73</f>
        <v/>
      </c>
      <c r="D101" s="342" t="str">
        <f t="shared" si="42"/>
        <v/>
      </c>
      <c r="E101" s="342" t="str">
        <f t="shared" si="42"/>
        <v/>
      </c>
      <c r="F101" s="342" t="str">
        <f t="shared" ca="1" si="42"/>
        <v/>
      </c>
      <c r="G101" s="342" t="str">
        <f t="shared" ca="1" si="42"/>
        <v/>
      </c>
      <c r="H101" s="342" t="str">
        <f t="shared" ca="1" si="42"/>
        <v/>
      </c>
      <c r="I101" s="342" t="str">
        <f t="shared" ca="1" si="42"/>
        <v/>
      </c>
      <c r="J101" s="342" t="str">
        <f t="shared" ca="1" si="42"/>
        <v/>
      </c>
      <c r="K101" s="342" t="str">
        <f t="shared" ca="1" si="42"/>
        <v/>
      </c>
      <c r="L101" s="342" t="str">
        <f t="shared" ca="1" si="42"/>
        <v/>
      </c>
      <c r="M101" s="342" t="str">
        <f t="shared" ca="1" si="42"/>
        <v/>
      </c>
      <c r="N101" s="342" t="str">
        <f t="shared" ca="1" si="42"/>
        <v/>
      </c>
      <c r="O101" s="342" t="str">
        <f t="shared" ca="1" si="42"/>
        <v/>
      </c>
      <c r="P101" s="342" t="str">
        <f t="shared" ca="1" si="42"/>
        <v/>
      </c>
      <c r="Q101" s="342" t="str">
        <f t="shared" ca="1" si="42"/>
        <v/>
      </c>
      <c r="R101" s="342" t="str">
        <f t="shared" ca="1" si="42"/>
        <v/>
      </c>
      <c r="S101" s="342" t="str">
        <f t="shared" ca="1" si="42"/>
        <v/>
      </c>
      <c r="T101" s="342" t="str">
        <f t="shared" ca="1" si="42"/>
        <v/>
      </c>
      <c r="U101" s="342" t="str">
        <f t="shared" ca="1" si="42"/>
        <v/>
      </c>
      <c r="V101" s="342" t="str">
        <f t="shared" ca="1" si="42"/>
        <v/>
      </c>
      <c r="W101" s="342" t="str">
        <f t="shared" ca="1" si="42"/>
        <v/>
      </c>
      <c r="X101" s="342" t="str">
        <f t="shared" ca="1" si="42"/>
        <v/>
      </c>
      <c r="Y101" s="342" t="str">
        <f t="shared" ca="1" si="42"/>
        <v/>
      </c>
      <c r="Z101" s="342" t="str">
        <f t="shared" ca="1" si="42"/>
        <v/>
      </c>
      <c r="AA101" s="342" t="str">
        <f t="shared" ca="1" si="42"/>
        <v/>
      </c>
      <c r="AB101" s="342" t="str">
        <f t="shared" ca="1" si="42"/>
        <v/>
      </c>
      <c r="AC101" s="342" t="str">
        <f t="shared" ca="1" si="42"/>
        <v/>
      </c>
      <c r="AD101" s="342" t="str">
        <f t="shared" ca="1" si="42"/>
        <v/>
      </c>
      <c r="AE101" s="342" t="e">
        <f t="shared" ca="1" si="42"/>
        <v>#N/A</v>
      </c>
      <c r="AF101" s="342" t="e">
        <f t="shared" ca="1" si="42"/>
        <v>#N/A</v>
      </c>
      <c r="AH101" s="340" t="str">
        <f t="shared" ca="1" si="37"/>
        <v>NA</v>
      </c>
      <c r="AJ101" s="342" t="e">
        <f ca="1">AJ73</f>
        <v>#DIV/0!</v>
      </c>
      <c r="AK101" s="342" t="e">
        <f ca="1">AK73</f>
        <v>#DIV/0!</v>
      </c>
      <c r="AL101" s="342" t="e">
        <f ca="1">AL73</f>
        <v>#DIV/0!</v>
      </c>
      <c r="AM101" s="342" t="e">
        <f ca="1">AM73</f>
        <v>#DIV/0!</v>
      </c>
      <c r="AN101" s="342" t="e">
        <f ca="1">AN73</f>
        <v>#DIV/0!</v>
      </c>
      <c r="AP101" s="340" t="str">
        <f t="shared" ca="1" si="38"/>
        <v>NA</v>
      </c>
    </row>
    <row r="102" spans="1:52">
      <c r="A102" s="372"/>
      <c r="B102" s="372"/>
      <c r="C102" s="372"/>
      <c r="D102" s="372"/>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c r="AA102" s="372"/>
      <c r="AB102" s="372"/>
      <c r="AC102" s="372"/>
      <c r="AD102" s="372"/>
      <c r="AE102" s="372"/>
      <c r="AF102" s="372"/>
      <c r="AH102" s="373"/>
      <c r="AJ102" s="372"/>
      <c r="AK102" s="372"/>
      <c r="AL102" s="374"/>
      <c r="AM102" s="375"/>
      <c r="AN102" s="375"/>
      <c r="AP102" s="373"/>
    </row>
    <row r="103" spans="1:52" s="392" customFormat="1" ht="24" customHeight="1">
      <c r="A103" s="397"/>
      <c r="B103" s="398"/>
      <c r="C103" s="398"/>
      <c r="D103" s="398"/>
      <c r="E103" s="398"/>
      <c r="F103" s="398"/>
      <c r="G103" s="398"/>
      <c r="H103" s="398"/>
      <c r="I103" s="398"/>
      <c r="J103" s="398"/>
      <c r="K103" s="398"/>
      <c r="L103" s="398"/>
      <c r="M103" s="398"/>
      <c r="N103" s="398"/>
      <c r="O103" s="398"/>
      <c r="P103" s="398"/>
      <c r="Q103" s="398"/>
      <c r="R103" s="399"/>
      <c r="S103" s="399"/>
      <c r="T103" s="399"/>
      <c r="U103" s="399"/>
      <c r="V103" s="399"/>
      <c r="W103" s="399"/>
      <c r="X103" s="399"/>
      <c r="Y103" s="399"/>
      <c r="Z103" s="399"/>
      <c r="AA103" s="399"/>
      <c r="AB103" s="399"/>
      <c r="AC103" s="399"/>
      <c r="AD103" s="399"/>
      <c r="AE103" s="399"/>
      <c r="AF103" s="399"/>
      <c r="AG103" s="399"/>
      <c r="AH103" s="393"/>
      <c r="AO103" s="399"/>
      <c r="AP103" s="393"/>
      <c r="AQ103" s="399"/>
      <c r="AR103" s="399"/>
      <c r="AS103" s="399"/>
      <c r="AT103" s="400"/>
      <c r="AU103" s="400"/>
      <c r="AV103" s="400"/>
      <c r="AW103" s="400"/>
      <c r="AX103" s="400"/>
      <c r="AY103" s="400"/>
      <c r="AZ103" s="400"/>
    </row>
    <row r="104" spans="1:52" ht="15" outlineLevel="1">
      <c r="A104" s="401"/>
      <c r="AH104" s="126"/>
      <c r="AL104" s="126"/>
      <c r="AM104" s="126"/>
      <c r="AN104" s="126"/>
      <c r="AO104" s="126"/>
      <c r="AP104" s="126"/>
    </row>
    <row r="105" spans="1:52" outlineLevel="1">
      <c r="A105" s="360" t="str">
        <f>'Hist &amp; Proj'!A100</f>
        <v>ASSET / LIABILITY MATURITY SCHEDULE</v>
      </c>
      <c r="S105" s="362">
        <f t="shared" ref="S105:AD105" ca="1" si="43">S$7</f>
        <v>31</v>
      </c>
      <c r="T105" s="362">
        <f t="shared" ca="1" si="43"/>
        <v>59</v>
      </c>
      <c r="U105" s="362">
        <f t="shared" ca="1" si="43"/>
        <v>91</v>
      </c>
      <c r="V105" s="362">
        <f t="shared" ca="1" si="43"/>
        <v>121</v>
      </c>
      <c r="W105" s="362">
        <f t="shared" ca="1" si="43"/>
        <v>152</v>
      </c>
      <c r="X105" s="362">
        <f t="shared" ca="1" si="43"/>
        <v>182</v>
      </c>
      <c r="Y105" s="362">
        <f t="shared" ca="1" si="43"/>
        <v>213</v>
      </c>
      <c r="Z105" s="362">
        <f t="shared" ca="1" si="43"/>
        <v>244</v>
      </c>
      <c r="AA105" s="362">
        <f t="shared" ca="1" si="43"/>
        <v>274</v>
      </c>
      <c r="AB105" s="362">
        <f t="shared" ca="1" si="43"/>
        <v>305</v>
      </c>
      <c r="AC105" s="362">
        <f t="shared" ca="1" si="43"/>
        <v>335</v>
      </c>
      <c r="AD105" s="362">
        <f t="shared" ca="1" si="43"/>
        <v>366</v>
      </c>
      <c r="AH105" s="126"/>
      <c r="AJ105" s="760">
        <f ca="1">AJ$7</f>
        <v>694327</v>
      </c>
      <c r="AK105" s="760">
        <f ca="1">AK$7</f>
        <v>694692</v>
      </c>
      <c r="AL105" s="760">
        <f ca="1">AL$7</f>
        <v>695057</v>
      </c>
      <c r="AM105" s="760">
        <f ca="1">AM$7</f>
        <v>695422</v>
      </c>
      <c r="AN105" s="760">
        <f ca="1">AN$7</f>
        <v>695787</v>
      </c>
      <c r="AP105" s="126"/>
    </row>
    <row r="106" spans="1:52" s="403" customFormat="1" outlineLevel="1">
      <c r="A106" s="349" t="str">
        <f>'Hist &amp; Proj'!A103</f>
        <v>Assets</v>
      </c>
      <c r="B106" s="126"/>
      <c r="C106" s="126"/>
      <c r="D106" s="126"/>
      <c r="E106" s="126"/>
      <c r="F106" s="126"/>
      <c r="G106" s="126"/>
      <c r="H106" s="126"/>
      <c r="I106" s="126"/>
      <c r="J106" s="126"/>
      <c r="K106" s="126"/>
      <c r="L106" s="126"/>
      <c r="M106" s="126"/>
      <c r="N106" s="126"/>
      <c r="O106" s="126"/>
      <c r="P106" s="126"/>
      <c r="Q106" s="126"/>
      <c r="R106" s="126"/>
      <c r="S106" s="181">
        <f>IF(OR(Assump!$A$7="USD",Assump!$A$7="EURO"),'Hist &amp; Proj'!S103/'Hist &amp; Proj'!S$8,'Hist &amp; Proj'!S103)</f>
        <v>0</v>
      </c>
      <c r="T106" s="181">
        <f>IF(OR(Assump!$A$7="USD",Assump!$A$7="EURO"),'Hist &amp; Proj'!T103/'Hist &amp; Proj'!T$8,'Hist &amp; Proj'!T103)</f>
        <v>0</v>
      </c>
      <c r="U106" s="181">
        <f>IF(OR(Assump!$A$7="USD",Assump!$A$7="EURO"),'Hist &amp; Proj'!U103/'Hist &amp; Proj'!U$8,'Hist &amp; Proj'!U103)</f>
        <v>0</v>
      </c>
      <c r="V106" s="181">
        <f>IF(OR(Assump!$A$7="USD",Assump!$A$7="EURO"),'Hist &amp; Proj'!V103/'Hist &amp; Proj'!V$8,'Hist &amp; Proj'!V103)</f>
        <v>0</v>
      </c>
      <c r="W106" s="181">
        <f>IF(OR(Assump!$A$7="USD",Assump!$A$7="EURO"),'Hist &amp; Proj'!W103/'Hist &amp; Proj'!W$8,'Hist &amp; Proj'!W103)</f>
        <v>0</v>
      </c>
      <c r="X106" s="181">
        <f>IF(OR(Assump!$A$7="USD",Assump!$A$7="EURO"),'Hist &amp; Proj'!X103/'Hist &amp; Proj'!X$8,'Hist &amp; Proj'!X103)</f>
        <v>0</v>
      </c>
      <c r="Y106" s="181">
        <f>IF(OR(Assump!$A$7="USD",Assump!$A$7="EURO"),'Hist &amp; Proj'!Y103/'Hist &amp; Proj'!Y$8,'Hist &amp; Proj'!Y103)</f>
        <v>0</v>
      </c>
      <c r="Z106" s="181">
        <f>IF(OR(Assump!$A$7="USD",Assump!$A$7="EURO"),'Hist &amp; Proj'!Z103/'Hist &amp; Proj'!Z$8,'Hist &amp; Proj'!Z103)</f>
        <v>0</v>
      </c>
      <c r="AA106" s="181">
        <f>IF(OR(Assump!$A$7="USD",Assump!$A$7="EURO"),'Hist &amp; Proj'!AA103/'Hist &amp; Proj'!AA$8,'Hist &amp; Proj'!AA103)</f>
        <v>0</v>
      </c>
      <c r="AB106" s="181">
        <f>IF(OR(Assump!$A$7="USD",Assump!$A$7="EURO"),'Hist &amp; Proj'!AB103/'Hist &amp; Proj'!AB$8,'Hist &amp; Proj'!AB103)</f>
        <v>0</v>
      </c>
      <c r="AC106" s="181">
        <f>IF(OR(Assump!$A$7="USD",Assump!$A$7="EURO"),'Hist &amp; Proj'!AC103/'Hist &amp; Proj'!AC$8,'Hist &amp; Proj'!AC103)</f>
        <v>0</v>
      </c>
      <c r="AD106" s="181">
        <f>IF(OR(Assump!$A$7="USD",Assump!$A$7="EURO"),'Hist &amp; Proj'!AD103/'Hist &amp; Proj'!AD$8,'Hist &amp; Proj'!AD103)</f>
        <v>0</v>
      </c>
      <c r="AE106" s="355"/>
      <c r="AF106" s="355"/>
      <c r="AG106" s="402"/>
      <c r="AH106" s="402"/>
      <c r="AI106" s="402"/>
      <c r="AJ106" s="181">
        <f ca="1">Assump!AJ43</f>
        <v>0</v>
      </c>
      <c r="AK106" s="181">
        <f ca="1">Assump!AK43</f>
        <v>0</v>
      </c>
      <c r="AL106" s="181">
        <f ca="1">Assump!AL43</f>
        <v>0</v>
      </c>
      <c r="AM106" s="181">
        <f ca="1">Assump!AM43</f>
        <v>0</v>
      </c>
      <c r="AN106" s="181">
        <f ca="1">Assump!AN43</f>
        <v>0</v>
      </c>
      <c r="AO106" s="402"/>
      <c r="AP106" s="402"/>
      <c r="AQ106" s="402"/>
      <c r="AR106" s="402"/>
      <c r="AS106" s="402"/>
      <c r="AT106" s="172"/>
      <c r="AU106" s="402"/>
      <c r="AV106" s="402"/>
      <c r="AW106" s="402"/>
      <c r="AX106" s="402"/>
      <c r="AY106" s="402"/>
      <c r="AZ106" s="172"/>
    </row>
    <row r="107" spans="1:52" s="170" customFormat="1" outlineLevel="1">
      <c r="A107" s="348" t="str">
        <f>'Hist &amp; Proj'!A104</f>
        <v>Loan Portfolio</v>
      </c>
      <c r="B107" s="126"/>
      <c r="C107" s="126"/>
      <c r="D107" s="126"/>
      <c r="E107" s="126"/>
      <c r="F107" s="126"/>
      <c r="G107" s="126"/>
      <c r="H107" s="126"/>
      <c r="I107" s="126"/>
      <c r="J107" s="126"/>
      <c r="K107" s="126"/>
      <c r="L107" s="126"/>
      <c r="M107" s="126"/>
      <c r="N107" s="126"/>
      <c r="O107" s="126"/>
      <c r="P107" s="126"/>
      <c r="Q107" s="126"/>
      <c r="R107" s="126"/>
      <c r="S107" s="181">
        <f>IF(OR(Assump!$A$7="USD",Assump!$A$7="EURO"),'Hist &amp; Proj'!S104/'Hist &amp; Proj'!S$8,'Hist &amp; Proj'!S104)</f>
        <v>0</v>
      </c>
      <c r="T107" s="181">
        <f>IF(OR(Assump!$A$7="USD",Assump!$A$7="EURO"),'Hist &amp; Proj'!T104/'Hist &amp; Proj'!T$8,'Hist &amp; Proj'!T104)</f>
        <v>0</v>
      </c>
      <c r="U107" s="181">
        <f>IF(OR(Assump!$A$7="USD",Assump!$A$7="EURO"),'Hist &amp; Proj'!U104/'Hist &amp; Proj'!U$8,'Hist &amp; Proj'!U104)</f>
        <v>0</v>
      </c>
      <c r="V107" s="181">
        <f>IF(OR(Assump!$A$7="USD",Assump!$A$7="EURO"),'Hist &amp; Proj'!V104/'Hist &amp; Proj'!V$8,'Hist &amp; Proj'!V104)</f>
        <v>0</v>
      </c>
      <c r="W107" s="181">
        <f>IF(OR(Assump!$A$7="USD",Assump!$A$7="EURO"),'Hist &amp; Proj'!W104/'Hist &amp; Proj'!W$8,'Hist &amp; Proj'!W104)</f>
        <v>0</v>
      </c>
      <c r="X107" s="181">
        <f>IF(OR(Assump!$A$7="USD",Assump!$A$7="EURO"),'Hist &amp; Proj'!X104/'Hist &amp; Proj'!X$8,'Hist &amp; Proj'!X104)</f>
        <v>0</v>
      </c>
      <c r="Y107" s="181">
        <f>IF(OR(Assump!$A$7="USD",Assump!$A$7="EURO"),'Hist &amp; Proj'!Y104/'Hist &amp; Proj'!Y$8,'Hist &amp; Proj'!Y104)</f>
        <v>0</v>
      </c>
      <c r="Z107" s="181">
        <f>IF(OR(Assump!$A$7="USD",Assump!$A$7="EURO"),'Hist &amp; Proj'!Z104/'Hist &amp; Proj'!Z$8,'Hist &amp; Proj'!Z104)</f>
        <v>0</v>
      </c>
      <c r="AA107" s="181">
        <f>IF(OR(Assump!$A$7="USD",Assump!$A$7="EURO"),'Hist &amp; Proj'!AA104/'Hist &amp; Proj'!AA$8,'Hist &amp; Proj'!AA104)</f>
        <v>0</v>
      </c>
      <c r="AB107" s="181">
        <f>IF(OR(Assump!$A$7="USD",Assump!$A$7="EURO"),'Hist &amp; Proj'!AB104/'Hist &amp; Proj'!AB$8,'Hist &amp; Proj'!AB104)</f>
        <v>0</v>
      </c>
      <c r="AC107" s="181">
        <f>IF(OR(Assump!$A$7="USD",Assump!$A$7="EURO"),'Hist &amp; Proj'!AC104/'Hist &amp; Proj'!AC$8,'Hist &amp; Proj'!AC104)</f>
        <v>0</v>
      </c>
      <c r="AD107" s="181">
        <f>IF(OR(Assump!$A$7="USD",Assump!$A$7="EURO"),'Hist &amp; Proj'!AD104/'Hist &amp; Proj'!AD$8,'Hist &amp; Proj'!AD104)</f>
        <v>0</v>
      </c>
      <c r="AE107" s="126"/>
      <c r="AF107" s="126"/>
      <c r="AG107" s="404"/>
      <c r="AH107" s="404"/>
      <c r="AI107" s="404"/>
      <c r="AJ107" s="181">
        <f ca="1">Assump!AJ44</f>
        <v>0</v>
      </c>
      <c r="AK107" s="181">
        <f ca="1">Assump!AK44</f>
        <v>0</v>
      </c>
      <c r="AL107" s="181">
        <f ca="1">Assump!AL44</f>
        <v>0</v>
      </c>
      <c r="AM107" s="181">
        <f ca="1">Assump!AM44</f>
        <v>0</v>
      </c>
      <c r="AN107" s="181">
        <f ca="1">Assump!AN44</f>
        <v>0</v>
      </c>
      <c r="AO107" s="404"/>
      <c r="AP107" s="404"/>
      <c r="AQ107" s="404"/>
      <c r="AR107" s="404"/>
      <c r="AS107" s="404"/>
      <c r="AT107" s="127"/>
      <c r="AU107" s="404"/>
      <c r="AV107" s="404"/>
      <c r="AW107" s="404"/>
      <c r="AX107" s="404"/>
      <c r="AY107" s="404"/>
      <c r="AZ107" s="127"/>
    </row>
    <row r="108" spans="1:52" s="170" customFormat="1" outlineLevel="1">
      <c r="A108" s="348" t="str">
        <f>'Hist &amp; Proj'!A105</f>
        <v>Other Assets</v>
      </c>
      <c r="B108" s="126"/>
      <c r="C108" s="126"/>
      <c r="D108" s="126"/>
      <c r="E108" s="126"/>
      <c r="F108" s="126"/>
      <c r="G108" s="126"/>
      <c r="H108" s="126"/>
      <c r="I108" s="126"/>
      <c r="J108" s="126"/>
      <c r="K108" s="126"/>
      <c r="L108" s="126"/>
      <c r="M108" s="126"/>
      <c r="N108" s="126"/>
      <c r="O108" s="126"/>
      <c r="P108" s="126"/>
      <c r="Q108" s="126"/>
      <c r="R108" s="126"/>
      <c r="S108" s="181">
        <f>IF(OR(Assump!$A$7="USD",Assump!$A$7="EURO"),'Hist &amp; Proj'!S105/'Hist &amp; Proj'!S$8,'Hist &amp; Proj'!S105)</f>
        <v>0</v>
      </c>
      <c r="T108" s="181">
        <f>IF(OR(Assump!$A$7="USD",Assump!$A$7="EURO"),'Hist &amp; Proj'!T105/'Hist &amp; Proj'!T$8,'Hist &amp; Proj'!T105)</f>
        <v>0</v>
      </c>
      <c r="U108" s="181">
        <f>IF(OR(Assump!$A$7="USD",Assump!$A$7="EURO"),'Hist &amp; Proj'!U105/'Hist &amp; Proj'!U$8,'Hist &amp; Proj'!U105)</f>
        <v>0</v>
      </c>
      <c r="V108" s="181">
        <f>IF(OR(Assump!$A$7="USD",Assump!$A$7="EURO"),'Hist &amp; Proj'!V105/'Hist &amp; Proj'!V$8,'Hist &amp; Proj'!V105)</f>
        <v>0</v>
      </c>
      <c r="W108" s="181">
        <f>IF(OR(Assump!$A$7="USD",Assump!$A$7="EURO"),'Hist &amp; Proj'!W105/'Hist &amp; Proj'!W$8,'Hist &amp; Proj'!W105)</f>
        <v>0</v>
      </c>
      <c r="X108" s="181">
        <f>IF(OR(Assump!$A$7="USD",Assump!$A$7="EURO"),'Hist &amp; Proj'!X105/'Hist &amp; Proj'!X$8,'Hist &amp; Proj'!X105)</f>
        <v>0</v>
      </c>
      <c r="Y108" s="181">
        <f>IF(OR(Assump!$A$7="USD",Assump!$A$7="EURO"),'Hist &amp; Proj'!Y105/'Hist &amp; Proj'!Y$8,'Hist &amp; Proj'!Y105)</f>
        <v>0</v>
      </c>
      <c r="Z108" s="181">
        <f>IF(OR(Assump!$A$7="USD",Assump!$A$7="EURO"),'Hist &amp; Proj'!Z105/'Hist &amp; Proj'!Z$8,'Hist &amp; Proj'!Z105)</f>
        <v>0</v>
      </c>
      <c r="AA108" s="181">
        <f>IF(OR(Assump!$A$7="USD",Assump!$A$7="EURO"),'Hist &amp; Proj'!AA105/'Hist &amp; Proj'!AA$8,'Hist &amp; Proj'!AA105)</f>
        <v>0</v>
      </c>
      <c r="AB108" s="181">
        <f>IF(OR(Assump!$A$7="USD",Assump!$A$7="EURO"),'Hist &amp; Proj'!AB105/'Hist &amp; Proj'!AB$8,'Hist &amp; Proj'!AB105)</f>
        <v>0</v>
      </c>
      <c r="AC108" s="181">
        <f>IF(OR(Assump!$A$7="USD",Assump!$A$7="EURO"),'Hist &amp; Proj'!AC105/'Hist &amp; Proj'!AC$8,'Hist &amp; Proj'!AC105)</f>
        <v>0</v>
      </c>
      <c r="AD108" s="181">
        <f>IF(OR(Assump!$A$7="USD",Assump!$A$7="EURO"),'Hist &amp; Proj'!AD105/'Hist &amp; Proj'!AD$8,'Hist &amp; Proj'!AD105)</f>
        <v>0</v>
      </c>
      <c r="AE108" s="126"/>
      <c r="AF108" s="126"/>
      <c r="AG108" s="404"/>
      <c r="AH108" s="404"/>
      <c r="AI108" s="404"/>
      <c r="AJ108" s="181">
        <f ca="1">Assump!AJ45</f>
        <v>0</v>
      </c>
      <c r="AK108" s="181">
        <f ca="1">Assump!AK45</f>
        <v>0</v>
      </c>
      <c r="AL108" s="181">
        <f ca="1">Assump!AL45</f>
        <v>0</v>
      </c>
      <c r="AM108" s="181">
        <f ca="1">Assump!AM45</f>
        <v>0</v>
      </c>
      <c r="AN108" s="181">
        <f ca="1">Assump!AN45</f>
        <v>0</v>
      </c>
      <c r="AO108" s="404"/>
      <c r="AP108" s="404"/>
      <c r="AQ108" s="404"/>
      <c r="AR108" s="404"/>
      <c r="AS108" s="404"/>
      <c r="AT108" s="127"/>
      <c r="AU108" s="404"/>
      <c r="AV108" s="404"/>
      <c r="AW108" s="404"/>
      <c r="AX108" s="404"/>
      <c r="AY108" s="404"/>
      <c r="AZ108" s="127"/>
    </row>
    <row r="109" spans="1:52" s="403" customFormat="1" outlineLevel="1">
      <c r="A109" s="349" t="str">
        <f>'Hist &amp; Proj'!A106</f>
        <v>Liabilities</v>
      </c>
      <c r="B109" s="126"/>
      <c r="C109" s="126"/>
      <c r="D109" s="126"/>
      <c r="E109" s="126"/>
      <c r="F109" s="126"/>
      <c r="G109" s="126"/>
      <c r="H109" s="126"/>
      <c r="I109" s="126"/>
      <c r="J109" s="126"/>
      <c r="K109" s="126"/>
      <c r="L109" s="126"/>
      <c r="M109" s="126"/>
      <c r="N109" s="126"/>
      <c r="O109" s="126"/>
      <c r="P109" s="126"/>
      <c r="Q109" s="126"/>
      <c r="R109" s="126"/>
      <c r="S109" s="181">
        <f>IF(OR(Assump!$A$7="USD",Assump!$A$7="EURO"),'Hist &amp; Proj'!S106/'Hist &amp; Proj'!S$8,'Hist &amp; Proj'!S106)</f>
        <v>0</v>
      </c>
      <c r="T109" s="181">
        <f>IF(OR(Assump!$A$7="USD",Assump!$A$7="EURO"),'Hist &amp; Proj'!T106/'Hist &amp; Proj'!T$8,'Hist &amp; Proj'!T106)</f>
        <v>0</v>
      </c>
      <c r="U109" s="181">
        <f>IF(OR(Assump!$A$7="USD",Assump!$A$7="EURO"),'Hist &amp; Proj'!U106/'Hist &amp; Proj'!U$8,'Hist &amp; Proj'!U106)</f>
        <v>0</v>
      </c>
      <c r="V109" s="181">
        <f>IF(OR(Assump!$A$7="USD",Assump!$A$7="EURO"),'Hist &amp; Proj'!V106/'Hist &amp; Proj'!V$8,'Hist &amp; Proj'!V106)</f>
        <v>0</v>
      </c>
      <c r="W109" s="181">
        <f>IF(OR(Assump!$A$7="USD",Assump!$A$7="EURO"),'Hist &amp; Proj'!W106/'Hist &amp; Proj'!W$8,'Hist &amp; Proj'!W106)</f>
        <v>0</v>
      </c>
      <c r="X109" s="181">
        <f>IF(OR(Assump!$A$7="USD",Assump!$A$7="EURO"),'Hist &amp; Proj'!X106/'Hist &amp; Proj'!X$8,'Hist &amp; Proj'!X106)</f>
        <v>0</v>
      </c>
      <c r="Y109" s="181">
        <f>IF(OR(Assump!$A$7="USD",Assump!$A$7="EURO"),'Hist &amp; Proj'!Y106/'Hist &amp; Proj'!Y$8,'Hist &amp; Proj'!Y106)</f>
        <v>0</v>
      </c>
      <c r="Z109" s="181">
        <f>IF(OR(Assump!$A$7="USD",Assump!$A$7="EURO"),'Hist &amp; Proj'!Z106/'Hist &amp; Proj'!Z$8,'Hist &amp; Proj'!Z106)</f>
        <v>0</v>
      </c>
      <c r="AA109" s="181">
        <f>IF(OR(Assump!$A$7="USD",Assump!$A$7="EURO"),'Hist &amp; Proj'!AA106/'Hist &amp; Proj'!AA$8,'Hist &amp; Proj'!AA106)</f>
        <v>0</v>
      </c>
      <c r="AB109" s="181">
        <f>IF(OR(Assump!$A$7="USD",Assump!$A$7="EURO"),'Hist &amp; Proj'!AB106/'Hist &amp; Proj'!AB$8,'Hist &amp; Proj'!AB106)</f>
        <v>0</v>
      </c>
      <c r="AC109" s="181">
        <f>IF(OR(Assump!$A$7="USD",Assump!$A$7="EURO"),'Hist &amp; Proj'!AC106/'Hist &amp; Proj'!AC$8,'Hist &amp; Proj'!AC106)</f>
        <v>0</v>
      </c>
      <c r="AD109" s="181">
        <f>IF(OR(Assump!$A$7="USD",Assump!$A$7="EURO"),'Hist &amp; Proj'!AD106/'Hist &amp; Proj'!AD$8,'Hist &amp; Proj'!AD106)</f>
        <v>0</v>
      </c>
      <c r="AE109" s="355"/>
      <c r="AF109" s="355"/>
      <c r="AG109" s="402"/>
      <c r="AH109" s="402"/>
      <c r="AI109" s="402"/>
      <c r="AJ109" s="181">
        <f ca="1">Assump!AJ46</f>
        <v>0</v>
      </c>
      <c r="AK109" s="181">
        <f ca="1">Assump!AK46</f>
        <v>0</v>
      </c>
      <c r="AL109" s="181">
        <f ca="1">Assump!AL46</f>
        <v>0</v>
      </c>
      <c r="AM109" s="181">
        <f ca="1">Assump!AM46</f>
        <v>0</v>
      </c>
      <c r="AN109" s="181">
        <f ca="1">Assump!AN46</f>
        <v>0</v>
      </c>
      <c r="AO109" s="402"/>
      <c r="AP109" s="402"/>
      <c r="AQ109" s="402"/>
      <c r="AR109" s="402"/>
      <c r="AS109" s="402"/>
      <c r="AT109" s="172"/>
      <c r="AU109" s="402"/>
      <c r="AV109" s="402"/>
      <c r="AW109" s="402"/>
      <c r="AX109" s="402"/>
      <c r="AY109" s="402"/>
      <c r="AZ109" s="172"/>
    </row>
    <row r="110" spans="1:52" s="170" customFormat="1" outlineLevel="1">
      <c r="A110" s="348" t="str">
        <f>'Hist &amp; Proj'!A107</f>
        <v>Interest</v>
      </c>
      <c r="B110" s="126"/>
      <c r="C110" s="126"/>
      <c r="D110" s="126"/>
      <c r="E110" s="126"/>
      <c r="F110" s="126"/>
      <c r="G110" s="126"/>
      <c r="H110" s="126"/>
      <c r="I110" s="126"/>
      <c r="J110" s="126"/>
      <c r="K110" s="126"/>
      <c r="L110" s="126"/>
      <c r="M110" s="126"/>
      <c r="N110" s="126"/>
      <c r="O110" s="126"/>
      <c r="P110" s="126"/>
      <c r="Q110" s="126"/>
      <c r="R110" s="126"/>
      <c r="S110" s="181">
        <f>IF(OR(Assump!$A$7="USD",Assump!$A$7="EURO"),'Hist &amp; Proj'!S107/'Hist &amp; Proj'!S$8,'Hist &amp; Proj'!S107)</f>
        <v>0</v>
      </c>
      <c r="T110" s="181">
        <f>IF(OR(Assump!$A$7="USD",Assump!$A$7="EURO"),'Hist &amp; Proj'!T107/'Hist &amp; Proj'!T$8,'Hist &amp; Proj'!T107)</f>
        <v>0</v>
      </c>
      <c r="U110" s="181">
        <f>IF(OR(Assump!$A$7="USD",Assump!$A$7="EURO"),'Hist &amp; Proj'!U107/'Hist &amp; Proj'!U$8,'Hist &amp; Proj'!U107)</f>
        <v>0</v>
      </c>
      <c r="V110" s="181">
        <f>IF(OR(Assump!$A$7="USD",Assump!$A$7="EURO"),'Hist &amp; Proj'!V107/'Hist &amp; Proj'!V$8,'Hist &amp; Proj'!V107)</f>
        <v>0</v>
      </c>
      <c r="W110" s="181">
        <f>IF(OR(Assump!$A$7="USD",Assump!$A$7="EURO"),'Hist &amp; Proj'!W107/'Hist &amp; Proj'!W$8,'Hist &amp; Proj'!W107)</f>
        <v>0</v>
      </c>
      <c r="X110" s="181">
        <f>IF(OR(Assump!$A$7="USD",Assump!$A$7="EURO"),'Hist &amp; Proj'!X107/'Hist &amp; Proj'!X$8,'Hist &amp; Proj'!X107)</f>
        <v>0</v>
      </c>
      <c r="Y110" s="181">
        <f>IF(OR(Assump!$A$7="USD",Assump!$A$7="EURO"),'Hist &amp; Proj'!Y107/'Hist &amp; Proj'!Y$8,'Hist &amp; Proj'!Y107)</f>
        <v>0</v>
      </c>
      <c r="Z110" s="181">
        <f>IF(OR(Assump!$A$7="USD",Assump!$A$7="EURO"),'Hist &amp; Proj'!Z107/'Hist &amp; Proj'!Z$8,'Hist &amp; Proj'!Z107)</f>
        <v>0</v>
      </c>
      <c r="AA110" s="181">
        <f>IF(OR(Assump!$A$7="USD",Assump!$A$7="EURO"),'Hist &amp; Proj'!AA107/'Hist &amp; Proj'!AA$8,'Hist &amp; Proj'!AA107)</f>
        <v>0</v>
      </c>
      <c r="AB110" s="181">
        <f>IF(OR(Assump!$A$7="USD",Assump!$A$7="EURO"),'Hist &amp; Proj'!AB107/'Hist &amp; Proj'!AB$8,'Hist &amp; Proj'!AB107)</f>
        <v>0</v>
      </c>
      <c r="AC110" s="181">
        <f>IF(OR(Assump!$A$7="USD",Assump!$A$7="EURO"),'Hist &amp; Proj'!AC107/'Hist &amp; Proj'!AC$8,'Hist &amp; Proj'!AC107)</f>
        <v>0</v>
      </c>
      <c r="AD110" s="181">
        <f>IF(OR(Assump!$A$7="USD",Assump!$A$7="EURO"),'Hist &amp; Proj'!AD107/'Hist &amp; Proj'!AD$8,'Hist &amp; Proj'!AD107)</f>
        <v>0</v>
      </c>
      <c r="AE110" s="126"/>
      <c r="AF110" s="126"/>
      <c r="AG110" s="404"/>
      <c r="AH110" s="404"/>
      <c r="AI110" s="404"/>
      <c r="AJ110" s="181">
        <f ca="1">Assump!AJ47</f>
        <v>0</v>
      </c>
      <c r="AK110" s="181">
        <f ca="1">Assump!AK47</f>
        <v>0</v>
      </c>
      <c r="AL110" s="181">
        <f ca="1">Assump!AL47</f>
        <v>0</v>
      </c>
      <c r="AM110" s="181">
        <f ca="1">Assump!AM47</f>
        <v>0</v>
      </c>
      <c r="AN110" s="181">
        <f ca="1">Assump!AN47</f>
        <v>0</v>
      </c>
      <c r="AO110" s="404"/>
      <c r="AP110" s="404"/>
      <c r="AQ110" s="404"/>
      <c r="AR110" s="404"/>
      <c r="AS110" s="404"/>
      <c r="AT110" s="127"/>
      <c r="AU110" s="404"/>
      <c r="AV110" s="404"/>
      <c r="AW110" s="404"/>
      <c r="AX110" s="404"/>
      <c r="AY110" s="404"/>
      <c r="AZ110" s="127"/>
    </row>
    <row r="111" spans="1:52" s="170" customFormat="1" outlineLevel="1">
      <c r="A111" s="348" t="str">
        <f>'Hist &amp; Proj'!A108</f>
        <v>Principal</v>
      </c>
      <c r="S111" s="181">
        <f>IF(OR(Assump!$A$7="USD",Assump!$A$7="EURO"),'Hist &amp; Proj'!S108/'Hist &amp; Proj'!S$8,'Hist &amp; Proj'!S108)</f>
        <v>0</v>
      </c>
      <c r="T111" s="181">
        <f>IF(OR(Assump!$A$7="USD",Assump!$A$7="EURO"),'Hist &amp; Proj'!T108/'Hist &amp; Proj'!T$8,'Hist &amp; Proj'!T108)</f>
        <v>0</v>
      </c>
      <c r="U111" s="181">
        <f>IF(OR(Assump!$A$7="USD",Assump!$A$7="EURO"),'Hist &amp; Proj'!U108/'Hist &amp; Proj'!U$8,'Hist &amp; Proj'!U108)</f>
        <v>0</v>
      </c>
      <c r="V111" s="181">
        <f>IF(OR(Assump!$A$7="USD",Assump!$A$7="EURO"),'Hist &amp; Proj'!V108/'Hist &amp; Proj'!V$8,'Hist &amp; Proj'!V108)</f>
        <v>0</v>
      </c>
      <c r="W111" s="181">
        <f>IF(OR(Assump!$A$7="USD",Assump!$A$7="EURO"),'Hist &amp; Proj'!W108/'Hist &amp; Proj'!W$8,'Hist &amp; Proj'!W108)</f>
        <v>0</v>
      </c>
      <c r="X111" s="181">
        <f>IF(OR(Assump!$A$7="USD",Assump!$A$7="EURO"),'Hist &amp; Proj'!X108/'Hist &amp; Proj'!X$8,'Hist &amp; Proj'!X108)</f>
        <v>0</v>
      </c>
      <c r="Y111" s="181">
        <f>IF(OR(Assump!$A$7="USD",Assump!$A$7="EURO"),'Hist &amp; Proj'!Y108/'Hist &amp; Proj'!Y$8,'Hist &amp; Proj'!Y108)</f>
        <v>0</v>
      </c>
      <c r="Z111" s="181">
        <f>IF(OR(Assump!$A$7="USD",Assump!$A$7="EURO"),'Hist &amp; Proj'!Z108/'Hist &amp; Proj'!Z$8,'Hist &amp; Proj'!Z108)</f>
        <v>0</v>
      </c>
      <c r="AA111" s="181">
        <f>IF(OR(Assump!$A$7="USD",Assump!$A$7="EURO"),'Hist &amp; Proj'!AA108/'Hist &amp; Proj'!AA$8,'Hist &amp; Proj'!AA108)</f>
        <v>0</v>
      </c>
      <c r="AB111" s="181">
        <f>IF(OR(Assump!$A$7="USD",Assump!$A$7="EURO"),'Hist &amp; Proj'!AB108/'Hist &amp; Proj'!AB$8,'Hist &amp; Proj'!AB108)</f>
        <v>0</v>
      </c>
      <c r="AC111" s="181">
        <f>IF(OR(Assump!$A$7="USD",Assump!$A$7="EURO"),'Hist &amp; Proj'!AC108/'Hist &amp; Proj'!AC$8,'Hist &amp; Proj'!AC108)</f>
        <v>0</v>
      </c>
      <c r="AD111" s="181">
        <f>IF(OR(Assump!$A$7="USD",Assump!$A$7="EURO"),'Hist &amp; Proj'!AD108/'Hist &amp; Proj'!AD$8,'Hist &amp; Proj'!AD108)</f>
        <v>0</v>
      </c>
      <c r="AG111" s="404"/>
      <c r="AH111" s="404"/>
      <c r="AI111" s="404"/>
      <c r="AJ111" s="181">
        <f ca="1">Assump!AJ48</f>
        <v>0</v>
      </c>
      <c r="AK111" s="181">
        <f ca="1">Assump!AK48</f>
        <v>0</v>
      </c>
      <c r="AL111" s="181">
        <f ca="1">Assump!AL48</f>
        <v>0</v>
      </c>
      <c r="AM111" s="181">
        <f ca="1">Assump!AM48</f>
        <v>0</v>
      </c>
      <c r="AN111" s="181">
        <f ca="1">Assump!AN48</f>
        <v>0</v>
      </c>
      <c r="AO111" s="404"/>
      <c r="AP111" s="404"/>
      <c r="AQ111" s="404"/>
      <c r="AR111" s="404"/>
      <c r="AS111" s="404"/>
      <c r="AT111" s="127"/>
      <c r="AU111" s="404"/>
      <c r="AV111" s="404"/>
      <c r="AW111" s="404"/>
      <c r="AX111" s="404"/>
      <c r="AY111" s="404"/>
      <c r="AZ111" s="127"/>
    </row>
    <row r="112" spans="1:52" s="170" customFormat="1" outlineLevel="1">
      <c r="A112" s="350" t="str">
        <f>'Hist &amp; Proj'!A109</f>
        <v>Other Liabilities</v>
      </c>
      <c r="B112" s="126"/>
      <c r="C112" s="126"/>
      <c r="D112" s="126"/>
      <c r="E112" s="126"/>
      <c r="F112" s="126"/>
      <c r="G112" s="126"/>
      <c r="H112" s="126"/>
      <c r="I112" s="126"/>
      <c r="J112" s="126"/>
      <c r="K112" s="126"/>
      <c r="L112" s="126"/>
      <c r="M112" s="126"/>
      <c r="N112" s="126"/>
      <c r="O112" s="126"/>
      <c r="P112" s="126"/>
      <c r="Q112" s="126"/>
      <c r="R112" s="126"/>
      <c r="S112" s="351">
        <f>IF(OR(Assump!$A$7="USD",Assump!$A$7="EURO"),'Hist &amp; Proj'!S109/'Hist &amp; Proj'!S$8,'Hist &amp; Proj'!S109)</f>
        <v>0</v>
      </c>
      <c r="T112" s="351">
        <f>IF(OR(Assump!$A$7="USD",Assump!$A$7="EURO"),'Hist &amp; Proj'!T109/'Hist &amp; Proj'!T$8,'Hist &amp; Proj'!T109)</f>
        <v>0</v>
      </c>
      <c r="U112" s="351">
        <f>IF(OR(Assump!$A$7="USD",Assump!$A$7="EURO"),'Hist &amp; Proj'!U109/'Hist &amp; Proj'!U$8,'Hist &amp; Proj'!U109)</f>
        <v>0</v>
      </c>
      <c r="V112" s="351">
        <f>IF(OR(Assump!$A$7="USD",Assump!$A$7="EURO"),'Hist &amp; Proj'!V109/'Hist &amp; Proj'!V$8,'Hist &amp; Proj'!V109)</f>
        <v>0</v>
      </c>
      <c r="W112" s="351">
        <f>IF(OR(Assump!$A$7="USD",Assump!$A$7="EURO"),'Hist &amp; Proj'!W109/'Hist &amp; Proj'!W$8,'Hist &amp; Proj'!W109)</f>
        <v>0</v>
      </c>
      <c r="X112" s="351">
        <f>IF(OR(Assump!$A$7="USD",Assump!$A$7="EURO"),'Hist &amp; Proj'!X109/'Hist &amp; Proj'!X$8,'Hist &amp; Proj'!X109)</f>
        <v>0</v>
      </c>
      <c r="Y112" s="351">
        <f>IF(OR(Assump!$A$7="USD",Assump!$A$7="EURO"),'Hist &amp; Proj'!Y109/'Hist &amp; Proj'!Y$8,'Hist &amp; Proj'!Y109)</f>
        <v>0</v>
      </c>
      <c r="Z112" s="351">
        <f>IF(OR(Assump!$A$7="USD",Assump!$A$7="EURO"),'Hist &amp; Proj'!Z109/'Hist &amp; Proj'!Z$8,'Hist &amp; Proj'!Z109)</f>
        <v>0</v>
      </c>
      <c r="AA112" s="351">
        <f>IF(OR(Assump!$A$7="USD",Assump!$A$7="EURO"),'Hist &amp; Proj'!AA109/'Hist &amp; Proj'!AA$8,'Hist &amp; Proj'!AA109)</f>
        <v>0</v>
      </c>
      <c r="AB112" s="351">
        <f>IF(OR(Assump!$A$7="USD",Assump!$A$7="EURO"),'Hist &amp; Proj'!AB109/'Hist &amp; Proj'!AB$8,'Hist &amp; Proj'!AB109)</f>
        <v>0</v>
      </c>
      <c r="AC112" s="351">
        <f>IF(OR(Assump!$A$7="USD",Assump!$A$7="EURO"),'Hist &amp; Proj'!AC109/'Hist &amp; Proj'!AC$8,'Hist &amp; Proj'!AC109)</f>
        <v>0</v>
      </c>
      <c r="AD112" s="351">
        <f>IF(OR(Assump!$A$7="USD",Assump!$A$7="EURO"),'Hist &amp; Proj'!AD109/'Hist &amp; Proj'!AD$8,'Hist &amp; Proj'!AD109)</f>
        <v>0</v>
      </c>
      <c r="AE112" s="126"/>
      <c r="AF112" s="126"/>
      <c r="AG112" s="404"/>
      <c r="AH112" s="404"/>
      <c r="AI112" s="404"/>
      <c r="AJ112" s="351">
        <f ca="1">Assump!AJ49</f>
        <v>0</v>
      </c>
      <c r="AK112" s="351">
        <f ca="1">Assump!AK49</f>
        <v>0</v>
      </c>
      <c r="AL112" s="351">
        <f ca="1">Assump!AL49</f>
        <v>0</v>
      </c>
      <c r="AM112" s="351">
        <f ca="1">Assump!AM49</f>
        <v>0</v>
      </c>
      <c r="AN112" s="351">
        <f ca="1">Assump!AN49</f>
        <v>0</v>
      </c>
      <c r="AO112" s="404"/>
      <c r="AP112" s="404"/>
      <c r="AQ112" s="404"/>
      <c r="AR112" s="404"/>
      <c r="AS112" s="404"/>
      <c r="AT112" s="127"/>
      <c r="AU112" s="404"/>
      <c r="AV112" s="404"/>
      <c r="AW112" s="404"/>
      <c r="AX112" s="404"/>
      <c r="AY112" s="404"/>
      <c r="AZ112" s="127"/>
    </row>
    <row r="113" spans="1:52" outlineLevel="1">
      <c r="A113" s="126" t="s">
        <v>369</v>
      </c>
      <c r="AH113" s="126"/>
      <c r="AL113" s="126"/>
      <c r="AM113" s="126"/>
      <c r="AN113" s="126"/>
      <c r="AO113" s="126"/>
      <c r="AP113" s="126"/>
    </row>
    <row r="114" spans="1:52">
      <c r="AH114" s="126"/>
      <c r="AL114" s="126"/>
      <c r="AM114" s="126"/>
      <c r="AN114" s="126"/>
      <c r="AO114" s="126"/>
      <c r="AP114" s="126"/>
    </row>
    <row r="115" spans="1:52">
      <c r="A115" s="360" t="s">
        <v>554</v>
      </c>
      <c r="AH115" s="126"/>
      <c r="AJ115" s="760">
        <f ca="1">AJ$7</f>
        <v>694327</v>
      </c>
      <c r="AK115" s="760">
        <f ca="1">AK$7</f>
        <v>694692</v>
      </c>
      <c r="AL115" s="760">
        <f ca="1">AL$7</f>
        <v>695057</v>
      </c>
      <c r="AM115" s="760">
        <f ca="1">AM$7</f>
        <v>695422</v>
      </c>
      <c r="AN115" s="760">
        <f ca="1">AN$7</f>
        <v>695787</v>
      </c>
      <c r="AP115" s="126"/>
    </row>
    <row r="116" spans="1:52" s="170" customFormat="1">
      <c r="A116" s="348" t="s">
        <v>712</v>
      </c>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c r="AC116" s="126"/>
      <c r="AD116" s="126"/>
      <c r="AE116" s="126"/>
      <c r="AF116" s="126"/>
      <c r="AG116" s="126"/>
      <c r="AH116" s="404"/>
      <c r="AI116" s="404"/>
      <c r="AJ116" s="179">
        <f ca="1">R25</f>
        <v>0</v>
      </c>
      <c r="AK116" s="179">
        <f ca="1">AJ119</f>
        <v>0</v>
      </c>
      <c r="AL116" s="179">
        <f ca="1">AK119</f>
        <v>0</v>
      </c>
      <c r="AM116" s="179">
        <f ca="1">AL119</f>
        <v>0</v>
      </c>
      <c r="AN116" s="179">
        <f ca="1">AM119</f>
        <v>0</v>
      </c>
      <c r="AO116" s="404"/>
      <c r="AP116" s="404"/>
      <c r="AQ116" s="404"/>
      <c r="AR116" s="404"/>
      <c r="AS116" s="404"/>
      <c r="AT116" s="127"/>
      <c r="AU116" s="404"/>
      <c r="AV116" s="404"/>
      <c r="AW116" s="404"/>
      <c r="AX116" s="404"/>
      <c r="AY116" s="404"/>
      <c r="AZ116" s="127"/>
    </row>
    <row r="117" spans="1:52" s="170" customFormat="1">
      <c r="A117" s="348" t="s">
        <v>713</v>
      </c>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c r="AC117" s="126"/>
      <c r="AD117" s="126"/>
      <c r="AE117" s="126"/>
      <c r="AF117" s="126"/>
      <c r="AG117" s="126"/>
      <c r="AH117" s="404"/>
      <c r="AI117" s="404"/>
      <c r="AJ117" s="179">
        <f ca="1">-AJ111</f>
        <v>0</v>
      </c>
      <c r="AK117" s="179">
        <f ca="1">-AK111</f>
        <v>0</v>
      </c>
      <c r="AL117" s="179">
        <f ca="1">-AL111</f>
        <v>0</v>
      </c>
      <c r="AM117" s="179">
        <f ca="1">-AM111</f>
        <v>0</v>
      </c>
      <c r="AN117" s="179">
        <f ca="1">-AN111</f>
        <v>0</v>
      </c>
      <c r="AO117" s="404"/>
      <c r="AP117" s="404"/>
      <c r="AQ117" s="404"/>
      <c r="AR117" s="404"/>
      <c r="AS117" s="404"/>
      <c r="AT117" s="127"/>
      <c r="AU117" s="404"/>
      <c r="AV117" s="404"/>
      <c r="AW117" s="404"/>
      <c r="AX117" s="404"/>
      <c r="AY117" s="404"/>
      <c r="AZ117" s="127"/>
    </row>
    <row r="118" spans="1:52" s="170" customFormat="1">
      <c r="A118" s="405" t="s">
        <v>714</v>
      </c>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c r="AC118" s="126"/>
      <c r="AD118" s="126"/>
      <c r="AE118" s="126"/>
      <c r="AF118" s="126"/>
      <c r="AG118" s="126"/>
      <c r="AH118" s="404"/>
      <c r="AI118" s="404"/>
      <c r="AJ118" s="406">
        <f ca="1">SUM(AJ116:AJ117)</f>
        <v>0</v>
      </c>
      <c r="AK118" s="406">
        <f ca="1">SUM(AK116:AK117)</f>
        <v>0</v>
      </c>
      <c r="AL118" s="406">
        <f ca="1">SUM(AL116:AL117)</f>
        <v>0</v>
      </c>
      <c r="AM118" s="406">
        <f ca="1">SUM(AM116:AM117)</f>
        <v>0</v>
      </c>
      <c r="AN118" s="406">
        <f ca="1">SUM(AN116:AN117)</f>
        <v>0</v>
      </c>
      <c r="AO118" s="404"/>
      <c r="AP118" s="404"/>
      <c r="AQ118" s="404"/>
      <c r="AR118" s="404"/>
      <c r="AS118" s="404"/>
      <c r="AT118" s="127"/>
      <c r="AU118" s="404"/>
      <c r="AV118" s="404"/>
      <c r="AW118" s="404"/>
      <c r="AX118" s="404"/>
      <c r="AY118" s="404"/>
      <c r="AZ118" s="127"/>
    </row>
    <row r="119" spans="1:52" s="170" customFormat="1">
      <c r="A119" s="407" t="s">
        <v>555</v>
      </c>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c r="AC119" s="126"/>
      <c r="AD119" s="126"/>
      <c r="AE119" s="126"/>
      <c r="AF119" s="126"/>
      <c r="AG119" s="126"/>
      <c r="AH119" s="404"/>
      <c r="AI119" s="404"/>
      <c r="AJ119" s="343">
        <f ca="1">AJ25</f>
        <v>0</v>
      </c>
      <c r="AK119" s="343">
        <f ca="1">AK25-AK30</f>
        <v>0</v>
      </c>
      <c r="AL119" s="343">
        <f ca="1">AL25-AL30</f>
        <v>0</v>
      </c>
      <c r="AM119" s="343">
        <f ca="1">AM25-AM30</f>
        <v>0</v>
      </c>
      <c r="AN119" s="343">
        <f ca="1">AN25-AN30</f>
        <v>0</v>
      </c>
      <c r="AO119" s="404"/>
      <c r="AP119" s="404"/>
      <c r="AQ119" s="404"/>
      <c r="AR119" s="404"/>
      <c r="AS119" s="404"/>
      <c r="AT119" s="127"/>
      <c r="AU119" s="404"/>
      <c r="AV119" s="404"/>
      <c r="AW119" s="404"/>
      <c r="AX119" s="404"/>
      <c r="AY119" s="404"/>
      <c r="AZ119" s="127"/>
    </row>
    <row r="120" spans="1:52">
      <c r="A120" s="408" t="s">
        <v>554</v>
      </c>
      <c r="AH120" s="126"/>
      <c r="AJ120" s="408">
        <f ca="1">AJ119-AJ118</f>
        <v>0</v>
      </c>
      <c r="AK120" s="408">
        <f ca="1">AK119-AK118</f>
        <v>0</v>
      </c>
      <c r="AL120" s="408">
        <f ca="1">AL119-AL118</f>
        <v>0</v>
      </c>
      <c r="AM120" s="408">
        <f ca="1">AM119-AM118</f>
        <v>0</v>
      </c>
      <c r="AN120" s="408">
        <f ca="1">AN119-AN118</f>
        <v>0</v>
      </c>
      <c r="AO120" s="126"/>
      <c r="AP120" s="126"/>
    </row>
    <row r="121" spans="1:52">
      <c r="AH121" s="126"/>
      <c r="AL121" s="126"/>
      <c r="AM121" s="126"/>
      <c r="AN121" s="126"/>
      <c r="AO121" s="126"/>
      <c r="AP121" s="126"/>
    </row>
    <row r="122" spans="1:52">
      <c r="AH122" s="126"/>
      <c r="AL122" s="126"/>
      <c r="AM122" s="126"/>
      <c r="AN122" s="126"/>
      <c r="AO122" s="126"/>
      <c r="AP122" s="126"/>
    </row>
    <row r="123" spans="1:52">
      <c r="A123" s="360" t="s">
        <v>921</v>
      </c>
      <c r="AH123" s="126"/>
      <c r="AJ123" s="760">
        <f ca="1">AJ$7</f>
        <v>694327</v>
      </c>
      <c r="AK123" s="760">
        <f ca="1">AK$7</f>
        <v>694692</v>
      </c>
      <c r="AL123" s="760">
        <f ca="1">AL$7</f>
        <v>695057</v>
      </c>
      <c r="AM123" s="760">
        <f ca="1">AM$7</f>
        <v>695422</v>
      </c>
      <c r="AN123" s="760">
        <f ca="1">AN$7</f>
        <v>695787</v>
      </c>
      <c r="AO123" s="126"/>
      <c r="AP123" s="126"/>
    </row>
    <row r="124" spans="1:52">
      <c r="A124" s="862" t="s">
        <v>922</v>
      </c>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c r="AG124" s="128"/>
      <c r="AH124" s="128"/>
      <c r="AI124" s="128"/>
      <c r="AJ124" s="179">
        <f ca="1">R24</f>
        <v>0</v>
      </c>
      <c r="AK124" s="179" t="e">
        <f ca="1">AJ127</f>
        <v>#DIV/0!</v>
      </c>
      <c r="AL124" s="179" t="e">
        <f ca="1">AK127</f>
        <v>#DIV/0!</v>
      </c>
      <c r="AM124" s="179" t="e">
        <f ca="1">AL127</f>
        <v>#DIV/0!</v>
      </c>
      <c r="AN124" s="179" t="e">
        <f ca="1">AM127</f>
        <v>#DIV/0!</v>
      </c>
      <c r="AO124" s="126"/>
      <c r="AP124" s="126"/>
    </row>
    <row r="125" spans="1:52">
      <c r="A125" s="862" t="s">
        <v>713</v>
      </c>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128"/>
      <c r="AC125" s="128"/>
      <c r="AD125" s="128"/>
      <c r="AE125" s="128"/>
      <c r="AF125" s="128"/>
      <c r="AG125" s="128"/>
      <c r="AH125" s="128"/>
      <c r="AI125" s="128"/>
      <c r="AJ125" s="179"/>
      <c r="AK125" s="179"/>
      <c r="AL125" s="179"/>
      <c r="AM125" s="179"/>
      <c r="AN125" s="179"/>
      <c r="AO125" s="126"/>
      <c r="AP125" s="126"/>
    </row>
    <row r="126" spans="1:52">
      <c r="A126" s="863" t="s">
        <v>923</v>
      </c>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28"/>
      <c r="AF126" s="128"/>
      <c r="AG126" s="128"/>
      <c r="AH126" s="128"/>
      <c r="AI126" s="128"/>
      <c r="AJ126" s="406">
        <f ca="1">AJ124+AJ125</f>
        <v>0</v>
      </c>
      <c r="AK126" s="406" t="e">
        <f ca="1">AK124+AK125</f>
        <v>#DIV/0!</v>
      </c>
      <c r="AL126" s="406" t="e">
        <f ca="1">AL124+AL125</f>
        <v>#DIV/0!</v>
      </c>
      <c r="AM126" s="406" t="e">
        <f ca="1">AM124+AM125</f>
        <v>#DIV/0!</v>
      </c>
      <c r="AN126" s="406" t="e">
        <f ca="1">AN124+AN125</f>
        <v>#DIV/0!</v>
      </c>
      <c r="AO126" s="126"/>
      <c r="AP126" s="126"/>
    </row>
    <row r="127" spans="1:52">
      <c r="A127" s="864" t="s">
        <v>924</v>
      </c>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c r="AH127" s="128"/>
      <c r="AI127" s="128"/>
      <c r="AJ127" s="343" t="e">
        <f ca="1">AJ24</f>
        <v>#DIV/0!</v>
      </c>
      <c r="AK127" s="343" t="e">
        <f ca="1">AK24</f>
        <v>#DIV/0!</v>
      </c>
      <c r="AL127" s="343" t="e">
        <f ca="1">AL24</f>
        <v>#DIV/0!</v>
      </c>
      <c r="AM127" s="343" t="e">
        <f ca="1">AM24</f>
        <v>#DIV/0!</v>
      </c>
      <c r="AN127" s="343" t="e">
        <f ca="1">AN24</f>
        <v>#DIV/0!</v>
      </c>
      <c r="AO127" s="126"/>
      <c r="AP127" s="126"/>
    </row>
    <row r="128" spans="1:52">
      <c r="A128" s="408" t="s">
        <v>921</v>
      </c>
      <c r="AH128" s="126"/>
      <c r="AJ128" s="408" t="e">
        <f ca="1">AJ127-AJ126</f>
        <v>#DIV/0!</v>
      </c>
      <c r="AK128" s="408" t="e">
        <f ca="1">AK127-AK126</f>
        <v>#DIV/0!</v>
      </c>
      <c r="AL128" s="408" t="e">
        <f ca="1">AL127-AL126</f>
        <v>#DIV/0!</v>
      </c>
      <c r="AM128" s="408" t="e">
        <f ca="1">AM127-AM126</f>
        <v>#DIV/0!</v>
      </c>
      <c r="AN128" s="408" t="e">
        <f ca="1">AN127-AN126</f>
        <v>#DIV/0!</v>
      </c>
      <c r="AO128" s="126"/>
      <c r="AP128" s="126"/>
    </row>
    <row r="129" spans="1:52">
      <c r="AH129" s="126"/>
      <c r="AL129" s="126"/>
      <c r="AM129" s="126"/>
      <c r="AN129" s="126"/>
      <c r="AO129" s="126"/>
      <c r="AP129" s="126"/>
    </row>
    <row r="130" spans="1:52">
      <c r="AH130" s="126"/>
      <c r="AL130" s="126"/>
      <c r="AM130" s="126"/>
      <c r="AN130" s="126"/>
      <c r="AO130" s="126"/>
      <c r="AP130" s="126"/>
    </row>
    <row r="131" spans="1:52">
      <c r="A131" s="360" t="s">
        <v>556</v>
      </c>
      <c r="AH131" s="126"/>
      <c r="AJ131" s="760">
        <f ca="1">AJ$7</f>
        <v>694327</v>
      </c>
      <c r="AK131" s="760">
        <f ca="1">AK$7</f>
        <v>694692</v>
      </c>
      <c r="AL131" s="760">
        <f ca="1">AL$7</f>
        <v>695057</v>
      </c>
      <c r="AM131" s="760">
        <f ca="1">AM$7</f>
        <v>695422</v>
      </c>
      <c r="AN131" s="760">
        <f ca="1">AN$7</f>
        <v>695787</v>
      </c>
      <c r="AP131" s="126"/>
    </row>
    <row r="132" spans="1:52" s="170" customFormat="1">
      <c r="A132" s="348" t="s">
        <v>559</v>
      </c>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c r="AC132" s="126"/>
      <c r="AD132" s="126"/>
      <c r="AE132" s="126"/>
      <c r="AF132" s="126"/>
      <c r="AG132" s="126"/>
      <c r="AH132" s="404"/>
      <c r="AI132" s="404"/>
      <c r="AJ132" s="179">
        <f ca="1">R15</f>
        <v>0</v>
      </c>
      <c r="AK132" s="179" t="e">
        <f ca="1">AJ135</f>
        <v>#DIV/0!</v>
      </c>
      <c r="AL132" s="179" t="e">
        <f ca="1">AK135</f>
        <v>#DIV/0!</v>
      </c>
      <c r="AM132" s="179" t="e">
        <f ca="1">AL135</f>
        <v>#DIV/0!</v>
      </c>
      <c r="AN132" s="179" t="e">
        <f ca="1">AM135</f>
        <v>#DIV/0!</v>
      </c>
      <c r="AO132" s="404"/>
      <c r="AP132" s="404"/>
      <c r="AQ132" s="404"/>
      <c r="AR132" s="404"/>
      <c r="AS132" s="404"/>
      <c r="AT132" s="127"/>
      <c r="AU132" s="404"/>
      <c r="AV132" s="404"/>
      <c r="AW132" s="404"/>
      <c r="AX132" s="404"/>
      <c r="AY132" s="404"/>
      <c r="AZ132" s="127"/>
    </row>
    <row r="133" spans="1:52" s="170" customFormat="1">
      <c r="A133" s="348" t="s">
        <v>557</v>
      </c>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c r="AC133" s="126"/>
      <c r="AD133" s="126"/>
      <c r="AE133" s="126"/>
      <c r="AF133" s="126"/>
      <c r="AG133" s="126"/>
      <c r="AH133" s="404"/>
      <c r="AI133" s="404"/>
      <c r="AJ133" s="179">
        <f ca="1">-AJ107</f>
        <v>0</v>
      </c>
      <c r="AK133" s="179">
        <f ca="1">-AK107</f>
        <v>0</v>
      </c>
      <c r="AL133" s="179">
        <f ca="1">-AL107</f>
        <v>0</v>
      </c>
      <c r="AM133" s="179">
        <f ca="1">-AM107</f>
        <v>0</v>
      </c>
      <c r="AN133" s="179">
        <f ca="1">-AN107</f>
        <v>0</v>
      </c>
      <c r="AO133" s="404"/>
      <c r="AP133" s="404"/>
      <c r="AQ133" s="404"/>
      <c r="AR133" s="404"/>
      <c r="AS133" s="404"/>
      <c r="AT133" s="127"/>
      <c r="AU133" s="404"/>
      <c r="AV133" s="404"/>
      <c r="AW133" s="404"/>
      <c r="AX133" s="404"/>
      <c r="AY133" s="404"/>
      <c r="AZ133" s="127"/>
    </row>
    <row r="134" spans="1:52" s="170" customFormat="1">
      <c r="A134" s="405" t="s">
        <v>560</v>
      </c>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c r="AC134" s="126"/>
      <c r="AD134" s="126"/>
      <c r="AE134" s="126"/>
      <c r="AF134" s="126"/>
      <c r="AG134" s="126"/>
      <c r="AH134" s="404"/>
      <c r="AI134" s="404"/>
      <c r="AJ134" s="406">
        <f ca="1">AJ132-AJ133</f>
        <v>0</v>
      </c>
      <c r="AK134" s="406" t="e">
        <f ca="1">AK132-AK133</f>
        <v>#DIV/0!</v>
      </c>
      <c r="AL134" s="406" t="e">
        <f ca="1">AL132-AL133</f>
        <v>#DIV/0!</v>
      </c>
      <c r="AM134" s="406" t="e">
        <f ca="1">AM132-AM133</f>
        <v>#DIV/0!</v>
      </c>
      <c r="AN134" s="406" t="e">
        <f ca="1">AN132-AN133</f>
        <v>#DIV/0!</v>
      </c>
      <c r="AO134" s="404"/>
      <c r="AP134" s="404"/>
      <c r="AQ134" s="404"/>
      <c r="AR134" s="404"/>
      <c r="AS134" s="404"/>
      <c r="AT134" s="127"/>
      <c r="AU134" s="404"/>
      <c r="AV134" s="404"/>
      <c r="AW134" s="404"/>
      <c r="AX134" s="404"/>
      <c r="AY134" s="404"/>
      <c r="AZ134" s="127"/>
    </row>
    <row r="135" spans="1:52" s="170" customFormat="1">
      <c r="A135" s="407" t="s">
        <v>558</v>
      </c>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c r="AC135" s="126"/>
      <c r="AD135" s="126"/>
      <c r="AE135" s="126"/>
      <c r="AF135" s="126"/>
      <c r="AG135" s="126"/>
      <c r="AH135" s="404"/>
      <c r="AI135" s="404"/>
      <c r="AJ135" s="343" t="e">
        <f ca="1">AJ15</f>
        <v>#DIV/0!</v>
      </c>
      <c r="AK135" s="343" t="e">
        <f ca="1">AK15</f>
        <v>#DIV/0!</v>
      </c>
      <c r="AL135" s="343" t="e">
        <f ca="1">AL15</f>
        <v>#DIV/0!</v>
      </c>
      <c r="AM135" s="343" t="e">
        <f ca="1">AM15</f>
        <v>#DIV/0!</v>
      </c>
      <c r="AN135" s="343" t="e">
        <f ca="1">AN15</f>
        <v>#DIV/0!</v>
      </c>
      <c r="AO135" s="404"/>
      <c r="AP135" s="404"/>
      <c r="AQ135" s="404"/>
      <c r="AR135" s="404"/>
      <c r="AS135" s="404"/>
      <c r="AT135" s="127"/>
      <c r="AU135" s="404"/>
      <c r="AV135" s="404"/>
      <c r="AW135" s="404"/>
      <c r="AX135" s="404"/>
      <c r="AY135" s="404"/>
      <c r="AZ135" s="127"/>
    </row>
    <row r="136" spans="1:52">
      <c r="A136" s="408" t="s">
        <v>556</v>
      </c>
      <c r="AH136" s="126"/>
      <c r="AJ136" s="408" t="e">
        <f ca="1">AJ135-AJ134</f>
        <v>#DIV/0!</v>
      </c>
      <c r="AK136" s="408" t="e">
        <f ca="1">AK135-AK134</f>
        <v>#DIV/0!</v>
      </c>
      <c r="AL136" s="408" t="e">
        <f ca="1">AL135-AL134</f>
        <v>#DIV/0!</v>
      </c>
      <c r="AM136" s="408" t="e">
        <f ca="1">AM135-AM134</f>
        <v>#DIV/0!</v>
      </c>
      <c r="AN136" s="408" t="e">
        <f ca="1">AN135-AN134</f>
        <v>#DIV/0!</v>
      </c>
      <c r="AO136" s="126"/>
      <c r="AP136" s="126"/>
    </row>
    <row r="137" spans="1:52">
      <c r="AH137" s="126"/>
      <c r="AL137" s="126"/>
      <c r="AM137" s="126"/>
      <c r="AN137" s="126"/>
      <c r="AO137" s="126"/>
      <c r="AP137" s="126"/>
    </row>
    <row r="138" spans="1:52">
      <c r="AH138" s="126"/>
      <c r="AL138" s="126"/>
      <c r="AM138" s="126"/>
      <c r="AN138" s="126"/>
      <c r="AO138" s="126"/>
      <c r="AP138" s="126"/>
    </row>
    <row r="139" spans="1:52">
      <c r="A139" s="389" t="s">
        <v>438</v>
      </c>
      <c r="B139" s="760">
        <f>B$7</f>
        <v>692501</v>
      </c>
      <c r="C139" s="760">
        <f t="shared" ref="C139:AD139" si="44">C$7</f>
        <v>692867</v>
      </c>
      <c r="D139" s="760">
        <f t="shared" si="44"/>
        <v>693232</v>
      </c>
      <c r="E139" s="760">
        <f t="shared" si="44"/>
        <v>693597</v>
      </c>
      <c r="F139" s="362">
        <f t="shared" ca="1" si="44"/>
        <v>693628</v>
      </c>
      <c r="G139" s="362">
        <f t="shared" ca="1" si="44"/>
        <v>693656</v>
      </c>
      <c r="H139" s="362">
        <f t="shared" ca="1" si="44"/>
        <v>693687</v>
      </c>
      <c r="I139" s="362">
        <f t="shared" ca="1" si="44"/>
        <v>693717</v>
      </c>
      <c r="J139" s="362">
        <f t="shared" ca="1" si="44"/>
        <v>693748</v>
      </c>
      <c r="K139" s="362">
        <f t="shared" ca="1" si="44"/>
        <v>693778</v>
      </c>
      <c r="L139" s="362">
        <f t="shared" ca="1" si="44"/>
        <v>693809</v>
      </c>
      <c r="M139" s="362">
        <f t="shared" ca="1" si="44"/>
        <v>693840</v>
      </c>
      <c r="N139" s="362">
        <f t="shared" ca="1" si="44"/>
        <v>693870</v>
      </c>
      <c r="O139" s="362">
        <f t="shared" ca="1" si="44"/>
        <v>693901</v>
      </c>
      <c r="P139" s="362">
        <f t="shared" ca="1" si="44"/>
        <v>693931</v>
      </c>
      <c r="Q139" s="362">
        <f t="shared" ca="1" si="44"/>
        <v>693962</v>
      </c>
      <c r="R139" s="760">
        <f t="shared" ca="1" si="44"/>
        <v>693962</v>
      </c>
      <c r="S139" s="362">
        <f t="shared" ca="1" si="44"/>
        <v>31</v>
      </c>
      <c r="T139" s="362">
        <f t="shared" ca="1" si="44"/>
        <v>59</v>
      </c>
      <c r="U139" s="362">
        <f t="shared" ca="1" si="44"/>
        <v>91</v>
      </c>
      <c r="V139" s="362">
        <f t="shared" ca="1" si="44"/>
        <v>121</v>
      </c>
      <c r="W139" s="362">
        <f t="shared" ca="1" si="44"/>
        <v>152</v>
      </c>
      <c r="X139" s="362">
        <f t="shared" ca="1" si="44"/>
        <v>182</v>
      </c>
      <c r="Y139" s="362">
        <f t="shared" ca="1" si="44"/>
        <v>213</v>
      </c>
      <c r="Z139" s="362">
        <f t="shared" ca="1" si="44"/>
        <v>244</v>
      </c>
      <c r="AA139" s="362">
        <f t="shared" ca="1" si="44"/>
        <v>274</v>
      </c>
      <c r="AB139" s="362">
        <f t="shared" ca="1" si="44"/>
        <v>305</v>
      </c>
      <c r="AC139" s="362">
        <f t="shared" ca="1" si="44"/>
        <v>335</v>
      </c>
      <c r="AD139" s="362">
        <f t="shared" ca="1" si="44"/>
        <v>366</v>
      </c>
      <c r="AE139" s="376" t="e">
        <f ca="1">AE$42</f>
        <v>#N/A</v>
      </c>
      <c r="AF139" s="376" t="e">
        <f ca="1">AF$42</f>
        <v>#N/A</v>
      </c>
      <c r="AH139" s="365" t="str">
        <f ca="1">AH$7</f>
        <v>'96 - '99 CAGR/Avg.</v>
      </c>
      <c r="AJ139" s="760">
        <f ca="1">AJ$7</f>
        <v>694327</v>
      </c>
      <c r="AK139" s="760">
        <f ca="1">AK$7</f>
        <v>694692</v>
      </c>
      <c r="AL139" s="760">
        <f ca="1">AL$7</f>
        <v>695057</v>
      </c>
      <c r="AM139" s="760">
        <f ca="1">AM$7</f>
        <v>695422</v>
      </c>
      <c r="AN139" s="760">
        <f ca="1">AN$7</f>
        <v>695787</v>
      </c>
      <c r="AP139" s="365" t="str">
        <f ca="1">AP$7</f>
        <v>'00 - '04 CAGR/Avg.</v>
      </c>
    </row>
    <row r="140" spans="1:52">
      <c r="A140" s="341" t="s">
        <v>435</v>
      </c>
      <c r="B140" s="342" t="e">
        <f t="shared" ref="B140:AE140" si="45">B37/B21</f>
        <v>#DIV/0!</v>
      </c>
      <c r="C140" s="342" t="e">
        <f t="shared" si="45"/>
        <v>#DIV/0!</v>
      </c>
      <c r="D140" s="342" t="e">
        <f t="shared" si="45"/>
        <v>#DIV/0!</v>
      </c>
      <c r="E140" s="342" t="e">
        <f t="shared" si="45"/>
        <v>#DIV/0!</v>
      </c>
      <c r="F140" s="342" t="e">
        <f t="shared" ca="1" si="45"/>
        <v>#DIV/0!</v>
      </c>
      <c r="G140" s="342" t="e">
        <f t="shared" ca="1" si="45"/>
        <v>#DIV/0!</v>
      </c>
      <c r="H140" s="342" t="e">
        <f t="shared" ca="1" si="45"/>
        <v>#DIV/0!</v>
      </c>
      <c r="I140" s="342" t="e">
        <f t="shared" ca="1" si="45"/>
        <v>#DIV/0!</v>
      </c>
      <c r="J140" s="342" t="e">
        <f t="shared" ca="1" si="45"/>
        <v>#DIV/0!</v>
      </c>
      <c r="K140" s="342" t="e">
        <f t="shared" ca="1" si="45"/>
        <v>#DIV/0!</v>
      </c>
      <c r="L140" s="342" t="e">
        <f t="shared" ca="1" si="45"/>
        <v>#DIV/0!</v>
      </c>
      <c r="M140" s="342" t="e">
        <f t="shared" ca="1" si="45"/>
        <v>#DIV/0!</v>
      </c>
      <c r="N140" s="342" t="e">
        <f t="shared" ca="1" si="45"/>
        <v>#DIV/0!</v>
      </c>
      <c r="O140" s="342" t="e">
        <f t="shared" ca="1" si="45"/>
        <v>#DIV/0!</v>
      </c>
      <c r="P140" s="342" t="e">
        <f t="shared" ca="1" si="45"/>
        <v>#DIV/0!</v>
      </c>
      <c r="Q140" s="342" t="e">
        <f t="shared" ca="1" si="45"/>
        <v>#DIV/0!</v>
      </c>
      <c r="R140" s="342" t="e">
        <f t="shared" ca="1" si="45"/>
        <v>#DIV/0!</v>
      </c>
      <c r="S140" s="342" t="e">
        <f t="shared" ca="1" si="45"/>
        <v>#DIV/0!</v>
      </c>
      <c r="T140" s="342" t="e">
        <f t="shared" ca="1" si="45"/>
        <v>#DIV/0!</v>
      </c>
      <c r="U140" s="342" t="e">
        <f t="shared" ca="1" si="45"/>
        <v>#DIV/0!</v>
      </c>
      <c r="V140" s="342" t="e">
        <f t="shared" ca="1" si="45"/>
        <v>#DIV/0!</v>
      </c>
      <c r="W140" s="342" t="e">
        <f t="shared" ca="1" si="45"/>
        <v>#DIV/0!</v>
      </c>
      <c r="X140" s="342" t="e">
        <f t="shared" ca="1" si="45"/>
        <v>#DIV/0!</v>
      </c>
      <c r="Y140" s="342" t="e">
        <f t="shared" ca="1" si="45"/>
        <v>#DIV/0!</v>
      </c>
      <c r="Z140" s="342" t="e">
        <f t="shared" ca="1" si="45"/>
        <v>#DIV/0!</v>
      </c>
      <c r="AA140" s="342" t="e">
        <f t="shared" ca="1" si="45"/>
        <v>#DIV/0!</v>
      </c>
      <c r="AB140" s="342" t="e">
        <f t="shared" ca="1" si="45"/>
        <v>#DIV/0!</v>
      </c>
      <c r="AC140" s="342" t="e">
        <f t="shared" ca="1" si="45"/>
        <v>#DIV/0!</v>
      </c>
      <c r="AD140" s="342" t="e">
        <f t="shared" ca="1" si="45"/>
        <v>#DIV/0!</v>
      </c>
      <c r="AE140" s="342" t="e">
        <f t="shared" ca="1" si="45"/>
        <v>#N/A</v>
      </c>
      <c r="AF140" s="342" t="e">
        <f ca="1">AE140</f>
        <v>#N/A</v>
      </c>
      <c r="AH140" s="340" t="str">
        <f t="shared" ref="AH140:AH148" si="46">IFERROR(AVERAGE(C140:E140,R140),"NA")</f>
        <v>NA</v>
      </c>
      <c r="AJ140" s="342" t="e">
        <f ca="1">AJ37/AJ21</f>
        <v>#DIV/0!</v>
      </c>
      <c r="AK140" s="342" t="e">
        <f ca="1">AK37/AK21</f>
        <v>#DIV/0!</v>
      </c>
      <c r="AL140" s="342" t="e">
        <f ca="1">AL37/AL21</f>
        <v>#DIV/0!</v>
      </c>
      <c r="AM140" s="342" t="e">
        <f ca="1">AM37/AM21</f>
        <v>#DIV/0!</v>
      </c>
      <c r="AN140" s="342" t="e">
        <f ca="1">AN37/AN21</f>
        <v>#DIV/0!</v>
      </c>
      <c r="AP140" s="340" t="str">
        <f t="shared" ref="AP140:AP148" ca="1" si="47">IFERROR(AVERAGE(AJ140:AN140),"NA")</f>
        <v>NA</v>
      </c>
    </row>
    <row r="141" spans="1:52">
      <c r="A141" s="341" t="s">
        <v>585</v>
      </c>
      <c r="B141" s="342" t="e">
        <f t="shared" ref="B141:AE141" si="48">B24/B21</f>
        <v>#DIV/0!</v>
      </c>
      <c r="C141" s="342" t="e">
        <f t="shared" si="48"/>
        <v>#DIV/0!</v>
      </c>
      <c r="D141" s="342" t="e">
        <f t="shared" si="48"/>
        <v>#DIV/0!</v>
      </c>
      <c r="E141" s="342" t="e">
        <f t="shared" si="48"/>
        <v>#DIV/0!</v>
      </c>
      <c r="F141" s="342" t="e">
        <f t="shared" ca="1" si="48"/>
        <v>#DIV/0!</v>
      </c>
      <c r="G141" s="342" t="e">
        <f t="shared" ca="1" si="48"/>
        <v>#DIV/0!</v>
      </c>
      <c r="H141" s="342" t="e">
        <f t="shared" ca="1" si="48"/>
        <v>#DIV/0!</v>
      </c>
      <c r="I141" s="342" t="e">
        <f t="shared" ca="1" si="48"/>
        <v>#DIV/0!</v>
      </c>
      <c r="J141" s="342" t="e">
        <f t="shared" ca="1" si="48"/>
        <v>#DIV/0!</v>
      </c>
      <c r="K141" s="342" t="e">
        <f t="shared" ca="1" si="48"/>
        <v>#DIV/0!</v>
      </c>
      <c r="L141" s="342" t="e">
        <f t="shared" ca="1" si="48"/>
        <v>#DIV/0!</v>
      </c>
      <c r="M141" s="342" t="e">
        <f t="shared" ca="1" si="48"/>
        <v>#DIV/0!</v>
      </c>
      <c r="N141" s="342" t="e">
        <f t="shared" ca="1" si="48"/>
        <v>#DIV/0!</v>
      </c>
      <c r="O141" s="342" t="e">
        <f t="shared" ca="1" si="48"/>
        <v>#DIV/0!</v>
      </c>
      <c r="P141" s="342" t="e">
        <f t="shared" ca="1" si="48"/>
        <v>#DIV/0!</v>
      </c>
      <c r="Q141" s="342" t="e">
        <f t="shared" ca="1" si="48"/>
        <v>#DIV/0!</v>
      </c>
      <c r="R141" s="342" t="e">
        <f t="shared" ca="1" si="48"/>
        <v>#DIV/0!</v>
      </c>
      <c r="S141" s="342" t="e">
        <f t="shared" ca="1" si="48"/>
        <v>#DIV/0!</v>
      </c>
      <c r="T141" s="342" t="e">
        <f t="shared" ca="1" si="48"/>
        <v>#DIV/0!</v>
      </c>
      <c r="U141" s="342" t="e">
        <f t="shared" ca="1" si="48"/>
        <v>#DIV/0!</v>
      </c>
      <c r="V141" s="342" t="e">
        <f t="shared" ca="1" si="48"/>
        <v>#DIV/0!</v>
      </c>
      <c r="W141" s="342" t="e">
        <f t="shared" ca="1" si="48"/>
        <v>#DIV/0!</v>
      </c>
      <c r="X141" s="342" t="e">
        <f t="shared" ca="1" si="48"/>
        <v>#DIV/0!</v>
      </c>
      <c r="Y141" s="342" t="e">
        <f t="shared" ca="1" si="48"/>
        <v>#DIV/0!</v>
      </c>
      <c r="Z141" s="342" t="e">
        <f t="shared" ca="1" si="48"/>
        <v>#DIV/0!</v>
      </c>
      <c r="AA141" s="342" t="e">
        <f t="shared" ca="1" si="48"/>
        <v>#DIV/0!</v>
      </c>
      <c r="AB141" s="342" t="e">
        <f t="shared" ca="1" si="48"/>
        <v>#DIV/0!</v>
      </c>
      <c r="AC141" s="342" t="e">
        <f t="shared" ca="1" si="48"/>
        <v>#DIV/0!</v>
      </c>
      <c r="AD141" s="342" t="e">
        <f t="shared" ca="1" si="48"/>
        <v>#DIV/0!</v>
      </c>
      <c r="AE141" s="342" t="e">
        <f t="shared" ca="1" si="48"/>
        <v>#N/A</v>
      </c>
      <c r="AF141" s="342" t="e">
        <f ca="1">AE141</f>
        <v>#N/A</v>
      </c>
      <c r="AH141" s="340" t="str">
        <f t="shared" si="46"/>
        <v>NA</v>
      </c>
      <c r="AJ141" s="342" t="e">
        <f ca="1">AJ24/AJ21</f>
        <v>#DIV/0!</v>
      </c>
      <c r="AK141" s="342" t="e">
        <f ca="1">AK24/AK21</f>
        <v>#DIV/0!</v>
      </c>
      <c r="AL141" s="342" t="e">
        <f ca="1">AL24/AL21</f>
        <v>#DIV/0!</v>
      </c>
      <c r="AM141" s="342" t="e">
        <f ca="1">AM24/AM21</f>
        <v>#DIV/0!</v>
      </c>
      <c r="AN141" s="342" t="e">
        <f ca="1">AN24/AN21</f>
        <v>#DIV/0!</v>
      </c>
      <c r="AP141" s="340" t="str">
        <f t="shared" ca="1" si="47"/>
        <v>NA</v>
      </c>
    </row>
    <row r="142" spans="1:52">
      <c r="A142" s="341" t="s">
        <v>586</v>
      </c>
      <c r="B142" s="342" t="e">
        <f t="shared" ref="B142:AE142" si="49">B25/B21</f>
        <v>#DIV/0!</v>
      </c>
      <c r="C142" s="342" t="e">
        <f t="shared" si="49"/>
        <v>#DIV/0!</v>
      </c>
      <c r="D142" s="342" t="e">
        <f t="shared" si="49"/>
        <v>#DIV/0!</v>
      </c>
      <c r="E142" s="342" t="e">
        <f t="shared" si="49"/>
        <v>#DIV/0!</v>
      </c>
      <c r="F142" s="342" t="e">
        <f t="shared" ca="1" si="49"/>
        <v>#DIV/0!</v>
      </c>
      <c r="G142" s="342" t="e">
        <f t="shared" ca="1" si="49"/>
        <v>#DIV/0!</v>
      </c>
      <c r="H142" s="342" t="e">
        <f t="shared" ca="1" si="49"/>
        <v>#DIV/0!</v>
      </c>
      <c r="I142" s="342" t="e">
        <f t="shared" ca="1" si="49"/>
        <v>#DIV/0!</v>
      </c>
      <c r="J142" s="342" t="e">
        <f t="shared" ca="1" si="49"/>
        <v>#DIV/0!</v>
      </c>
      <c r="K142" s="342" t="e">
        <f t="shared" ca="1" si="49"/>
        <v>#DIV/0!</v>
      </c>
      <c r="L142" s="342" t="e">
        <f t="shared" ca="1" si="49"/>
        <v>#DIV/0!</v>
      </c>
      <c r="M142" s="342" t="e">
        <f t="shared" ca="1" si="49"/>
        <v>#DIV/0!</v>
      </c>
      <c r="N142" s="342" t="e">
        <f t="shared" ca="1" si="49"/>
        <v>#DIV/0!</v>
      </c>
      <c r="O142" s="342" t="e">
        <f t="shared" ca="1" si="49"/>
        <v>#DIV/0!</v>
      </c>
      <c r="P142" s="342" t="e">
        <f t="shared" ca="1" si="49"/>
        <v>#DIV/0!</v>
      </c>
      <c r="Q142" s="342" t="e">
        <f t="shared" ca="1" si="49"/>
        <v>#DIV/0!</v>
      </c>
      <c r="R142" s="342" t="e">
        <f t="shared" ca="1" si="49"/>
        <v>#DIV/0!</v>
      </c>
      <c r="S142" s="342" t="e">
        <f t="shared" ca="1" si="49"/>
        <v>#DIV/0!</v>
      </c>
      <c r="T142" s="342" t="e">
        <f t="shared" ca="1" si="49"/>
        <v>#DIV/0!</v>
      </c>
      <c r="U142" s="342" t="e">
        <f t="shared" ca="1" si="49"/>
        <v>#DIV/0!</v>
      </c>
      <c r="V142" s="342" t="e">
        <f t="shared" ca="1" si="49"/>
        <v>#DIV/0!</v>
      </c>
      <c r="W142" s="342" t="e">
        <f t="shared" ca="1" si="49"/>
        <v>#DIV/0!</v>
      </c>
      <c r="X142" s="342" t="e">
        <f t="shared" ca="1" si="49"/>
        <v>#DIV/0!</v>
      </c>
      <c r="Y142" s="342" t="e">
        <f t="shared" ca="1" si="49"/>
        <v>#DIV/0!</v>
      </c>
      <c r="Z142" s="342" t="e">
        <f t="shared" ca="1" si="49"/>
        <v>#DIV/0!</v>
      </c>
      <c r="AA142" s="342" t="e">
        <f t="shared" ca="1" si="49"/>
        <v>#DIV/0!</v>
      </c>
      <c r="AB142" s="342" t="e">
        <f t="shared" ca="1" si="49"/>
        <v>#DIV/0!</v>
      </c>
      <c r="AC142" s="342" t="e">
        <f t="shared" ca="1" si="49"/>
        <v>#DIV/0!</v>
      </c>
      <c r="AD142" s="342" t="e">
        <f t="shared" ca="1" si="49"/>
        <v>#DIV/0!</v>
      </c>
      <c r="AE142" s="342" t="e">
        <f t="shared" ca="1" si="49"/>
        <v>#N/A</v>
      </c>
      <c r="AF142" s="342" t="e">
        <f ca="1">AE142</f>
        <v>#N/A</v>
      </c>
      <c r="AH142" s="340" t="str">
        <f t="shared" si="46"/>
        <v>NA</v>
      </c>
      <c r="AJ142" s="342" t="e">
        <f ca="1">AJ25/AJ21</f>
        <v>#DIV/0!</v>
      </c>
      <c r="AK142" s="342" t="e">
        <f ca="1">AK25/AK21</f>
        <v>#DIV/0!</v>
      </c>
      <c r="AL142" s="342" t="e">
        <f ca="1">AL25/AL21</f>
        <v>#DIV/0!</v>
      </c>
      <c r="AM142" s="342" t="e">
        <f ca="1">AM25/AM21</f>
        <v>#DIV/0!</v>
      </c>
      <c r="AN142" s="342" t="e">
        <f ca="1">AN25/AN21</f>
        <v>#DIV/0!</v>
      </c>
      <c r="AP142" s="340" t="str">
        <f t="shared" ca="1" si="47"/>
        <v>NA</v>
      </c>
    </row>
    <row r="143" spans="1:52">
      <c r="A143" s="341" t="s">
        <v>547</v>
      </c>
      <c r="B143" s="342" t="s">
        <v>533</v>
      </c>
      <c r="C143" s="342" t="e">
        <f>C71/C69</f>
        <v>#DIV/0!</v>
      </c>
      <c r="D143" s="342" t="e">
        <f t="shared" ref="D143:AF143" si="50">D71/D69</f>
        <v>#DIV/0!</v>
      </c>
      <c r="E143" s="342" t="e">
        <f t="shared" si="50"/>
        <v>#DIV/0!</v>
      </c>
      <c r="F143" s="342" t="e">
        <f t="shared" ca="1" si="50"/>
        <v>#DIV/0!</v>
      </c>
      <c r="G143" s="342" t="e">
        <f t="shared" ca="1" si="50"/>
        <v>#DIV/0!</v>
      </c>
      <c r="H143" s="342" t="e">
        <f t="shared" ca="1" si="50"/>
        <v>#DIV/0!</v>
      </c>
      <c r="I143" s="342" t="e">
        <f t="shared" ca="1" si="50"/>
        <v>#DIV/0!</v>
      </c>
      <c r="J143" s="342" t="e">
        <f t="shared" ca="1" si="50"/>
        <v>#DIV/0!</v>
      </c>
      <c r="K143" s="342" t="e">
        <f t="shared" ca="1" si="50"/>
        <v>#DIV/0!</v>
      </c>
      <c r="L143" s="342" t="e">
        <f t="shared" ca="1" si="50"/>
        <v>#DIV/0!</v>
      </c>
      <c r="M143" s="342" t="e">
        <f t="shared" ca="1" si="50"/>
        <v>#DIV/0!</v>
      </c>
      <c r="N143" s="342" t="e">
        <f t="shared" ca="1" si="50"/>
        <v>#DIV/0!</v>
      </c>
      <c r="O143" s="342" t="e">
        <f t="shared" ca="1" si="50"/>
        <v>#DIV/0!</v>
      </c>
      <c r="P143" s="342" t="e">
        <f t="shared" ca="1" si="50"/>
        <v>#DIV/0!</v>
      </c>
      <c r="Q143" s="342" t="e">
        <f t="shared" ca="1" si="50"/>
        <v>#DIV/0!</v>
      </c>
      <c r="R143" s="342" t="e">
        <f t="shared" ca="1" si="50"/>
        <v>#DIV/0!</v>
      </c>
      <c r="S143" s="342" t="e">
        <f t="shared" ca="1" si="50"/>
        <v>#DIV/0!</v>
      </c>
      <c r="T143" s="342" t="e">
        <f t="shared" ca="1" si="50"/>
        <v>#DIV/0!</v>
      </c>
      <c r="U143" s="342" t="e">
        <f t="shared" ca="1" si="50"/>
        <v>#DIV/0!</v>
      </c>
      <c r="V143" s="342" t="e">
        <f t="shared" ca="1" si="50"/>
        <v>#DIV/0!</v>
      </c>
      <c r="W143" s="342" t="e">
        <f t="shared" ca="1" si="50"/>
        <v>#DIV/0!</v>
      </c>
      <c r="X143" s="342" t="e">
        <f t="shared" ca="1" si="50"/>
        <v>#DIV/0!</v>
      </c>
      <c r="Y143" s="342" t="e">
        <f t="shared" ca="1" si="50"/>
        <v>#DIV/0!</v>
      </c>
      <c r="Z143" s="342" t="e">
        <f t="shared" ca="1" si="50"/>
        <v>#DIV/0!</v>
      </c>
      <c r="AA143" s="342" t="e">
        <f t="shared" ca="1" si="50"/>
        <v>#DIV/0!</v>
      </c>
      <c r="AB143" s="342" t="e">
        <f t="shared" ca="1" si="50"/>
        <v>#DIV/0!</v>
      </c>
      <c r="AC143" s="342" t="e">
        <f t="shared" ca="1" si="50"/>
        <v>#DIV/0!</v>
      </c>
      <c r="AD143" s="342" t="e">
        <f t="shared" ca="1" si="50"/>
        <v>#DIV/0!</v>
      </c>
      <c r="AE143" s="342" t="e">
        <f t="shared" ca="1" si="50"/>
        <v>#N/A</v>
      </c>
      <c r="AF143" s="342" t="e">
        <f t="shared" ca="1" si="50"/>
        <v>#N/A</v>
      </c>
      <c r="AH143" s="340" t="str">
        <f t="shared" si="46"/>
        <v>NA</v>
      </c>
      <c r="AJ143" s="342" t="e">
        <f ca="1">AJ71/AJ69</f>
        <v>#DIV/0!</v>
      </c>
      <c r="AK143" s="342" t="e">
        <f ca="1">AK71/AK69</f>
        <v>#DIV/0!</v>
      </c>
      <c r="AL143" s="342" t="e">
        <f ca="1">AL71/AL69</f>
        <v>#DIV/0!</v>
      </c>
      <c r="AM143" s="342" t="e">
        <f ca="1">AM71/AM69</f>
        <v>#DIV/0!</v>
      </c>
      <c r="AN143" s="342" t="e">
        <f ca="1">AN71/AN69</f>
        <v>#DIV/0!</v>
      </c>
      <c r="AP143" s="340" t="str">
        <f t="shared" ca="1" si="47"/>
        <v>NA</v>
      </c>
    </row>
    <row r="144" spans="1:52">
      <c r="A144" s="341" t="s">
        <v>440</v>
      </c>
      <c r="B144" s="342" t="e">
        <f t="shared" ref="B144:AE144" si="51">B10/B21</f>
        <v>#DIV/0!</v>
      </c>
      <c r="C144" s="342" t="e">
        <f t="shared" si="51"/>
        <v>#DIV/0!</v>
      </c>
      <c r="D144" s="342" t="e">
        <f t="shared" si="51"/>
        <v>#DIV/0!</v>
      </c>
      <c r="E144" s="342" t="e">
        <f t="shared" si="51"/>
        <v>#DIV/0!</v>
      </c>
      <c r="F144" s="342" t="e">
        <f t="shared" ca="1" si="51"/>
        <v>#DIV/0!</v>
      </c>
      <c r="G144" s="342" t="e">
        <f t="shared" ca="1" si="51"/>
        <v>#DIV/0!</v>
      </c>
      <c r="H144" s="342" t="e">
        <f t="shared" ca="1" si="51"/>
        <v>#DIV/0!</v>
      </c>
      <c r="I144" s="342" t="e">
        <f t="shared" ca="1" si="51"/>
        <v>#DIV/0!</v>
      </c>
      <c r="J144" s="342" t="e">
        <f t="shared" ca="1" si="51"/>
        <v>#DIV/0!</v>
      </c>
      <c r="K144" s="342" t="e">
        <f t="shared" ca="1" si="51"/>
        <v>#DIV/0!</v>
      </c>
      <c r="L144" s="342" t="e">
        <f t="shared" ca="1" si="51"/>
        <v>#DIV/0!</v>
      </c>
      <c r="M144" s="342" t="e">
        <f t="shared" ca="1" si="51"/>
        <v>#DIV/0!</v>
      </c>
      <c r="N144" s="342" t="e">
        <f t="shared" ca="1" si="51"/>
        <v>#DIV/0!</v>
      </c>
      <c r="O144" s="342" t="e">
        <f t="shared" ca="1" si="51"/>
        <v>#DIV/0!</v>
      </c>
      <c r="P144" s="342" t="e">
        <f t="shared" ca="1" si="51"/>
        <v>#DIV/0!</v>
      </c>
      <c r="Q144" s="342" t="e">
        <f t="shared" ca="1" si="51"/>
        <v>#DIV/0!</v>
      </c>
      <c r="R144" s="342" t="e">
        <f t="shared" ca="1" si="51"/>
        <v>#DIV/0!</v>
      </c>
      <c r="S144" s="342" t="e">
        <f t="shared" ca="1" si="51"/>
        <v>#DIV/0!</v>
      </c>
      <c r="T144" s="342" t="e">
        <f t="shared" ca="1" si="51"/>
        <v>#DIV/0!</v>
      </c>
      <c r="U144" s="342" t="e">
        <f t="shared" ca="1" si="51"/>
        <v>#DIV/0!</v>
      </c>
      <c r="V144" s="342" t="e">
        <f t="shared" ca="1" si="51"/>
        <v>#DIV/0!</v>
      </c>
      <c r="W144" s="342" t="e">
        <f t="shared" ca="1" si="51"/>
        <v>#DIV/0!</v>
      </c>
      <c r="X144" s="342" t="e">
        <f t="shared" ca="1" si="51"/>
        <v>#DIV/0!</v>
      </c>
      <c r="Y144" s="342" t="e">
        <f t="shared" ca="1" si="51"/>
        <v>#DIV/0!</v>
      </c>
      <c r="Z144" s="342" t="e">
        <f t="shared" ca="1" si="51"/>
        <v>#DIV/0!</v>
      </c>
      <c r="AA144" s="342" t="e">
        <f t="shared" ca="1" si="51"/>
        <v>#DIV/0!</v>
      </c>
      <c r="AB144" s="342" t="e">
        <f t="shared" ca="1" si="51"/>
        <v>#DIV/0!</v>
      </c>
      <c r="AC144" s="342" t="e">
        <f t="shared" ca="1" si="51"/>
        <v>#DIV/0!</v>
      </c>
      <c r="AD144" s="342" t="e">
        <f t="shared" ca="1" si="51"/>
        <v>#DIV/0!</v>
      </c>
      <c r="AE144" s="342" t="e">
        <f t="shared" ca="1" si="51"/>
        <v>#N/A</v>
      </c>
      <c r="AF144" s="342" t="e">
        <f ca="1">AE144</f>
        <v>#N/A</v>
      </c>
      <c r="AH144" s="340" t="str">
        <f t="shared" si="46"/>
        <v>NA</v>
      </c>
      <c r="AJ144" s="342" t="e">
        <f ca="1">AJ10/AJ21</f>
        <v>#DIV/0!</v>
      </c>
      <c r="AK144" s="342" t="e">
        <f ca="1">AK10/AK21</f>
        <v>#DIV/0!</v>
      </c>
      <c r="AL144" s="342" t="e">
        <f ca="1">AL10/AL21</f>
        <v>#DIV/0!</v>
      </c>
      <c r="AM144" s="342" t="e">
        <f ca="1">AM10/AM21</f>
        <v>#DIV/0!</v>
      </c>
      <c r="AN144" s="342" t="e">
        <f ca="1">AN10/AN21</f>
        <v>#DIV/0!</v>
      </c>
      <c r="AP144" s="340" t="str">
        <f t="shared" ca="1" si="47"/>
        <v>NA</v>
      </c>
    </row>
    <row r="145" spans="1:42">
      <c r="A145" s="341" t="s">
        <v>439</v>
      </c>
      <c r="B145" s="342" t="e">
        <f t="shared" ref="B145:AE145" si="52">B15/B21</f>
        <v>#DIV/0!</v>
      </c>
      <c r="C145" s="342" t="e">
        <f t="shared" si="52"/>
        <v>#DIV/0!</v>
      </c>
      <c r="D145" s="342" t="e">
        <f t="shared" si="52"/>
        <v>#DIV/0!</v>
      </c>
      <c r="E145" s="342" t="e">
        <f t="shared" si="52"/>
        <v>#DIV/0!</v>
      </c>
      <c r="F145" s="342" t="e">
        <f t="shared" ca="1" si="52"/>
        <v>#DIV/0!</v>
      </c>
      <c r="G145" s="342" t="e">
        <f t="shared" ca="1" si="52"/>
        <v>#DIV/0!</v>
      </c>
      <c r="H145" s="342" t="e">
        <f t="shared" ca="1" si="52"/>
        <v>#DIV/0!</v>
      </c>
      <c r="I145" s="342" t="e">
        <f t="shared" ca="1" si="52"/>
        <v>#DIV/0!</v>
      </c>
      <c r="J145" s="342" t="e">
        <f t="shared" ca="1" si="52"/>
        <v>#DIV/0!</v>
      </c>
      <c r="K145" s="342" t="e">
        <f t="shared" ca="1" si="52"/>
        <v>#DIV/0!</v>
      </c>
      <c r="L145" s="342" t="e">
        <f t="shared" ca="1" si="52"/>
        <v>#DIV/0!</v>
      </c>
      <c r="M145" s="342" t="e">
        <f t="shared" ca="1" si="52"/>
        <v>#DIV/0!</v>
      </c>
      <c r="N145" s="342" t="e">
        <f t="shared" ca="1" si="52"/>
        <v>#DIV/0!</v>
      </c>
      <c r="O145" s="342" t="e">
        <f t="shared" ca="1" si="52"/>
        <v>#DIV/0!</v>
      </c>
      <c r="P145" s="342" t="e">
        <f t="shared" ca="1" si="52"/>
        <v>#DIV/0!</v>
      </c>
      <c r="Q145" s="342" t="e">
        <f t="shared" ca="1" si="52"/>
        <v>#DIV/0!</v>
      </c>
      <c r="R145" s="342" t="e">
        <f t="shared" ca="1" si="52"/>
        <v>#DIV/0!</v>
      </c>
      <c r="S145" s="342" t="e">
        <f t="shared" ca="1" si="52"/>
        <v>#DIV/0!</v>
      </c>
      <c r="T145" s="342" t="e">
        <f t="shared" ca="1" si="52"/>
        <v>#DIV/0!</v>
      </c>
      <c r="U145" s="342" t="e">
        <f t="shared" ca="1" si="52"/>
        <v>#DIV/0!</v>
      </c>
      <c r="V145" s="342" t="e">
        <f t="shared" ca="1" si="52"/>
        <v>#DIV/0!</v>
      </c>
      <c r="W145" s="342" t="e">
        <f t="shared" ca="1" si="52"/>
        <v>#DIV/0!</v>
      </c>
      <c r="X145" s="342" t="e">
        <f t="shared" ca="1" si="52"/>
        <v>#DIV/0!</v>
      </c>
      <c r="Y145" s="342" t="e">
        <f t="shared" ca="1" si="52"/>
        <v>#DIV/0!</v>
      </c>
      <c r="Z145" s="342" t="e">
        <f t="shared" ca="1" si="52"/>
        <v>#DIV/0!</v>
      </c>
      <c r="AA145" s="342" t="e">
        <f t="shared" ca="1" si="52"/>
        <v>#DIV/0!</v>
      </c>
      <c r="AB145" s="342" t="e">
        <f t="shared" ca="1" si="52"/>
        <v>#DIV/0!</v>
      </c>
      <c r="AC145" s="342" t="e">
        <f t="shared" ca="1" si="52"/>
        <v>#DIV/0!</v>
      </c>
      <c r="AD145" s="342" t="e">
        <f t="shared" ca="1" si="52"/>
        <v>#DIV/0!</v>
      </c>
      <c r="AE145" s="342" t="e">
        <f t="shared" ca="1" si="52"/>
        <v>#N/A</v>
      </c>
      <c r="AF145" s="342" t="e">
        <f ca="1">AE145</f>
        <v>#N/A</v>
      </c>
      <c r="AH145" s="340" t="str">
        <f t="shared" si="46"/>
        <v>NA</v>
      </c>
      <c r="AJ145" s="342" t="e">
        <f ca="1">AJ15/AJ21</f>
        <v>#DIV/0!</v>
      </c>
      <c r="AK145" s="342" t="e">
        <f ca="1">AK15/AK21</f>
        <v>#DIV/0!</v>
      </c>
      <c r="AL145" s="342" t="e">
        <f ca="1">AL15/AL21</f>
        <v>#DIV/0!</v>
      </c>
      <c r="AM145" s="342" t="e">
        <f ca="1">AM15/AM21</f>
        <v>#DIV/0!</v>
      </c>
      <c r="AN145" s="342" t="e">
        <f ca="1">AN15/AN21</f>
        <v>#DIV/0!</v>
      </c>
      <c r="AP145" s="340" t="str">
        <f t="shared" ca="1" si="47"/>
        <v>NA</v>
      </c>
    </row>
    <row r="146" spans="1:42">
      <c r="A146" s="341" t="s">
        <v>441</v>
      </c>
      <c r="B146" s="409" t="e">
        <f>B25/B37</f>
        <v>#DIV/0!</v>
      </c>
      <c r="C146" s="409" t="e">
        <f>(C25+C24)/C37</f>
        <v>#DIV/0!</v>
      </c>
      <c r="D146" s="409" t="e">
        <f t="shared" ref="D146:AE146" si="53">(D25+D24)/D37</f>
        <v>#DIV/0!</v>
      </c>
      <c r="E146" s="409" t="e">
        <f t="shared" si="53"/>
        <v>#DIV/0!</v>
      </c>
      <c r="F146" s="409" t="e">
        <f t="shared" ca="1" si="53"/>
        <v>#DIV/0!</v>
      </c>
      <c r="G146" s="409" t="e">
        <f t="shared" ca="1" si="53"/>
        <v>#DIV/0!</v>
      </c>
      <c r="H146" s="409" t="e">
        <f t="shared" ca="1" si="53"/>
        <v>#DIV/0!</v>
      </c>
      <c r="I146" s="409" t="e">
        <f t="shared" ca="1" si="53"/>
        <v>#DIV/0!</v>
      </c>
      <c r="J146" s="409" t="e">
        <f t="shared" ca="1" si="53"/>
        <v>#DIV/0!</v>
      </c>
      <c r="K146" s="409" t="e">
        <f t="shared" ca="1" si="53"/>
        <v>#DIV/0!</v>
      </c>
      <c r="L146" s="409" t="e">
        <f t="shared" ca="1" si="53"/>
        <v>#DIV/0!</v>
      </c>
      <c r="M146" s="409" t="e">
        <f t="shared" ca="1" si="53"/>
        <v>#DIV/0!</v>
      </c>
      <c r="N146" s="409" t="e">
        <f t="shared" ca="1" si="53"/>
        <v>#DIV/0!</v>
      </c>
      <c r="O146" s="409" t="e">
        <f t="shared" ca="1" si="53"/>
        <v>#DIV/0!</v>
      </c>
      <c r="P146" s="409" t="e">
        <f t="shared" ca="1" si="53"/>
        <v>#DIV/0!</v>
      </c>
      <c r="Q146" s="409" t="e">
        <f t="shared" ca="1" si="53"/>
        <v>#DIV/0!</v>
      </c>
      <c r="R146" s="409" t="e">
        <f t="shared" ca="1" si="53"/>
        <v>#DIV/0!</v>
      </c>
      <c r="S146" s="409" t="e">
        <f t="shared" ca="1" si="53"/>
        <v>#DIV/0!</v>
      </c>
      <c r="T146" s="409" t="e">
        <f t="shared" ca="1" si="53"/>
        <v>#DIV/0!</v>
      </c>
      <c r="U146" s="409" t="e">
        <f t="shared" ca="1" si="53"/>
        <v>#DIV/0!</v>
      </c>
      <c r="V146" s="409" t="e">
        <f t="shared" ca="1" si="53"/>
        <v>#DIV/0!</v>
      </c>
      <c r="W146" s="409" t="e">
        <f t="shared" ca="1" si="53"/>
        <v>#DIV/0!</v>
      </c>
      <c r="X146" s="409" t="e">
        <f t="shared" ca="1" si="53"/>
        <v>#DIV/0!</v>
      </c>
      <c r="Y146" s="409" t="e">
        <f t="shared" ca="1" si="53"/>
        <v>#DIV/0!</v>
      </c>
      <c r="Z146" s="409" t="e">
        <f t="shared" ca="1" si="53"/>
        <v>#DIV/0!</v>
      </c>
      <c r="AA146" s="409" t="e">
        <f t="shared" ca="1" si="53"/>
        <v>#DIV/0!</v>
      </c>
      <c r="AB146" s="409" t="e">
        <f t="shared" ca="1" si="53"/>
        <v>#DIV/0!</v>
      </c>
      <c r="AC146" s="409" t="e">
        <f t="shared" ca="1" si="53"/>
        <v>#DIV/0!</v>
      </c>
      <c r="AD146" s="409" t="e">
        <f t="shared" ca="1" si="53"/>
        <v>#DIV/0!</v>
      </c>
      <c r="AE146" s="409" t="e">
        <f t="shared" ca="1" si="53"/>
        <v>#N/A</v>
      </c>
      <c r="AF146" s="409" t="e">
        <f ca="1">AE146</f>
        <v>#N/A</v>
      </c>
      <c r="AH146" s="340" t="str">
        <f t="shared" si="46"/>
        <v>NA</v>
      </c>
      <c r="AJ146" s="409" t="e">
        <f ca="1">(AJ25+AJ24)/AJ37</f>
        <v>#DIV/0!</v>
      </c>
      <c r="AK146" s="409" t="e">
        <f ca="1">(AK25+AK24)/AK37</f>
        <v>#DIV/0!</v>
      </c>
      <c r="AL146" s="409" t="e">
        <f ca="1">(AL25+AL24)/AL37</f>
        <v>#DIV/0!</v>
      </c>
      <c r="AM146" s="409" t="e">
        <f ca="1">(AM25+AM24)/AM37</f>
        <v>#DIV/0!</v>
      </c>
      <c r="AN146" s="409" t="e">
        <f ca="1">(AN25+AN24)/AN37</f>
        <v>#DIV/0!</v>
      </c>
      <c r="AP146" s="340" t="str">
        <f t="shared" ca="1" si="47"/>
        <v>NA</v>
      </c>
    </row>
    <row r="147" spans="1:42">
      <c r="A147" s="341" t="s">
        <v>359</v>
      </c>
      <c r="B147" s="342">
        <f>IF('Hist &amp; Proj'!B41=0,0,('Hist &amp; Proj'!B125-'Hist &amp; Proj'!B128)/'Hist &amp; Proj'!B41)</f>
        <v>0</v>
      </c>
      <c r="C147" s="342">
        <f>IF('Hist &amp; Proj'!C41=0,0,('Hist &amp; Proj'!C125-'Hist &amp; Proj'!C128)/'Hist &amp; Proj'!C41)</f>
        <v>0</v>
      </c>
      <c r="D147" s="342">
        <f>IF('Hist &amp; Proj'!D41=0,0,('Hist &amp; Proj'!D125-'Hist &amp; Proj'!D128)/'Hist &amp; Proj'!D41)</f>
        <v>0</v>
      </c>
      <c r="E147" s="342">
        <f>IF('Hist &amp; Proj'!E41=0,0,('Hist &amp; Proj'!E125-'Hist &amp; Proj'!E128)/'Hist &amp; Proj'!E41)</f>
        <v>0</v>
      </c>
      <c r="F147" s="342">
        <f ca="1">IF('Hist &amp; Proj'!F41=0,0,('Hist &amp; Proj'!F125-'Hist &amp; Proj'!F128)/'Hist &amp; Proj'!F41)</f>
        <v>0</v>
      </c>
      <c r="G147" s="342">
        <f ca="1">IF('Hist &amp; Proj'!G41=0,0,('Hist &amp; Proj'!G125-'Hist &amp; Proj'!G128)/'Hist &amp; Proj'!G41)</f>
        <v>0</v>
      </c>
      <c r="H147" s="342">
        <f ca="1">IF('Hist &amp; Proj'!H41=0,0,('Hist &amp; Proj'!H125-'Hist &amp; Proj'!H128)/'Hist &amp; Proj'!H41)</f>
        <v>0</v>
      </c>
      <c r="I147" s="342">
        <f ca="1">IF('Hist &amp; Proj'!I41=0,0,('Hist &amp; Proj'!I125-'Hist &amp; Proj'!I128)/'Hist &amp; Proj'!I41)</f>
        <v>0</v>
      </c>
      <c r="J147" s="342">
        <f ca="1">IF('Hist &amp; Proj'!J41=0,0,('Hist &amp; Proj'!J125-'Hist &amp; Proj'!J128)/'Hist &amp; Proj'!J41)</f>
        <v>0</v>
      </c>
      <c r="K147" s="342">
        <f ca="1">IF('Hist &amp; Proj'!K41=0,0,('Hist &amp; Proj'!K125-'Hist &amp; Proj'!K128)/'Hist &amp; Proj'!K41)</f>
        <v>0</v>
      </c>
      <c r="L147" s="342">
        <f ca="1">IF('Hist &amp; Proj'!L41=0,0,('Hist &amp; Proj'!L125-'Hist &amp; Proj'!L128)/'Hist &amp; Proj'!L41)</f>
        <v>0</v>
      </c>
      <c r="M147" s="342">
        <f ca="1">IF('Hist &amp; Proj'!M41=0,0,('Hist &amp; Proj'!M125-'Hist &amp; Proj'!M128)/'Hist &amp; Proj'!M41)</f>
        <v>0</v>
      </c>
      <c r="N147" s="342">
        <f ca="1">IF('Hist &amp; Proj'!N41=0,0,('Hist &amp; Proj'!N125-'Hist &amp; Proj'!N128)/'Hist &amp; Proj'!N41)</f>
        <v>0</v>
      </c>
      <c r="O147" s="342">
        <f ca="1">IF('Hist &amp; Proj'!O41=0,0,('Hist &amp; Proj'!O125-'Hist &amp; Proj'!O128)/'Hist &amp; Proj'!O41)</f>
        <v>0</v>
      </c>
      <c r="P147" s="342">
        <f ca="1">IF('Hist &amp; Proj'!P41=0,0,('Hist &amp; Proj'!P125-'Hist &amp; Proj'!P128)/'Hist &amp; Proj'!P41)</f>
        <v>0</v>
      </c>
      <c r="Q147" s="342">
        <f ca="1">IF('Hist &amp; Proj'!Q41=0,0,('Hist &amp; Proj'!Q125-'Hist &amp; Proj'!Q128)/'Hist &amp; Proj'!Q41)</f>
        <v>0</v>
      </c>
      <c r="R147" s="342">
        <f ca="1">IF('Hist &amp; Proj'!R41=0,0,('Hist &amp; Proj'!R125-'Hist &amp; Proj'!R128)/'Hist &amp; Proj'!R41)</f>
        <v>0</v>
      </c>
      <c r="S147" s="342">
        <f ca="1">IF('Hist &amp; Proj'!S41=0,0,('Hist &amp; Proj'!S125-'Hist &amp; Proj'!S128)/'Hist &amp; Proj'!S41)</f>
        <v>0</v>
      </c>
      <c r="T147" s="342">
        <f ca="1">IF('Hist &amp; Proj'!T41=0,0,('Hist &amp; Proj'!T125-'Hist &amp; Proj'!T128)/'Hist &amp; Proj'!T41)</f>
        <v>0</v>
      </c>
      <c r="U147" s="342">
        <f ca="1">IF('Hist &amp; Proj'!U41=0,0,('Hist &amp; Proj'!U125-'Hist &amp; Proj'!U128)/'Hist &amp; Proj'!U41)</f>
        <v>0</v>
      </c>
      <c r="V147" s="342">
        <f ca="1">IF('Hist &amp; Proj'!V41=0,0,('Hist &amp; Proj'!V125-'Hist &amp; Proj'!V128)/'Hist &amp; Proj'!V41)</f>
        <v>0</v>
      </c>
      <c r="W147" s="342">
        <f ca="1">IF('Hist &amp; Proj'!W41=0,0,('Hist &amp; Proj'!W125-'Hist &amp; Proj'!W128)/'Hist &amp; Proj'!W41)</f>
        <v>0</v>
      </c>
      <c r="X147" s="342">
        <f ca="1">IF('Hist &amp; Proj'!X41=0,0,('Hist &amp; Proj'!X125-'Hist &amp; Proj'!X128)/'Hist &amp; Proj'!X41)</f>
        <v>0</v>
      </c>
      <c r="Y147" s="342">
        <f ca="1">IF('Hist &amp; Proj'!Y41=0,0,('Hist &amp; Proj'!Y125-'Hist &amp; Proj'!Y128)/'Hist &amp; Proj'!Y41)</f>
        <v>0</v>
      </c>
      <c r="Z147" s="342">
        <f ca="1">IF('Hist &amp; Proj'!Z41=0,0,('Hist &amp; Proj'!Z125-'Hist &amp; Proj'!Z128)/'Hist &amp; Proj'!Z41)</f>
        <v>0</v>
      </c>
      <c r="AA147" s="342">
        <f ca="1">IF('Hist &amp; Proj'!AA41=0,0,('Hist &amp; Proj'!AA125-'Hist &amp; Proj'!AA128)/'Hist &amp; Proj'!AA41)</f>
        <v>0</v>
      </c>
      <c r="AB147" s="342">
        <f ca="1">IF('Hist &amp; Proj'!AB41=0,0,('Hist &amp; Proj'!AB125-'Hist &amp; Proj'!AB128)/'Hist &amp; Proj'!AB41)</f>
        <v>0</v>
      </c>
      <c r="AC147" s="342">
        <f ca="1">IF('Hist &amp; Proj'!AC41=0,0,('Hist &amp; Proj'!AC125-'Hist &amp; Proj'!AC128)/'Hist &amp; Proj'!AC41)</f>
        <v>0</v>
      </c>
      <c r="AD147" s="342">
        <f ca="1">IF('Hist &amp; Proj'!AD41=0,0,('Hist &amp; Proj'!AD125-'Hist &amp; Proj'!AD128)/'Hist &amp; Proj'!AD41)</f>
        <v>0</v>
      </c>
      <c r="AE147" s="342" t="e">
        <f ca="1">IF('Hist &amp; Proj'!AE41=0,0,('Hist &amp; Proj'!AE125-'Hist &amp; Proj'!AE128)/'Hist &amp; Proj'!AE41)</f>
        <v>#N/A</v>
      </c>
      <c r="AF147" s="342" t="e">
        <f ca="1">AE147</f>
        <v>#N/A</v>
      </c>
      <c r="AH147" s="340">
        <f t="shared" ca="1" si="46"/>
        <v>0</v>
      </c>
      <c r="AJ147" s="342" t="s">
        <v>533</v>
      </c>
      <c r="AK147" s="342" t="s">
        <v>533</v>
      </c>
      <c r="AL147" s="342" t="s">
        <v>533</v>
      </c>
      <c r="AM147" s="342" t="s">
        <v>533</v>
      </c>
      <c r="AN147" s="342" t="s">
        <v>533</v>
      </c>
      <c r="AP147" s="340" t="str">
        <f t="shared" si="47"/>
        <v>NA</v>
      </c>
    </row>
    <row r="148" spans="1:42">
      <c r="A148" s="341" t="s">
        <v>573</v>
      </c>
      <c r="B148" s="342" t="e">
        <f t="shared" ref="B148:AE148" si="54">B24/B15</f>
        <v>#DIV/0!</v>
      </c>
      <c r="C148" s="342" t="e">
        <f t="shared" si="54"/>
        <v>#DIV/0!</v>
      </c>
      <c r="D148" s="342" t="e">
        <f t="shared" si="54"/>
        <v>#DIV/0!</v>
      </c>
      <c r="E148" s="342" t="e">
        <f t="shared" si="54"/>
        <v>#DIV/0!</v>
      </c>
      <c r="F148" s="342" t="e">
        <f t="shared" ca="1" si="54"/>
        <v>#DIV/0!</v>
      </c>
      <c r="G148" s="342" t="e">
        <f t="shared" ca="1" si="54"/>
        <v>#DIV/0!</v>
      </c>
      <c r="H148" s="342" t="e">
        <f t="shared" ca="1" si="54"/>
        <v>#DIV/0!</v>
      </c>
      <c r="I148" s="342" t="e">
        <f t="shared" ca="1" si="54"/>
        <v>#DIV/0!</v>
      </c>
      <c r="J148" s="342" t="e">
        <f t="shared" ca="1" si="54"/>
        <v>#DIV/0!</v>
      </c>
      <c r="K148" s="342" t="e">
        <f t="shared" ca="1" si="54"/>
        <v>#DIV/0!</v>
      </c>
      <c r="L148" s="342" t="e">
        <f t="shared" ca="1" si="54"/>
        <v>#DIV/0!</v>
      </c>
      <c r="M148" s="342" t="e">
        <f t="shared" ca="1" si="54"/>
        <v>#DIV/0!</v>
      </c>
      <c r="N148" s="342" t="e">
        <f t="shared" ca="1" si="54"/>
        <v>#DIV/0!</v>
      </c>
      <c r="O148" s="342" t="e">
        <f t="shared" ca="1" si="54"/>
        <v>#DIV/0!</v>
      </c>
      <c r="P148" s="342" t="e">
        <f t="shared" ca="1" si="54"/>
        <v>#DIV/0!</v>
      </c>
      <c r="Q148" s="342" t="e">
        <f t="shared" ca="1" si="54"/>
        <v>#DIV/0!</v>
      </c>
      <c r="R148" s="342" t="e">
        <f t="shared" ca="1" si="54"/>
        <v>#DIV/0!</v>
      </c>
      <c r="S148" s="342" t="e">
        <f t="shared" ca="1" si="54"/>
        <v>#DIV/0!</v>
      </c>
      <c r="T148" s="342" t="e">
        <f t="shared" ca="1" si="54"/>
        <v>#DIV/0!</v>
      </c>
      <c r="U148" s="342" t="e">
        <f t="shared" ca="1" si="54"/>
        <v>#DIV/0!</v>
      </c>
      <c r="V148" s="342" t="e">
        <f t="shared" ca="1" si="54"/>
        <v>#DIV/0!</v>
      </c>
      <c r="W148" s="342" t="e">
        <f t="shared" ca="1" si="54"/>
        <v>#DIV/0!</v>
      </c>
      <c r="X148" s="342" t="e">
        <f t="shared" ca="1" si="54"/>
        <v>#DIV/0!</v>
      </c>
      <c r="Y148" s="342" t="e">
        <f t="shared" ca="1" si="54"/>
        <v>#DIV/0!</v>
      </c>
      <c r="Z148" s="342" t="e">
        <f t="shared" ca="1" si="54"/>
        <v>#DIV/0!</v>
      </c>
      <c r="AA148" s="342" t="e">
        <f t="shared" ca="1" si="54"/>
        <v>#DIV/0!</v>
      </c>
      <c r="AB148" s="342" t="e">
        <f t="shared" ca="1" si="54"/>
        <v>#DIV/0!</v>
      </c>
      <c r="AC148" s="342" t="e">
        <f t="shared" ca="1" si="54"/>
        <v>#DIV/0!</v>
      </c>
      <c r="AD148" s="342" t="e">
        <f t="shared" ca="1" si="54"/>
        <v>#DIV/0!</v>
      </c>
      <c r="AE148" s="342" t="e">
        <f t="shared" ca="1" si="54"/>
        <v>#N/A</v>
      </c>
      <c r="AF148" s="342" t="e">
        <f ca="1">AE148</f>
        <v>#N/A</v>
      </c>
      <c r="AH148" s="340" t="str">
        <f t="shared" si="46"/>
        <v>NA</v>
      </c>
      <c r="AJ148" s="342" t="e">
        <f ca="1">AJ24/AJ15</f>
        <v>#DIV/0!</v>
      </c>
      <c r="AK148" s="342" t="e">
        <f ca="1">AK24/AK15</f>
        <v>#DIV/0!</v>
      </c>
      <c r="AL148" s="342" t="e">
        <f ca="1">AL24/AL15</f>
        <v>#DIV/0!</v>
      </c>
      <c r="AM148" s="342" t="e">
        <f ca="1">AM24/AM15</f>
        <v>#DIV/0!</v>
      </c>
      <c r="AN148" s="342" t="e">
        <f ca="1">AN24/AN15</f>
        <v>#DIV/0!</v>
      </c>
      <c r="AP148" s="340" t="str">
        <f t="shared" ca="1" si="47"/>
        <v>NA</v>
      </c>
    </row>
    <row r="149" spans="1:42">
      <c r="A149" s="338"/>
      <c r="B149" s="386"/>
      <c r="C149" s="386"/>
      <c r="D149" s="386"/>
      <c r="E149" s="386"/>
      <c r="F149" s="386"/>
      <c r="G149" s="386"/>
      <c r="H149" s="386"/>
      <c r="I149" s="386"/>
      <c r="J149" s="386"/>
      <c r="K149" s="386"/>
      <c r="L149" s="386"/>
      <c r="M149" s="386"/>
      <c r="N149" s="386"/>
      <c r="O149" s="386"/>
      <c r="P149" s="386"/>
      <c r="Q149" s="386"/>
      <c r="R149" s="386"/>
      <c r="S149" s="386"/>
      <c r="T149" s="386"/>
      <c r="U149" s="386"/>
      <c r="V149" s="386"/>
      <c r="W149" s="386"/>
      <c r="X149" s="339"/>
      <c r="Y149" s="339"/>
      <c r="Z149" s="339"/>
      <c r="AA149" s="339"/>
      <c r="AB149" s="339"/>
      <c r="AC149" s="339"/>
      <c r="AD149" s="339"/>
      <c r="AE149" s="339"/>
      <c r="AF149" s="339"/>
      <c r="AH149" s="387"/>
      <c r="AJ149" s="339"/>
      <c r="AK149" s="339"/>
      <c r="AL149" s="339"/>
      <c r="AM149" s="339"/>
      <c r="AN149" s="339"/>
      <c r="AP149" s="387"/>
    </row>
    <row r="150" spans="1:42" s="392" customFormat="1" ht="24" customHeight="1">
      <c r="A150" s="410"/>
      <c r="B150" s="411"/>
      <c r="C150" s="411"/>
      <c r="D150" s="411"/>
      <c r="E150" s="411"/>
      <c r="F150" s="411"/>
      <c r="G150" s="411"/>
      <c r="H150" s="411"/>
      <c r="I150" s="411"/>
      <c r="J150" s="411"/>
      <c r="K150" s="411"/>
      <c r="L150" s="411"/>
      <c r="M150" s="411"/>
      <c r="N150" s="411"/>
      <c r="O150" s="411"/>
      <c r="P150" s="411"/>
      <c r="Q150" s="411"/>
      <c r="R150" s="411"/>
      <c r="S150" s="411"/>
      <c r="T150" s="411"/>
      <c r="U150" s="411"/>
      <c r="V150" s="411"/>
      <c r="W150" s="411"/>
      <c r="X150" s="412"/>
      <c r="Y150" s="412"/>
      <c r="Z150" s="412"/>
      <c r="AA150" s="412"/>
      <c r="AB150" s="412"/>
      <c r="AC150" s="412"/>
      <c r="AD150" s="412"/>
      <c r="AE150" s="412"/>
      <c r="AF150" s="412"/>
      <c r="AH150" s="413"/>
      <c r="AJ150" s="412"/>
      <c r="AK150" s="412"/>
      <c r="AL150" s="412"/>
      <c r="AM150" s="412"/>
      <c r="AN150" s="412"/>
      <c r="AO150" s="395"/>
      <c r="AP150" s="413"/>
    </row>
    <row r="151" spans="1:42">
      <c r="A151" s="341"/>
      <c r="B151" s="414"/>
      <c r="C151" s="414"/>
      <c r="D151" s="414"/>
      <c r="E151" s="414"/>
      <c r="F151" s="414"/>
      <c r="G151" s="414"/>
      <c r="H151" s="414"/>
      <c r="I151" s="414"/>
      <c r="J151" s="414"/>
      <c r="K151" s="414"/>
      <c r="L151" s="414"/>
      <c r="M151" s="414"/>
      <c r="N151" s="414"/>
      <c r="O151" s="414"/>
      <c r="P151" s="414"/>
      <c r="Q151" s="414"/>
      <c r="R151" s="414"/>
      <c r="S151" s="414"/>
      <c r="T151" s="414"/>
      <c r="U151" s="414"/>
      <c r="V151" s="414"/>
      <c r="W151" s="414"/>
      <c r="X151" s="342"/>
      <c r="Y151" s="342"/>
      <c r="Z151" s="342"/>
      <c r="AA151" s="342"/>
      <c r="AB151" s="342"/>
      <c r="AC151" s="342"/>
      <c r="AD151" s="342"/>
      <c r="AE151" s="342"/>
      <c r="AF151" s="131"/>
      <c r="AH151" s="340"/>
      <c r="AJ151" s="342"/>
      <c r="AK151" s="342"/>
      <c r="AL151" s="342"/>
      <c r="AM151" s="342"/>
      <c r="AN151" s="342"/>
      <c r="AP151" s="340"/>
    </row>
    <row r="152" spans="1:42">
      <c r="A152" s="389" t="s">
        <v>526</v>
      </c>
      <c r="B152" s="760">
        <f>B$7</f>
        <v>692501</v>
      </c>
      <c r="C152" s="760">
        <f t="shared" ref="C152:AD152" si="55">C$7</f>
        <v>692867</v>
      </c>
      <c r="D152" s="760">
        <f t="shared" si="55"/>
        <v>693232</v>
      </c>
      <c r="E152" s="760">
        <f t="shared" si="55"/>
        <v>693597</v>
      </c>
      <c r="F152" s="362">
        <f t="shared" ca="1" si="55"/>
        <v>693628</v>
      </c>
      <c r="G152" s="362">
        <f t="shared" ca="1" si="55"/>
        <v>693656</v>
      </c>
      <c r="H152" s="362">
        <f t="shared" ca="1" si="55"/>
        <v>693687</v>
      </c>
      <c r="I152" s="362">
        <f t="shared" ca="1" si="55"/>
        <v>693717</v>
      </c>
      <c r="J152" s="362">
        <f t="shared" ca="1" si="55"/>
        <v>693748</v>
      </c>
      <c r="K152" s="362">
        <f t="shared" ca="1" si="55"/>
        <v>693778</v>
      </c>
      <c r="L152" s="362">
        <f t="shared" ca="1" si="55"/>
        <v>693809</v>
      </c>
      <c r="M152" s="362">
        <f t="shared" ca="1" si="55"/>
        <v>693840</v>
      </c>
      <c r="N152" s="362">
        <f t="shared" ca="1" si="55"/>
        <v>693870</v>
      </c>
      <c r="O152" s="362">
        <f t="shared" ca="1" si="55"/>
        <v>693901</v>
      </c>
      <c r="P152" s="362">
        <f t="shared" ca="1" si="55"/>
        <v>693931</v>
      </c>
      <c r="Q152" s="362">
        <f t="shared" ca="1" si="55"/>
        <v>693962</v>
      </c>
      <c r="R152" s="760">
        <f t="shared" ca="1" si="55"/>
        <v>693962</v>
      </c>
      <c r="S152" s="362">
        <f t="shared" ca="1" si="55"/>
        <v>31</v>
      </c>
      <c r="T152" s="362">
        <f t="shared" ca="1" si="55"/>
        <v>59</v>
      </c>
      <c r="U152" s="362">
        <f t="shared" ca="1" si="55"/>
        <v>91</v>
      </c>
      <c r="V152" s="362">
        <f t="shared" ca="1" si="55"/>
        <v>121</v>
      </c>
      <c r="W152" s="362">
        <f t="shared" ca="1" si="55"/>
        <v>152</v>
      </c>
      <c r="X152" s="362">
        <f t="shared" ca="1" si="55"/>
        <v>182</v>
      </c>
      <c r="Y152" s="362">
        <f t="shared" ca="1" si="55"/>
        <v>213</v>
      </c>
      <c r="Z152" s="362">
        <f t="shared" ca="1" si="55"/>
        <v>244</v>
      </c>
      <c r="AA152" s="362">
        <f t="shared" ca="1" si="55"/>
        <v>274</v>
      </c>
      <c r="AB152" s="362">
        <f t="shared" ca="1" si="55"/>
        <v>305</v>
      </c>
      <c r="AC152" s="362">
        <f t="shared" ca="1" si="55"/>
        <v>335</v>
      </c>
      <c r="AD152" s="362">
        <f t="shared" ca="1" si="55"/>
        <v>366</v>
      </c>
      <c r="AE152" s="376" t="e">
        <f ca="1">AE$42</f>
        <v>#N/A</v>
      </c>
      <c r="AF152" s="376" t="e">
        <f ca="1">AF$42</f>
        <v>#N/A</v>
      </c>
      <c r="AH152" s="365" t="str">
        <f ca="1">AH$7</f>
        <v>'96 - '99 CAGR/Avg.</v>
      </c>
      <c r="AJ152" s="760">
        <f ca="1">AJ$7</f>
        <v>694327</v>
      </c>
      <c r="AK152" s="760">
        <f ca="1">AK$7</f>
        <v>694692</v>
      </c>
      <c r="AL152" s="760">
        <f ca="1">AL$7</f>
        <v>695057</v>
      </c>
      <c r="AM152" s="760">
        <f ca="1">AM$7</f>
        <v>695422</v>
      </c>
      <c r="AN152" s="760">
        <f ca="1">AN$7</f>
        <v>695787</v>
      </c>
      <c r="AP152" s="365" t="str">
        <f ca="1">AP$7</f>
        <v>'00 - '04 CAGR/Avg.</v>
      </c>
    </row>
    <row r="153" spans="1:42">
      <c r="A153" s="341" t="str">
        <f>"GLP ("&amp;Assump!A7&amp;")"</f>
        <v>GLP ()</v>
      </c>
      <c r="B153" s="390">
        <f t="shared" ref="B153:AE153" si="56">B15</f>
        <v>0</v>
      </c>
      <c r="C153" s="390">
        <f t="shared" si="56"/>
        <v>0</v>
      </c>
      <c r="D153" s="390">
        <f t="shared" si="56"/>
        <v>0</v>
      </c>
      <c r="E153" s="390">
        <f t="shared" si="56"/>
        <v>0</v>
      </c>
      <c r="F153" s="390">
        <f t="shared" ca="1" si="56"/>
        <v>0</v>
      </c>
      <c r="G153" s="390">
        <f t="shared" ca="1" si="56"/>
        <v>0</v>
      </c>
      <c r="H153" s="390">
        <f t="shared" ca="1" si="56"/>
        <v>0</v>
      </c>
      <c r="I153" s="390">
        <f t="shared" ca="1" si="56"/>
        <v>0</v>
      </c>
      <c r="J153" s="390">
        <f t="shared" ca="1" si="56"/>
        <v>0</v>
      </c>
      <c r="K153" s="390">
        <f t="shared" ca="1" si="56"/>
        <v>0</v>
      </c>
      <c r="L153" s="390">
        <f t="shared" ca="1" si="56"/>
        <v>0</v>
      </c>
      <c r="M153" s="390">
        <f t="shared" ca="1" si="56"/>
        <v>0</v>
      </c>
      <c r="N153" s="390">
        <f t="shared" ca="1" si="56"/>
        <v>0</v>
      </c>
      <c r="O153" s="390">
        <f t="shared" ca="1" si="56"/>
        <v>0</v>
      </c>
      <c r="P153" s="390">
        <f t="shared" ca="1" si="56"/>
        <v>0</v>
      </c>
      <c r="Q153" s="390">
        <f t="shared" ca="1" si="56"/>
        <v>0</v>
      </c>
      <c r="R153" s="390">
        <f t="shared" ca="1" si="56"/>
        <v>0</v>
      </c>
      <c r="S153" s="390">
        <f t="shared" ca="1" si="56"/>
        <v>0</v>
      </c>
      <c r="T153" s="390">
        <f t="shared" ca="1" si="56"/>
        <v>0</v>
      </c>
      <c r="U153" s="390">
        <f t="shared" ca="1" si="56"/>
        <v>0</v>
      </c>
      <c r="V153" s="390">
        <f t="shared" ca="1" si="56"/>
        <v>0</v>
      </c>
      <c r="W153" s="390">
        <f t="shared" ca="1" si="56"/>
        <v>0</v>
      </c>
      <c r="X153" s="390">
        <f t="shared" ca="1" si="56"/>
        <v>0</v>
      </c>
      <c r="Y153" s="390">
        <f t="shared" ca="1" si="56"/>
        <v>0</v>
      </c>
      <c r="Z153" s="390">
        <f t="shared" ca="1" si="56"/>
        <v>0</v>
      </c>
      <c r="AA153" s="390">
        <f t="shared" ca="1" si="56"/>
        <v>0</v>
      </c>
      <c r="AB153" s="390">
        <f t="shared" ca="1" si="56"/>
        <v>0</v>
      </c>
      <c r="AC153" s="390">
        <f t="shared" ca="1" si="56"/>
        <v>0</v>
      </c>
      <c r="AD153" s="390">
        <f t="shared" ca="1" si="56"/>
        <v>0</v>
      </c>
      <c r="AE153" s="390" t="e">
        <f t="shared" ca="1" si="56"/>
        <v>#N/A</v>
      </c>
      <c r="AF153" s="390" t="e">
        <f t="shared" ref="AF153:AF161" ca="1" si="57">AE153</f>
        <v>#N/A</v>
      </c>
      <c r="AH153" s="391" t="str">
        <f ca="1">IFERROR(RATE(3,0,-C153,R153),"NA")</f>
        <v>NA</v>
      </c>
      <c r="AJ153" s="179" t="e">
        <f ca="1">AJ15</f>
        <v>#DIV/0!</v>
      </c>
      <c r="AK153" s="179" t="e">
        <f ca="1">AK15</f>
        <v>#DIV/0!</v>
      </c>
      <c r="AL153" s="179" t="e">
        <f ca="1">AL15</f>
        <v>#DIV/0!</v>
      </c>
      <c r="AM153" s="179" t="e">
        <f ca="1">AM15</f>
        <v>#DIV/0!</v>
      </c>
      <c r="AN153" s="179" t="e">
        <f ca="1">AN15</f>
        <v>#DIV/0!</v>
      </c>
      <c r="AP153" s="391" t="str">
        <f ca="1">IFERROR(RATE(4,0,-AJ153,AN153),"NA")</f>
        <v>NA</v>
      </c>
    </row>
    <row r="154" spans="1:42">
      <c r="A154" s="341" t="s">
        <v>527</v>
      </c>
      <c r="B154" s="342" t="s">
        <v>533</v>
      </c>
      <c r="C154" s="342" t="e">
        <f>(C15/B15)-1</f>
        <v>#DIV/0!</v>
      </c>
      <c r="D154" s="342" t="e">
        <f>(D15/C15)-1</f>
        <v>#DIV/0!</v>
      </c>
      <c r="E154" s="342" t="e">
        <f>(E15/D15)-1</f>
        <v>#DIV/0!</v>
      </c>
      <c r="F154" s="342" t="s">
        <v>533</v>
      </c>
      <c r="G154" s="342" t="s">
        <v>533</v>
      </c>
      <c r="H154" s="342" t="s">
        <v>533</v>
      </c>
      <c r="I154" s="342" t="s">
        <v>533</v>
      </c>
      <c r="J154" s="342" t="s">
        <v>533</v>
      </c>
      <c r="K154" s="342" t="s">
        <v>533</v>
      </c>
      <c r="L154" s="342" t="s">
        <v>533</v>
      </c>
      <c r="M154" s="342" t="s">
        <v>533</v>
      </c>
      <c r="N154" s="342" t="s">
        <v>533</v>
      </c>
      <c r="O154" s="342" t="s">
        <v>533</v>
      </c>
      <c r="P154" s="342" t="s">
        <v>533</v>
      </c>
      <c r="Q154" s="342" t="s">
        <v>533</v>
      </c>
      <c r="R154" s="342" t="e">
        <f t="shared" ref="R154:AD154" ca="1" si="58">(R15/E15)-1</f>
        <v>#DIV/0!</v>
      </c>
      <c r="S154" s="342" t="e">
        <f ca="1">(S15/F15)-1</f>
        <v>#DIV/0!</v>
      </c>
      <c r="T154" s="342" t="e">
        <f t="shared" ca="1" si="58"/>
        <v>#DIV/0!</v>
      </c>
      <c r="U154" s="342" t="e">
        <f t="shared" ca="1" si="58"/>
        <v>#DIV/0!</v>
      </c>
      <c r="V154" s="342" t="e">
        <f t="shared" ca="1" si="58"/>
        <v>#DIV/0!</v>
      </c>
      <c r="W154" s="342" t="e">
        <f t="shared" ca="1" si="58"/>
        <v>#DIV/0!</v>
      </c>
      <c r="X154" s="342" t="e">
        <f t="shared" ca="1" si="58"/>
        <v>#DIV/0!</v>
      </c>
      <c r="Y154" s="342" t="e">
        <f t="shared" ca="1" si="58"/>
        <v>#DIV/0!</v>
      </c>
      <c r="Z154" s="342" t="e">
        <f t="shared" ca="1" si="58"/>
        <v>#DIV/0!</v>
      </c>
      <c r="AA154" s="342" t="e">
        <f t="shared" ca="1" si="58"/>
        <v>#DIV/0!</v>
      </c>
      <c r="AB154" s="342" t="e">
        <f t="shared" ca="1" si="58"/>
        <v>#DIV/0!</v>
      </c>
      <c r="AC154" s="342" t="e">
        <f t="shared" ca="1" si="58"/>
        <v>#DIV/0!</v>
      </c>
      <c r="AD154" s="342" t="e">
        <f t="shared" ca="1" si="58"/>
        <v>#DIV/0!</v>
      </c>
      <c r="AE154" s="342" t="e">
        <f ca="1">HLOOKUP(1,S$6:AD154,ROW(AE154)-5,FALSE)</f>
        <v>#N/A</v>
      </c>
      <c r="AF154" s="342" t="e">
        <f t="shared" ca="1" si="57"/>
        <v>#N/A</v>
      </c>
      <c r="AH154" s="340" t="str">
        <f>IFERROR(AVERAGE(C154:E154,R154),"NA")</f>
        <v>NA</v>
      </c>
      <c r="AJ154" s="342" t="e">
        <f ca="1">(AJ15/R15)-1</f>
        <v>#DIV/0!</v>
      </c>
      <c r="AK154" s="342" t="e">
        <f ca="1">(AK15/AJ15)-1</f>
        <v>#DIV/0!</v>
      </c>
      <c r="AL154" s="342" t="e">
        <f ca="1">(AL15/AK15)-1</f>
        <v>#DIV/0!</v>
      </c>
      <c r="AM154" s="342" t="e">
        <f ca="1">(AM15/AL15)-1</f>
        <v>#DIV/0!</v>
      </c>
      <c r="AN154" s="342" t="e">
        <f ca="1">(AN15/AM15)-1</f>
        <v>#DIV/0!</v>
      </c>
      <c r="AP154" s="340" t="str">
        <f ca="1">IFERROR(AVERAGE(AJ154:AN154),"NA")</f>
        <v>NA</v>
      </c>
    </row>
    <row r="155" spans="1:42">
      <c r="A155" s="341" t="s">
        <v>930</v>
      </c>
      <c r="B155" s="342"/>
      <c r="C155" s="342" t="e">
        <f>(C15/B15)-1</f>
        <v>#DIV/0!</v>
      </c>
      <c r="D155" s="342" t="e">
        <f>(D15/C15)-1</f>
        <v>#DIV/0!</v>
      </c>
      <c r="E155" s="342" t="e">
        <f>(E15/D15)-1</f>
        <v>#DIV/0!</v>
      </c>
      <c r="F155" s="342" t="e">
        <f ca="1">F15/$E$15-1</f>
        <v>#DIV/0!</v>
      </c>
      <c r="G155" s="342" t="e">
        <f t="shared" ref="G155:Q155" ca="1" si="59">G15/$E$15-1</f>
        <v>#DIV/0!</v>
      </c>
      <c r="H155" s="342" t="e">
        <f t="shared" ca="1" si="59"/>
        <v>#DIV/0!</v>
      </c>
      <c r="I155" s="342" t="e">
        <f t="shared" ca="1" si="59"/>
        <v>#DIV/0!</v>
      </c>
      <c r="J155" s="342" t="e">
        <f t="shared" ca="1" si="59"/>
        <v>#DIV/0!</v>
      </c>
      <c r="K155" s="342" t="e">
        <f t="shared" ca="1" si="59"/>
        <v>#DIV/0!</v>
      </c>
      <c r="L155" s="342" t="e">
        <f t="shared" ca="1" si="59"/>
        <v>#DIV/0!</v>
      </c>
      <c r="M155" s="342" t="e">
        <f t="shared" ca="1" si="59"/>
        <v>#DIV/0!</v>
      </c>
      <c r="N155" s="342" t="e">
        <f t="shared" ca="1" si="59"/>
        <v>#DIV/0!</v>
      </c>
      <c r="O155" s="342" t="e">
        <f t="shared" ca="1" si="59"/>
        <v>#DIV/0!</v>
      </c>
      <c r="P155" s="342" t="e">
        <f t="shared" ca="1" si="59"/>
        <v>#DIV/0!</v>
      </c>
      <c r="Q155" s="342" t="e">
        <f t="shared" ca="1" si="59"/>
        <v>#DIV/0!</v>
      </c>
      <c r="R155" s="342" t="e">
        <f ca="1">R15/E15-1</f>
        <v>#DIV/0!</v>
      </c>
      <c r="S155" s="342" t="e">
        <f ca="1">S15/$R$15-1</f>
        <v>#DIV/0!</v>
      </c>
      <c r="T155" s="342" t="e">
        <f t="shared" ref="T155:AD155" ca="1" si="60">T15/$R$15-1</f>
        <v>#DIV/0!</v>
      </c>
      <c r="U155" s="342" t="e">
        <f t="shared" ca="1" si="60"/>
        <v>#DIV/0!</v>
      </c>
      <c r="V155" s="342" t="e">
        <f t="shared" ca="1" si="60"/>
        <v>#DIV/0!</v>
      </c>
      <c r="W155" s="342" t="e">
        <f t="shared" ca="1" si="60"/>
        <v>#DIV/0!</v>
      </c>
      <c r="X155" s="342" t="e">
        <f t="shared" ca="1" si="60"/>
        <v>#DIV/0!</v>
      </c>
      <c r="Y155" s="342" t="e">
        <f t="shared" ca="1" si="60"/>
        <v>#DIV/0!</v>
      </c>
      <c r="Z155" s="342" t="e">
        <f t="shared" ca="1" si="60"/>
        <v>#DIV/0!</v>
      </c>
      <c r="AA155" s="342" t="e">
        <f t="shared" ca="1" si="60"/>
        <v>#DIV/0!</v>
      </c>
      <c r="AB155" s="342" t="e">
        <f t="shared" ca="1" si="60"/>
        <v>#DIV/0!</v>
      </c>
      <c r="AC155" s="342" t="e">
        <f t="shared" ca="1" si="60"/>
        <v>#DIV/0!</v>
      </c>
      <c r="AD155" s="342" t="e">
        <f t="shared" ca="1" si="60"/>
        <v>#DIV/0!</v>
      </c>
      <c r="AE155" s="342" t="e">
        <f ca="1">HLOOKUP(1,S$6:AD155,ROW(AE155)-5,FALSE)</f>
        <v>#N/A</v>
      </c>
      <c r="AF155" s="342" t="s">
        <v>533</v>
      </c>
      <c r="AH155" s="340" t="str">
        <f>IFERROR(AVERAGE(C155:E155,R155),"NA")</f>
        <v>NA</v>
      </c>
      <c r="AJ155" s="342" t="e">
        <f ca="1">(AJ15/R15)-1</f>
        <v>#DIV/0!</v>
      </c>
      <c r="AK155" s="342" t="e">
        <f ca="1">(AK15/S15)-1</f>
        <v>#DIV/0!</v>
      </c>
      <c r="AL155" s="342" t="e">
        <f ca="1">(AL15/T15)-1</f>
        <v>#DIV/0!</v>
      </c>
      <c r="AM155" s="342" t="e">
        <f ca="1">(AM15/U15)-1</f>
        <v>#DIV/0!</v>
      </c>
      <c r="AN155" s="342" t="e">
        <f ca="1">(AN15/V15)-1</f>
        <v>#DIV/0!</v>
      </c>
      <c r="AP155" s="340"/>
    </row>
    <row r="156" spans="1:42">
      <c r="A156" s="341" t="s">
        <v>309</v>
      </c>
      <c r="B156" s="390">
        <f t="shared" ref="B156:AE156" si="61">B$218</f>
        <v>0</v>
      </c>
      <c r="C156" s="390">
        <f t="shared" si="61"/>
        <v>0</v>
      </c>
      <c r="D156" s="390">
        <f t="shared" si="61"/>
        <v>0</v>
      </c>
      <c r="E156" s="390">
        <f t="shared" si="61"/>
        <v>0</v>
      </c>
      <c r="F156" s="390">
        <f t="shared" ca="1" si="61"/>
        <v>0</v>
      </c>
      <c r="G156" s="390">
        <f t="shared" ca="1" si="61"/>
        <v>0</v>
      </c>
      <c r="H156" s="390">
        <f t="shared" ca="1" si="61"/>
        <v>0</v>
      </c>
      <c r="I156" s="390">
        <f t="shared" ca="1" si="61"/>
        <v>0</v>
      </c>
      <c r="J156" s="390">
        <f t="shared" ca="1" si="61"/>
        <v>0</v>
      </c>
      <c r="K156" s="390">
        <f t="shared" ca="1" si="61"/>
        <v>0</v>
      </c>
      <c r="L156" s="390">
        <f t="shared" ca="1" si="61"/>
        <v>0</v>
      </c>
      <c r="M156" s="390">
        <f t="shared" ca="1" si="61"/>
        <v>0</v>
      </c>
      <c r="N156" s="390">
        <f t="shared" ca="1" si="61"/>
        <v>0</v>
      </c>
      <c r="O156" s="390">
        <f t="shared" ca="1" si="61"/>
        <v>0</v>
      </c>
      <c r="P156" s="390">
        <f t="shared" ca="1" si="61"/>
        <v>0</v>
      </c>
      <c r="Q156" s="390">
        <f t="shared" ca="1" si="61"/>
        <v>0</v>
      </c>
      <c r="R156" s="390">
        <f t="shared" ca="1" si="61"/>
        <v>0</v>
      </c>
      <c r="S156" s="390">
        <f t="shared" ca="1" si="61"/>
        <v>0</v>
      </c>
      <c r="T156" s="390">
        <f t="shared" ca="1" si="61"/>
        <v>0</v>
      </c>
      <c r="U156" s="390">
        <f t="shared" ca="1" si="61"/>
        <v>0</v>
      </c>
      <c r="V156" s="390">
        <f t="shared" ca="1" si="61"/>
        <v>0</v>
      </c>
      <c r="W156" s="390">
        <f t="shared" ca="1" si="61"/>
        <v>0</v>
      </c>
      <c r="X156" s="390">
        <f t="shared" ca="1" si="61"/>
        <v>0</v>
      </c>
      <c r="Y156" s="390">
        <f t="shared" ca="1" si="61"/>
        <v>0</v>
      </c>
      <c r="Z156" s="390">
        <f t="shared" ca="1" si="61"/>
        <v>0</v>
      </c>
      <c r="AA156" s="390">
        <f t="shared" ca="1" si="61"/>
        <v>0</v>
      </c>
      <c r="AB156" s="390">
        <f t="shared" ca="1" si="61"/>
        <v>0</v>
      </c>
      <c r="AC156" s="390">
        <f t="shared" ca="1" si="61"/>
        <v>0</v>
      </c>
      <c r="AD156" s="390">
        <f t="shared" ca="1" si="61"/>
        <v>0</v>
      </c>
      <c r="AE156" s="390" t="e">
        <f t="shared" ca="1" si="61"/>
        <v>#N/A</v>
      </c>
      <c r="AF156" s="390" t="e">
        <f t="shared" ca="1" si="57"/>
        <v>#N/A</v>
      </c>
      <c r="AH156" s="367" t="str">
        <f ca="1">IFERROR(RATE(3,0,-C156,R156),"NA")</f>
        <v>NA</v>
      </c>
      <c r="AJ156" s="390">
        <f ca="1">AJ$218</f>
        <v>0</v>
      </c>
      <c r="AK156" s="390">
        <f ca="1">AK$218</f>
        <v>0</v>
      </c>
      <c r="AL156" s="390">
        <f ca="1">AL$218</f>
        <v>0</v>
      </c>
      <c r="AM156" s="390">
        <f ca="1">AM$218</f>
        <v>0</v>
      </c>
      <c r="AN156" s="390">
        <f ca="1">AN$218</f>
        <v>0</v>
      </c>
      <c r="AP156" s="367" t="str">
        <f ca="1">IFERROR(RATE(4,0,-AJ156,AN156),"NA")</f>
        <v>NA</v>
      </c>
    </row>
    <row r="157" spans="1:42">
      <c r="A157" s="341" t="s">
        <v>584</v>
      </c>
      <c r="B157" s="342" t="s">
        <v>533</v>
      </c>
      <c r="C157" s="342" t="e">
        <f>(C156/B156)-1</f>
        <v>#DIV/0!</v>
      </c>
      <c r="D157" s="342" t="e">
        <f>(D156/C156)-1</f>
        <v>#DIV/0!</v>
      </c>
      <c r="E157" s="342" t="e">
        <f>(E156/D156)-1</f>
        <v>#DIV/0!</v>
      </c>
      <c r="F157" s="342" t="s">
        <v>533</v>
      </c>
      <c r="G157" s="342" t="s">
        <v>533</v>
      </c>
      <c r="H157" s="342" t="s">
        <v>533</v>
      </c>
      <c r="I157" s="342" t="s">
        <v>533</v>
      </c>
      <c r="J157" s="342" t="s">
        <v>533</v>
      </c>
      <c r="K157" s="342" t="s">
        <v>533</v>
      </c>
      <c r="L157" s="342" t="s">
        <v>533</v>
      </c>
      <c r="M157" s="342" t="s">
        <v>533</v>
      </c>
      <c r="N157" s="342" t="s">
        <v>533</v>
      </c>
      <c r="O157" s="342" t="s">
        <v>533</v>
      </c>
      <c r="P157" s="342" t="s">
        <v>533</v>
      </c>
      <c r="Q157" s="342" t="s">
        <v>533</v>
      </c>
      <c r="R157" s="342" t="e">
        <f t="shared" ref="R157:AD157" ca="1" si="62">(R156/E156)-1</f>
        <v>#DIV/0!</v>
      </c>
      <c r="S157" s="342" t="e">
        <f t="shared" ca="1" si="62"/>
        <v>#DIV/0!</v>
      </c>
      <c r="T157" s="342" t="e">
        <f t="shared" ca="1" si="62"/>
        <v>#DIV/0!</v>
      </c>
      <c r="U157" s="342" t="e">
        <f t="shared" ca="1" si="62"/>
        <v>#DIV/0!</v>
      </c>
      <c r="V157" s="342" t="e">
        <f t="shared" ca="1" si="62"/>
        <v>#DIV/0!</v>
      </c>
      <c r="W157" s="342" t="e">
        <f t="shared" ca="1" si="62"/>
        <v>#DIV/0!</v>
      </c>
      <c r="X157" s="342" t="e">
        <f t="shared" ca="1" si="62"/>
        <v>#DIV/0!</v>
      </c>
      <c r="Y157" s="342" t="e">
        <f t="shared" ca="1" si="62"/>
        <v>#DIV/0!</v>
      </c>
      <c r="Z157" s="342" t="e">
        <f t="shared" ca="1" si="62"/>
        <v>#DIV/0!</v>
      </c>
      <c r="AA157" s="342" t="e">
        <f t="shared" ca="1" si="62"/>
        <v>#DIV/0!</v>
      </c>
      <c r="AB157" s="342" t="e">
        <f t="shared" ca="1" si="62"/>
        <v>#DIV/0!</v>
      </c>
      <c r="AC157" s="342" t="e">
        <f t="shared" ca="1" si="62"/>
        <v>#DIV/0!</v>
      </c>
      <c r="AD157" s="342" t="e">
        <f t="shared" ca="1" si="62"/>
        <v>#DIV/0!</v>
      </c>
      <c r="AE157" s="342" t="e">
        <f ca="1">HLOOKUP(1,S$6:AD157,ROW(AE157)-5,FALSE)</f>
        <v>#N/A</v>
      </c>
      <c r="AF157" s="342" t="e">
        <f ca="1">AE157</f>
        <v>#N/A</v>
      </c>
      <c r="AH157" s="340" t="str">
        <f>IFERROR(AVERAGE(C157:E157,R157),"NA")</f>
        <v>NA</v>
      </c>
      <c r="AJ157" s="342" t="e">
        <f ca="1">(AJ156/R156)-1</f>
        <v>#DIV/0!</v>
      </c>
      <c r="AK157" s="342" t="e">
        <f ca="1">(AK156/AJ156)-1</f>
        <v>#DIV/0!</v>
      </c>
      <c r="AL157" s="342" t="e">
        <f ca="1">(AL156/AK156)-1</f>
        <v>#DIV/0!</v>
      </c>
      <c r="AM157" s="342" t="e">
        <f ca="1">(AM156/AL156)-1</f>
        <v>#DIV/0!</v>
      </c>
      <c r="AN157" s="342" t="e">
        <f ca="1">(AN156/AM156)-1</f>
        <v>#DIV/0!</v>
      </c>
      <c r="AP157" s="340" t="str">
        <f ca="1">IFERROR(AVERAGE(AJ157:AN157),"NA")</f>
        <v>NA</v>
      </c>
    </row>
    <row r="158" spans="1:42">
      <c r="A158" s="341" t="s">
        <v>931</v>
      </c>
      <c r="B158" s="342"/>
      <c r="C158" s="342" t="e">
        <f>(C156/B156)-1</f>
        <v>#DIV/0!</v>
      </c>
      <c r="D158" s="342" t="e">
        <f>(D156/C156)-1</f>
        <v>#DIV/0!</v>
      </c>
      <c r="E158" s="342" t="e">
        <f>(E156/D156)-1</f>
        <v>#DIV/0!</v>
      </c>
      <c r="F158" s="342" t="e">
        <f ca="1">(F156/$E$156)-1</f>
        <v>#DIV/0!</v>
      </c>
      <c r="G158" s="342" t="e">
        <f t="shared" ref="G158:R158" ca="1" si="63">(G156/$E$156)-1</f>
        <v>#DIV/0!</v>
      </c>
      <c r="H158" s="342" t="e">
        <f t="shared" ca="1" si="63"/>
        <v>#DIV/0!</v>
      </c>
      <c r="I158" s="342" t="e">
        <f t="shared" ca="1" si="63"/>
        <v>#DIV/0!</v>
      </c>
      <c r="J158" s="342" t="e">
        <f t="shared" ca="1" si="63"/>
        <v>#DIV/0!</v>
      </c>
      <c r="K158" s="342" t="e">
        <f t="shared" ca="1" si="63"/>
        <v>#DIV/0!</v>
      </c>
      <c r="L158" s="342" t="e">
        <f t="shared" ca="1" si="63"/>
        <v>#DIV/0!</v>
      </c>
      <c r="M158" s="342" t="e">
        <f t="shared" ca="1" si="63"/>
        <v>#DIV/0!</v>
      </c>
      <c r="N158" s="342" t="e">
        <f t="shared" ca="1" si="63"/>
        <v>#DIV/0!</v>
      </c>
      <c r="O158" s="342" t="e">
        <f t="shared" ca="1" si="63"/>
        <v>#DIV/0!</v>
      </c>
      <c r="P158" s="342" t="e">
        <f t="shared" ca="1" si="63"/>
        <v>#DIV/0!</v>
      </c>
      <c r="Q158" s="342" t="e">
        <f t="shared" ca="1" si="63"/>
        <v>#DIV/0!</v>
      </c>
      <c r="R158" s="342" t="e">
        <f t="shared" ca="1" si="63"/>
        <v>#DIV/0!</v>
      </c>
      <c r="S158" s="342" t="e">
        <f ca="1">(S156/$R$156)-1</f>
        <v>#DIV/0!</v>
      </c>
      <c r="T158" s="342" t="e">
        <f t="shared" ref="T158:AD158" ca="1" si="64">(T156/$R$156)-1</f>
        <v>#DIV/0!</v>
      </c>
      <c r="U158" s="342" t="e">
        <f t="shared" ca="1" si="64"/>
        <v>#DIV/0!</v>
      </c>
      <c r="V158" s="342" t="e">
        <f t="shared" ca="1" si="64"/>
        <v>#DIV/0!</v>
      </c>
      <c r="W158" s="342" t="e">
        <f t="shared" ca="1" si="64"/>
        <v>#DIV/0!</v>
      </c>
      <c r="X158" s="342" t="e">
        <f t="shared" ca="1" si="64"/>
        <v>#DIV/0!</v>
      </c>
      <c r="Y158" s="342" t="e">
        <f t="shared" ca="1" si="64"/>
        <v>#DIV/0!</v>
      </c>
      <c r="Z158" s="342" t="e">
        <f t="shared" ca="1" si="64"/>
        <v>#DIV/0!</v>
      </c>
      <c r="AA158" s="342" t="e">
        <f t="shared" ca="1" si="64"/>
        <v>#DIV/0!</v>
      </c>
      <c r="AB158" s="342" t="e">
        <f t="shared" ca="1" si="64"/>
        <v>#DIV/0!</v>
      </c>
      <c r="AC158" s="342" t="e">
        <f t="shared" ca="1" si="64"/>
        <v>#DIV/0!</v>
      </c>
      <c r="AD158" s="342" t="e">
        <f t="shared" ca="1" si="64"/>
        <v>#DIV/0!</v>
      </c>
      <c r="AE158" s="342" t="e">
        <f ca="1">HLOOKUP(1,S$6:AD158,ROW(AE158)-5,FALSE)</f>
        <v>#N/A</v>
      </c>
      <c r="AF158" s="342" t="s">
        <v>533</v>
      </c>
      <c r="AH158" s="340" t="str">
        <f>IFERROR(AVERAGE(C158:E158,R158),"NA")</f>
        <v>NA</v>
      </c>
      <c r="AJ158" s="342" t="e">
        <f ca="1">(AJ156/R156)-1</f>
        <v>#DIV/0!</v>
      </c>
      <c r="AK158" s="342" t="e">
        <f ca="1">(AK156/AJ156)-1</f>
        <v>#DIV/0!</v>
      </c>
      <c r="AL158" s="342" t="e">
        <f ca="1">(AL156/AK156)-1</f>
        <v>#DIV/0!</v>
      </c>
      <c r="AM158" s="342" t="e">
        <f ca="1">(AM156/AL156)-1</f>
        <v>#DIV/0!</v>
      </c>
      <c r="AN158" s="342" t="e">
        <f ca="1">(AN156/AM156)-1</f>
        <v>#DIV/0!</v>
      </c>
      <c r="AP158" s="340"/>
    </row>
    <row r="159" spans="1:42">
      <c r="A159" s="341" t="s">
        <v>443</v>
      </c>
      <c r="B159" s="390">
        <f t="shared" ref="B159:AE159" si="65">B$217</f>
        <v>0</v>
      </c>
      <c r="C159" s="390">
        <f t="shared" si="65"/>
        <v>0</v>
      </c>
      <c r="D159" s="390">
        <f t="shared" si="65"/>
        <v>0</v>
      </c>
      <c r="E159" s="390">
        <f t="shared" si="65"/>
        <v>0</v>
      </c>
      <c r="F159" s="390">
        <f ca="1">F$217</f>
        <v>0</v>
      </c>
      <c r="G159" s="390">
        <f t="shared" ca="1" si="65"/>
        <v>0</v>
      </c>
      <c r="H159" s="390">
        <f t="shared" ca="1" si="65"/>
        <v>0</v>
      </c>
      <c r="I159" s="390">
        <f t="shared" ca="1" si="65"/>
        <v>0</v>
      </c>
      <c r="J159" s="390">
        <f t="shared" ca="1" si="65"/>
        <v>0</v>
      </c>
      <c r="K159" s="390">
        <f t="shared" ca="1" si="65"/>
        <v>0</v>
      </c>
      <c r="L159" s="390">
        <f t="shared" ca="1" si="65"/>
        <v>0</v>
      </c>
      <c r="M159" s="390">
        <f t="shared" ca="1" si="65"/>
        <v>0</v>
      </c>
      <c r="N159" s="390">
        <f t="shared" ca="1" si="65"/>
        <v>0</v>
      </c>
      <c r="O159" s="390">
        <f t="shared" ca="1" si="65"/>
        <v>0</v>
      </c>
      <c r="P159" s="390">
        <f t="shared" ca="1" si="65"/>
        <v>0</v>
      </c>
      <c r="Q159" s="390">
        <f t="shared" ca="1" si="65"/>
        <v>0</v>
      </c>
      <c r="R159" s="390">
        <f t="shared" ca="1" si="65"/>
        <v>0</v>
      </c>
      <c r="S159" s="390">
        <f t="shared" ca="1" si="65"/>
        <v>0</v>
      </c>
      <c r="T159" s="390">
        <f t="shared" ca="1" si="65"/>
        <v>0</v>
      </c>
      <c r="U159" s="390">
        <f t="shared" ca="1" si="65"/>
        <v>0</v>
      </c>
      <c r="V159" s="390">
        <f t="shared" ca="1" si="65"/>
        <v>0</v>
      </c>
      <c r="W159" s="390">
        <f t="shared" ca="1" si="65"/>
        <v>0</v>
      </c>
      <c r="X159" s="390">
        <f t="shared" ca="1" si="65"/>
        <v>0</v>
      </c>
      <c r="Y159" s="390">
        <f t="shared" ca="1" si="65"/>
        <v>0</v>
      </c>
      <c r="Z159" s="390">
        <f t="shared" ca="1" si="65"/>
        <v>0</v>
      </c>
      <c r="AA159" s="390">
        <f t="shared" ca="1" si="65"/>
        <v>0</v>
      </c>
      <c r="AB159" s="390">
        <f t="shared" ca="1" si="65"/>
        <v>0</v>
      </c>
      <c r="AC159" s="390">
        <f t="shared" ca="1" si="65"/>
        <v>0</v>
      </c>
      <c r="AD159" s="390">
        <f t="shared" ca="1" si="65"/>
        <v>0</v>
      </c>
      <c r="AE159" s="390" t="e">
        <f t="shared" ca="1" si="65"/>
        <v>#N/A</v>
      </c>
      <c r="AF159" s="390" t="e">
        <f ca="1">AE159</f>
        <v>#N/A</v>
      </c>
      <c r="AH159" s="367" t="str">
        <f ca="1">IFERROR(RATE(3,0,-C159,R159),"NA")</f>
        <v>NA</v>
      </c>
      <c r="AJ159" s="390">
        <f ca="1">AJ$217</f>
        <v>0</v>
      </c>
      <c r="AK159" s="390">
        <f ca="1">AK$217</f>
        <v>0</v>
      </c>
      <c r="AL159" s="390">
        <f ca="1">AL$217</f>
        <v>0</v>
      </c>
      <c r="AM159" s="390">
        <f ca="1">AM$217</f>
        <v>0</v>
      </c>
      <c r="AN159" s="390">
        <f ca="1">AN$217</f>
        <v>0</v>
      </c>
      <c r="AP159" s="367" t="str">
        <f ca="1">IFERROR(RATE(4,0,-AJ159,AN159),"NA")</f>
        <v>NA</v>
      </c>
    </row>
    <row r="160" spans="1:42">
      <c r="A160" s="341" t="s">
        <v>308</v>
      </c>
      <c r="B160" s="390">
        <f t="shared" ref="B160:AE160" si="66">B$214</f>
        <v>0</v>
      </c>
      <c r="C160" s="390">
        <f t="shared" si="66"/>
        <v>0</v>
      </c>
      <c r="D160" s="390">
        <f t="shared" si="66"/>
        <v>0</v>
      </c>
      <c r="E160" s="390">
        <f t="shared" si="66"/>
        <v>0</v>
      </c>
      <c r="F160" s="390">
        <f t="shared" ca="1" si="66"/>
        <v>0</v>
      </c>
      <c r="G160" s="390">
        <f t="shared" ca="1" si="66"/>
        <v>0</v>
      </c>
      <c r="H160" s="390">
        <f t="shared" ca="1" si="66"/>
        <v>0</v>
      </c>
      <c r="I160" s="390">
        <f t="shared" ca="1" si="66"/>
        <v>0</v>
      </c>
      <c r="J160" s="390">
        <f t="shared" ca="1" si="66"/>
        <v>0</v>
      </c>
      <c r="K160" s="390">
        <f t="shared" ca="1" si="66"/>
        <v>0</v>
      </c>
      <c r="L160" s="390">
        <f t="shared" ca="1" si="66"/>
        <v>0</v>
      </c>
      <c r="M160" s="390">
        <f t="shared" ca="1" si="66"/>
        <v>0</v>
      </c>
      <c r="N160" s="390">
        <f t="shared" ca="1" si="66"/>
        <v>0</v>
      </c>
      <c r="O160" s="390">
        <f t="shared" ca="1" si="66"/>
        <v>0</v>
      </c>
      <c r="P160" s="390">
        <f t="shared" ca="1" si="66"/>
        <v>0</v>
      </c>
      <c r="Q160" s="390">
        <f t="shared" ca="1" si="66"/>
        <v>0</v>
      </c>
      <c r="R160" s="390">
        <f t="shared" ca="1" si="66"/>
        <v>0</v>
      </c>
      <c r="S160" s="390">
        <f t="shared" ca="1" si="66"/>
        <v>0</v>
      </c>
      <c r="T160" s="390">
        <f t="shared" ca="1" si="66"/>
        <v>0</v>
      </c>
      <c r="U160" s="390">
        <f t="shared" ca="1" si="66"/>
        <v>0</v>
      </c>
      <c r="V160" s="390">
        <f t="shared" ca="1" si="66"/>
        <v>0</v>
      </c>
      <c r="W160" s="390">
        <f t="shared" ca="1" si="66"/>
        <v>0</v>
      </c>
      <c r="X160" s="390">
        <f t="shared" ca="1" si="66"/>
        <v>0</v>
      </c>
      <c r="Y160" s="390">
        <f t="shared" ca="1" si="66"/>
        <v>0</v>
      </c>
      <c r="Z160" s="390">
        <f t="shared" ca="1" si="66"/>
        <v>0</v>
      </c>
      <c r="AA160" s="390">
        <f t="shared" ca="1" si="66"/>
        <v>0</v>
      </c>
      <c r="AB160" s="390">
        <f t="shared" ca="1" si="66"/>
        <v>0</v>
      </c>
      <c r="AC160" s="390">
        <f t="shared" ca="1" si="66"/>
        <v>0</v>
      </c>
      <c r="AD160" s="390">
        <f t="shared" ca="1" si="66"/>
        <v>0</v>
      </c>
      <c r="AE160" s="390" t="e">
        <f t="shared" ca="1" si="66"/>
        <v>#N/A</v>
      </c>
      <c r="AF160" s="390" t="e">
        <f ca="1">AE160</f>
        <v>#N/A</v>
      </c>
      <c r="AH160" s="367" t="str">
        <f ca="1">IFERROR(RATE(3,0,-C160,R160),"NA")</f>
        <v>NA</v>
      </c>
      <c r="AJ160" s="390">
        <f ca="1">AJ$214</f>
        <v>0</v>
      </c>
      <c r="AK160" s="390">
        <f ca="1">AK$214</f>
        <v>0</v>
      </c>
      <c r="AL160" s="390">
        <f ca="1">AL$214</f>
        <v>0</v>
      </c>
      <c r="AM160" s="390">
        <f ca="1">AM$214</f>
        <v>0</v>
      </c>
      <c r="AN160" s="390">
        <f ca="1">AN$214</f>
        <v>0</v>
      </c>
      <c r="AP160" s="367" t="str">
        <f ca="1">IFERROR(RATE(4,0,-AJ160,AN160),"NA")</f>
        <v>NA</v>
      </c>
    </row>
    <row r="161" spans="1:52">
      <c r="A161" s="341" t="str">
        <f>"Average Loan Size ("&amp;Assump!A7&amp;")"</f>
        <v>Average Loan Size ()</v>
      </c>
      <c r="B161" s="390" t="e">
        <f t="shared" ref="B161:AE161" si="67">B15/B159</f>
        <v>#DIV/0!</v>
      </c>
      <c r="C161" s="390" t="e">
        <f t="shared" si="67"/>
        <v>#DIV/0!</v>
      </c>
      <c r="D161" s="390" t="e">
        <f t="shared" si="67"/>
        <v>#DIV/0!</v>
      </c>
      <c r="E161" s="390" t="e">
        <f t="shared" si="67"/>
        <v>#DIV/0!</v>
      </c>
      <c r="F161" s="390" t="e">
        <f t="shared" ca="1" si="67"/>
        <v>#DIV/0!</v>
      </c>
      <c r="G161" s="390" t="e">
        <f t="shared" ca="1" si="67"/>
        <v>#DIV/0!</v>
      </c>
      <c r="H161" s="390" t="e">
        <f t="shared" ca="1" si="67"/>
        <v>#DIV/0!</v>
      </c>
      <c r="I161" s="390" t="e">
        <f t="shared" ca="1" si="67"/>
        <v>#DIV/0!</v>
      </c>
      <c r="J161" s="390" t="e">
        <f t="shared" ca="1" si="67"/>
        <v>#DIV/0!</v>
      </c>
      <c r="K161" s="390" t="e">
        <f t="shared" ca="1" si="67"/>
        <v>#DIV/0!</v>
      </c>
      <c r="L161" s="390" t="e">
        <f t="shared" ca="1" si="67"/>
        <v>#DIV/0!</v>
      </c>
      <c r="M161" s="390" t="e">
        <f t="shared" ca="1" si="67"/>
        <v>#DIV/0!</v>
      </c>
      <c r="N161" s="390" t="e">
        <f t="shared" ca="1" si="67"/>
        <v>#DIV/0!</v>
      </c>
      <c r="O161" s="390" t="e">
        <f t="shared" ca="1" si="67"/>
        <v>#DIV/0!</v>
      </c>
      <c r="P161" s="390" t="e">
        <f t="shared" ca="1" si="67"/>
        <v>#DIV/0!</v>
      </c>
      <c r="Q161" s="390" t="e">
        <f t="shared" ca="1" si="67"/>
        <v>#DIV/0!</v>
      </c>
      <c r="R161" s="390" t="e">
        <f t="shared" ca="1" si="67"/>
        <v>#DIV/0!</v>
      </c>
      <c r="S161" s="390" t="e">
        <f t="shared" ca="1" si="67"/>
        <v>#DIV/0!</v>
      </c>
      <c r="T161" s="390" t="e">
        <f t="shared" ca="1" si="67"/>
        <v>#DIV/0!</v>
      </c>
      <c r="U161" s="390" t="e">
        <f t="shared" ca="1" si="67"/>
        <v>#DIV/0!</v>
      </c>
      <c r="V161" s="390" t="e">
        <f t="shared" ca="1" si="67"/>
        <v>#DIV/0!</v>
      </c>
      <c r="W161" s="390" t="e">
        <f t="shared" ca="1" si="67"/>
        <v>#DIV/0!</v>
      </c>
      <c r="X161" s="390" t="e">
        <f t="shared" ca="1" si="67"/>
        <v>#DIV/0!</v>
      </c>
      <c r="Y161" s="390" t="e">
        <f t="shared" ca="1" si="67"/>
        <v>#DIV/0!</v>
      </c>
      <c r="Z161" s="390" t="e">
        <f t="shared" ca="1" si="67"/>
        <v>#DIV/0!</v>
      </c>
      <c r="AA161" s="390" t="e">
        <f t="shared" ca="1" si="67"/>
        <v>#DIV/0!</v>
      </c>
      <c r="AB161" s="390" t="e">
        <f t="shared" ca="1" si="67"/>
        <v>#DIV/0!</v>
      </c>
      <c r="AC161" s="390" t="e">
        <f t="shared" ca="1" si="67"/>
        <v>#DIV/0!</v>
      </c>
      <c r="AD161" s="390" t="e">
        <f t="shared" ca="1" si="67"/>
        <v>#DIV/0!</v>
      </c>
      <c r="AE161" s="390" t="e">
        <f t="shared" ca="1" si="67"/>
        <v>#N/A</v>
      </c>
      <c r="AF161" s="390" t="e">
        <f t="shared" ca="1" si="57"/>
        <v>#N/A</v>
      </c>
      <c r="AH161" s="367" t="str">
        <f ca="1">IFERROR(RATE(3,0,-C161,R161),"NA")</f>
        <v>NA</v>
      </c>
      <c r="AJ161" s="390" t="e">
        <f ca="1">AJ15/AJ159</f>
        <v>#DIV/0!</v>
      </c>
      <c r="AK161" s="390" t="e">
        <f ca="1">AK15/AK159</f>
        <v>#DIV/0!</v>
      </c>
      <c r="AL161" s="390" t="e">
        <f ca="1">AL15/AL159</f>
        <v>#DIV/0!</v>
      </c>
      <c r="AM161" s="390" t="e">
        <f ca="1">AM15/AM159</f>
        <v>#DIV/0!</v>
      </c>
      <c r="AN161" s="390" t="e">
        <f ca="1">AN15/AN159</f>
        <v>#DIV/0!</v>
      </c>
      <c r="AP161" s="367" t="str">
        <f ca="1">IFERROR(RATE(4,0,-AJ161,AN161),"NA")</f>
        <v>NA</v>
      </c>
    </row>
    <row r="162" spans="1:52">
      <c r="A162" s="430" t="s">
        <v>310</v>
      </c>
      <c r="B162" s="342" t="s">
        <v>533</v>
      </c>
      <c r="C162" s="342" t="e">
        <f>'Port &amp; Other'!B169</f>
        <v>#DIV/0!</v>
      </c>
      <c r="D162" s="342" t="e">
        <f>'Port &amp; Other'!C169</f>
        <v>#DIV/0!</v>
      </c>
      <c r="E162" s="342" t="e">
        <f>'Port &amp; Other'!D169</f>
        <v>#DIV/0!</v>
      </c>
      <c r="F162" s="342" t="s">
        <v>533</v>
      </c>
      <c r="G162" s="342" t="s">
        <v>533</v>
      </c>
      <c r="H162" s="342" t="s">
        <v>533</v>
      </c>
      <c r="I162" s="342" t="s">
        <v>533</v>
      </c>
      <c r="J162" s="342" t="s">
        <v>533</v>
      </c>
      <c r="K162" s="342" t="s">
        <v>533</v>
      </c>
      <c r="L162" s="342" t="s">
        <v>533</v>
      </c>
      <c r="M162" s="342" t="s">
        <v>533</v>
      </c>
      <c r="N162" s="342" t="s">
        <v>533</v>
      </c>
      <c r="O162" s="342" t="s">
        <v>533</v>
      </c>
      <c r="P162" s="342" t="s">
        <v>533</v>
      </c>
      <c r="Q162" s="342" t="s">
        <v>533</v>
      </c>
      <c r="R162" s="342" t="e">
        <f ca="1">'Port &amp; Other'!E169</f>
        <v>#DIV/0!</v>
      </c>
      <c r="S162" s="342" t="s">
        <v>533</v>
      </c>
      <c r="T162" s="342" t="s">
        <v>533</v>
      </c>
      <c r="U162" s="342" t="s">
        <v>533</v>
      </c>
      <c r="V162" s="342" t="s">
        <v>533</v>
      </c>
      <c r="W162" s="342" t="s">
        <v>533</v>
      </c>
      <c r="X162" s="342" t="s">
        <v>533</v>
      </c>
      <c r="Y162" s="342" t="s">
        <v>533</v>
      </c>
      <c r="Z162" s="342" t="s">
        <v>533</v>
      </c>
      <c r="AA162" s="342" t="s">
        <v>533</v>
      </c>
      <c r="AB162" s="342" t="s">
        <v>533</v>
      </c>
      <c r="AC162" s="342" t="s">
        <v>533</v>
      </c>
      <c r="AD162" s="342" t="s">
        <v>533</v>
      </c>
      <c r="AE162" s="342" t="e">
        <f ca="1">'Port &amp; Other'!F169</f>
        <v>#N/A</v>
      </c>
      <c r="AF162" s="342" t="e">
        <f ca="1">AE162</f>
        <v>#N/A</v>
      </c>
      <c r="AH162" s="340" t="str">
        <f>IFERROR(AVERAGE(C162:E162,R162),"NA")</f>
        <v>NA</v>
      </c>
      <c r="AJ162" s="342" t="s">
        <v>533</v>
      </c>
      <c r="AK162" s="342" t="s">
        <v>533</v>
      </c>
      <c r="AL162" s="342" t="s">
        <v>533</v>
      </c>
      <c r="AM162" s="342" t="s">
        <v>533</v>
      </c>
      <c r="AN162" s="342" t="s">
        <v>533</v>
      </c>
      <c r="AO162" s="126"/>
      <c r="AP162" s="340" t="str">
        <f>IFERROR(AVERAGE(AJ162:AN162),"NA")</f>
        <v>NA</v>
      </c>
    </row>
    <row r="163" spans="1:52">
      <c r="A163" s="344" t="str">
        <f t="shared" ref="A163:AF163" si="68">A94</f>
        <v>Portfolio Yield (as % of GLP)</v>
      </c>
      <c r="B163" s="345" t="str">
        <f t="shared" si="68"/>
        <v>NA</v>
      </c>
      <c r="C163" s="345" t="e">
        <f t="shared" si="68"/>
        <v>#DIV/0!</v>
      </c>
      <c r="D163" s="345" t="e">
        <f t="shared" si="68"/>
        <v>#DIV/0!</v>
      </c>
      <c r="E163" s="345" t="e">
        <f t="shared" si="68"/>
        <v>#DIV/0!</v>
      </c>
      <c r="F163" s="345" t="e">
        <f t="shared" ca="1" si="68"/>
        <v>#DIV/0!</v>
      </c>
      <c r="G163" s="345" t="e">
        <f t="shared" ca="1" si="68"/>
        <v>#DIV/0!</v>
      </c>
      <c r="H163" s="345" t="e">
        <f t="shared" ca="1" si="68"/>
        <v>#DIV/0!</v>
      </c>
      <c r="I163" s="345" t="e">
        <f t="shared" ca="1" si="68"/>
        <v>#DIV/0!</v>
      </c>
      <c r="J163" s="345" t="e">
        <f t="shared" ca="1" si="68"/>
        <v>#DIV/0!</v>
      </c>
      <c r="K163" s="345" t="e">
        <f t="shared" ca="1" si="68"/>
        <v>#DIV/0!</v>
      </c>
      <c r="L163" s="345" t="e">
        <f t="shared" ca="1" si="68"/>
        <v>#DIV/0!</v>
      </c>
      <c r="M163" s="345" t="e">
        <f t="shared" ca="1" si="68"/>
        <v>#DIV/0!</v>
      </c>
      <c r="N163" s="345" t="e">
        <f t="shared" ca="1" si="68"/>
        <v>#DIV/0!</v>
      </c>
      <c r="O163" s="345" t="e">
        <f t="shared" ca="1" si="68"/>
        <v>#DIV/0!</v>
      </c>
      <c r="P163" s="345" t="e">
        <f t="shared" ca="1" si="68"/>
        <v>#DIV/0!</v>
      </c>
      <c r="Q163" s="345" t="e">
        <f t="shared" ca="1" si="68"/>
        <v>#DIV/0!</v>
      </c>
      <c r="R163" s="345" t="e">
        <f t="shared" ca="1" si="68"/>
        <v>#DIV/0!</v>
      </c>
      <c r="S163" s="345" t="e">
        <f t="shared" ca="1" si="68"/>
        <v>#DIV/0!</v>
      </c>
      <c r="T163" s="345" t="e">
        <f t="shared" ca="1" si="68"/>
        <v>#DIV/0!</v>
      </c>
      <c r="U163" s="345" t="e">
        <f t="shared" ca="1" si="68"/>
        <v>#DIV/0!</v>
      </c>
      <c r="V163" s="345" t="e">
        <f t="shared" ca="1" si="68"/>
        <v>#DIV/0!</v>
      </c>
      <c r="W163" s="345" t="e">
        <f t="shared" ca="1" si="68"/>
        <v>#DIV/0!</v>
      </c>
      <c r="X163" s="345" t="e">
        <f t="shared" ca="1" si="68"/>
        <v>#DIV/0!</v>
      </c>
      <c r="Y163" s="345" t="e">
        <f t="shared" ca="1" si="68"/>
        <v>#DIV/0!</v>
      </c>
      <c r="Z163" s="345" t="e">
        <f t="shared" ca="1" si="68"/>
        <v>#DIV/0!</v>
      </c>
      <c r="AA163" s="345" t="e">
        <f t="shared" ca="1" si="68"/>
        <v>#DIV/0!</v>
      </c>
      <c r="AB163" s="345" t="e">
        <f t="shared" ca="1" si="68"/>
        <v>#DIV/0!</v>
      </c>
      <c r="AC163" s="345" t="e">
        <f t="shared" ca="1" si="68"/>
        <v>#DIV/0!</v>
      </c>
      <c r="AD163" s="345" t="e">
        <f t="shared" ca="1" si="68"/>
        <v>#DIV/0!</v>
      </c>
      <c r="AE163" s="345" t="e">
        <f t="shared" ca="1" si="68"/>
        <v>#N/A</v>
      </c>
      <c r="AF163" s="345" t="e">
        <f t="shared" ca="1" si="68"/>
        <v>#N/A</v>
      </c>
      <c r="AH163" s="415" t="str">
        <f>IFERROR(AVERAGE(C163:E163,R163),"NA")</f>
        <v>NA</v>
      </c>
      <c r="AJ163" s="345" t="e">
        <f ca="1">AJ94</f>
        <v>#DIV/0!</v>
      </c>
      <c r="AK163" s="345" t="e">
        <f ca="1">AK94</f>
        <v>#DIV/0!</v>
      </c>
      <c r="AL163" s="345" t="e">
        <f ca="1">AL94</f>
        <v>#DIV/0!</v>
      </c>
      <c r="AM163" s="345" t="e">
        <f ca="1">AM94</f>
        <v>#DIV/0!</v>
      </c>
      <c r="AN163" s="345" t="e">
        <f ca="1">AN94</f>
        <v>#DIV/0!</v>
      </c>
      <c r="AO163" s="126"/>
      <c r="AP163" s="415" t="str">
        <f ca="1">IFERROR(AVERAGE(AJ163:AN163),"NA")</f>
        <v>NA</v>
      </c>
    </row>
    <row r="164" spans="1:52">
      <c r="A164" s="341"/>
      <c r="B164" s="414"/>
      <c r="C164" s="342"/>
      <c r="D164" s="342"/>
      <c r="E164" s="342"/>
      <c r="F164" s="342"/>
      <c r="G164" s="342"/>
      <c r="H164" s="342"/>
      <c r="I164" s="342"/>
      <c r="J164" s="342"/>
      <c r="K164" s="342"/>
      <c r="L164" s="342"/>
      <c r="M164" s="342"/>
      <c r="N164" s="342"/>
      <c r="O164" s="342"/>
      <c r="P164" s="342"/>
      <c r="Q164" s="342"/>
      <c r="R164" s="342" t="e">
        <f ca="1">R178/E178-1</f>
        <v>#DIV/0!</v>
      </c>
      <c r="S164" s="342"/>
      <c r="T164" s="342"/>
      <c r="U164" s="342"/>
      <c r="V164" s="342"/>
      <c r="W164" s="342"/>
      <c r="X164" s="342"/>
      <c r="Y164" s="342"/>
      <c r="Z164" s="342"/>
      <c r="AA164" s="342"/>
      <c r="AB164" s="342"/>
      <c r="AC164" s="342"/>
      <c r="AD164" s="342"/>
      <c r="AE164" s="342"/>
      <c r="AH164" s="340"/>
      <c r="AJ164" s="342"/>
      <c r="AK164" s="342"/>
      <c r="AL164" s="342"/>
      <c r="AM164" s="342"/>
      <c r="AN164" s="342"/>
      <c r="AO164" s="126"/>
      <c r="AP164" s="340"/>
    </row>
    <row r="165" spans="1:52">
      <c r="A165" s="341"/>
      <c r="B165" s="414"/>
      <c r="C165" s="342"/>
      <c r="D165" s="342"/>
      <c r="E165" s="342"/>
      <c r="F165" s="342"/>
      <c r="G165" s="342"/>
      <c r="H165" s="342"/>
      <c r="I165" s="342"/>
      <c r="J165" s="342"/>
      <c r="K165" s="342"/>
      <c r="L165" s="342"/>
      <c r="M165" s="342"/>
      <c r="N165" s="342"/>
      <c r="O165" s="342"/>
      <c r="P165" s="342"/>
      <c r="Q165" s="342"/>
      <c r="R165" s="342" t="e">
        <f ca="1">R169/E169-1</f>
        <v>#DIV/0!</v>
      </c>
      <c r="S165" s="342"/>
      <c r="T165" s="342"/>
      <c r="U165" s="342"/>
      <c r="V165" s="342"/>
      <c r="W165" s="342"/>
      <c r="X165" s="342"/>
      <c r="Y165" s="342"/>
      <c r="Z165" s="342"/>
      <c r="AA165" s="342"/>
      <c r="AB165" s="342"/>
      <c r="AC165" s="342"/>
      <c r="AD165" s="342"/>
      <c r="AE165" s="342"/>
      <c r="AH165" s="340"/>
      <c r="AJ165" s="342"/>
      <c r="AK165" s="342"/>
      <c r="AL165" s="342"/>
      <c r="AM165" s="342"/>
      <c r="AN165" s="342"/>
      <c r="AO165" s="126"/>
      <c r="AP165" s="340"/>
    </row>
    <row r="166" spans="1:52">
      <c r="A166" s="360" t="str">
        <f>CONCATENATE('Hist &amp; Proj'!A81," (",Assump!$A$7,")")</f>
        <v>PORTFOLIO QUALITY ()</v>
      </c>
      <c r="B166" s="760">
        <f>B$7</f>
        <v>692501</v>
      </c>
      <c r="C166" s="760">
        <f t="shared" ref="C166:AD166" si="69">C$7</f>
        <v>692867</v>
      </c>
      <c r="D166" s="760">
        <f t="shared" si="69"/>
        <v>693232</v>
      </c>
      <c r="E166" s="760">
        <f t="shared" si="69"/>
        <v>693597</v>
      </c>
      <c r="F166" s="362">
        <f t="shared" ca="1" si="69"/>
        <v>693628</v>
      </c>
      <c r="G166" s="362">
        <f t="shared" ca="1" si="69"/>
        <v>693656</v>
      </c>
      <c r="H166" s="362">
        <f t="shared" ca="1" si="69"/>
        <v>693687</v>
      </c>
      <c r="I166" s="362">
        <f t="shared" ca="1" si="69"/>
        <v>693717</v>
      </c>
      <c r="J166" s="362">
        <f t="shared" ca="1" si="69"/>
        <v>693748</v>
      </c>
      <c r="K166" s="362">
        <f t="shared" ca="1" si="69"/>
        <v>693778</v>
      </c>
      <c r="L166" s="362">
        <f t="shared" ca="1" si="69"/>
        <v>693809</v>
      </c>
      <c r="M166" s="362">
        <f t="shared" ca="1" si="69"/>
        <v>693840</v>
      </c>
      <c r="N166" s="362">
        <f t="shared" ca="1" si="69"/>
        <v>693870</v>
      </c>
      <c r="O166" s="362">
        <f t="shared" ca="1" si="69"/>
        <v>693901</v>
      </c>
      <c r="P166" s="362">
        <f t="shared" ca="1" si="69"/>
        <v>693931</v>
      </c>
      <c r="Q166" s="362">
        <f t="shared" ca="1" si="69"/>
        <v>693962</v>
      </c>
      <c r="R166" s="760">
        <f t="shared" ca="1" si="69"/>
        <v>693962</v>
      </c>
      <c r="S166" s="362">
        <f t="shared" ca="1" si="69"/>
        <v>31</v>
      </c>
      <c r="T166" s="362">
        <f t="shared" ca="1" si="69"/>
        <v>59</v>
      </c>
      <c r="U166" s="362">
        <f t="shared" ca="1" si="69"/>
        <v>91</v>
      </c>
      <c r="V166" s="362">
        <f t="shared" ca="1" si="69"/>
        <v>121</v>
      </c>
      <c r="W166" s="362">
        <f t="shared" ca="1" si="69"/>
        <v>152</v>
      </c>
      <c r="X166" s="362">
        <f t="shared" ca="1" si="69"/>
        <v>182</v>
      </c>
      <c r="Y166" s="362">
        <f t="shared" ca="1" si="69"/>
        <v>213</v>
      </c>
      <c r="Z166" s="362">
        <f t="shared" ca="1" si="69"/>
        <v>244</v>
      </c>
      <c r="AA166" s="362">
        <f t="shared" ca="1" si="69"/>
        <v>274</v>
      </c>
      <c r="AB166" s="362">
        <f t="shared" ca="1" si="69"/>
        <v>305</v>
      </c>
      <c r="AC166" s="362">
        <f t="shared" ca="1" si="69"/>
        <v>335</v>
      </c>
      <c r="AD166" s="362">
        <f t="shared" ca="1" si="69"/>
        <v>366</v>
      </c>
      <c r="AE166" s="376" t="e">
        <f ca="1">AE$42</f>
        <v>#N/A</v>
      </c>
      <c r="AF166" s="376" t="e">
        <f ca="1">AF$42</f>
        <v>#N/A</v>
      </c>
      <c r="AH166" s="365" t="str">
        <f ca="1">AH$7</f>
        <v>'96 - '99 CAGR/Avg.</v>
      </c>
      <c r="AJ166" s="760">
        <f ca="1">AJ$7</f>
        <v>694327</v>
      </c>
      <c r="AK166" s="760">
        <f ca="1">AK$7</f>
        <v>694692</v>
      </c>
      <c r="AL166" s="760">
        <f ca="1">AL$7</f>
        <v>695057</v>
      </c>
      <c r="AM166" s="760">
        <f ca="1">AM$7</f>
        <v>695422</v>
      </c>
      <c r="AN166" s="760">
        <f ca="1">AN$7</f>
        <v>695787</v>
      </c>
      <c r="AP166" s="365" t="str">
        <f ca="1">AP$7</f>
        <v>'00 - '04 CAGR/Avg.</v>
      </c>
    </row>
    <row r="167" spans="1:52" s="170" customFormat="1">
      <c r="A167" s="348" t="s">
        <v>49</v>
      </c>
      <c r="B167" s="179">
        <f>IF(OR(Assump!$A$7="USD",Assump!$A$7="EURO"),'Hist &amp; Proj'!B85/'Hist &amp; Proj'!B$8,'Hist &amp; Proj'!B85)</f>
        <v>0</v>
      </c>
      <c r="C167" s="179">
        <f>IF(OR(Assump!$A$7="USD",Assump!$A$7="EURO"),'Hist &amp; Proj'!C85/'Hist &amp; Proj'!C$8,'Hist &amp; Proj'!C85)</f>
        <v>0</v>
      </c>
      <c r="D167" s="179">
        <f>IF(OR(Assump!$A$7="USD",Assump!$A$7="EURO"),'Hist &amp; Proj'!D85/'Hist &amp; Proj'!D$8,'Hist &amp; Proj'!D85)</f>
        <v>0</v>
      </c>
      <c r="E167" s="179">
        <f>IF(OR(Assump!$A$7="USD",Assump!$A$7="EURO"),'Hist &amp; Proj'!E85/'Hist &amp; Proj'!E$8,'Hist &amp; Proj'!E85)</f>
        <v>0</v>
      </c>
      <c r="F167" s="179">
        <f ca="1">IF(OR(Assump!$A$7="USD",Assump!$A$7="EURO"),'Hist &amp; Proj'!F85/'Hist &amp; Proj'!F$8,'Hist &amp; Proj'!F85)</f>
        <v>0</v>
      </c>
      <c r="G167" s="179">
        <f ca="1">IF(OR(Assump!$A$7="USD",Assump!$A$7="EURO"),'Hist &amp; Proj'!G85/'Hist &amp; Proj'!G$8,'Hist &amp; Proj'!G85)</f>
        <v>0</v>
      </c>
      <c r="H167" s="179">
        <f ca="1">IF(OR(Assump!$A$7="USD",Assump!$A$7="EURO"),'Hist &amp; Proj'!H85/'Hist &amp; Proj'!H$8,'Hist &amp; Proj'!H85)</f>
        <v>0</v>
      </c>
      <c r="I167" s="179">
        <f ca="1">IF(OR(Assump!$A$7="USD",Assump!$A$7="EURO"),'Hist &amp; Proj'!I85/'Hist &amp; Proj'!I$8,'Hist &amp; Proj'!I85)</f>
        <v>0</v>
      </c>
      <c r="J167" s="179">
        <f ca="1">IF(OR(Assump!$A$7="USD",Assump!$A$7="EURO"),'Hist &amp; Proj'!J85/'Hist &amp; Proj'!J$8,'Hist &amp; Proj'!J85)</f>
        <v>0</v>
      </c>
      <c r="K167" s="179">
        <f ca="1">IF(OR(Assump!$A$7="USD",Assump!$A$7="EURO"),'Hist &amp; Proj'!K85/'Hist &amp; Proj'!K$8,'Hist &amp; Proj'!K85)</f>
        <v>0</v>
      </c>
      <c r="L167" s="179">
        <f ca="1">IF(OR(Assump!$A$7="USD",Assump!$A$7="EURO"),'Hist &amp; Proj'!L85/'Hist &amp; Proj'!L$8,'Hist &amp; Proj'!L85)</f>
        <v>0</v>
      </c>
      <c r="M167" s="179">
        <f ca="1">IF(OR(Assump!$A$7="USD",Assump!$A$7="EURO"),'Hist &amp; Proj'!M85/'Hist &amp; Proj'!M$8,'Hist &amp; Proj'!M85)</f>
        <v>0</v>
      </c>
      <c r="N167" s="179">
        <f ca="1">IF(OR(Assump!$A$7="USD",Assump!$A$7="EURO"),'Hist &amp; Proj'!N85/'Hist &amp; Proj'!N$8,'Hist &amp; Proj'!N85)</f>
        <v>0</v>
      </c>
      <c r="O167" s="179">
        <f ca="1">IF(OR(Assump!$A$7="USD",Assump!$A$7="EURO"),'Hist &amp; Proj'!O85/'Hist &amp; Proj'!O$8,'Hist &amp; Proj'!O85)</f>
        <v>0</v>
      </c>
      <c r="P167" s="179">
        <f ca="1">IF(OR(Assump!$A$7="USD",Assump!$A$7="EURO"),'Hist &amp; Proj'!P85/'Hist &amp; Proj'!P$8,'Hist &amp; Proj'!P85)</f>
        <v>0</v>
      </c>
      <c r="Q167" s="179">
        <f ca="1">IF(OR(Assump!$A$7="USD",Assump!$A$7="EURO"),'Hist &amp; Proj'!Q85/'Hist &amp; Proj'!Q$8,'Hist &amp; Proj'!Q85)</f>
        <v>0</v>
      </c>
      <c r="R167" s="179">
        <f ca="1">IF(OR(Assump!$A$7="USD",Assump!$A$7="EURO"),'Hist &amp; Proj'!R85/'Hist &amp; Proj'!R$8,'Hist &amp; Proj'!R85)</f>
        <v>0</v>
      </c>
      <c r="S167" s="179">
        <f ca="1">IF(OR(Assump!$A$7="USD",Assump!$A$7="EURO"),'Hist &amp; Proj'!S85/'Hist &amp; Proj'!S$8,'Hist &amp; Proj'!S85)</f>
        <v>0</v>
      </c>
      <c r="T167" s="179">
        <f ca="1">IF(OR(Assump!$A$7="USD",Assump!$A$7="EURO"),'Hist &amp; Proj'!T85/'Hist &amp; Proj'!T$8,'Hist &amp; Proj'!T85)</f>
        <v>0</v>
      </c>
      <c r="U167" s="179">
        <f ca="1">IF(OR(Assump!$A$7="USD",Assump!$A$7="EURO"),'Hist &amp; Proj'!U85/'Hist &amp; Proj'!U$8,'Hist &amp; Proj'!U85)</f>
        <v>0</v>
      </c>
      <c r="V167" s="179">
        <f ca="1">IF(OR(Assump!$A$7="USD",Assump!$A$7="EURO"),'Hist &amp; Proj'!V85/'Hist &amp; Proj'!V$8,'Hist &amp; Proj'!V85)</f>
        <v>0</v>
      </c>
      <c r="W167" s="179">
        <f ca="1">IF(OR(Assump!$A$7="USD",Assump!$A$7="EURO"),'Hist &amp; Proj'!W85/'Hist &amp; Proj'!W$8,'Hist &amp; Proj'!W85)</f>
        <v>0</v>
      </c>
      <c r="X167" s="179">
        <f ca="1">IF(OR(Assump!$A$7="USD",Assump!$A$7="EURO"),'Hist &amp; Proj'!X85/'Hist &amp; Proj'!X$8,'Hist &amp; Proj'!X85)</f>
        <v>0</v>
      </c>
      <c r="Y167" s="179">
        <f ca="1">IF(OR(Assump!$A$7="USD",Assump!$A$7="EURO"),'Hist &amp; Proj'!Y85/'Hist &amp; Proj'!Y$8,'Hist &amp; Proj'!Y85)</f>
        <v>0</v>
      </c>
      <c r="Z167" s="179">
        <f ca="1">IF(OR(Assump!$A$7="USD",Assump!$A$7="EURO"),'Hist &amp; Proj'!Z85/'Hist &amp; Proj'!Z$8,'Hist &amp; Proj'!Z85)</f>
        <v>0</v>
      </c>
      <c r="AA167" s="179">
        <f ca="1">IF(OR(Assump!$A$7="USD",Assump!$A$7="EURO"),'Hist &amp; Proj'!AA85/'Hist &amp; Proj'!AA$8,'Hist &amp; Proj'!AA85)</f>
        <v>0</v>
      </c>
      <c r="AB167" s="179">
        <f ca="1">IF(OR(Assump!$A$7="USD",Assump!$A$7="EURO"),'Hist &amp; Proj'!AB85/'Hist &amp; Proj'!AB$8,'Hist &amp; Proj'!AB85)</f>
        <v>0</v>
      </c>
      <c r="AC167" s="179">
        <f ca="1">IF(OR(Assump!$A$7="USD",Assump!$A$7="EURO"),'Hist &amp; Proj'!AC85/'Hist &amp; Proj'!AC$8,'Hist &amp; Proj'!AC85)</f>
        <v>0</v>
      </c>
      <c r="AD167" s="179">
        <f ca="1">IF(OR(Assump!$A$7="USD",Assump!$A$7="EURO"),'Hist &amp; Proj'!AD85/'Hist &amp; Proj'!AD$8,'Hist &amp; Proj'!AD85)</f>
        <v>0</v>
      </c>
      <c r="AE167" s="179" t="e">
        <f ca="1">IF(OR(Assump!$A$7="USD",Assump!$A$7="EURO"),'Hist &amp; Proj'!AE85/'Hist &amp; Proj'!AE$8,'Hist &amp; Proj'!AE85)</f>
        <v>#N/A</v>
      </c>
      <c r="AF167" s="179" t="e">
        <f ca="1">IF(OR(Assump!$A$7="USD",Assump!$A$7="EURO"),'Hist &amp; Proj'!AF85/'Hist &amp; Proj'!AE$8,'Hist &amp; Proj'!AF85)</f>
        <v>#N/A</v>
      </c>
      <c r="AG167" s="404"/>
      <c r="AH167" s="367" t="str">
        <f t="shared" ref="AH167:AH178" ca="1" si="70">IFERROR(RATE(3,0,-C167,R167),"NA")</f>
        <v>NA</v>
      </c>
      <c r="AI167" s="416"/>
      <c r="AJ167" s="390" t="str">
        <f ca="1">IF(Assump!$AM$8=3,IF('Mgmt Backup'!AJ90&gt;0,'Mgmt Backup'!AJ90,"NA"),"NA")</f>
        <v>NA</v>
      </c>
      <c r="AK167" s="390" t="str">
        <f ca="1">IF(Assump!$AM$8=3,IF('Mgmt Backup'!AK90&gt;0,'Mgmt Backup'!AK90,"NA"),"NA")</f>
        <v>NA</v>
      </c>
      <c r="AL167" s="390" t="str">
        <f ca="1">IF(Assump!$AM$8=3,IF('Mgmt Backup'!AL90&gt;0,'Mgmt Backup'!AL90,"NA"),"NA")</f>
        <v>NA</v>
      </c>
      <c r="AM167" s="390" t="str">
        <f ca="1">IF(Assump!$AM$8=3,IF('Mgmt Backup'!AM90&gt;0,'Mgmt Backup'!AM90,"NA"),"NA")</f>
        <v>NA</v>
      </c>
      <c r="AN167" s="390" t="str">
        <f ca="1">IF(Assump!$AM$8=3,IF('Mgmt Backup'!AN90&gt;0,'Mgmt Backup'!AN90,"NA"),"NA")</f>
        <v>NA</v>
      </c>
      <c r="AO167" s="404"/>
      <c r="AP167" s="367" t="str">
        <f t="shared" ref="AP167:AP178" ca="1" si="71">IFERROR(RATE(4,0,-AJ167,AN167),"NA")</f>
        <v>NA</v>
      </c>
      <c r="AQ167" s="404"/>
      <c r="AR167" s="404"/>
      <c r="AS167" s="404"/>
      <c r="AT167" s="127"/>
      <c r="AU167" s="404"/>
      <c r="AV167" s="404"/>
      <c r="AW167" s="404"/>
      <c r="AX167" s="404"/>
      <c r="AY167" s="404"/>
      <c r="AZ167" s="127"/>
    </row>
    <row r="168" spans="1:52" s="170" customFormat="1" outlineLevel="1">
      <c r="A168" s="348" t="s">
        <v>50</v>
      </c>
      <c r="B168" s="179">
        <f>IF(OR(Assump!$A$7="USD",Assump!$A$7="EURO"),'Hist &amp; Proj'!B86/'Hist &amp; Proj'!B$8,'Hist &amp; Proj'!B86)</f>
        <v>0</v>
      </c>
      <c r="C168" s="179">
        <f>IF(OR(Assump!$A$7="USD",Assump!$A$7="EURO"),'Hist &amp; Proj'!C86/'Hist &amp; Proj'!C$8,'Hist &amp; Proj'!C86)</f>
        <v>0</v>
      </c>
      <c r="D168" s="179">
        <f>IF(OR(Assump!$A$7="USD",Assump!$A$7="EURO"),'Hist &amp; Proj'!D86/'Hist &amp; Proj'!D$8,'Hist &amp; Proj'!D86)</f>
        <v>0</v>
      </c>
      <c r="E168" s="179">
        <f>IF(OR(Assump!$A$7="USD",Assump!$A$7="EURO"),'Hist &amp; Proj'!E86/'Hist &amp; Proj'!E$8,'Hist &amp; Proj'!E86)</f>
        <v>0</v>
      </c>
      <c r="F168" s="179">
        <f ca="1">IF(OR(Assump!$A$7="USD",Assump!$A$7="EURO"),'Hist &amp; Proj'!F86/'Hist &amp; Proj'!F$8,'Hist &amp; Proj'!F86)</f>
        <v>0</v>
      </c>
      <c r="G168" s="179">
        <f ca="1">IF(OR(Assump!$A$7="USD",Assump!$A$7="EURO"),'Hist &amp; Proj'!G86/'Hist &amp; Proj'!G$8,'Hist &amp; Proj'!G86)</f>
        <v>0</v>
      </c>
      <c r="H168" s="179">
        <f ca="1">IF(OR(Assump!$A$7="USD",Assump!$A$7="EURO"),'Hist &amp; Proj'!H86/'Hist &amp; Proj'!H$8,'Hist &amp; Proj'!H86)</f>
        <v>0</v>
      </c>
      <c r="I168" s="179">
        <f ca="1">IF(OR(Assump!$A$7="USD",Assump!$A$7="EURO"),'Hist &amp; Proj'!I86/'Hist &amp; Proj'!I$8,'Hist &amp; Proj'!I86)</f>
        <v>0</v>
      </c>
      <c r="J168" s="179">
        <f ca="1">IF(OR(Assump!$A$7="USD",Assump!$A$7="EURO"),'Hist &amp; Proj'!J86/'Hist &amp; Proj'!J$8,'Hist &amp; Proj'!J86)</f>
        <v>0</v>
      </c>
      <c r="K168" s="179">
        <f ca="1">IF(OR(Assump!$A$7="USD",Assump!$A$7="EURO"),'Hist &amp; Proj'!K86/'Hist &amp; Proj'!K$8,'Hist &amp; Proj'!K86)</f>
        <v>0</v>
      </c>
      <c r="L168" s="179">
        <f ca="1">IF(OR(Assump!$A$7="USD",Assump!$A$7="EURO"),'Hist &amp; Proj'!L86/'Hist &amp; Proj'!L$8,'Hist &amp; Proj'!L86)</f>
        <v>0</v>
      </c>
      <c r="M168" s="179">
        <f ca="1">IF(OR(Assump!$A$7="USD",Assump!$A$7="EURO"),'Hist &amp; Proj'!M86/'Hist &amp; Proj'!M$8,'Hist &amp; Proj'!M86)</f>
        <v>0</v>
      </c>
      <c r="N168" s="179">
        <f ca="1">IF(OR(Assump!$A$7="USD",Assump!$A$7="EURO"),'Hist &amp; Proj'!N86/'Hist &amp; Proj'!N$8,'Hist &amp; Proj'!N86)</f>
        <v>0</v>
      </c>
      <c r="O168" s="179">
        <f ca="1">IF(OR(Assump!$A$7="USD",Assump!$A$7="EURO"),'Hist &amp; Proj'!O86/'Hist &amp; Proj'!O$8,'Hist &amp; Proj'!O86)</f>
        <v>0</v>
      </c>
      <c r="P168" s="179">
        <f ca="1">IF(OR(Assump!$A$7="USD",Assump!$A$7="EURO"),'Hist &amp; Proj'!P86/'Hist &amp; Proj'!P$8,'Hist &amp; Proj'!P86)</f>
        <v>0</v>
      </c>
      <c r="Q168" s="179">
        <f ca="1">IF(OR(Assump!$A$7="USD",Assump!$A$7="EURO"),'Hist &amp; Proj'!Q86/'Hist &amp; Proj'!Q$8,'Hist &amp; Proj'!Q86)</f>
        <v>0</v>
      </c>
      <c r="R168" s="179">
        <f ca="1">IF(OR(Assump!$A$7="USD",Assump!$A$7="EURO"),'Hist &amp; Proj'!R86/'Hist &amp; Proj'!R$8,'Hist &amp; Proj'!R86)</f>
        <v>0</v>
      </c>
      <c r="S168" s="179">
        <f ca="1">IF(OR(Assump!$A$7="USD",Assump!$A$7="EURO"),'Hist &amp; Proj'!S86/'Hist &amp; Proj'!S$8,'Hist &amp; Proj'!S86)</f>
        <v>0</v>
      </c>
      <c r="T168" s="179">
        <f ca="1">IF(OR(Assump!$A$7="USD",Assump!$A$7="EURO"),'Hist &amp; Proj'!T86/'Hist &amp; Proj'!T$8,'Hist &amp; Proj'!T86)</f>
        <v>0</v>
      </c>
      <c r="U168" s="179">
        <f ca="1">IF(OR(Assump!$A$7="USD",Assump!$A$7="EURO"),'Hist &amp; Proj'!U86/'Hist &amp; Proj'!U$8,'Hist &amp; Proj'!U86)</f>
        <v>0</v>
      </c>
      <c r="V168" s="179">
        <f ca="1">IF(OR(Assump!$A$7="USD",Assump!$A$7="EURO"),'Hist &amp; Proj'!V86/'Hist &amp; Proj'!V$8,'Hist &amp; Proj'!V86)</f>
        <v>0</v>
      </c>
      <c r="W168" s="179">
        <f ca="1">IF(OR(Assump!$A$7="USD",Assump!$A$7="EURO"),'Hist &amp; Proj'!W86/'Hist &amp; Proj'!W$8,'Hist &amp; Proj'!W86)</f>
        <v>0</v>
      </c>
      <c r="X168" s="179">
        <f ca="1">IF(OR(Assump!$A$7="USD",Assump!$A$7="EURO"),'Hist &amp; Proj'!X86/'Hist &amp; Proj'!X$8,'Hist &amp; Proj'!X86)</f>
        <v>0</v>
      </c>
      <c r="Y168" s="179">
        <f ca="1">IF(OR(Assump!$A$7="USD",Assump!$A$7="EURO"),'Hist &amp; Proj'!Y86/'Hist &amp; Proj'!Y$8,'Hist &amp; Proj'!Y86)</f>
        <v>0</v>
      </c>
      <c r="Z168" s="179">
        <f ca="1">IF(OR(Assump!$A$7="USD",Assump!$A$7="EURO"),'Hist &amp; Proj'!Z86/'Hist &amp; Proj'!Z$8,'Hist &amp; Proj'!Z86)</f>
        <v>0</v>
      </c>
      <c r="AA168" s="179">
        <f ca="1">IF(OR(Assump!$A$7="USD",Assump!$A$7="EURO"),'Hist &amp; Proj'!AA86/'Hist &amp; Proj'!AA$8,'Hist &amp; Proj'!AA86)</f>
        <v>0</v>
      </c>
      <c r="AB168" s="179">
        <f ca="1">IF(OR(Assump!$A$7="USD",Assump!$A$7="EURO"),'Hist &amp; Proj'!AB86/'Hist &amp; Proj'!AB$8,'Hist &amp; Proj'!AB86)</f>
        <v>0</v>
      </c>
      <c r="AC168" s="179">
        <f ca="1">IF(OR(Assump!$A$7="USD",Assump!$A$7="EURO"),'Hist &amp; Proj'!AC86/'Hist &amp; Proj'!AC$8,'Hist &amp; Proj'!AC86)</f>
        <v>0</v>
      </c>
      <c r="AD168" s="179">
        <f ca="1">IF(OR(Assump!$A$7="USD",Assump!$A$7="EURO"),'Hist &amp; Proj'!AD86/'Hist &amp; Proj'!AD$8,'Hist &amp; Proj'!AD86)</f>
        <v>0</v>
      </c>
      <c r="AE168" s="179" t="e">
        <f ca="1">IF(OR(Assump!$A$7="USD",Assump!$A$7="EURO"),'Hist &amp; Proj'!AE86/'Hist &amp; Proj'!AE$8,'Hist &amp; Proj'!AE86)</f>
        <v>#N/A</v>
      </c>
      <c r="AF168" s="179" t="e">
        <f ca="1">IF(OR(Assump!$A$7="USD",Assump!$A$7="EURO"),'Hist &amp; Proj'!AF86/'Hist &amp; Proj'!AE$8,'Hist &amp; Proj'!AF86)</f>
        <v>#N/A</v>
      </c>
      <c r="AG168" s="404"/>
      <c r="AH168" s="367" t="str">
        <f t="shared" ca="1" si="70"/>
        <v>NA</v>
      </c>
      <c r="AI168" s="416"/>
      <c r="AJ168" s="390" t="str">
        <f ca="1">IF(Assump!$AM$8=3,IF('Mgmt Backup'!AJ91&gt;0,'Mgmt Backup'!AJ91,"NA"),"NA")</f>
        <v>NA</v>
      </c>
      <c r="AK168" s="390" t="str">
        <f ca="1">IF(Assump!$AM$8=3,IF('Mgmt Backup'!AK91&gt;0,'Mgmt Backup'!AK91,"NA"),"NA")</f>
        <v>NA</v>
      </c>
      <c r="AL168" s="390" t="str">
        <f ca="1">IF(Assump!$AM$8=3,IF('Mgmt Backup'!AL91&gt;0,'Mgmt Backup'!AL91,"NA"),"NA")</f>
        <v>NA</v>
      </c>
      <c r="AM168" s="390" t="str">
        <f ca="1">IF(Assump!$AM$8=3,IF('Mgmt Backup'!AM91&gt;0,'Mgmt Backup'!AM91,"NA"),"NA")</f>
        <v>NA</v>
      </c>
      <c r="AN168" s="390" t="str">
        <f ca="1">IF(Assump!$AM$8=3,IF('Mgmt Backup'!AN91&gt;0,'Mgmt Backup'!AN91,"NA"),"NA")</f>
        <v>NA</v>
      </c>
      <c r="AO168" s="404"/>
      <c r="AP168" s="367" t="str">
        <f t="shared" ca="1" si="71"/>
        <v>NA</v>
      </c>
      <c r="AQ168" s="404"/>
      <c r="AR168" s="404"/>
      <c r="AS168" s="404"/>
      <c r="AT168" s="127"/>
      <c r="AU168" s="404"/>
      <c r="AV168" s="404"/>
      <c r="AW168" s="404"/>
      <c r="AX168" s="404"/>
      <c r="AY168" s="404"/>
      <c r="AZ168" s="127"/>
    </row>
    <row r="169" spans="1:52" s="170" customFormat="1">
      <c r="A169" s="348" t="s">
        <v>51</v>
      </c>
      <c r="B169" s="179">
        <f>IF(OR(Assump!$A$7="USD",Assump!$A$7="EURO"),'Hist &amp; Proj'!B87/'Hist &amp; Proj'!B$8,'Hist &amp; Proj'!B87)</f>
        <v>0</v>
      </c>
      <c r="C169" s="179">
        <f>IF(OR(Assump!$A$7="USD",Assump!$A$7="EURO"),'Hist &amp; Proj'!C87/'Hist &amp; Proj'!C$8,'Hist &amp; Proj'!C87)</f>
        <v>0</v>
      </c>
      <c r="D169" s="179">
        <f>IF(OR(Assump!$A$7="USD",Assump!$A$7="EURO"),'Hist &amp; Proj'!D87/'Hist &amp; Proj'!D$8,'Hist &amp; Proj'!D87)</f>
        <v>0</v>
      </c>
      <c r="E169" s="179">
        <f>IF(OR(Assump!$A$7="USD",Assump!$A$7="EURO"),'Hist &amp; Proj'!E87/'Hist &amp; Proj'!E$8,'Hist &amp; Proj'!E87)</f>
        <v>0</v>
      </c>
      <c r="F169" s="179">
        <f ca="1">IF(OR(Assump!$A$7="USD",Assump!$A$7="EURO"),'Hist &amp; Proj'!F87/'Hist &amp; Proj'!F$8,'Hist &amp; Proj'!F87)</f>
        <v>0</v>
      </c>
      <c r="G169" s="179">
        <f ca="1">IF(OR(Assump!$A$7="USD",Assump!$A$7="EURO"),'Hist &amp; Proj'!G87/'Hist &amp; Proj'!G$8,'Hist &amp; Proj'!G87)</f>
        <v>0</v>
      </c>
      <c r="H169" s="179">
        <f ca="1">IF(OR(Assump!$A$7="USD",Assump!$A$7="EURO"),'Hist &amp; Proj'!H87/'Hist &amp; Proj'!H$8,'Hist &amp; Proj'!H87)</f>
        <v>0</v>
      </c>
      <c r="I169" s="179">
        <f ca="1">IF(OR(Assump!$A$7="USD",Assump!$A$7="EURO"),'Hist &amp; Proj'!I87/'Hist &amp; Proj'!I$8,'Hist &amp; Proj'!I87)</f>
        <v>0</v>
      </c>
      <c r="J169" s="179">
        <f ca="1">IF(OR(Assump!$A$7="USD",Assump!$A$7="EURO"),'Hist &amp; Proj'!J87/'Hist &amp; Proj'!J$8,'Hist &amp; Proj'!J87)</f>
        <v>0</v>
      </c>
      <c r="K169" s="179">
        <f ca="1">IF(OR(Assump!$A$7="USD",Assump!$A$7="EURO"),'Hist &amp; Proj'!K87/'Hist &amp; Proj'!K$8,'Hist &amp; Proj'!K87)</f>
        <v>0</v>
      </c>
      <c r="L169" s="179">
        <f ca="1">IF(OR(Assump!$A$7="USD",Assump!$A$7="EURO"),'Hist &amp; Proj'!L87/'Hist &amp; Proj'!L$8,'Hist &amp; Proj'!L87)</f>
        <v>0</v>
      </c>
      <c r="M169" s="179">
        <f ca="1">IF(OR(Assump!$A$7="USD",Assump!$A$7="EURO"),'Hist &amp; Proj'!M87/'Hist &amp; Proj'!M$8,'Hist &amp; Proj'!M87)</f>
        <v>0</v>
      </c>
      <c r="N169" s="179">
        <f ca="1">IF(OR(Assump!$A$7="USD",Assump!$A$7="EURO"),'Hist &amp; Proj'!N87/'Hist &amp; Proj'!N$8,'Hist &amp; Proj'!N87)</f>
        <v>0</v>
      </c>
      <c r="O169" s="179">
        <f ca="1">IF(OR(Assump!$A$7="USD",Assump!$A$7="EURO"),'Hist &amp; Proj'!O87/'Hist &amp; Proj'!O$8,'Hist &amp; Proj'!O87)</f>
        <v>0</v>
      </c>
      <c r="P169" s="179">
        <f ca="1">IF(OR(Assump!$A$7="USD",Assump!$A$7="EURO"),'Hist &amp; Proj'!P87/'Hist &amp; Proj'!P$8,'Hist &amp; Proj'!P87)</f>
        <v>0</v>
      </c>
      <c r="Q169" s="179">
        <f ca="1">IF(OR(Assump!$A$7="USD",Assump!$A$7="EURO"),'Hist &amp; Proj'!Q87/'Hist &amp; Proj'!Q$8,'Hist &amp; Proj'!Q87)</f>
        <v>0</v>
      </c>
      <c r="R169" s="179">
        <f ca="1">IF(OR(Assump!$A$7="USD",Assump!$A$7="EURO"),'Hist &amp; Proj'!R87/'Hist &amp; Proj'!R$8,'Hist &amp; Proj'!R87)</f>
        <v>0</v>
      </c>
      <c r="S169" s="179">
        <f ca="1">IF(OR(Assump!$A$7="USD",Assump!$A$7="EURO"),'Hist &amp; Proj'!S87/'Hist &amp; Proj'!S$8,'Hist &amp; Proj'!S87)</f>
        <v>0</v>
      </c>
      <c r="T169" s="179">
        <f ca="1">IF(OR(Assump!$A$7="USD",Assump!$A$7="EURO"),'Hist &amp; Proj'!T87/'Hist &amp; Proj'!T$8,'Hist &amp; Proj'!T87)</f>
        <v>0</v>
      </c>
      <c r="U169" s="179">
        <f ca="1">IF(OR(Assump!$A$7="USD",Assump!$A$7="EURO"),'Hist &amp; Proj'!U87/'Hist &amp; Proj'!U$8,'Hist &amp; Proj'!U87)</f>
        <v>0</v>
      </c>
      <c r="V169" s="179">
        <f ca="1">IF(OR(Assump!$A$7="USD",Assump!$A$7="EURO"),'Hist &amp; Proj'!V87/'Hist &amp; Proj'!V$8,'Hist &amp; Proj'!V87)</f>
        <v>0</v>
      </c>
      <c r="W169" s="179">
        <f ca="1">IF(OR(Assump!$A$7="USD",Assump!$A$7="EURO"),'Hist &amp; Proj'!W87/'Hist &amp; Proj'!W$8,'Hist &amp; Proj'!W87)</f>
        <v>0</v>
      </c>
      <c r="X169" s="179">
        <f ca="1">IF(OR(Assump!$A$7="USD",Assump!$A$7="EURO"),'Hist &amp; Proj'!X87/'Hist &amp; Proj'!X$8,'Hist &amp; Proj'!X87)</f>
        <v>0</v>
      </c>
      <c r="Y169" s="179">
        <f ca="1">IF(OR(Assump!$A$7="USD",Assump!$A$7="EURO"),'Hist &amp; Proj'!Y87/'Hist &amp; Proj'!Y$8,'Hist &amp; Proj'!Y87)</f>
        <v>0</v>
      </c>
      <c r="Z169" s="179">
        <f ca="1">IF(OR(Assump!$A$7="USD",Assump!$A$7="EURO"),'Hist &amp; Proj'!Z87/'Hist &amp; Proj'!Z$8,'Hist &amp; Proj'!Z87)</f>
        <v>0</v>
      </c>
      <c r="AA169" s="179">
        <f ca="1">IF(OR(Assump!$A$7="USD",Assump!$A$7="EURO"),'Hist &amp; Proj'!AA87/'Hist &amp; Proj'!AA$8,'Hist &amp; Proj'!AA87)</f>
        <v>0</v>
      </c>
      <c r="AB169" s="179">
        <f ca="1">IF(OR(Assump!$A$7="USD",Assump!$A$7="EURO"),'Hist &amp; Proj'!AB87/'Hist &amp; Proj'!AB$8,'Hist &amp; Proj'!AB87)</f>
        <v>0</v>
      </c>
      <c r="AC169" s="179">
        <f ca="1">IF(OR(Assump!$A$7="USD",Assump!$A$7="EURO"),'Hist &amp; Proj'!AC87/'Hist &amp; Proj'!AC$8,'Hist &amp; Proj'!AC87)</f>
        <v>0</v>
      </c>
      <c r="AD169" s="179">
        <f ca="1">IF(OR(Assump!$A$7="USD",Assump!$A$7="EURO"),'Hist &amp; Proj'!AD87/'Hist &amp; Proj'!AD$8,'Hist &amp; Proj'!AD87)</f>
        <v>0</v>
      </c>
      <c r="AE169" s="179" t="e">
        <f ca="1">IF(OR(Assump!$A$7="USD",Assump!$A$7="EURO"),'Hist &amp; Proj'!AE87/'Hist &amp; Proj'!AE$8,'Hist &amp; Proj'!AE87)</f>
        <v>#N/A</v>
      </c>
      <c r="AF169" s="179" t="e">
        <f ca="1">IF(OR(Assump!$A$7="USD",Assump!$A$7="EURO"),'Hist &amp; Proj'!AF87/'Hist &amp; Proj'!AE$8,'Hist &amp; Proj'!AF87)</f>
        <v>#N/A</v>
      </c>
      <c r="AG169" s="404"/>
      <c r="AH169" s="367" t="str">
        <f t="shared" ca="1" si="70"/>
        <v>NA</v>
      </c>
      <c r="AI169" s="416"/>
      <c r="AJ169" s="179" t="e">
        <f ca="1">AJ$15*Assump!AJ$34</f>
        <v>#DIV/0!</v>
      </c>
      <c r="AK169" s="179" t="e">
        <f ca="1">AK$15*Assump!AK$34</f>
        <v>#DIV/0!</v>
      </c>
      <c r="AL169" s="179" t="e">
        <f ca="1">AL$15*Assump!AL$34</f>
        <v>#DIV/0!</v>
      </c>
      <c r="AM169" s="179" t="e">
        <f ca="1">AM$15*Assump!AM$34</f>
        <v>#DIV/0!</v>
      </c>
      <c r="AN169" s="179" t="e">
        <f ca="1">AN$15*Assump!AN$34</f>
        <v>#DIV/0!</v>
      </c>
      <c r="AO169" s="404"/>
      <c r="AP169" s="367" t="str">
        <f t="shared" ca="1" si="71"/>
        <v>NA</v>
      </c>
      <c r="AQ169" s="404"/>
      <c r="AR169" s="404"/>
      <c r="AS169" s="404"/>
      <c r="AT169" s="127"/>
      <c r="AU169" s="404"/>
      <c r="AV169" s="404"/>
      <c r="AW169" s="404"/>
      <c r="AX169" s="404"/>
      <c r="AY169" s="404"/>
      <c r="AZ169" s="127"/>
    </row>
    <row r="170" spans="1:52" s="170" customFormat="1">
      <c r="A170" s="417" t="s">
        <v>405</v>
      </c>
      <c r="B170" s="179">
        <f>IF(OR(Assump!$A$7="USD",Assump!$A$7="EURO"),'Hist &amp; Proj'!B88/'Hist &amp; Proj'!B$8,'Hist &amp; Proj'!B88)</f>
        <v>0</v>
      </c>
      <c r="C170" s="179">
        <f>IF(OR(Assump!$A$7="USD",Assump!$A$7="EURO"),'Hist &amp; Proj'!C88/'Hist &amp; Proj'!C$8,'Hist &amp; Proj'!C88)</f>
        <v>0</v>
      </c>
      <c r="D170" s="179">
        <f>IF(OR(Assump!$A$7="USD",Assump!$A$7="EURO"),'Hist &amp; Proj'!D88/'Hist &amp; Proj'!D$8,'Hist &amp; Proj'!D88)</f>
        <v>0</v>
      </c>
      <c r="E170" s="179">
        <f>IF(OR(Assump!$A$7="USD",Assump!$A$7="EURO"),'Hist &amp; Proj'!E88/'Hist &amp; Proj'!E$8,'Hist &amp; Proj'!E88)</f>
        <v>0</v>
      </c>
      <c r="F170" s="179">
        <f ca="1">IF(OR(Assump!$A$7="USD",Assump!$A$7="EURO"),'Hist &amp; Proj'!F88/'Hist &amp; Proj'!F$8,'Hist &amp; Proj'!F88)</f>
        <v>0</v>
      </c>
      <c r="G170" s="179">
        <f ca="1">IF(OR(Assump!$A$7="USD",Assump!$A$7="EURO"),'Hist &amp; Proj'!G88/'Hist &amp; Proj'!G$8,'Hist &amp; Proj'!G88)</f>
        <v>0</v>
      </c>
      <c r="H170" s="179">
        <f ca="1">IF(OR(Assump!$A$7="USD",Assump!$A$7="EURO"),'Hist &amp; Proj'!H88/'Hist &amp; Proj'!H$8,'Hist &amp; Proj'!H88)</f>
        <v>0</v>
      </c>
      <c r="I170" s="179">
        <f ca="1">IF(OR(Assump!$A$7="USD",Assump!$A$7="EURO"),'Hist &amp; Proj'!I88/'Hist &amp; Proj'!I$8,'Hist &amp; Proj'!I88)</f>
        <v>0</v>
      </c>
      <c r="J170" s="179">
        <f ca="1">IF(OR(Assump!$A$7="USD",Assump!$A$7="EURO"),'Hist &amp; Proj'!J88/'Hist &amp; Proj'!J$8,'Hist &amp; Proj'!J88)</f>
        <v>0</v>
      </c>
      <c r="K170" s="179">
        <f ca="1">IF(OR(Assump!$A$7="USD",Assump!$A$7="EURO"),'Hist &amp; Proj'!K88/'Hist &amp; Proj'!K$8,'Hist &amp; Proj'!K88)</f>
        <v>0</v>
      </c>
      <c r="L170" s="179">
        <f ca="1">IF(OR(Assump!$A$7="USD",Assump!$A$7="EURO"),'Hist &amp; Proj'!L88/'Hist &amp; Proj'!L$8,'Hist &amp; Proj'!L88)</f>
        <v>0</v>
      </c>
      <c r="M170" s="179">
        <f ca="1">IF(OR(Assump!$A$7="USD",Assump!$A$7="EURO"),'Hist &amp; Proj'!M88/'Hist &amp; Proj'!M$8,'Hist &amp; Proj'!M88)</f>
        <v>0</v>
      </c>
      <c r="N170" s="179">
        <f ca="1">IF(OR(Assump!$A$7="USD",Assump!$A$7="EURO"),'Hist &amp; Proj'!N88/'Hist &amp; Proj'!N$8,'Hist &amp; Proj'!N88)</f>
        <v>0</v>
      </c>
      <c r="O170" s="179">
        <f ca="1">IF(OR(Assump!$A$7="USD",Assump!$A$7="EURO"),'Hist &amp; Proj'!O88/'Hist &amp; Proj'!O$8,'Hist &amp; Proj'!O88)</f>
        <v>0</v>
      </c>
      <c r="P170" s="179">
        <f ca="1">IF(OR(Assump!$A$7="USD",Assump!$A$7="EURO"),'Hist &amp; Proj'!P88/'Hist &amp; Proj'!P$8,'Hist &amp; Proj'!P88)</f>
        <v>0</v>
      </c>
      <c r="Q170" s="179">
        <f ca="1">IF(OR(Assump!$A$7="USD",Assump!$A$7="EURO"),'Hist &amp; Proj'!Q88/'Hist &amp; Proj'!Q$8,'Hist &amp; Proj'!Q88)</f>
        <v>0</v>
      </c>
      <c r="R170" s="179">
        <f ca="1">IF(OR(Assump!$A$7="USD",Assump!$A$7="EURO"),'Hist &amp; Proj'!R88/'Hist &amp; Proj'!R$8,'Hist &amp; Proj'!R88)</f>
        <v>0</v>
      </c>
      <c r="S170" s="179">
        <f ca="1">IF(OR(Assump!$A$7="USD",Assump!$A$7="EURO"),'Hist &amp; Proj'!S88/'Hist &amp; Proj'!S$8,'Hist &amp; Proj'!S88)</f>
        <v>0</v>
      </c>
      <c r="T170" s="179">
        <f ca="1">IF(OR(Assump!$A$7="USD",Assump!$A$7="EURO"),'Hist &amp; Proj'!T88/'Hist &amp; Proj'!T$8,'Hist &amp; Proj'!T88)</f>
        <v>0</v>
      </c>
      <c r="U170" s="179">
        <f ca="1">IF(OR(Assump!$A$7="USD",Assump!$A$7="EURO"),'Hist &amp; Proj'!U88/'Hist &amp; Proj'!U$8,'Hist &amp; Proj'!U88)</f>
        <v>0</v>
      </c>
      <c r="V170" s="179">
        <f ca="1">IF(OR(Assump!$A$7="USD",Assump!$A$7="EURO"),'Hist &amp; Proj'!V88/'Hist &amp; Proj'!V$8,'Hist &amp; Proj'!V88)</f>
        <v>0</v>
      </c>
      <c r="W170" s="179">
        <f ca="1">IF(OR(Assump!$A$7="USD",Assump!$A$7="EURO"),'Hist &amp; Proj'!W88/'Hist &amp; Proj'!W$8,'Hist &amp; Proj'!W88)</f>
        <v>0</v>
      </c>
      <c r="X170" s="179">
        <f ca="1">IF(OR(Assump!$A$7="USD",Assump!$A$7="EURO"),'Hist &amp; Proj'!X88/'Hist &amp; Proj'!X$8,'Hist &amp; Proj'!X88)</f>
        <v>0</v>
      </c>
      <c r="Y170" s="179">
        <f ca="1">IF(OR(Assump!$A$7="USD",Assump!$A$7="EURO"),'Hist &amp; Proj'!Y88/'Hist &amp; Proj'!Y$8,'Hist &amp; Proj'!Y88)</f>
        <v>0</v>
      </c>
      <c r="Z170" s="179">
        <f ca="1">IF(OR(Assump!$A$7="USD",Assump!$A$7="EURO"),'Hist &amp; Proj'!Z88/'Hist &amp; Proj'!Z$8,'Hist &amp; Proj'!Z88)</f>
        <v>0</v>
      </c>
      <c r="AA170" s="179">
        <f ca="1">IF(OR(Assump!$A$7="USD",Assump!$A$7="EURO"),'Hist &amp; Proj'!AA88/'Hist &amp; Proj'!AA$8,'Hist &amp; Proj'!AA88)</f>
        <v>0</v>
      </c>
      <c r="AB170" s="179">
        <f ca="1">IF(OR(Assump!$A$7="USD",Assump!$A$7="EURO"),'Hist &amp; Proj'!AB88/'Hist &amp; Proj'!AB$8,'Hist &amp; Proj'!AB88)</f>
        <v>0</v>
      </c>
      <c r="AC170" s="179">
        <f ca="1">IF(OR(Assump!$A$7="USD",Assump!$A$7="EURO"),'Hist &amp; Proj'!AC88/'Hist &amp; Proj'!AC$8,'Hist &amp; Proj'!AC88)</f>
        <v>0</v>
      </c>
      <c r="AD170" s="179">
        <f ca="1">IF(OR(Assump!$A$7="USD",Assump!$A$7="EURO"),'Hist &amp; Proj'!AD88/'Hist &amp; Proj'!AD$8,'Hist &amp; Proj'!AD88)</f>
        <v>0</v>
      </c>
      <c r="AE170" s="179" t="e">
        <f ca="1">IF(OR(Assump!$A$7="USD",Assump!$A$7="EURO"),'Hist &amp; Proj'!AE88/'Hist &amp; Proj'!AE$8,'Hist &amp; Proj'!AE88)</f>
        <v>#N/A</v>
      </c>
      <c r="AF170" s="179" t="e">
        <f ca="1">IF(OR(Assump!$A$7="USD",Assump!$A$7="EURO"),'Hist &amp; Proj'!AF88/'Hist &amp; Proj'!AE$8,'Hist &amp; Proj'!AF88)</f>
        <v>#N/A</v>
      </c>
      <c r="AG170" s="404"/>
      <c r="AH170" s="367" t="str">
        <f t="shared" ca="1" si="70"/>
        <v>NA</v>
      </c>
      <c r="AI170" s="416"/>
      <c r="AJ170" s="390" t="str">
        <f ca="1">IF(Assump!$AM$8=3,IF('Mgmt Backup'!AJ93&gt;0,'Mgmt Backup'!AJ93,"NA"),"NA")</f>
        <v>NA</v>
      </c>
      <c r="AK170" s="390" t="str">
        <f ca="1">IF(Assump!$AM$8=3,IF('Mgmt Backup'!AK93&gt;0,'Mgmt Backup'!AK93,"NA"),"NA")</f>
        <v>NA</v>
      </c>
      <c r="AL170" s="390" t="str">
        <f ca="1">IF(Assump!$AM$8=3,IF('Mgmt Backup'!AL93&gt;0,'Mgmt Backup'!AL93,"NA"),"NA")</f>
        <v>NA</v>
      </c>
      <c r="AM170" s="390" t="str">
        <f ca="1">IF(Assump!$AM$8=3,IF('Mgmt Backup'!AM93&gt;0,'Mgmt Backup'!AM93,"NA"),"NA")</f>
        <v>NA</v>
      </c>
      <c r="AN170" s="390" t="str">
        <f ca="1">IF(Assump!$AM$8=3,IF('Mgmt Backup'!AN93&gt;0,'Mgmt Backup'!AN93,"NA"),"NA")</f>
        <v>NA</v>
      </c>
      <c r="AO170" s="404"/>
      <c r="AP170" s="367" t="str">
        <f t="shared" ca="1" si="71"/>
        <v>NA</v>
      </c>
      <c r="AQ170" s="404"/>
      <c r="AR170" s="404"/>
      <c r="AS170" s="404"/>
      <c r="AT170" s="127"/>
      <c r="AU170" s="404"/>
      <c r="AV170" s="404"/>
      <c r="AW170" s="404"/>
      <c r="AX170" s="404"/>
      <c r="AY170" s="404"/>
      <c r="AZ170" s="127"/>
    </row>
    <row r="171" spans="1:52" s="170" customFormat="1">
      <c r="A171" s="417" t="s">
        <v>406</v>
      </c>
      <c r="B171" s="179">
        <f>IF(OR(Assump!$A$7="USD",Assump!$A$7="EURO"),'Hist &amp; Proj'!B89/'Hist &amp; Proj'!B$8,'Hist &amp; Proj'!B89)</f>
        <v>0</v>
      </c>
      <c r="C171" s="179">
        <f>IF(OR(Assump!$A$7="USD",Assump!$A$7="EURO"),'Hist &amp; Proj'!C89/'Hist &amp; Proj'!C$8,'Hist &amp; Proj'!C89)</f>
        <v>0</v>
      </c>
      <c r="D171" s="179">
        <f>IF(OR(Assump!$A$7="USD",Assump!$A$7="EURO"),'Hist &amp; Proj'!D89/'Hist &amp; Proj'!D$8,'Hist &amp; Proj'!D89)</f>
        <v>0</v>
      </c>
      <c r="E171" s="179">
        <f>IF(OR(Assump!$A$7="USD",Assump!$A$7="EURO"),'Hist &amp; Proj'!E89/'Hist &amp; Proj'!E$8,'Hist &amp; Proj'!E89)</f>
        <v>0</v>
      </c>
      <c r="F171" s="179">
        <f ca="1">IF(OR(Assump!$A$7="USD",Assump!$A$7="EURO"),'Hist &amp; Proj'!F89/'Hist &amp; Proj'!F$8,'Hist &amp; Proj'!F89)</f>
        <v>0</v>
      </c>
      <c r="G171" s="179">
        <f ca="1">IF(OR(Assump!$A$7="USD",Assump!$A$7="EURO"),'Hist &amp; Proj'!G89/'Hist &amp; Proj'!G$8,'Hist &amp; Proj'!G89)</f>
        <v>0</v>
      </c>
      <c r="H171" s="179">
        <f ca="1">IF(OR(Assump!$A$7="USD",Assump!$A$7="EURO"),'Hist &amp; Proj'!H89/'Hist &amp; Proj'!H$8,'Hist &amp; Proj'!H89)</f>
        <v>0</v>
      </c>
      <c r="I171" s="179">
        <f ca="1">IF(OR(Assump!$A$7="USD",Assump!$A$7="EURO"),'Hist &amp; Proj'!I89/'Hist &amp; Proj'!I$8,'Hist &amp; Proj'!I89)</f>
        <v>0</v>
      </c>
      <c r="J171" s="179">
        <f ca="1">IF(OR(Assump!$A$7="USD",Assump!$A$7="EURO"),'Hist &amp; Proj'!J89/'Hist &amp; Proj'!J$8,'Hist &amp; Proj'!J89)</f>
        <v>0</v>
      </c>
      <c r="K171" s="179">
        <f ca="1">IF(OR(Assump!$A$7="USD",Assump!$A$7="EURO"),'Hist &amp; Proj'!K89/'Hist &amp; Proj'!K$8,'Hist &amp; Proj'!K89)</f>
        <v>0</v>
      </c>
      <c r="L171" s="179">
        <f ca="1">IF(OR(Assump!$A$7="USD",Assump!$A$7="EURO"),'Hist &amp; Proj'!L89/'Hist &amp; Proj'!L$8,'Hist &amp; Proj'!L89)</f>
        <v>0</v>
      </c>
      <c r="M171" s="179">
        <f ca="1">IF(OR(Assump!$A$7="USD",Assump!$A$7="EURO"),'Hist &amp; Proj'!M89/'Hist &amp; Proj'!M$8,'Hist &amp; Proj'!M89)</f>
        <v>0</v>
      </c>
      <c r="N171" s="179">
        <f ca="1">IF(OR(Assump!$A$7="USD",Assump!$A$7="EURO"),'Hist &amp; Proj'!N89/'Hist &amp; Proj'!N$8,'Hist &amp; Proj'!N89)</f>
        <v>0</v>
      </c>
      <c r="O171" s="179">
        <f ca="1">IF(OR(Assump!$A$7="USD",Assump!$A$7="EURO"),'Hist &amp; Proj'!O89/'Hist &amp; Proj'!O$8,'Hist &amp; Proj'!O89)</f>
        <v>0</v>
      </c>
      <c r="P171" s="179">
        <f ca="1">IF(OR(Assump!$A$7="USD",Assump!$A$7="EURO"),'Hist &amp; Proj'!P89/'Hist &amp; Proj'!P$8,'Hist &amp; Proj'!P89)</f>
        <v>0</v>
      </c>
      <c r="Q171" s="179">
        <f ca="1">IF(OR(Assump!$A$7="USD",Assump!$A$7="EURO"),'Hist &amp; Proj'!Q89/'Hist &amp; Proj'!Q$8,'Hist &amp; Proj'!Q89)</f>
        <v>0</v>
      </c>
      <c r="R171" s="179">
        <f ca="1">IF(OR(Assump!$A$7="USD",Assump!$A$7="EURO"),'Hist &amp; Proj'!R89/'Hist &amp; Proj'!R$8,'Hist &amp; Proj'!R89)</f>
        <v>0</v>
      </c>
      <c r="S171" s="179">
        <f ca="1">IF(OR(Assump!$A$7="USD",Assump!$A$7="EURO"),'Hist &amp; Proj'!S89/'Hist &amp; Proj'!S$8,'Hist &amp; Proj'!S89)</f>
        <v>0</v>
      </c>
      <c r="T171" s="179">
        <f ca="1">IF(OR(Assump!$A$7="USD",Assump!$A$7="EURO"),'Hist &amp; Proj'!T89/'Hist &amp; Proj'!T$8,'Hist &amp; Proj'!T89)</f>
        <v>0</v>
      </c>
      <c r="U171" s="179">
        <f ca="1">IF(OR(Assump!$A$7="USD",Assump!$A$7="EURO"),'Hist &amp; Proj'!U89/'Hist &amp; Proj'!U$8,'Hist &amp; Proj'!U89)</f>
        <v>0</v>
      </c>
      <c r="V171" s="179">
        <f ca="1">IF(OR(Assump!$A$7="USD",Assump!$A$7="EURO"),'Hist &amp; Proj'!V89/'Hist &amp; Proj'!V$8,'Hist &amp; Proj'!V89)</f>
        <v>0</v>
      </c>
      <c r="W171" s="179">
        <f ca="1">IF(OR(Assump!$A$7="USD",Assump!$A$7="EURO"),'Hist &amp; Proj'!W89/'Hist &amp; Proj'!W$8,'Hist &amp; Proj'!W89)</f>
        <v>0</v>
      </c>
      <c r="X171" s="179">
        <f ca="1">IF(OR(Assump!$A$7="USD",Assump!$A$7="EURO"),'Hist &amp; Proj'!X89/'Hist &amp; Proj'!X$8,'Hist &amp; Proj'!X89)</f>
        <v>0</v>
      </c>
      <c r="Y171" s="179">
        <f ca="1">IF(OR(Assump!$A$7="USD",Assump!$A$7="EURO"),'Hist &amp; Proj'!Y89/'Hist &amp; Proj'!Y$8,'Hist &amp; Proj'!Y89)</f>
        <v>0</v>
      </c>
      <c r="Z171" s="179">
        <f ca="1">IF(OR(Assump!$A$7="USD",Assump!$A$7="EURO"),'Hist &amp; Proj'!Z89/'Hist &amp; Proj'!Z$8,'Hist &amp; Proj'!Z89)</f>
        <v>0</v>
      </c>
      <c r="AA171" s="179">
        <f ca="1">IF(OR(Assump!$A$7="USD",Assump!$A$7="EURO"),'Hist &amp; Proj'!AA89/'Hist &amp; Proj'!AA$8,'Hist &amp; Proj'!AA89)</f>
        <v>0</v>
      </c>
      <c r="AB171" s="179">
        <f ca="1">IF(OR(Assump!$A$7="USD",Assump!$A$7="EURO"),'Hist &amp; Proj'!AB89/'Hist &amp; Proj'!AB$8,'Hist &amp; Proj'!AB89)</f>
        <v>0</v>
      </c>
      <c r="AC171" s="179">
        <f ca="1">IF(OR(Assump!$A$7="USD",Assump!$A$7="EURO"),'Hist &amp; Proj'!AC89/'Hist &amp; Proj'!AC$8,'Hist &amp; Proj'!AC89)</f>
        <v>0</v>
      </c>
      <c r="AD171" s="179">
        <f ca="1">IF(OR(Assump!$A$7="USD",Assump!$A$7="EURO"),'Hist &amp; Proj'!AD89/'Hist &amp; Proj'!AD$8,'Hist &amp; Proj'!AD89)</f>
        <v>0</v>
      </c>
      <c r="AE171" s="179" t="e">
        <f ca="1">IF(OR(Assump!$A$7="USD",Assump!$A$7="EURO"),'Hist &amp; Proj'!AE89/'Hist &amp; Proj'!AE$8,'Hist &amp; Proj'!AE89)</f>
        <v>#N/A</v>
      </c>
      <c r="AF171" s="179" t="e">
        <f ca="1">IF(OR(Assump!$A$7="USD",Assump!$A$7="EURO"),'Hist &amp; Proj'!AF89/'Hist &amp; Proj'!AE$8,'Hist &amp; Proj'!AF89)</f>
        <v>#N/A</v>
      </c>
      <c r="AG171" s="404"/>
      <c r="AH171" s="367" t="str">
        <f t="shared" ca="1" si="70"/>
        <v>NA</v>
      </c>
      <c r="AI171" s="416"/>
      <c r="AJ171" s="390" t="str">
        <f ca="1">IF(Assump!$AM$8=3,IF('Mgmt Backup'!AJ94&gt;0,'Mgmt Backup'!AJ94,"NA"),"NA")</f>
        <v>NA</v>
      </c>
      <c r="AK171" s="390" t="str">
        <f ca="1">IF(Assump!$AM$8=3,IF('Mgmt Backup'!AK94&gt;0,'Mgmt Backup'!AK94,"NA"),"NA")</f>
        <v>NA</v>
      </c>
      <c r="AL171" s="390" t="str">
        <f ca="1">IF(Assump!$AM$8=3,IF('Mgmt Backup'!AL94&gt;0,'Mgmt Backup'!AL94,"NA"),"NA")</f>
        <v>NA</v>
      </c>
      <c r="AM171" s="390" t="str">
        <f ca="1">IF(Assump!$AM$8=3,IF('Mgmt Backup'!AM94&gt;0,'Mgmt Backup'!AM94,"NA"),"NA")</f>
        <v>NA</v>
      </c>
      <c r="AN171" s="390" t="str">
        <f ca="1">IF(Assump!$AM$8=3,IF('Mgmt Backup'!AN94&gt;0,'Mgmt Backup'!AN94,"NA"),"NA")</f>
        <v>NA</v>
      </c>
      <c r="AO171" s="404"/>
      <c r="AP171" s="367" t="str">
        <f t="shared" ca="1" si="71"/>
        <v>NA</v>
      </c>
      <c r="AQ171" s="404"/>
      <c r="AR171" s="404"/>
      <c r="AS171" s="404"/>
      <c r="AT171" s="127"/>
      <c r="AU171" s="404"/>
      <c r="AV171" s="404"/>
      <c r="AW171" s="404"/>
      <c r="AX171" s="404"/>
      <c r="AY171" s="404"/>
      <c r="AZ171" s="127"/>
    </row>
    <row r="172" spans="1:52" s="170" customFormat="1">
      <c r="A172" s="417" t="s">
        <v>407</v>
      </c>
      <c r="B172" s="179">
        <f>IF(OR(Assump!$A$7="USD",Assump!$A$7="EURO"),'Hist &amp; Proj'!B90/'Hist &amp; Proj'!B$8,'Hist &amp; Proj'!B90)</f>
        <v>0</v>
      </c>
      <c r="C172" s="179">
        <f>IF(OR(Assump!$A$7="USD",Assump!$A$7="EURO"),'Hist &amp; Proj'!C90/'Hist &amp; Proj'!C$8,'Hist &amp; Proj'!C90)</f>
        <v>0</v>
      </c>
      <c r="D172" s="179">
        <f>IF(OR(Assump!$A$7="USD",Assump!$A$7="EURO"),'Hist &amp; Proj'!D90/'Hist &amp; Proj'!D$8,'Hist &amp; Proj'!D90)</f>
        <v>0</v>
      </c>
      <c r="E172" s="179">
        <f>IF(OR(Assump!$A$7="USD",Assump!$A$7="EURO"),'Hist &amp; Proj'!E90/'Hist &amp; Proj'!E$8,'Hist &amp; Proj'!E90)</f>
        <v>0</v>
      </c>
      <c r="F172" s="179">
        <f ca="1">IF(OR(Assump!$A$7="USD",Assump!$A$7="EURO"),'Hist &amp; Proj'!F90/'Hist &amp; Proj'!F$8,'Hist &amp; Proj'!F90)</f>
        <v>0</v>
      </c>
      <c r="G172" s="179">
        <f ca="1">IF(OR(Assump!$A$7="USD",Assump!$A$7="EURO"),'Hist &amp; Proj'!G90/'Hist &amp; Proj'!G$8,'Hist &amp; Proj'!G90)</f>
        <v>0</v>
      </c>
      <c r="H172" s="179">
        <f ca="1">IF(OR(Assump!$A$7="USD",Assump!$A$7="EURO"),'Hist &amp; Proj'!H90/'Hist &amp; Proj'!H$8,'Hist &amp; Proj'!H90)</f>
        <v>0</v>
      </c>
      <c r="I172" s="179">
        <f ca="1">IF(OR(Assump!$A$7="USD",Assump!$A$7="EURO"),'Hist &amp; Proj'!I90/'Hist &amp; Proj'!I$8,'Hist &amp; Proj'!I90)</f>
        <v>0</v>
      </c>
      <c r="J172" s="179">
        <f ca="1">IF(OR(Assump!$A$7="USD",Assump!$A$7="EURO"),'Hist &amp; Proj'!J90/'Hist &amp; Proj'!J$8,'Hist &amp; Proj'!J90)</f>
        <v>0</v>
      </c>
      <c r="K172" s="179">
        <f ca="1">IF(OR(Assump!$A$7="USD",Assump!$A$7="EURO"),'Hist &amp; Proj'!K90/'Hist &amp; Proj'!K$8,'Hist &amp; Proj'!K90)</f>
        <v>0</v>
      </c>
      <c r="L172" s="179">
        <f ca="1">IF(OR(Assump!$A$7="USD",Assump!$A$7="EURO"),'Hist &amp; Proj'!L90/'Hist &amp; Proj'!L$8,'Hist &amp; Proj'!L90)</f>
        <v>0</v>
      </c>
      <c r="M172" s="179">
        <f ca="1">IF(OR(Assump!$A$7="USD",Assump!$A$7="EURO"),'Hist &amp; Proj'!M90/'Hist &amp; Proj'!M$8,'Hist &amp; Proj'!M90)</f>
        <v>0</v>
      </c>
      <c r="N172" s="179">
        <f ca="1">IF(OR(Assump!$A$7="USD",Assump!$A$7="EURO"),'Hist &amp; Proj'!N90/'Hist &amp; Proj'!N$8,'Hist &amp; Proj'!N90)</f>
        <v>0</v>
      </c>
      <c r="O172" s="179">
        <f ca="1">IF(OR(Assump!$A$7="USD",Assump!$A$7="EURO"),'Hist &amp; Proj'!O90/'Hist &amp; Proj'!O$8,'Hist &amp; Proj'!O90)</f>
        <v>0</v>
      </c>
      <c r="P172" s="179">
        <f ca="1">IF(OR(Assump!$A$7="USD",Assump!$A$7="EURO"),'Hist &amp; Proj'!P90/'Hist &amp; Proj'!P$8,'Hist &amp; Proj'!P90)</f>
        <v>0</v>
      </c>
      <c r="Q172" s="179">
        <f ca="1">IF(OR(Assump!$A$7="USD",Assump!$A$7="EURO"),'Hist &amp; Proj'!Q90/'Hist &amp; Proj'!Q$8,'Hist &amp; Proj'!Q90)</f>
        <v>0</v>
      </c>
      <c r="R172" s="179">
        <f ca="1">IF(OR(Assump!$A$7="USD",Assump!$A$7="EURO"),'Hist &amp; Proj'!R90/'Hist &amp; Proj'!R$8,'Hist &amp; Proj'!R90)</f>
        <v>0</v>
      </c>
      <c r="S172" s="179">
        <f ca="1">IF(OR(Assump!$A$7="USD",Assump!$A$7="EURO"),'Hist &amp; Proj'!S90/'Hist &amp; Proj'!S$8,'Hist &amp; Proj'!S90)</f>
        <v>0</v>
      </c>
      <c r="T172" s="179">
        <f ca="1">IF(OR(Assump!$A$7="USD",Assump!$A$7="EURO"),'Hist &amp; Proj'!T90/'Hist &amp; Proj'!T$8,'Hist &amp; Proj'!T90)</f>
        <v>0</v>
      </c>
      <c r="U172" s="179">
        <f ca="1">IF(OR(Assump!$A$7="USD",Assump!$A$7="EURO"),'Hist &amp; Proj'!U90/'Hist &amp; Proj'!U$8,'Hist &amp; Proj'!U90)</f>
        <v>0</v>
      </c>
      <c r="V172" s="179">
        <f ca="1">IF(OR(Assump!$A$7="USD",Assump!$A$7="EURO"),'Hist &amp; Proj'!V90/'Hist &amp; Proj'!V$8,'Hist &amp; Proj'!V90)</f>
        <v>0</v>
      </c>
      <c r="W172" s="179">
        <f ca="1">IF(OR(Assump!$A$7="USD",Assump!$A$7="EURO"),'Hist &amp; Proj'!W90/'Hist &amp; Proj'!W$8,'Hist &amp; Proj'!W90)</f>
        <v>0</v>
      </c>
      <c r="X172" s="179">
        <f ca="1">IF(OR(Assump!$A$7="USD",Assump!$A$7="EURO"),'Hist &amp; Proj'!X90/'Hist &amp; Proj'!X$8,'Hist &amp; Proj'!X90)</f>
        <v>0</v>
      </c>
      <c r="Y172" s="179">
        <f ca="1">IF(OR(Assump!$A$7="USD",Assump!$A$7="EURO"),'Hist &amp; Proj'!Y90/'Hist &amp; Proj'!Y$8,'Hist &amp; Proj'!Y90)</f>
        <v>0</v>
      </c>
      <c r="Z172" s="179">
        <f ca="1">IF(OR(Assump!$A$7="USD",Assump!$A$7="EURO"),'Hist &amp; Proj'!Z90/'Hist &amp; Proj'!Z$8,'Hist &amp; Proj'!Z90)</f>
        <v>0</v>
      </c>
      <c r="AA172" s="179">
        <f ca="1">IF(OR(Assump!$A$7="USD",Assump!$A$7="EURO"),'Hist &amp; Proj'!AA90/'Hist &amp; Proj'!AA$8,'Hist &amp; Proj'!AA90)</f>
        <v>0</v>
      </c>
      <c r="AB172" s="179">
        <f ca="1">IF(OR(Assump!$A$7="USD",Assump!$A$7="EURO"),'Hist &amp; Proj'!AB90/'Hist &amp; Proj'!AB$8,'Hist &amp; Proj'!AB90)</f>
        <v>0</v>
      </c>
      <c r="AC172" s="179">
        <f ca="1">IF(OR(Assump!$A$7="USD",Assump!$A$7="EURO"),'Hist &amp; Proj'!AC90/'Hist &amp; Proj'!AC$8,'Hist &amp; Proj'!AC90)</f>
        <v>0</v>
      </c>
      <c r="AD172" s="179">
        <f ca="1">IF(OR(Assump!$A$7="USD",Assump!$A$7="EURO"),'Hist &amp; Proj'!AD90/'Hist &amp; Proj'!AD$8,'Hist &amp; Proj'!AD90)</f>
        <v>0</v>
      </c>
      <c r="AE172" s="179" t="e">
        <f ca="1">IF(OR(Assump!$A$7="USD",Assump!$A$7="EURO"),'Hist &amp; Proj'!AE90/'Hist &amp; Proj'!AE$8,'Hist &amp; Proj'!AE90)</f>
        <v>#N/A</v>
      </c>
      <c r="AF172" s="179" t="e">
        <f ca="1">IF(OR(Assump!$A$7="USD",Assump!$A$7="EURO"),'Hist &amp; Proj'!AF90/'Hist &amp; Proj'!AE$8,'Hist &amp; Proj'!AF90)</f>
        <v>#N/A</v>
      </c>
      <c r="AG172" s="404"/>
      <c r="AH172" s="367" t="str">
        <f t="shared" ca="1" si="70"/>
        <v>NA</v>
      </c>
      <c r="AI172" s="416"/>
      <c r="AJ172" s="390" t="str">
        <f ca="1">IF(Assump!$AM$8=3,IF('Mgmt Backup'!AJ95&gt;0,'Mgmt Backup'!AJ95,"NA"),"NA")</f>
        <v>NA</v>
      </c>
      <c r="AK172" s="390" t="str">
        <f ca="1">IF(Assump!$AM$8=3,IF('Mgmt Backup'!AK95&gt;0,'Mgmt Backup'!AK95,"NA"),"NA")</f>
        <v>NA</v>
      </c>
      <c r="AL172" s="390" t="str">
        <f ca="1">IF(Assump!$AM$8=3,IF('Mgmt Backup'!AL95&gt;0,'Mgmt Backup'!AL95,"NA"),"NA")</f>
        <v>NA</v>
      </c>
      <c r="AM172" s="390" t="str">
        <f ca="1">IF(Assump!$AM$8=3,IF('Mgmt Backup'!AM95&gt;0,'Mgmt Backup'!AM95,"NA"),"NA")</f>
        <v>NA</v>
      </c>
      <c r="AN172" s="390" t="str">
        <f ca="1">IF(Assump!$AM$8=3,IF('Mgmt Backup'!AN95&gt;0,'Mgmt Backup'!AN95,"NA"),"NA")</f>
        <v>NA</v>
      </c>
      <c r="AO172" s="404"/>
      <c r="AP172" s="367" t="str">
        <f t="shared" ca="1" si="71"/>
        <v>NA</v>
      </c>
      <c r="AQ172" s="404"/>
      <c r="AR172" s="404"/>
      <c r="AS172" s="404"/>
      <c r="AT172" s="127"/>
      <c r="AU172" s="404"/>
      <c r="AV172" s="404"/>
      <c r="AW172" s="404"/>
      <c r="AX172" s="404"/>
      <c r="AY172" s="404"/>
      <c r="AZ172" s="127"/>
    </row>
    <row r="173" spans="1:52" s="170" customFormat="1">
      <c r="A173" s="417" t="s">
        <v>52</v>
      </c>
      <c r="B173" s="179">
        <f>IF(OR(Assump!$A$7="USD",Assump!$A$7="EURO"),'Hist &amp; Proj'!B91/'Hist &amp; Proj'!B$8,'Hist &amp; Proj'!B91)</f>
        <v>0</v>
      </c>
      <c r="C173" s="179">
        <f>IF(OR(Assump!$A$7="USD",Assump!$A$7="EURO"),'Hist &amp; Proj'!C91/'Hist &amp; Proj'!C$8,'Hist &amp; Proj'!C91)</f>
        <v>0</v>
      </c>
      <c r="D173" s="179">
        <f>IF(OR(Assump!$A$7="USD",Assump!$A$7="EURO"),'Hist &amp; Proj'!D91/'Hist &amp; Proj'!D$8,'Hist &amp; Proj'!D91)</f>
        <v>0</v>
      </c>
      <c r="E173" s="179">
        <f>IF(OR(Assump!$A$7="USD",Assump!$A$7="EURO"),'Hist &amp; Proj'!E91/'Hist &amp; Proj'!E$8,'Hist &amp; Proj'!E91)</f>
        <v>0</v>
      </c>
      <c r="F173" s="179">
        <f ca="1">IF(OR(Assump!$A$7="USD",Assump!$A$7="EURO"),'Hist &amp; Proj'!F91/'Hist &amp; Proj'!F$8,'Hist &amp; Proj'!F91)</f>
        <v>0</v>
      </c>
      <c r="G173" s="179">
        <f ca="1">IF(OR(Assump!$A$7="USD",Assump!$A$7="EURO"),'Hist &amp; Proj'!G91/'Hist &amp; Proj'!G$8,'Hist &amp; Proj'!G91)</f>
        <v>0</v>
      </c>
      <c r="H173" s="179">
        <f ca="1">IF(OR(Assump!$A$7="USD",Assump!$A$7="EURO"),'Hist &amp; Proj'!H91/'Hist &amp; Proj'!H$8,'Hist &amp; Proj'!H91)</f>
        <v>0</v>
      </c>
      <c r="I173" s="179">
        <f ca="1">IF(OR(Assump!$A$7="USD",Assump!$A$7="EURO"),'Hist &amp; Proj'!I91/'Hist &amp; Proj'!I$8,'Hist &amp; Proj'!I91)</f>
        <v>0</v>
      </c>
      <c r="J173" s="179">
        <f ca="1">IF(OR(Assump!$A$7="USD",Assump!$A$7="EURO"),'Hist &amp; Proj'!J91/'Hist &amp; Proj'!J$8,'Hist &amp; Proj'!J91)</f>
        <v>0</v>
      </c>
      <c r="K173" s="179">
        <f ca="1">IF(OR(Assump!$A$7="USD",Assump!$A$7="EURO"),'Hist &amp; Proj'!K91/'Hist &amp; Proj'!K$8,'Hist &amp; Proj'!K91)</f>
        <v>0</v>
      </c>
      <c r="L173" s="179">
        <f ca="1">IF(OR(Assump!$A$7="USD",Assump!$A$7="EURO"),'Hist &amp; Proj'!L91/'Hist &amp; Proj'!L$8,'Hist &amp; Proj'!L91)</f>
        <v>0</v>
      </c>
      <c r="M173" s="179">
        <f ca="1">IF(OR(Assump!$A$7="USD",Assump!$A$7="EURO"),'Hist &amp; Proj'!M91/'Hist &amp; Proj'!M$8,'Hist &amp; Proj'!M91)</f>
        <v>0</v>
      </c>
      <c r="N173" s="179">
        <f ca="1">IF(OR(Assump!$A$7="USD",Assump!$A$7="EURO"),'Hist &amp; Proj'!N91/'Hist &amp; Proj'!N$8,'Hist &amp; Proj'!N91)</f>
        <v>0</v>
      </c>
      <c r="O173" s="179">
        <f ca="1">IF(OR(Assump!$A$7="USD",Assump!$A$7="EURO"),'Hist &amp; Proj'!O91/'Hist &amp; Proj'!O$8,'Hist &amp; Proj'!O91)</f>
        <v>0</v>
      </c>
      <c r="P173" s="179">
        <f ca="1">IF(OR(Assump!$A$7="USD",Assump!$A$7="EURO"),'Hist &amp; Proj'!P91/'Hist &amp; Proj'!P$8,'Hist &amp; Proj'!P91)</f>
        <v>0</v>
      </c>
      <c r="Q173" s="179">
        <f ca="1">IF(OR(Assump!$A$7="USD",Assump!$A$7="EURO"),'Hist &amp; Proj'!Q91/'Hist &amp; Proj'!Q$8,'Hist &amp; Proj'!Q91)</f>
        <v>0</v>
      </c>
      <c r="R173" s="179">
        <f ca="1">IF(OR(Assump!$A$7="USD",Assump!$A$7="EURO"),'Hist &amp; Proj'!R91/'Hist &amp; Proj'!R$8,'Hist &amp; Proj'!R91)</f>
        <v>0</v>
      </c>
      <c r="S173" s="179">
        <f ca="1">IF(OR(Assump!$A$7="USD",Assump!$A$7="EURO"),'Hist &amp; Proj'!S91/'Hist &amp; Proj'!S$8,'Hist &amp; Proj'!S91)</f>
        <v>0</v>
      </c>
      <c r="T173" s="179">
        <f ca="1">IF(OR(Assump!$A$7="USD",Assump!$A$7="EURO"),'Hist &amp; Proj'!T91/'Hist &amp; Proj'!T$8,'Hist &amp; Proj'!T91)</f>
        <v>0</v>
      </c>
      <c r="U173" s="179">
        <f ca="1">IF(OR(Assump!$A$7="USD",Assump!$A$7="EURO"),'Hist &amp; Proj'!U91/'Hist &amp; Proj'!U$8,'Hist &amp; Proj'!U91)</f>
        <v>0</v>
      </c>
      <c r="V173" s="179">
        <f ca="1">IF(OR(Assump!$A$7="USD",Assump!$A$7="EURO"),'Hist &amp; Proj'!V91/'Hist &amp; Proj'!V$8,'Hist &amp; Proj'!V91)</f>
        <v>0</v>
      </c>
      <c r="W173" s="179">
        <f ca="1">IF(OR(Assump!$A$7="USD",Assump!$A$7="EURO"),'Hist &amp; Proj'!W91/'Hist &amp; Proj'!W$8,'Hist &amp; Proj'!W91)</f>
        <v>0</v>
      </c>
      <c r="X173" s="179">
        <f ca="1">IF(OR(Assump!$A$7="USD",Assump!$A$7="EURO"),'Hist &amp; Proj'!X91/'Hist &amp; Proj'!X$8,'Hist &amp; Proj'!X91)</f>
        <v>0</v>
      </c>
      <c r="Y173" s="179">
        <f ca="1">IF(OR(Assump!$A$7="USD",Assump!$A$7="EURO"),'Hist &amp; Proj'!Y91/'Hist &amp; Proj'!Y$8,'Hist &amp; Proj'!Y91)</f>
        <v>0</v>
      </c>
      <c r="Z173" s="179">
        <f ca="1">IF(OR(Assump!$A$7="USD",Assump!$A$7="EURO"),'Hist &amp; Proj'!Z91/'Hist &amp; Proj'!Z$8,'Hist &amp; Proj'!Z91)</f>
        <v>0</v>
      </c>
      <c r="AA173" s="179">
        <f ca="1">IF(OR(Assump!$A$7="USD",Assump!$A$7="EURO"),'Hist &amp; Proj'!AA91/'Hist &amp; Proj'!AA$8,'Hist &amp; Proj'!AA91)</f>
        <v>0</v>
      </c>
      <c r="AB173" s="179">
        <f ca="1">IF(OR(Assump!$A$7="USD",Assump!$A$7="EURO"),'Hist &amp; Proj'!AB91/'Hist &amp; Proj'!AB$8,'Hist &amp; Proj'!AB91)</f>
        <v>0</v>
      </c>
      <c r="AC173" s="179">
        <f ca="1">IF(OR(Assump!$A$7="USD",Assump!$A$7="EURO"),'Hist &amp; Proj'!AC91/'Hist &amp; Proj'!AC$8,'Hist &amp; Proj'!AC91)</f>
        <v>0</v>
      </c>
      <c r="AD173" s="179">
        <f ca="1">IF(OR(Assump!$A$7="USD",Assump!$A$7="EURO"),'Hist &amp; Proj'!AD91/'Hist &amp; Proj'!AD$8,'Hist &amp; Proj'!AD91)</f>
        <v>0</v>
      </c>
      <c r="AE173" s="179" t="e">
        <f ca="1">IF(OR(Assump!$A$7="USD",Assump!$A$7="EURO"),'Hist &amp; Proj'!AE91/'Hist &amp; Proj'!AE$8,'Hist &amp; Proj'!AE91)</f>
        <v>#N/A</v>
      </c>
      <c r="AF173" s="179" t="e">
        <f ca="1">IF(OR(Assump!$A$7="USD",Assump!$A$7="EURO"),'Hist &amp; Proj'!AF91/'Hist &amp; Proj'!AE$8,'Hist &amp; Proj'!AF91)</f>
        <v>#N/A</v>
      </c>
      <c r="AG173" s="404"/>
      <c r="AH173" s="367" t="str">
        <f t="shared" ca="1" si="70"/>
        <v>NA</v>
      </c>
      <c r="AI173" s="416"/>
      <c r="AJ173" s="390" t="str">
        <f ca="1">IF(Assump!$AM$8=3,IF('Mgmt Backup'!AJ96&gt;0,'Mgmt Backup'!AJ96,"NA"),"NA")</f>
        <v>NA</v>
      </c>
      <c r="AK173" s="390" t="str">
        <f ca="1">IF(Assump!$AM$8=3,IF('Mgmt Backup'!AK96&gt;0,'Mgmt Backup'!AK96,"NA"),"NA")</f>
        <v>NA</v>
      </c>
      <c r="AL173" s="390" t="str">
        <f ca="1">IF(Assump!$AM$8=3,IF('Mgmt Backup'!AL96&gt;0,'Mgmt Backup'!AL96,"NA"),"NA")</f>
        <v>NA</v>
      </c>
      <c r="AM173" s="390" t="str">
        <f ca="1">IF(Assump!$AM$8=3,IF('Mgmt Backup'!AM96&gt;0,'Mgmt Backup'!AM96,"NA"),"NA")</f>
        <v>NA</v>
      </c>
      <c r="AN173" s="390" t="str">
        <f ca="1">IF(Assump!$AM$8=3,IF('Mgmt Backup'!AN96&gt;0,'Mgmt Backup'!AN96,"NA"),"NA")</f>
        <v>NA</v>
      </c>
      <c r="AO173" s="404"/>
      <c r="AP173" s="367" t="str">
        <f t="shared" ca="1" si="71"/>
        <v>NA</v>
      </c>
      <c r="AQ173" s="404"/>
      <c r="AR173" s="404"/>
      <c r="AS173" s="404"/>
      <c r="AT173" s="127"/>
      <c r="AU173" s="404"/>
      <c r="AV173" s="404"/>
      <c r="AW173" s="404"/>
      <c r="AX173" s="404"/>
      <c r="AY173" s="404"/>
      <c r="AZ173" s="127"/>
    </row>
    <row r="174" spans="1:52" s="170" customFormat="1">
      <c r="A174" s="348" t="s">
        <v>53</v>
      </c>
      <c r="B174" s="179">
        <f>IF(OR(Assump!$A$7="USD",Assump!$A$7="EURO"),'Hist &amp; Proj'!B92/'Hist &amp; Proj'!B$8,'Hist &amp; Proj'!B92)</f>
        <v>0</v>
      </c>
      <c r="C174" s="179">
        <f>IF(OR(Assump!$A$7="USD",Assump!$A$7="EURO"),'Hist &amp; Proj'!C92/'Hist &amp; Proj'!C$8,'Hist &amp; Proj'!C92)</f>
        <v>0</v>
      </c>
      <c r="D174" s="179">
        <f>IF(OR(Assump!$A$7="USD",Assump!$A$7="EURO"),'Hist &amp; Proj'!D92/'Hist &amp; Proj'!D$8,'Hist &amp; Proj'!D92)</f>
        <v>0</v>
      </c>
      <c r="E174" s="179">
        <f>IF(OR(Assump!$A$7="USD",Assump!$A$7="EURO"),'Hist &amp; Proj'!E92/'Hist &amp; Proj'!E$8,'Hist &amp; Proj'!E92)</f>
        <v>0</v>
      </c>
      <c r="F174" s="179">
        <f ca="1">IF(OR(Assump!$A$7="USD",Assump!$A$7="EURO"),'Hist &amp; Proj'!F92/'Hist &amp; Proj'!F$8,'Hist &amp; Proj'!F92)</f>
        <v>0</v>
      </c>
      <c r="G174" s="179">
        <f ca="1">IF(OR(Assump!$A$7="USD",Assump!$A$7="EURO"),'Hist &amp; Proj'!G92/'Hist &amp; Proj'!G$8,'Hist &amp; Proj'!G92)</f>
        <v>0</v>
      </c>
      <c r="H174" s="179">
        <f ca="1">IF(OR(Assump!$A$7="USD",Assump!$A$7="EURO"),'Hist &amp; Proj'!H92/'Hist &amp; Proj'!H$8,'Hist &amp; Proj'!H92)</f>
        <v>0</v>
      </c>
      <c r="I174" s="179">
        <f ca="1">IF(OR(Assump!$A$7="USD",Assump!$A$7="EURO"),'Hist &amp; Proj'!I92/'Hist &amp; Proj'!I$8,'Hist &amp; Proj'!I92)</f>
        <v>0</v>
      </c>
      <c r="J174" s="179">
        <f ca="1">IF(OR(Assump!$A$7="USD",Assump!$A$7="EURO"),'Hist &amp; Proj'!J92/'Hist &amp; Proj'!J$8,'Hist &amp; Proj'!J92)</f>
        <v>0</v>
      </c>
      <c r="K174" s="179">
        <f ca="1">IF(OR(Assump!$A$7="USD",Assump!$A$7="EURO"),'Hist &amp; Proj'!K92/'Hist &amp; Proj'!K$8,'Hist &amp; Proj'!K92)</f>
        <v>0</v>
      </c>
      <c r="L174" s="179">
        <f ca="1">IF(OR(Assump!$A$7="USD",Assump!$A$7="EURO"),'Hist &amp; Proj'!L92/'Hist &amp; Proj'!L$8,'Hist &amp; Proj'!L92)</f>
        <v>0</v>
      </c>
      <c r="M174" s="179">
        <f ca="1">IF(OR(Assump!$A$7="USD",Assump!$A$7="EURO"),'Hist &amp; Proj'!M92/'Hist &amp; Proj'!M$8,'Hist &amp; Proj'!M92)</f>
        <v>0</v>
      </c>
      <c r="N174" s="179">
        <f ca="1">IF(OR(Assump!$A$7="USD",Assump!$A$7="EURO"),'Hist &amp; Proj'!N92/'Hist &amp; Proj'!N$8,'Hist &amp; Proj'!N92)</f>
        <v>0</v>
      </c>
      <c r="O174" s="179">
        <f ca="1">IF(OR(Assump!$A$7="USD",Assump!$A$7="EURO"),'Hist &amp; Proj'!O92/'Hist &amp; Proj'!O$8,'Hist &amp; Proj'!O92)</f>
        <v>0</v>
      </c>
      <c r="P174" s="179">
        <f ca="1">IF(OR(Assump!$A$7="USD",Assump!$A$7="EURO"),'Hist &amp; Proj'!P92/'Hist &amp; Proj'!P$8,'Hist &amp; Proj'!P92)</f>
        <v>0</v>
      </c>
      <c r="Q174" s="179">
        <f ca="1">IF(OR(Assump!$A$7="USD",Assump!$A$7="EURO"),'Hist &amp; Proj'!Q92/'Hist &amp; Proj'!Q$8,'Hist &amp; Proj'!Q92)</f>
        <v>0</v>
      </c>
      <c r="R174" s="179">
        <f ca="1">IF(OR(Assump!$A$7="USD",Assump!$A$7="EURO"),'Hist &amp; Proj'!R92/'Hist &amp; Proj'!R$8,'Hist &amp; Proj'!R92)</f>
        <v>0</v>
      </c>
      <c r="S174" s="179">
        <f ca="1">IF(OR(Assump!$A$7="USD",Assump!$A$7="EURO"),'Hist &amp; Proj'!S92/'Hist &amp; Proj'!S$8,'Hist &amp; Proj'!S92)</f>
        <v>0</v>
      </c>
      <c r="T174" s="179">
        <f ca="1">IF(OR(Assump!$A$7="USD",Assump!$A$7="EURO"),'Hist &amp; Proj'!T92/'Hist &amp; Proj'!T$8,'Hist &amp; Proj'!T92)</f>
        <v>0</v>
      </c>
      <c r="U174" s="179">
        <f ca="1">IF(OR(Assump!$A$7="USD",Assump!$A$7="EURO"),'Hist &amp; Proj'!U92/'Hist &amp; Proj'!U$8,'Hist &amp; Proj'!U92)</f>
        <v>0</v>
      </c>
      <c r="V174" s="179">
        <f ca="1">IF(OR(Assump!$A$7="USD",Assump!$A$7="EURO"),'Hist &amp; Proj'!V92/'Hist &amp; Proj'!V$8,'Hist &amp; Proj'!V92)</f>
        <v>0</v>
      </c>
      <c r="W174" s="179">
        <f ca="1">IF(OR(Assump!$A$7="USD",Assump!$A$7="EURO"),'Hist &amp; Proj'!W92/'Hist &amp; Proj'!W$8,'Hist &amp; Proj'!W92)</f>
        <v>0</v>
      </c>
      <c r="X174" s="179">
        <f ca="1">IF(OR(Assump!$A$7="USD",Assump!$A$7="EURO"),'Hist &amp; Proj'!X92/'Hist &amp; Proj'!X$8,'Hist &amp; Proj'!X92)</f>
        <v>0</v>
      </c>
      <c r="Y174" s="179">
        <f ca="1">IF(OR(Assump!$A$7="USD",Assump!$A$7="EURO"),'Hist &amp; Proj'!Y92/'Hist &amp; Proj'!Y$8,'Hist &amp; Proj'!Y92)</f>
        <v>0</v>
      </c>
      <c r="Z174" s="179">
        <f ca="1">IF(OR(Assump!$A$7="USD",Assump!$A$7="EURO"),'Hist &amp; Proj'!Z92/'Hist &amp; Proj'!Z$8,'Hist &amp; Proj'!Z92)</f>
        <v>0</v>
      </c>
      <c r="AA174" s="179">
        <f ca="1">IF(OR(Assump!$A$7="USD",Assump!$A$7="EURO"),'Hist &amp; Proj'!AA92/'Hist &amp; Proj'!AA$8,'Hist &amp; Proj'!AA92)</f>
        <v>0</v>
      </c>
      <c r="AB174" s="179">
        <f ca="1">IF(OR(Assump!$A$7="USD",Assump!$A$7="EURO"),'Hist &amp; Proj'!AB92/'Hist &amp; Proj'!AB$8,'Hist &amp; Proj'!AB92)</f>
        <v>0</v>
      </c>
      <c r="AC174" s="179">
        <f ca="1">IF(OR(Assump!$A$7="USD",Assump!$A$7="EURO"),'Hist &amp; Proj'!AC92/'Hist &amp; Proj'!AC$8,'Hist &amp; Proj'!AC92)</f>
        <v>0</v>
      </c>
      <c r="AD174" s="179">
        <f ca="1">IF(OR(Assump!$A$7="USD",Assump!$A$7="EURO"),'Hist &amp; Proj'!AD92/'Hist &amp; Proj'!AD$8,'Hist &amp; Proj'!AD92)</f>
        <v>0</v>
      </c>
      <c r="AE174" s="179" t="e">
        <f ca="1">IF(OR(Assump!$A$7="USD",Assump!$A$7="EURO"),'Hist &amp; Proj'!AE92/'Hist &amp; Proj'!AE$8,'Hist &amp; Proj'!AE92)</f>
        <v>#N/A</v>
      </c>
      <c r="AF174" s="179" t="e">
        <f ca="1">IF(OR(Assump!$A$7="USD",Assump!$A$7="EURO"),'Hist &amp; Proj'!AF92/'Hist &amp; Proj'!AE$8,'Hist &amp; Proj'!AF92)</f>
        <v>#N/A</v>
      </c>
      <c r="AG174" s="404"/>
      <c r="AH174" s="367" t="str">
        <f t="shared" ca="1" si="70"/>
        <v>NA</v>
      </c>
      <c r="AI174" s="416"/>
      <c r="AJ174" s="179" t="e">
        <f ca="1">AJ$169*Assump!AJ$35</f>
        <v>#DIV/0!</v>
      </c>
      <c r="AK174" s="179" t="e">
        <f ca="1">AK$169*Assump!AK$35</f>
        <v>#DIV/0!</v>
      </c>
      <c r="AL174" s="179" t="e">
        <f ca="1">AL$169*Assump!AL$35</f>
        <v>#DIV/0!</v>
      </c>
      <c r="AM174" s="179" t="e">
        <f ca="1">AM$169*Assump!AM$35</f>
        <v>#DIV/0!</v>
      </c>
      <c r="AN174" s="179" t="e">
        <f ca="1">AN$169*Assump!AN$35</f>
        <v>#DIV/0!</v>
      </c>
      <c r="AO174" s="404"/>
      <c r="AP174" s="367" t="str">
        <f t="shared" ca="1" si="71"/>
        <v>NA</v>
      </c>
      <c r="AQ174" s="404"/>
      <c r="AR174" s="404"/>
      <c r="AS174" s="404"/>
      <c r="AT174" s="127"/>
      <c r="AU174" s="404"/>
      <c r="AV174" s="404"/>
      <c r="AW174" s="404"/>
      <c r="AX174" s="404"/>
      <c r="AY174" s="404"/>
      <c r="AZ174" s="127"/>
    </row>
    <row r="175" spans="1:52" s="170" customFormat="1" ht="21.75" customHeight="1">
      <c r="A175" s="348" t="s">
        <v>54</v>
      </c>
      <c r="B175" s="179">
        <f>IF(OR(Assump!$A$7="USD",Assump!$A$7="EURO"),'Hist &amp; Proj'!B93/'Hist &amp; Proj'!B$8,'Hist &amp; Proj'!B93)</f>
        <v>0</v>
      </c>
      <c r="C175" s="179">
        <f>IF(OR(Assump!$A$7="USD",Assump!$A$7="EURO"),'Hist &amp; Proj'!C93/'Hist &amp; Proj'!C$8,'Hist &amp; Proj'!C93)</f>
        <v>0</v>
      </c>
      <c r="D175" s="179">
        <f>IF(OR(Assump!$A$7="USD",Assump!$A$7="EURO"),'Hist &amp; Proj'!D93/'Hist &amp; Proj'!D$8,'Hist &amp; Proj'!D93)</f>
        <v>0</v>
      </c>
      <c r="E175" s="179">
        <f>IF(OR(Assump!$A$7="USD",Assump!$A$7="EURO"),'Hist &amp; Proj'!E93/'Hist &amp; Proj'!E$8,'Hist &amp; Proj'!E93)</f>
        <v>0</v>
      </c>
      <c r="F175" s="179">
        <f ca="1">IF(OR(Assump!$A$7="USD",Assump!$A$7="EURO"),'Hist &amp; Proj'!F93/'Hist &amp; Proj'!F$8,'Hist &amp; Proj'!F93)</f>
        <v>0</v>
      </c>
      <c r="G175" s="179">
        <f ca="1">IF(OR(Assump!$A$7="USD",Assump!$A$7="EURO"),'Hist &amp; Proj'!G93/'Hist &amp; Proj'!G$8,'Hist &amp; Proj'!G93)</f>
        <v>0</v>
      </c>
      <c r="H175" s="179">
        <f ca="1">IF(OR(Assump!$A$7="USD",Assump!$A$7="EURO"),'Hist &amp; Proj'!H93/'Hist &amp; Proj'!H$8,'Hist &amp; Proj'!H93)</f>
        <v>0</v>
      </c>
      <c r="I175" s="179">
        <f ca="1">IF(OR(Assump!$A$7="USD",Assump!$A$7="EURO"),'Hist &amp; Proj'!I93/'Hist &amp; Proj'!I$8,'Hist &amp; Proj'!I93)</f>
        <v>0</v>
      </c>
      <c r="J175" s="179">
        <f ca="1">IF(OR(Assump!$A$7="USD",Assump!$A$7="EURO"),'Hist &amp; Proj'!J93/'Hist &amp; Proj'!J$8,'Hist &amp; Proj'!J93)</f>
        <v>0</v>
      </c>
      <c r="K175" s="179">
        <f ca="1">IF(OR(Assump!$A$7="USD",Assump!$A$7="EURO"),'Hist &amp; Proj'!K93/'Hist &amp; Proj'!K$8,'Hist &amp; Proj'!K93)</f>
        <v>0</v>
      </c>
      <c r="L175" s="179">
        <f ca="1">IF(OR(Assump!$A$7="USD",Assump!$A$7="EURO"),'Hist &amp; Proj'!L93/'Hist &amp; Proj'!L$8,'Hist &amp; Proj'!L93)</f>
        <v>0</v>
      </c>
      <c r="M175" s="179">
        <f ca="1">IF(OR(Assump!$A$7="USD",Assump!$A$7="EURO"),'Hist &amp; Proj'!M93/'Hist &amp; Proj'!M$8,'Hist &amp; Proj'!M93)</f>
        <v>0</v>
      </c>
      <c r="N175" s="179">
        <f ca="1">IF(OR(Assump!$A$7="USD",Assump!$A$7="EURO"),'Hist &amp; Proj'!N93/'Hist &amp; Proj'!N$8,'Hist &amp; Proj'!N93)</f>
        <v>0</v>
      </c>
      <c r="O175" s="179">
        <f ca="1">IF(OR(Assump!$A$7="USD",Assump!$A$7="EURO"),'Hist &amp; Proj'!O93/'Hist &amp; Proj'!O$8,'Hist &amp; Proj'!O93)</f>
        <v>0</v>
      </c>
      <c r="P175" s="179">
        <f ca="1">IF(OR(Assump!$A$7="USD",Assump!$A$7="EURO"),'Hist &amp; Proj'!P93/'Hist &amp; Proj'!P$8,'Hist &amp; Proj'!P93)</f>
        <v>0</v>
      </c>
      <c r="Q175" s="179">
        <f ca="1">IF(OR(Assump!$A$7="USD",Assump!$A$7="EURO"),'Hist &amp; Proj'!Q93/'Hist &amp; Proj'!Q$8,'Hist &amp; Proj'!Q93)</f>
        <v>0</v>
      </c>
      <c r="R175" s="179">
        <f ca="1">IF(OR(Assump!$A$7="USD",Assump!$A$7="EURO"),'Hist &amp; Proj'!R93/'Hist &amp; Proj'!R$8,'Hist &amp; Proj'!R93)</f>
        <v>0</v>
      </c>
      <c r="S175" s="179">
        <f ca="1">IF(OR(Assump!$A$7="USD",Assump!$A$7="EURO"),'Hist &amp; Proj'!S93/'Hist &amp; Proj'!S$8,'Hist &amp; Proj'!S93)</f>
        <v>0</v>
      </c>
      <c r="T175" s="179">
        <f ca="1">IF(OR(Assump!$A$7="USD",Assump!$A$7="EURO"),'Hist &amp; Proj'!T93/'Hist &amp; Proj'!T$8,'Hist &amp; Proj'!T93)</f>
        <v>0</v>
      </c>
      <c r="U175" s="179">
        <f ca="1">IF(OR(Assump!$A$7="USD",Assump!$A$7="EURO"),'Hist &amp; Proj'!U93/'Hist &amp; Proj'!U$8,'Hist &amp; Proj'!U93)</f>
        <v>0</v>
      </c>
      <c r="V175" s="179">
        <f ca="1">IF(OR(Assump!$A$7="USD",Assump!$A$7="EURO"),'Hist &amp; Proj'!V93/'Hist &amp; Proj'!V$8,'Hist &amp; Proj'!V93)</f>
        <v>0</v>
      </c>
      <c r="W175" s="179">
        <f ca="1">IF(OR(Assump!$A$7="USD",Assump!$A$7="EURO"),'Hist &amp; Proj'!W93/'Hist &amp; Proj'!W$8,'Hist &amp; Proj'!W93)</f>
        <v>0</v>
      </c>
      <c r="X175" s="179">
        <f ca="1">IF(OR(Assump!$A$7="USD",Assump!$A$7="EURO"),'Hist &amp; Proj'!X93/'Hist &amp; Proj'!X$8,'Hist &amp; Proj'!X93)</f>
        <v>0</v>
      </c>
      <c r="Y175" s="179">
        <f ca="1">IF(OR(Assump!$A$7="USD",Assump!$A$7="EURO"),'Hist &amp; Proj'!Y93/'Hist &amp; Proj'!Y$8,'Hist &amp; Proj'!Y93)</f>
        <v>0</v>
      </c>
      <c r="Z175" s="179">
        <f ca="1">IF(OR(Assump!$A$7="USD",Assump!$A$7="EURO"),'Hist &amp; Proj'!Z93/'Hist &amp; Proj'!Z$8,'Hist &amp; Proj'!Z93)</f>
        <v>0</v>
      </c>
      <c r="AA175" s="179">
        <f ca="1">IF(OR(Assump!$A$7="USD",Assump!$A$7="EURO"),'Hist &amp; Proj'!AA93/'Hist &amp; Proj'!AA$8,'Hist &amp; Proj'!AA93)</f>
        <v>0</v>
      </c>
      <c r="AB175" s="179">
        <f ca="1">IF(OR(Assump!$A$7="USD",Assump!$A$7="EURO"),'Hist &amp; Proj'!AB93/'Hist &amp; Proj'!AB$8,'Hist &amp; Proj'!AB93)</f>
        <v>0</v>
      </c>
      <c r="AC175" s="179">
        <f ca="1">IF(OR(Assump!$A$7="USD",Assump!$A$7="EURO"),'Hist &amp; Proj'!AC93/'Hist &amp; Proj'!AC$8,'Hist &amp; Proj'!AC93)</f>
        <v>0</v>
      </c>
      <c r="AD175" s="179">
        <f ca="1">IF(OR(Assump!$A$7="USD",Assump!$A$7="EURO"),'Hist &amp; Proj'!AD93/'Hist &amp; Proj'!AD$8,'Hist &amp; Proj'!AD93)</f>
        <v>0</v>
      </c>
      <c r="AE175" s="179" t="e">
        <f ca="1">IF(OR(Assump!$A$7="USD",Assump!$A$7="EURO"),'Hist &amp; Proj'!AE93/'Hist &amp; Proj'!AE$8,'Hist &amp; Proj'!AE93)</f>
        <v>#N/A</v>
      </c>
      <c r="AF175" s="179" t="e">
        <f ca="1">IF(OR(Assump!$A$7="USD",Assump!$A$7="EURO"),'Hist &amp; Proj'!AF93/'Hist &amp; Proj'!AE$8,'Hist &amp; Proj'!AF93)</f>
        <v>#N/A</v>
      </c>
      <c r="AG175" s="404"/>
      <c r="AH175" s="367" t="str">
        <f t="shared" ca="1" si="70"/>
        <v>NA</v>
      </c>
      <c r="AI175" s="416"/>
      <c r="AJ175" s="873" t="e">
        <f ca="1">AVERAGE(AJ$15,R$15)*Assump!AJ$36</f>
        <v>#DIV/0!</v>
      </c>
      <c r="AK175" s="873" t="e">
        <f ca="1">AVERAGE(AK$15,AJ$15)*Assump!AK$36</f>
        <v>#DIV/0!</v>
      </c>
      <c r="AL175" s="873" t="e">
        <f ca="1">AVERAGE(AL$15,AK$15)*Assump!AL$36</f>
        <v>#DIV/0!</v>
      </c>
      <c r="AM175" s="873" t="e">
        <f ca="1">AVERAGE(AM$15,AL$15)*Assump!AM$36</f>
        <v>#DIV/0!</v>
      </c>
      <c r="AN175" s="873" t="e">
        <f ca="1">AVERAGE(AN$15,AM$15)*Assump!AN$36</f>
        <v>#DIV/0!</v>
      </c>
      <c r="AO175" s="404"/>
      <c r="AP175" s="367" t="str">
        <f t="shared" ca="1" si="71"/>
        <v>NA</v>
      </c>
      <c r="AQ175" s="404"/>
      <c r="AR175" s="404"/>
      <c r="AS175" s="404"/>
      <c r="AT175" s="127"/>
      <c r="AU175" s="404"/>
      <c r="AV175" s="404"/>
      <c r="AW175" s="404"/>
      <c r="AX175" s="404"/>
      <c r="AY175" s="404"/>
      <c r="AZ175" s="127"/>
    </row>
    <row r="176" spans="1:52" s="170" customFormat="1">
      <c r="A176" s="417" t="s">
        <v>363</v>
      </c>
      <c r="B176" s="179">
        <f>IF(OR(Assump!$A$7="USD",Assump!$A$7="EURO"),'Hist &amp; Proj'!B94/'Hist &amp; Proj'!B$8,'Hist &amp; Proj'!B94)</f>
        <v>0</v>
      </c>
      <c r="C176" s="179">
        <f>IF(OR(Assump!$A$7="USD",Assump!$A$7="EURO"),'Hist &amp; Proj'!C94/'Hist &amp; Proj'!C$8,'Hist &amp; Proj'!C94)</f>
        <v>0</v>
      </c>
      <c r="D176" s="179">
        <f>IF(OR(Assump!$A$7="USD",Assump!$A$7="EURO"),'Hist &amp; Proj'!D94/'Hist &amp; Proj'!D$8,'Hist &amp; Proj'!D94)</f>
        <v>0</v>
      </c>
      <c r="E176" s="179">
        <f>IF(OR(Assump!$A$7="USD",Assump!$A$7="EURO"),'Hist &amp; Proj'!E94/'Hist &amp; Proj'!E$8,'Hist &amp; Proj'!E94)</f>
        <v>0</v>
      </c>
      <c r="F176" s="179">
        <f ca="1">IF(OR(Assump!$A$7="USD",Assump!$A$7="EURO"),'Hist &amp; Proj'!F94/'Hist &amp; Proj'!F$8,'Hist &amp; Proj'!F94)</f>
        <v>0</v>
      </c>
      <c r="G176" s="179">
        <f ca="1">IF(OR(Assump!$A$7="USD",Assump!$A$7="EURO"),'Hist &amp; Proj'!G94/'Hist &amp; Proj'!G$8,'Hist &amp; Proj'!G94)</f>
        <v>0</v>
      </c>
      <c r="H176" s="179">
        <f ca="1">IF(OR(Assump!$A$7="USD",Assump!$A$7="EURO"),'Hist &amp; Proj'!H94/'Hist &amp; Proj'!H$8,'Hist &amp; Proj'!H94)</f>
        <v>0</v>
      </c>
      <c r="I176" s="179">
        <f ca="1">IF(OR(Assump!$A$7="USD",Assump!$A$7="EURO"),'Hist &amp; Proj'!I94/'Hist &amp; Proj'!I$8,'Hist &amp; Proj'!I94)</f>
        <v>0</v>
      </c>
      <c r="J176" s="179">
        <f ca="1">IF(OR(Assump!$A$7="USD",Assump!$A$7="EURO"),'Hist &amp; Proj'!J94/'Hist &amp; Proj'!J$8,'Hist &amp; Proj'!J94)</f>
        <v>0</v>
      </c>
      <c r="K176" s="179">
        <f ca="1">IF(OR(Assump!$A$7="USD",Assump!$A$7="EURO"),'Hist &amp; Proj'!K94/'Hist &amp; Proj'!K$8,'Hist &amp; Proj'!K94)</f>
        <v>0</v>
      </c>
      <c r="L176" s="179">
        <f ca="1">IF(OR(Assump!$A$7="USD",Assump!$A$7="EURO"),'Hist &amp; Proj'!L94/'Hist &amp; Proj'!L$8,'Hist &amp; Proj'!L94)</f>
        <v>0</v>
      </c>
      <c r="M176" s="179">
        <f ca="1">IF(OR(Assump!$A$7="USD",Assump!$A$7="EURO"),'Hist &amp; Proj'!M94/'Hist &amp; Proj'!M$8,'Hist &amp; Proj'!M94)</f>
        <v>0</v>
      </c>
      <c r="N176" s="179">
        <f ca="1">IF(OR(Assump!$A$7="USD",Assump!$A$7="EURO"),'Hist &amp; Proj'!N94/'Hist &amp; Proj'!N$8,'Hist &amp; Proj'!N94)</f>
        <v>0</v>
      </c>
      <c r="O176" s="179">
        <f ca="1">IF(OR(Assump!$A$7="USD",Assump!$A$7="EURO"),'Hist &amp; Proj'!O94/'Hist &amp; Proj'!O$8,'Hist &amp; Proj'!O94)</f>
        <v>0</v>
      </c>
      <c r="P176" s="179">
        <f ca="1">IF(OR(Assump!$A$7="USD",Assump!$A$7="EURO"),'Hist &amp; Proj'!P94/'Hist &amp; Proj'!P$8,'Hist &amp; Proj'!P94)</f>
        <v>0</v>
      </c>
      <c r="Q176" s="179">
        <f ca="1">IF(OR(Assump!$A$7="USD",Assump!$A$7="EURO"),'Hist &amp; Proj'!Q94/'Hist &amp; Proj'!Q$8,'Hist &amp; Proj'!Q94)</f>
        <v>0</v>
      </c>
      <c r="R176" s="179">
        <f ca="1">IF(OR(Assump!$A$7="USD",Assump!$A$7="EURO"),'Hist &amp; Proj'!R94/'Hist &amp; Proj'!R$8,'Hist &amp; Proj'!R94)</f>
        <v>0</v>
      </c>
      <c r="S176" s="179">
        <f ca="1">IF(OR(Assump!$A$7="USD",Assump!$A$7="EURO"),'Hist &amp; Proj'!S94/'Hist &amp; Proj'!S$8,'Hist &amp; Proj'!S94)</f>
        <v>0</v>
      </c>
      <c r="T176" s="179">
        <f ca="1">IF(OR(Assump!$A$7="USD",Assump!$A$7="EURO"),'Hist &amp; Proj'!T94/'Hist &amp; Proj'!T$8,'Hist &amp; Proj'!T94)</f>
        <v>0</v>
      </c>
      <c r="U176" s="179">
        <f ca="1">IF(OR(Assump!$A$7="USD",Assump!$A$7="EURO"),'Hist &amp; Proj'!U94/'Hist &amp; Proj'!U$8,'Hist &amp; Proj'!U94)</f>
        <v>0</v>
      </c>
      <c r="V176" s="179">
        <f ca="1">IF(OR(Assump!$A$7="USD",Assump!$A$7="EURO"),'Hist &amp; Proj'!V94/'Hist &amp; Proj'!V$8,'Hist &amp; Proj'!V94)</f>
        <v>0</v>
      </c>
      <c r="W176" s="179">
        <f ca="1">IF(OR(Assump!$A$7="USD",Assump!$A$7="EURO"),'Hist &amp; Proj'!W94/'Hist &amp; Proj'!W$8,'Hist &amp; Proj'!W94)</f>
        <v>0</v>
      </c>
      <c r="X176" s="179">
        <f ca="1">IF(OR(Assump!$A$7="USD",Assump!$A$7="EURO"),'Hist &amp; Proj'!X94/'Hist &amp; Proj'!X$8,'Hist &amp; Proj'!X94)</f>
        <v>0</v>
      </c>
      <c r="Y176" s="179">
        <f ca="1">IF(OR(Assump!$A$7="USD",Assump!$A$7="EURO"),'Hist &amp; Proj'!Y94/'Hist &amp; Proj'!Y$8,'Hist &amp; Proj'!Y94)</f>
        <v>0</v>
      </c>
      <c r="Z176" s="179">
        <f ca="1">IF(OR(Assump!$A$7="USD",Assump!$A$7="EURO"),'Hist &amp; Proj'!Z94/'Hist &amp; Proj'!Z$8,'Hist &amp; Proj'!Z94)</f>
        <v>0</v>
      </c>
      <c r="AA176" s="179">
        <f ca="1">IF(OR(Assump!$A$7="USD",Assump!$A$7="EURO"),'Hist &amp; Proj'!AA94/'Hist &amp; Proj'!AA$8,'Hist &amp; Proj'!AA94)</f>
        <v>0</v>
      </c>
      <c r="AB176" s="179">
        <f ca="1">IF(OR(Assump!$A$7="USD",Assump!$A$7="EURO"),'Hist &amp; Proj'!AB94/'Hist &amp; Proj'!AB$8,'Hist &amp; Proj'!AB94)</f>
        <v>0</v>
      </c>
      <c r="AC176" s="179">
        <f ca="1">IF(OR(Assump!$A$7="USD",Assump!$A$7="EURO"),'Hist &amp; Proj'!AC94/'Hist &amp; Proj'!AC$8,'Hist &amp; Proj'!AC94)</f>
        <v>0</v>
      </c>
      <c r="AD176" s="179">
        <f ca="1">IF(OR(Assump!$A$7="USD",Assump!$A$7="EURO"),'Hist &amp; Proj'!AD94/'Hist &amp; Proj'!AD$8,'Hist &amp; Proj'!AD94)</f>
        <v>0</v>
      </c>
      <c r="AE176" s="179" t="e">
        <f ca="1">IF(OR(Assump!$A$7="USD",Assump!$A$7="EURO"),'Hist &amp; Proj'!AE94/'Hist &amp; Proj'!AE$8,'Hist &amp; Proj'!AE94)</f>
        <v>#N/A</v>
      </c>
      <c r="AF176" s="179" t="e">
        <f ca="1">IF(OR(Assump!$A$7="USD",Assump!$A$7="EURO"),'Hist &amp; Proj'!AF94/'Hist &amp; Proj'!AE$8,'Hist &amp; Proj'!AF94)</f>
        <v>#N/A</v>
      </c>
      <c r="AG176" s="404"/>
      <c r="AH176" s="367" t="str">
        <f t="shared" ca="1" si="70"/>
        <v>NA</v>
      </c>
      <c r="AI176" s="416"/>
      <c r="AJ176" s="179">
        <f ca="1">IFERROR(AJ$175*Assump!AJ$37,0)</f>
        <v>0</v>
      </c>
      <c r="AK176" s="179">
        <f ca="1">IFERROR(AK$175*Assump!AK$37,0)</f>
        <v>0</v>
      </c>
      <c r="AL176" s="179">
        <f ca="1">IFERROR(AL$175*Assump!AL$37,0)</f>
        <v>0</v>
      </c>
      <c r="AM176" s="179">
        <f ca="1">IFERROR(AM$175*Assump!AM$37,0)</f>
        <v>0</v>
      </c>
      <c r="AN176" s="179">
        <f ca="1">IFERROR(AN$175*Assump!AN$37,0)</f>
        <v>0</v>
      </c>
      <c r="AO176" s="404"/>
      <c r="AP176" s="367" t="str">
        <f t="shared" ca="1" si="71"/>
        <v>NA</v>
      </c>
      <c r="AQ176" s="404"/>
      <c r="AR176" s="404"/>
      <c r="AS176" s="404"/>
      <c r="AT176" s="127"/>
      <c r="AU176" s="404"/>
      <c r="AV176" s="404"/>
      <c r="AW176" s="404"/>
      <c r="AX176" s="404"/>
      <c r="AY176" s="404"/>
      <c r="AZ176" s="127"/>
    </row>
    <row r="177" spans="1:52" s="170" customFormat="1">
      <c r="A177" s="418" t="s">
        <v>364</v>
      </c>
      <c r="B177" s="179">
        <f>IF(B175=0,0,B175-B176)</f>
        <v>0</v>
      </c>
      <c r="C177" s="179">
        <f t="shared" ref="C177:AF177" si="72">IF(C175=0,0,C175-C176)</f>
        <v>0</v>
      </c>
      <c r="D177" s="179">
        <f t="shared" si="72"/>
        <v>0</v>
      </c>
      <c r="E177" s="179">
        <f t="shared" si="72"/>
        <v>0</v>
      </c>
      <c r="F177" s="179">
        <f t="shared" ca="1" si="72"/>
        <v>0</v>
      </c>
      <c r="G177" s="179">
        <f t="shared" ca="1" si="72"/>
        <v>0</v>
      </c>
      <c r="H177" s="179">
        <f t="shared" ca="1" si="72"/>
        <v>0</v>
      </c>
      <c r="I177" s="179">
        <f t="shared" ca="1" si="72"/>
        <v>0</v>
      </c>
      <c r="J177" s="179">
        <f t="shared" ca="1" si="72"/>
        <v>0</v>
      </c>
      <c r="K177" s="179">
        <f t="shared" ca="1" si="72"/>
        <v>0</v>
      </c>
      <c r="L177" s="179">
        <f t="shared" ca="1" si="72"/>
        <v>0</v>
      </c>
      <c r="M177" s="179">
        <f t="shared" ca="1" si="72"/>
        <v>0</v>
      </c>
      <c r="N177" s="179">
        <f t="shared" ca="1" si="72"/>
        <v>0</v>
      </c>
      <c r="O177" s="179">
        <f t="shared" ca="1" si="72"/>
        <v>0</v>
      </c>
      <c r="P177" s="179">
        <f t="shared" ca="1" si="72"/>
        <v>0</v>
      </c>
      <c r="Q177" s="179">
        <f t="shared" ca="1" si="72"/>
        <v>0</v>
      </c>
      <c r="R177" s="179">
        <f ca="1">IF(R175=0,0,R175-R176)</f>
        <v>0</v>
      </c>
      <c r="S177" s="179">
        <f t="shared" ca="1" si="72"/>
        <v>0</v>
      </c>
      <c r="T177" s="179">
        <f t="shared" ca="1" si="72"/>
        <v>0</v>
      </c>
      <c r="U177" s="179">
        <f t="shared" ca="1" si="72"/>
        <v>0</v>
      </c>
      <c r="V177" s="179">
        <f t="shared" ca="1" si="72"/>
        <v>0</v>
      </c>
      <c r="W177" s="179">
        <f t="shared" ca="1" si="72"/>
        <v>0</v>
      </c>
      <c r="X177" s="179">
        <f t="shared" ca="1" si="72"/>
        <v>0</v>
      </c>
      <c r="Y177" s="179">
        <f t="shared" ca="1" si="72"/>
        <v>0</v>
      </c>
      <c r="Z177" s="179">
        <f t="shared" ca="1" si="72"/>
        <v>0</v>
      </c>
      <c r="AA177" s="179">
        <f t="shared" ca="1" si="72"/>
        <v>0</v>
      </c>
      <c r="AB177" s="179">
        <f t="shared" ca="1" si="72"/>
        <v>0</v>
      </c>
      <c r="AC177" s="179">
        <f t="shared" ca="1" si="72"/>
        <v>0</v>
      </c>
      <c r="AD177" s="179">
        <f t="shared" ca="1" si="72"/>
        <v>0</v>
      </c>
      <c r="AE177" s="179" t="e">
        <f t="shared" ca="1" si="72"/>
        <v>#N/A</v>
      </c>
      <c r="AF177" s="179" t="e">
        <f t="shared" ca="1" si="72"/>
        <v>#N/A</v>
      </c>
      <c r="AG177" s="404"/>
      <c r="AH177" s="367" t="str">
        <f t="shared" ca="1" si="70"/>
        <v>NA</v>
      </c>
      <c r="AI177" s="416"/>
      <c r="AJ177" s="404" t="e">
        <f ca="1">IF(AJ175=0,0,AJ175-AJ176)</f>
        <v>#DIV/0!</v>
      </c>
      <c r="AK177" s="404" t="e">
        <f ca="1">IF(AK175=0,0,AK175-AK176)</f>
        <v>#DIV/0!</v>
      </c>
      <c r="AL177" s="404" t="e">
        <f ca="1">IF(AL175=0,0,AL175-AL176)</f>
        <v>#DIV/0!</v>
      </c>
      <c r="AM177" s="404" t="e">
        <f ca="1">IF(AM175=0,0,AM175-AM176)</f>
        <v>#DIV/0!</v>
      </c>
      <c r="AN177" s="404" t="e">
        <f ca="1">IF(AN175=0,0,AN175-AN176)</f>
        <v>#DIV/0!</v>
      </c>
      <c r="AO177" s="404"/>
      <c r="AP177" s="367" t="str">
        <f t="shared" ca="1" si="71"/>
        <v>NA</v>
      </c>
      <c r="AQ177" s="404"/>
      <c r="AR177" s="404"/>
      <c r="AS177" s="404"/>
      <c r="AT177" s="127"/>
      <c r="AU177" s="404"/>
      <c r="AV177" s="404"/>
      <c r="AW177" s="404"/>
      <c r="AX177" s="404"/>
      <c r="AY177" s="404"/>
      <c r="AZ177" s="127"/>
    </row>
    <row r="178" spans="1:52" s="170" customFormat="1">
      <c r="A178" s="419" t="s">
        <v>86</v>
      </c>
      <c r="B178" s="420">
        <f t="shared" ref="B178:AF178" si="73">SUM(B167:B169,B174)</f>
        <v>0</v>
      </c>
      <c r="C178" s="420">
        <f t="shared" si="73"/>
        <v>0</v>
      </c>
      <c r="D178" s="420">
        <f t="shared" si="73"/>
        <v>0</v>
      </c>
      <c r="E178" s="420">
        <f t="shared" si="73"/>
        <v>0</v>
      </c>
      <c r="F178" s="420">
        <f t="shared" ca="1" si="73"/>
        <v>0</v>
      </c>
      <c r="G178" s="420">
        <f t="shared" ca="1" si="73"/>
        <v>0</v>
      </c>
      <c r="H178" s="420">
        <f t="shared" ca="1" si="73"/>
        <v>0</v>
      </c>
      <c r="I178" s="420">
        <f t="shared" ca="1" si="73"/>
        <v>0</v>
      </c>
      <c r="J178" s="420">
        <f t="shared" ca="1" si="73"/>
        <v>0</v>
      </c>
      <c r="K178" s="420">
        <f t="shared" ca="1" si="73"/>
        <v>0</v>
      </c>
      <c r="L178" s="420">
        <f t="shared" ca="1" si="73"/>
        <v>0</v>
      </c>
      <c r="M178" s="420">
        <f t="shared" ca="1" si="73"/>
        <v>0</v>
      </c>
      <c r="N178" s="420">
        <f t="shared" ca="1" si="73"/>
        <v>0</v>
      </c>
      <c r="O178" s="420">
        <f t="shared" ca="1" si="73"/>
        <v>0</v>
      </c>
      <c r="P178" s="420">
        <f t="shared" ca="1" si="73"/>
        <v>0</v>
      </c>
      <c r="Q178" s="420">
        <f t="shared" ca="1" si="73"/>
        <v>0</v>
      </c>
      <c r="R178" s="420">
        <f t="shared" ca="1" si="73"/>
        <v>0</v>
      </c>
      <c r="S178" s="420">
        <f t="shared" ca="1" si="73"/>
        <v>0</v>
      </c>
      <c r="T178" s="420">
        <f t="shared" ca="1" si="73"/>
        <v>0</v>
      </c>
      <c r="U178" s="420">
        <f t="shared" ca="1" si="73"/>
        <v>0</v>
      </c>
      <c r="V178" s="420">
        <f t="shared" ca="1" si="73"/>
        <v>0</v>
      </c>
      <c r="W178" s="420">
        <f t="shared" ca="1" si="73"/>
        <v>0</v>
      </c>
      <c r="X178" s="420">
        <f t="shared" ca="1" si="73"/>
        <v>0</v>
      </c>
      <c r="Y178" s="420">
        <f t="shared" ca="1" si="73"/>
        <v>0</v>
      </c>
      <c r="Z178" s="420">
        <f t="shared" ca="1" si="73"/>
        <v>0</v>
      </c>
      <c r="AA178" s="420">
        <f t="shared" ca="1" si="73"/>
        <v>0</v>
      </c>
      <c r="AB178" s="420">
        <f t="shared" ca="1" si="73"/>
        <v>0</v>
      </c>
      <c r="AC178" s="420">
        <f t="shared" ca="1" si="73"/>
        <v>0</v>
      </c>
      <c r="AD178" s="420">
        <f t="shared" ca="1" si="73"/>
        <v>0</v>
      </c>
      <c r="AE178" s="420" t="e">
        <f t="shared" ca="1" si="73"/>
        <v>#N/A</v>
      </c>
      <c r="AF178" s="420" t="e">
        <f t="shared" ca="1" si="73"/>
        <v>#N/A</v>
      </c>
      <c r="AG178" s="421"/>
      <c r="AH178" s="422" t="str">
        <f t="shared" ca="1" si="70"/>
        <v>NA</v>
      </c>
      <c r="AI178" s="416"/>
      <c r="AJ178" s="423" t="e">
        <f ca="1">SUM(AJ167:AJ169,AJ174)</f>
        <v>#DIV/0!</v>
      </c>
      <c r="AK178" s="423" t="e">
        <f ca="1">SUM(AK167:AK169,AK174)</f>
        <v>#DIV/0!</v>
      </c>
      <c r="AL178" s="423" t="e">
        <f ca="1">SUM(AL167:AL169,AL174)</f>
        <v>#DIV/0!</v>
      </c>
      <c r="AM178" s="423" t="e">
        <f ca="1">SUM(AM167:AM169,AM174)</f>
        <v>#DIV/0!</v>
      </c>
      <c r="AN178" s="423" t="e">
        <f ca="1">SUM(AN167:AN169,AN174)</f>
        <v>#DIV/0!</v>
      </c>
      <c r="AO178" s="421"/>
      <c r="AP178" s="422" t="str">
        <f t="shared" ca="1" si="71"/>
        <v>NA</v>
      </c>
      <c r="AQ178" s="421"/>
      <c r="AR178" s="421"/>
      <c r="AS178" s="421"/>
      <c r="AT178" s="127"/>
      <c r="AU178" s="421"/>
      <c r="AV178" s="421"/>
      <c r="AW178" s="421"/>
      <c r="AX178" s="421"/>
      <c r="AY178" s="421"/>
      <c r="AZ178" s="127"/>
    </row>
    <row r="179" spans="1:52" s="127" customFormat="1" outlineLevel="1">
      <c r="A179" s="424" t="s">
        <v>537</v>
      </c>
      <c r="B179" s="425">
        <f t="shared" ref="B179:AF179" si="74">IF(B178-B15=0,0,IF(ABS(B178-B15)&gt;0,ABS(B178-B15),0))</f>
        <v>0</v>
      </c>
      <c r="C179" s="425">
        <f t="shared" si="74"/>
        <v>0</v>
      </c>
      <c r="D179" s="425">
        <f t="shared" si="74"/>
        <v>0</v>
      </c>
      <c r="E179" s="425">
        <f t="shared" si="74"/>
        <v>0</v>
      </c>
      <c r="F179" s="425">
        <f t="shared" ca="1" si="74"/>
        <v>0</v>
      </c>
      <c r="G179" s="425">
        <f t="shared" ca="1" si="74"/>
        <v>0</v>
      </c>
      <c r="H179" s="425">
        <f t="shared" ca="1" si="74"/>
        <v>0</v>
      </c>
      <c r="I179" s="425">
        <f t="shared" ca="1" si="74"/>
        <v>0</v>
      </c>
      <c r="J179" s="425">
        <f t="shared" ca="1" si="74"/>
        <v>0</v>
      </c>
      <c r="K179" s="425">
        <f t="shared" ca="1" si="74"/>
        <v>0</v>
      </c>
      <c r="L179" s="425">
        <f t="shared" ca="1" si="74"/>
        <v>0</v>
      </c>
      <c r="M179" s="425">
        <f t="shared" ca="1" si="74"/>
        <v>0</v>
      </c>
      <c r="N179" s="425">
        <f t="shared" ca="1" si="74"/>
        <v>0</v>
      </c>
      <c r="O179" s="425">
        <f t="shared" ca="1" si="74"/>
        <v>0</v>
      </c>
      <c r="P179" s="425">
        <f t="shared" ca="1" si="74"/>
        <v>0</v>
      </c>
      <c r="Q179" s="425">
        <f t="shared" ca="1" si="74"/>
        <v>0</v>
      </c>
      <c r="R179" s="425">
        <f t="shared" ca="1" si="74"/>
        <v>0</v>
      </c>
      <c r="S179" s="425">
        <f t="shared" ca="1" si="74"/>
        <v>0</v>
      </c>
      <c r="T179" s="425">
        <f t="shared" ca="1" si="74"/>
        <v>0</v>
      </c>
      <c r="U179" s="425">
        <f t="shared" ca="1" si="74"/>
        <v>0</v>
      </c>
      <c r="V179" s="425">
        <f t="shared" ca="1" si="74"/>
        <v>0</v>
      </c>
      <c r="W179" s="425">
        <f t="shared" ca="1" si="74"/>
        <v>0</v>
      </c>
      <c r="X179" s="425">
        <f t="shared" ca="1" si="74"/>
        <v>0</v>
      </c>
      <c r="Y179" s="425">
        <f t="shared" ca="1" si="74"/>
        <v>0</v>
      </c>
      <c r="Z179" s="425">
        <f t="shared" ca="1" si="74"/>
        <v>0</v>
      </c>
      <c r="AA179" s="425">
        <f t="shared" ca="1" si="74"/>
        <v>0</v>
      </c>
      <c r="AB179" s="425">
        <f t="shared" ca="1" si="74"/>
        <v>0</v>
      </c>
      <c r="AC179" s="425">
        <f t="shared" ca="1" si="74"/>
        <v>0</v>
      </c>
      <c r="AD179" s="425">
        <f t="shared" ca="1" si="74"/>
        <v>0</v>
      </c>
      <c r="AE179" s="425" t="e">
        <f t="shared" ca="1" si="74"/>
        <v>#N/A</v>
      </c>
      <c r="AF179" s="425" t="e">
        <f t="shared" ca="1" si="74"/>
        <v>#N/A</v>
      </c>
      <c r="AG179" s="131"/>
      <c r="AH179" s="426"/>
      <c r="AJ179" s="425"/>
      <c r="AK179" s="425"/>
      <c r="AL179" s="425"/>
      <c r="AM179" s="425"/>
      <c r="AN179" s="425"/>
      <c r="AO179" s="131"/>
      <c r="AP179" s="426" t="e">
        <f ca="1">IF(AP178-AP15=0,0,IF(ABS(AP178-AP15)&gt;0,ABS(AP178-AP15),0))</f>
        <v>#VALUE!</v>
      </c>
      <c r="AQ179" s="131"/>
      <c r="AR179" s="131"/>
      <c r="AS179" s="131"/>
    </row>
    <row r="180" spans="1:52">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H180" s="334"/>
      <c r="AJ180" s="170"/>
      <c r="AK180" s="765"/>
      <c r="AL180" s="765"/>
      <c r="AM180" s="765"/>
      <c r="AN180" s="208"/>
      <c r="AP180" s="334"/>
    </row>
    <row r="181" spans="1:52" ht="15">
      <c r="A181" s="401"/>
      <c r="AL181" s="126"/>
      <c r="AM181" s="126"/>
      <c r="AN181" s="126"/>
      <c r="AO181" s="126"/>
    </row>
    <row r="182" spans="1:52">
      <c r="A182" s="360" t="s">
        <v>87</v>
      </c>
      <c r="B182" s="760">
        <f>B$7</f>
        <v>692501</v>
      </c>
      <c r="C182" s="760">
        <f t="shared" ref="C182:AD182" si="75">C$7</f>
        <v>692867</v>
      </c>
      <c r="D182" s="760">
        <f t="shared" si="75"/>
        <v>693232</v>
      </c>
      <c r="E182" s="760">
        <f t="shared" si="75"/>
        <v>693597</v>
      </c>
      <c r="F182" s="362">
        <f t="shared" ca="1" si="75"/>
        <v>693628</v>
      </c>
      <c r="G182" s="362">
        <f t="shared" ca="1" si="75"/>
        <v>693656</v>
      </c>
      <c r="H182" s="362">
        <f t="shared" ca="1" si="75"/>
        <v>693687</v>
      </c>
      <c r="I182" s="362">
        <f t="shared" ca="1" si="75"/>
        <v>693717</v>
      </c>
      <c r="J182" s="362">
        <f t="shared" ca="1" si="75"/>
        <v>693748</v>
      </c>
      <c r="K182" s="362">
        <f t="shared" ca="1" si="75"/>
        <v>693778</v>
      </c>
      <c r="L182" s="362">
        <f t="shared" ca="1" si="75"/>
        <v>693809</v>
      </c>
      <c r="M182" s="362">
        <f t="shared" ca="1" si="75"/>
        <v>693840</v>
      </c>
      <c r="N182" s="362">
        <f t="shared" ca="1" si="75"/>
        <v>693870</v>
      </c>
      <c r="O182" s="362">
        <f t="shared" ca="1" si="75"/>
        <v>693901</v>
      </c>
      <c r="P182" s="362">
        <f t="shared" ca="1" si="75"/>
        <v>693931</v>
      </c>
      <c r="Q182" s="362">
        <f t="shared" ca="1" si="75"/>
        <v>693962</v>
      </c>
      <c r="R182" s="760">
        <f t="shared" ca="1" si="75"/>
        <v>693962</v>
      </c>
      <c r="S182" s="362">
        <f t="shared" ca="1" si="75"/>
        <v>31</v>
      </c>
      <c r="T182" s="362">
        <f t="shared" ca="1" si="75"/>
        <v>59</v>
      </c>
      <c r="U182" s="362">
        <f t="shared" ca="1" si="75"/>
        <v>91</v>
      </c>
      <c r="V182" s="362">
        <f t="shared" ca="1" si="75"/>
        <v>121</v>
      </c>
      <c r="W182" s="362">
        <f t="shared" ca="1" si="75"/>
        <v>152</v>
      </c>
      <c r="X182" s="362">
        <f t="shared" ca="1" si="75"/>
        <v>182</v>
      </c>
      <c r="Y182" s="362">
        <f t="shared" ca="1" si="75"/>
        <v>213</v>
      </c>
      <c r="Z182" s="362">
        <f t="shared" ca="1" si="75"/>
        <v>244</v>
      </c>
      <c r="AA182" s="362">
        <f t="shared" ca="1" si="75"/>
        <v>274</v>
      </c>
      <c r="AB182" s="362">
        <f t="shared" ca="1" si="75"/>
        <v>305</v>
      </c>
      <c r="AC182" s="362">
        <f t="shared" ca="1" si="75"/>
        <v>335</v>
      </c>
      <c r="AD182" s="362">
        <f t="shared" ca="1" si="75"/>
        <v>366</v>
      </c>
      <c r="AE182" s="376" t="e">
        <f ca="1">AE$42</f>
        <v>#N/A</v>
      </c>
      <c r="AF182" s="376" t="e">
        <f ca="1">AF$42</f>
        <v>#N/A</v>
      </c>
      <c r="AH182" s="365" t="str">
        <f ca="1">AH$7</f>
        <v>'96 - '99 CAGR/Avg.</v>
      </c>
      <c r="AJ182" s="760">
        <f ca="1">AJ$7</f>
        <v>694327</v>
      </c>
      <c r="AK182" s="760">
        <f ca="1">AK$7</f>
        <v>694692</v>
      </c>
      <c r="AL182" s="760">
        <f ca="1">AL$7</f>
        <v>695057</v>
      </c>
      <c r="AM182" s="760">
        <f ca="1">AM$7</f>
        <v>695422</v>
      </c>
      <c r="AN182" s="760">
        <f ca="1">AN$7</f>
        <v>695787</v>
      </c>
      <c r="AP182" s="365" t="str">
        <f ca="1">AP$7</f>
        <v>'00 - '04 CAGR/Avg.</v>
      </c>
    </row>
    <row r="183" spans="1:52" s="170" customFormat="1">
      <c r="A183" s="348" t="s">
        <v>49</v>
      </c>
      <c r="B183" s="427" t="e">
        <f t="shared" ref="B183:AE183" si="76">B167/B$15</f>
        <v>#DIV/0!</v>
      </c>
      <c r="C183" s="427" t="e">
        <f t="shared" si="76"/>
        <v>#DIV/0!</v>
      </c>
      <c r="D183" s="427" t="e">
        <f t="shared" si="76"/>
        <v>#DIV/0!</v>
      </c>
      <c r="E183" s="427" t="e">
        <f t="shared" si="76"/>
        <v>#DIV/0!</v>
      </c>
      <c r="F183" s="427" t="e">
        <f t="shared" ca="1" si="76"/>
        <v>#DIV/0!</v>
      </c>
      <c r="G183" s="427" t="e">
        <f t="shared" ca="1" si="76"/>
        <v>#DIV/0!</v>
      </c>
      <c r="H183" s="427" t="e">
        <f t="shared" ca="1" si="76"/>
        <v>#DIV/0!</v>
      </c>
      <c r="I183" s="427" t="e">
        <f t="shared" ca="1" si="76"/>
        <v>#DIV/0!</v>
      </c>
      <c r="J183" s="427" t="e">
        <f t="shared" ca="1" si="76"/>
        <v>#DIV/0!</v>
      </c>
      <c r="K183" s="427" t="e">
        <f t="shared" ca="1" si="76"/>
        <v>#DIV/0!</v>
      </c>
      <c r="L183" s="427" t="e">
        <f t="shared" ca="1" si="76"/>
        <v>#DIV/0!</v>
      </c>
      <c r="M183" s="427" t="e">
        <f t="shared" ca="1" si="76"/>
        <v>#DIV/0!</v>
      </c>
      <c r="N183" s="427" t="e">
        <f t="shared" ca="1" si="76"/>
        <v>#DIV/0!</v>
      </c>
      <c r="O183" s="427" t="e">
        <f t="shared" ca="1" si="76"/>
        <v>#DIV/0!</v>
      </c>
      <c r="P183" s="427" t="e">
        <f t="shared" ca="1" si="76"/>
        <v>#DIV/0!</v>
      </c>
      <c r="Q183" s="427" t="e">
        <f t="shared" ca="1" si="76"/>
        <v>#DIV/0!</v>
      </c>
      <c r="R183" s="427" t="e">
        <f t="shared" ca="1" si="76"/>
        <v>#DIV/0!</v>
      </c>
      <c r="S183" s="427" t="e">
        <f t="shared" ca="1" si="76"/>
        <v>#DIV/0!</v>
      </c>
      <c r="T183" s="427" t="e">
        <f t="shared" ca="1" si="76"/>
        <v>#DIV/0!</v>
      </c>
      <c r="U183" s="427" t="e">
        <f t="shared" ca="1" si="76"/>
        <v>#DIV/0!</v>
      </c>
      <c r="V183" s="427" t="e">
        <f t="shared" ca="1" si="76"/>
        <v>#DIV/0!</v>
      </c>
      <c r="W183" s="427" t="e">
        <f t="shared" ca="1" si="76"/>
        <v>#DIV/0!</v>
      </c>
      <c r="X183" s="427" t="e">
        <f t="shared" ca="1" si="76"/>
        <v>#DIV/0!</v>
      </c>
      <c r="Y183" s="427" t="e">
        <f t="shared" ca="1" si="76"/>
        <v>#DIV/0!</v>
      </c>
      <c r="Z183" s="427" t="e">
        <f t="shared" ca="1" si="76"/>
        <v>#DIV/0!</v>
      </c>
      <c r="AA183" s="427" t="e">
        <f t="shared" ca="1" si="76"/>
        <v>#DIV/0!</v>
      </c>
      <c r="AB183" s="427" t="e">
        <f t="shared" ca="1" si="76"/>
        <v>#DIV/0!</v>
      </c>
      <c r="AC183" s="427" t="e">
        <f t="shared" ca="1" si="76"/>
        <v>#DIV/0!</v>
      </c>
      <c r="AD183" s="427" t="e">
        <f t="shared" ca="1" si="76"/>
        <v>#DIV/0!</v>
      </c>
      <c r="AE183" s="427" t="e">
        <f t="shared" ca="1" si="76"/>
        <v>#N/A</v>
      </c>
      <c r="AF183" s="427" t="e">
        <f ca="1">AE183</f>
        <v>#N/A</v>
      </c>
      <c r="AG183" s="404"/>
      <c r="AH183" s="427" t="str">
        <f t="shared" ref="AH183:AH193" si="77">IFERROR(AVERAGE(C183:E183,R183),"NA")</f>
        <v>NA</v>
      </c>
      <c r="AI183" s="427"/>
      <c r="AJ183" s="427" t="str">
        <f t="shared" ref="AJ183:AN184" ca="1" si="78">IFERROR(AJ167/AJ$15,"NA")</f>
        <v>NA</v>
      </c>
      <c r="AK183" s="427" t="str">
        <f t="shared" ca="1" si="78"/>
        <v>NA</v>
      </c>
      <c r="AL183" s="427" t="str">
        <f t="shared" ca="1" si="78"/>
        <v>NA</v>
      </c>
      <c r="AM183" s="427" t="str">
        <f t="shared" ca="1" si="78"/>
        <v>NA</v>
      </c>
      <c r="AN183" s="427" t="str">
        <f t="shared" ca="1" si="78"/>
        <v>NA</v>
      </c>
      <c r="AO183" s="404"/>
      <c r="AP183" s="427" t="str">
        <f t="shared" ref="AP183:AP193" ca="1" si="79">IFERROR(AVERAGE(AJ183:AN183),"NA")</f>
        <v>NA</v>
      </c>
      <c r="AQ183" s="404"/>
      <c r="AR183" s="404"/>
      <c r="AS183" s="404"/>
      <c r="AT183" s="127"/>
      <c r="AU183" s="404"/>
      <c r="AV183" s="404"/>
      <c r="AW183" s="404"/>
      <c r="AX183" s="404"/>
      <c r="AY183" s="404"/>
      <c r="AZ183" s="127"/>
    </row>
    <row r="184" spans="1:52" s="170" customFormat="1">
      <c r="A184" s="348" t="s">
        <v>50</v>
      </c>
      <c r="B184" s="427" t="e">
        <f t="shared" ref="B184:AE184" si="80">B168/B$15</f>
        <v>#DIV/0!</v>
      </c>
      <c r="C184" s="427" t="e">
        <f t="shared" si="80"/>
        <v>#DIV/0!</v>
      </c>
      <c r="D184" s="427" t="e">
        <f t="shared" si="80"/>
        <v>#DIV/0!</v>
      </c>
      <c r="E184" s="427" t="e">
        <f t="shared" si="80"/>
        <v>#DIV/0!</v>
      </c>
      <c r="F184" s="427" t="e">
        <f t="shared" ca="1" si="80"/>
        <v>#DIV/0!</v>
      </c>
      <c r="G184" s="427" t="e">
        <f t="shared" ca="1" si="80"/>
        <v>#DIV/0!</v>
      </c>
      <c r="H184" s="427" t="e">
        <f t="shared" ca="1" si="80"/>
        <v>#DIV/0!</v>
      </c>
      <c r="I184" s="427" t="e">
        <f t="shared" ca="1" si="80"/>
        <v>#DIV/0!</v>
      </c>
      <c r="J184" s="427" t="e">
        <f t="shared" ca="1" si="80"/>
        <v>#DIV/0!</v>
      </c>
      <c r="K184" s="427" t="e">
        <f t="shared" ca="1" si="80"/>
        <v>#DIV/0!</v>
      </c>
      <c r="L184" s="427" t="e">
        <f t="shared" ca="1" si="80"/>
        <v>#DIV/0!</v>
      </c>
      <c r="M184" s="427" t="e">
        <f t="shared" ca="1" si="80"/>
        <v>#DIV/0!</v>
      </c>
      <c r="N184" s="427" t="e">
        <f t="shared" ca="1" si="80"/>
        <v>#DIV/0!</v>
      </c>
      <c r="O184" s="427" t="e">
        <f t="shared" ca="1" si="80"/>
        <v>#DIV/0!</v>
      </c>
      <c r="P184" s="427" t="e">
        <f t="shared" ca="1" si="80"/>
        <v>#DIV/0!</v>
      </c>
      <c r="Q184" s="427" t="e">
        <f t="shared" ca="1" si="80"/>
        <v>#DIV/0!</v>
      </c>
      <c r="R184" s="427" t="e">
        <f t="shared" ca="1" si="80"/>
        <v>#DIV/0!</v>
      </c>
      <c r="S184" s="427" t="e">
        <f t="shared" ca="1" si="80"/>
        <v>#DIV/0!</v>
      </c>
      <c r="T184" s="427" t="e">
        <f t="shared" ca="1" si="80"/>
        <v>#DIV/0!</v>
      </c>
      <c r="U184" s="427" t="e">
        <f t="shared" ca="1" si="80"/>
        <v>#DIV/0!</v>
      </c>
      <c r="V184" s="427" t="e">
        <f t="shared" ca="1" si="80"/>
        <v>#DIV/0!</v>
      </c>
      <c r="W184" s="427" t="e">
        <f t="shared" ca="1" si="80"/>
        <v>#DIV/0!</v>
      </c>
      <c r="X184" s="427" t="e">
        <f t="shared" ca="1" si="80"/>
        <v>#DIV/0!</v>
      </c>
      <c r="Y184" s="427" t="e">
        <f t="shared" ca="1" si="80"/>
        <v>#DIV/0!</v>
      </c>
      <c r="Z184" s="427" t="e">
        <f t="shared" ca="1" si="80"/>
        <v>#DIV/0!</v>
      </c>
      <c r="AA184" s="427" t="e">
        <f t="shared" ca="1" si="80"/>
        <v>#DIV/0!</v>
      </c>
      <c r="AB184" s="427" t="e">
        <f t="shared" ca="1" si="80"/>
        <v>#DIV/0!</v>
      </c>
      <c r="AC184" s="427" t="e">
        <f t="shared" ca="1" si="80"/>
        <v>#DIV/0!</v>
      </c>
      <c r="AD184" s="427" t="e">
        <f t="shared" ca="1" si="80"/>
        <v>#DIV/0!</v>
      </c>
      <c r="AE184" s="427" t="e">
        <f t="shared" ca="1" si="80"/>
        <v>#N/A</v>
      </c>
      <c r="AF184" s="427" t="e">
        <f t="shared" ref="AF184:AF190" ca="1" si="81">AE184</f>
        <v>#N/A</v>
      </c>
      <c r="AG184" s="404"/>
      <c r="AH184" s="427" t="str">
        <f t="shared" si="77"/>
        <v>NA</v>
      </c>
      <c r="AI184" s="427"/>
      <c r="AJ184" s="427" t="str">
        <f t="shared" ca="1" si="78"/>
        <v>NA</v>
      </c>
      <c r="AK184" s="427" t="str">
        <f t="shared" ca="1" si="78"/>
        <v>NA</v>
      </c>
      <c r="AL184" s="427" t="str">
        <f t="shared" ca="1" si="78"/>
        <v>NA</v>
      </c>
      <c r="AM184" s="427" t="str">
        <f t="shared" ca="1" si="78"/>
        <v>NA</v>
      </c>
      <c r="AN184" s="427" t="str">
        <f t="shared" ca="1" si="78"/>
        <v>NA</v>
      </c>
      <c r="AO184" s="404"/>
      <c r="AP184" s="427" t="str">
        <f t="shared" ca="1" si="79"/>
        <v>NA</v>
      </c>
      <c r="AQ184" s="404"/>
      <c r="AR184" s="404"/>
      <c r="AS184" s="404"/>
      <c r="AT184" s="127"/>
      <c r="AU184" s="404"/>
      <c r="AV184" s="404"/>
      <c r="AW184" s="404"/>
      <c r="AX184" s="404"/>
      <c r="AY184" s="404"/>
      <c r="AZ184" s="127"/>
    </row>
    <row r="185" spans="1:52" s="170" customFormat="1">
      <c r="A185" s="348" t="s">
        <v>51</v>
      </c>
      <c r="B185" s="427" t="e">
        <f t="shared" ref="B185:AE185" si="82">B169/B$15</f>
        <v>#DIV/0!</v>
      </c>
      <c r="C185" s="427" t="e">
        <f t="shared" si="82"/>
        <v>#DIV/0!</v>
      </c>
      <c r="D185" s="427" t="e">
        <f t="shared" si="82"/>
        <v>#DIV/0!</v>
      </c>
      <c r="E185" s="427" t="e">
        <f t="shared" si="82"/>
        <v>#DIV/0!</v>
      </c>
      <c r="F185" s="427" t="e">
        <f t="shared" ca="1" si="82"/>
        <v>#DIV/0!</v>
      </c>
      <c r="G185" s="427" t="e">
        <f t="shared" ca="1" si="82"/>
        <v>#DIV/0!</v>
      </c>
      <c r="H185" s="427" t="e">
        <f t="shared" ca="1" si="82"/>
        <v>#DIV/0!</v>
      </c>
      <c r="I185" s="427" t="e">
        <f t="shared" ca="1" si="82"/>
        <v>#DIV/0!</v>
      </c>
      <c r="J185" s="427" t="e">
        <f t="shared" ca="1" si="82"/>
        <v>#DIV/0!</v>
      </c>
      <c r="K185" s="427" t="e">
        <f t="shared" ca="1" si="82"/>
        <v>#DIV/0!</v>
      </c>
      <c r="L185" s="427" t="e">
        <f t="shared" ca="1" si="82"/>
        <v>#DIV/0!</v>
      </c>
      <c r="M185" s="427" t="e">
        <f t="shared" ca="1" si="82"/>
        <v>#DIV/0!</v>
      </c>
      <c r="N185" s="427" t="e">
        <f t="shared" ca="1" si="82"/>
        <v>#DIV/0!</v>
      </c>
      <c r="O185" s="427" t="e">
        <f t="shared" ca="1" si="82"/>
        <v>#DIV/0!</v>
      </c>
      <c r="P185" s="427" t="e">
        <f t="shared" ca="1" si="82"/>
        <v>#DIV/0!</v>
      </c>
      <c r="Q185" s="427" t="e">
        <f t="shared" ca="1" si="82"/>
        <v>#DIV/0!</v>
      </c>
      <c r="R185" s="427" t="e">
        <f t="shared" ca="1" si="82"/>
        <v>#DIV/0!</v>
      </c>
      <c r="S185" s="427" t="e">
        <f t="shared" ca="1" si="82"/>
        <v>#DIV/0!</v>
      </c>
      <c r="T185" s="427" t="e">
        <f t="shared" ca="1" si="82"/>
        <v>#DIV/0!</v>
      </c>
      <c r="U185" s="427" t="e">
        <f t="shared" ca="1" si="82"/>
        <v>#DIV/0!</v>
      </c>
      <c r="V185" s="427" t="e">
        <f t="shared" ca="1" si="82"/>
        <v>#DIV/0!</v>
      </c>
      <c r="W185" s="427" t="e">
        <f t="shared" ca="1" si="82"/>
        <v>#DIV/0!</v>
      </c>
      <c r="X185" s="427" t="e">
        <f t="shared" ca="1" si="82"/>
        <v>#DIV/0!</v>
      </c>
      <c r="Y185" s="427" t="e">
        <f t="shared" ca="1" si="82"/>
        <v>#DIV/0!</v>
      </c>
      <c r="Z185" s="427" t="e">
        <f t="shared" ca="1" si="82"/>
        <v>#DIV/0!</v>
      </c>
      <c r="AA185" s="427" t="e">
        <f t="shared" ca="1" si="82"/>
        <v>#DIV/0!</v>
      </c>
      <c r="AB185" s="427" t="e">
        <f t="shared" ca="1" si="82"/>
        <v>#DIV/0!</v>
      </c>
      <c r="AC185" s="427" t="e">
        <f t="shared" ca="1" si="82"/>
        <v>#DIV/0!</v>
      </c>
      <c r="AD185" s="427" t="e">
        <f t="shared" ca="1" si="82"/>
        <v>#DIV/0!</v>
      </c>
      <c r="AE185" s="427" t="e">
        <f t="shared" ca="1" si="82"/>
        <v>#N/A</v>
      </c>
      <c r="AF185" s="427" t="e">
        <f t="shared" ca="1" si="81"/>
        <v>#N/A</v>
      </c>
      <c r="AG185" s="404"/>
      <c r="AH185" s="427" t="str">
        <f t="shared" si="77"/>
        <v>NA</v>
      </c>
      <c r="AI185" s="427"/>
      <c r="AJ185" s="427" t="e">
        <f ca="1">AJ169/AJ$15</f>
        <v>#DIV/0!</v>
      </c>
      <c r="AK185" s="427" t="e">
        <f ca="1">AK169/AK$15</f>
        <v>#DIV/0!</v>
      </c>
      <c r="AL185" s="427" t="e">
        <f ca="1">AL169/AL$15</f>
        <v>#DIV/0!</v>
      </c>
      <c r="AM185" s="427" t="e">
        <f ca="1">AM169/AM$15</f>
        <v>#DIV/0!</v>
      </c>
      <c r="AN185" s="427" t="e">
        <f ca="1">AN169/AN$15</f>
        <v>#DIV/0!</v>
      </c>
      <c r="AO185" s="404"/>
      <c r="AP185" s="427" t="str">
        <f t="shared" ca="1" si="79"/>
        <v>NA</v>
      </c>
      <c r="AQ185" s="404"/>
      <c r="AR185" s="404"/>
      <c r="AS185" s="404"/>
      <c r="AT185" s="127"/>
      <c r="AU185" s="404"/>
      <c r="AV185" s="404"/>
      <c r="AW185" s="404"/>
      <c r="AX185" s="404"/>
      <c r="AY185" s="404"/>
      <c r="AZ185" s="127"/>
    </row>
    <row r="186" spans="1:52" s="170" customFormat="1">
      <c r="A186" s="417" t="s">
        <v>405</v>
      </c>
      <c r="B186" s="427" t="str">
        <f t="shared" ref="B186:AE186" si="83">IFERROR(B170/B$15,"NA")</f>
        <v>NA</v>
      </c>
      <c r="C186" s="427" t="str">
        <f t="shared" si="83"/>
        <v>NA</v>
      </c>
      <c r="D186" s="427" t="str">
        <f t="shared" si="83"/>
        <v>NA</v>
      </c>
      <c r="E186" s="427" t="str">
        <f t="shared" si="83"/>
        <v>NA</v>
      </c>
      <c r="F186" s="427" t="str">
        <f t="shared" ca="1" si="83"/>
        <v>NA</v>
      </c>
      <c r="G186" s="427" t="str">
        <f t="shared" ca="1" si="83"/>
        <v>NA</v>
      </c>
      <c r="H186" s="427" t="str">
        <f t="shared" ca="1" si="83"/>
        <v>NA</v>
      </c>
      <c r="I186" s="427" t="str">
        <f t="shared" ca="1" si="83"/>
        <v>NA</v>
      </c>
      <c r="J186" s="427" t="str">
        <f t="shared" ca="1" si="83"/>
        <v>NA</v>
      </c>
      <c r="K186" s="427" t="str">
        <f t="shared" ca="1" si="83"/>
        <v>NA</v>
      </c>
      <c r="L186" s="427" t="str">
        <f t="shared" ca="1" si="83"/>
        <v>NA</v>
      </c>
      <c r="M186" s="427" t="str">
        <f t="shared" ca="1" si="83"/>
        <v>NA</v>
      </c>
      <c r="N186" s="427" t="str">
        <f t="shared" ca="1" si="83"/>
        <v>NA</v>
      </c>
      <c r="O186" s="427" t="str">
        <f t="shared" ca="1" si="83"/>
        <v>NA</v>
      </c>
      <c r="P186" s="427" t="str">
        <f t="shared" ca="1" si="83"/>
        <v>NA</v>
      </c>
      <c r="Q186" s="427" t="str">
        <f t="shared" ca="1" si="83"/>
        <v>NA</v>
      </c>
      <c r="R186" s="427" t="str">
        <f t="shared" ca="1" si="83"/>
        <v>NA</v>
      </c>
      <c r="S186" s="427" t="str">
        <f t="shared" ca="1" si="83"/>
        <v>NA</v>
      </c>
      <c r="T186" s="427" t="str">
        <f t="shared" ca="1" si="83"/>
        <v>NA</v>
      </c>
      <c r="U186" s="427" t="str">
        <f t="shared" ca="1" si="83"/>
        <v>NA</v>
      </c>
      <c r="V186" s="427" t="str">
        <f t="shared" ca="1" si="83"/>
        <v>NA</v>
      </c>
      <c r="W186" s="427" t="str">
        <f t="shared" ca="1" si="83"/>
        <v>NA</v>
      </c>
      <c r="X186" s="427" t="str">
        <f t="shared" ca="1" si="83"/>
        <v>NA</v>
      </c>
      <c r="Y186" s="427" t="str">
        <f t="shared" ca="1" si="83"/>
        <v>NA</v>
      </c>
      <c r="Z186" s="427" t="str">
        <f t="shared" ca="1" si="83"/>
        <v>NA</v>
      </c>
      <c r="AA186" s="427" t="str">
        <f t="shared" ca="1" si="83"/>
        <v>NA</v>
      </c>
      <c r="AB186" s="427" t="str">
        <f t="shared" ca="1" si="83"/>
        <v>NA</v>
      </c>
      <c r="AC186" s="427" t="str">
        <f t="shared" ca="1" si="83"/>
        <v>NA</v>
      </c>
      <c r="AD186" s="427" t="str">
        <f t="shared" ca="1" si="83"/>
        <v>NA</v>
      </c>
      <c r="AE186" s="427" t="str">
        <f t="shared" ca="1" si="83"/>
        <v>NA</v>
      </c>
      <c r="AF186" s="427" t="str">
        <f t="shared" ca="1" si="81"/>
        <v>NA</v>
      </c>
      <c r="AG186" s="404"/>
      <c r="AH186" s="427" t="str">
        <f t="shared" ca="1" si="77"/>
        <v>NA</v>
      </c>
      <c r="AI186" s="427"/>
      <c r="AJ186" s="427" t="str">
        <f t="shared" ref="AJ186:AN189" ca="1" si="84">IFERROR(AJ170/AJ$15,"NA")</f>
        <v>NA</v>
      </c>
      <c r="AK186" s="427" t="str">
        <f t="shared" ca="1" si="84"/>
        <v>NA</v>
      </c>
      <c r="AL186" s="427" t="str">
        <f t="shared" ca="1" si="84"/>
        <v>NA</v>
      </c>
      <c r="AM186" s="427" t="str">
        <f t="shared" ca="1" si="84"/>
        <v>NA</v>
      </c>
      <c r="AN186" s="427" t="str">
        <f t="shared" ca="1" si="84"/>
        <v>NA</v>
      </c>
      <c r="AO186" s="404"/>
      <c r="AP186" s="427" t="str">
        <f t="shared" ca="1" si="79"/>
        <v>NA</v>
      </c>
      <c r="AQ186" s="404"/>
      <c r="AR186" s="404"/>
      <c r="AS186" s="404"/>
      <c r="AT186" s="127"/>
      <c r="AU186" s="404"/>
      <c r="AV186" s="404"/>
      <c r="AW186" s="404"/>
      <c r="AX186" s="404"/>
      <c r="AY186" s="404"/>
      <c r="AZ186" s="127"/>
    </row>
    <row r="187" spans="1:52" s="170" customFormat="1">
      <c r="A187" s="417" t="s">
        <v>406</v>
      </c>
      <c r="B187" s="427" t="str">
        <f t="shared" ref="B187:AE187" si="85">IFERROR(B171/B$15,"NA")</f>
        <v>NA</v>
      </c>
      <c r="C187" s="427" t="str">
        <f t="shared" si="85"/>
        <v>NA</v>
      </c>
      <c r="D187" s="427" t="str">
        <f t="shared" si="85"/>
        <v>NA</v>
      </c>
      <c r="E187" s="427" t="str">
        <f t="shared" si="85"/>
        <v>NA</v>
      </c>
      <c r="F187" s="427" t="str">
        <f t="shared" ca="1" si="85"/>
        <v>NA</v>
      </c>
      <c r="G187" s="427" t="str">
        <f t="shared" ca="1" si="85"/>
        <v>NA</v>
      </c>
      <c r="H187" s="427" t="str">
        <f t="shared" ca="1" si="85"/>
        <v>NA</v>
      </c>
      <c r="I187" s="427" t="str">
        <f t="shared" ca="1" si="85"/>
        <v>NA</v>
      </c>
      <c r="J187" s="427" t="str">
        <f t="shared" ca="1" si="85"/>
        <v>NA</v>
      </c>
      <c r="K187" s="427" t="str">
        <f t="shared" ca="1" si="85"/>
        <v>NA</v>
      </c>
      <c r="L187" s="427" t="str">
        <f t="shared" ca="1" si="85"/>
        <v>NA</v>
      </c>
      <c r="M187" s="427" t="str">
        <f t="shared" ca="1" si="85"/>
        <v>NA</v>
      </c>
      <c r="N187" s="427" t="str">
        <f t="shared" ca="1" si="85"/>
        <v>NA</v>
      </c>
      <c r="O187" s="427" t="str">
        <f t="shared" ca="1" si="85"/>
        <v>NA</v>
      </c>
      <c r="P187" s="427" t="str">
        <f t="shared" ca="1" si="85"/>
        <v>NA</v>
      </c>
      <c r="Q187" s="427" t="str">
        <f t="shared" ca="1" si="85"/>
        <v>NA</v>
      </c>
      <c r="R187" s="427" t="str">
        <f t="shared" ca="1" si="85"/>
        <v>NA</v>
      </c>
      <c r="S187" s="427" t="str">
        <f t="shared" ca="1" si="85"/>
        <v>NA</v>
      </c>
      <c r="T187" s="427" t="str">
        <f t="shared" ca="1" si="85"/>
        <v>NA</v>
      </c>
      <c r="U187" s="427" t="str">
        <f t="shared" ca="1" si="85"/>
        <v>NA</v>
      </c>
      <c r="V187" s="427" t="str">
        <f t="shared" ca="1" si="85"/>
        <v>NA</v>
      </c>
      <c r="W187" s="427" t="str">
        <f t="shared" ca="1" si="85"/>
        <v>NA</v>
      </c>
      <c r="X187" s="427" t="str">
        <f t="shared" ca="1" si="85"/>
        <v>NA</v>
      </c>
      <c r="Y187" s="427" t="str">
        <f t="shared" ca="1" si="85"/>
        <v>NA</v>
      </c>
      <c r="Z187" s="427" t="str">
        <f t="shared" ca="1" si="85"/>
        <v>NA</v>
      </c>
      <c r="AA187" s="427" t="str">
        <f t="shared" ca="1" si="85"/>
        <v>NA</v>
      </c>
      <c r="AB187" s="427" t="str">
        <f t="shared" ca="1" si="85"/>
        <v>NA</v>
      </c>
      <c r="AC187" s="427" t="str">
        <f t="shared" ca="1" si="85"/>
        <v>NA</v>
      </c>
      <c r="AD187" s="427" t="str">
        <f t="shared" ca="1" si="85"/>
        <v>NA</v>
      </c>
      <c r="AE187" s="427" t="str">
        <f t="shared" ca="1" si="85"/>
        <v>NA</v>
      </c>
      <c r="AF187" s="427" t="str">
        <f t="shared" ca="1" si="81"/>
        <v>NA</v>
      </c>
      <c r="AG187" s="404"/>
      <c r="AH187" s="427" t="str">
        <f t="shared" ca="1" si="77"/>
        <v>NA</v>
      </c>
      <c r="AI187" s="427"/>
      <c r="AJ187" s="427" t="str">
        <f t="shared" ca="1" si="84"/>
        <v>NA</v>
      </c>
      <c r="AK187" s="427" t="str">
        <f t="shared" ca="1" si="84"/>
        <v>NA</v>
      </c>
      <c r="AL187" s="427" t="str">
        <f t="shared" ca="1" si="84"/>
        <v>NA</v>
      </c>
      <c r="AM187" s="427" t="str">
        <f t="shared" ca="1" si="84"/>
        <v>NA</v>
      </c>
      <c r="AN187" s="427" t="str">
        <f t="shared" ca="1" si="84"/>
        <v>NA</v>
      </c>
      <c r="AO187" s="404"/>
      <c r="AP187" s="427" t="str">
        <f t="shared" ca="1" si="79"/>
        <v>NA</v>
      </c>
      <c r="AQ187" s="404"/>
      <c r="AR187" s="404"/>
      <c r="AS187" s="404"/>
      <c r="AT187" s="127"/>
      <c r="AU187" s="404"/>
      <c r="AV187" s="404"/>
      <c r="AW187" s="404"/>
      <c r="AX187" s="404"/>
      <c r="AY187" s="404"/>
      <c r="AZ187" s="127"/>
    </row>
    <row r="188" spans="1:52" s="170" customFormat="1">
      <c r="A188" s="417" t="s">
        <v>407</v>
      </c>
      <c r="B188" s="427" t="str">
        <f t="shared" ref="B188:AE188" si="86">IFERROR(B172/B$15,"NA")</f>
        <v>NA</v>
      </c>
      <c r="C188" s="427" t="str">
        <f t="shared" si="86"/>
        <v>NA</v>
      </c>
      <c r="D188" s="427" t="str">
        <f t="shared" si="86"/>
        <v>NA</v>
      </c>
      <c r="E188" s="427" t="str">
        <f t="shared" si="86"/>
        <v>NA</v>
      </c>
      <c r="F188" s="427" t="str">
        <f t="shared" ca="1" si="86"/>
        <v>NA</v>
      </c>
      <c r="G188" s="427" t="str">
        <f t="shared" ca="1" si="86"/>
        <v>NA</v>
      </c>
      <c r="H188" s="427" t="str">
        <f t="shared" ca="1" si="86"/>
        <v>NA</v>
      </c>
      <c r="I188" s="427" t="str">
        <f t="shared" ca="1" si="86"/>
        <v>NA</v>
      </c>
      <c r="J188" s="427" t="str">
        <f t="shared" ca="1" si="86"/>
        <v>NA</v>
      </c>
      <c r="K188" s="427" t="str">
        <f t="shared" ca="1" si="86"/>
        <v>NA</v>
      </c>
      <c r="L188" s="427" t="str">
        <f t="shared" ca="1" si="86"/>
        <v>NA</v>
      </c>
      <c r="M188" s="427" t="str">
        <f t="shared" ca="1" si="86"/>
        <v>NA</v>
      </c>
      <c r="N188" s="427" t="str">
        <f t="shared" ca="1" si="86"/>
        <v>NA</v>
      </c>
      <c r="O188" s="427" t="str">
        <f t="shared" ca="1" si="86"/>
        <v>NA</v>
      </c>
      <c r="P188" s="427" t="str">
        <f t="shared" ca="1" si="86"/>
        <v>NA</v>
      </c>
      <c r="Q188" s="427" t="str">
        <f t="shared" ca="1" si="86"/>
        <v>NA</v>
      </c>
      <c r="R188" s="427" t="str">
        <f t="shared" ca="1" si="86"/>
        <v>NA</v>
      </c>
      <c r="S188" s="427" t="str">
        <f t="shared" ca="1" si="86"/>
        <v>NA</v>
      </c>
      <c r="T188" s="427" t="str">
        <f t="shared" ca="1" si="86"/>
        <v>NA</v>
      </c>
      <c r="U188" s="427" t="str">
        <f t="shared" ca="1" si="86"/>
        <v>NA</v>
      </c>
      <c r="V188" s="427" t="str">
        <f t="shared" ca="1" si="86"/>
        <v>NA</v>
      </c>
      <c r="W188" s="427" t="str">
        <f t="shared" ca="1" si="86"/>
        <v>NA</v>
      </c>
      <c r="X188" s="427" t="str">
        <f t="shared" ca="1" si="86"/>
        <v>NA</v>
      </c>
      <c r="Y188" s="427" t="str">
        <f t="shared" ca="1" si="86"/>
        <v>NA</v>
      </c>
      <c r="Z188" s="427" t="str">
        <f t="shared" ca="1" si="86"/>
        <v>NA</v>
      </c>
      <c r="AA188" s="427" t="str">
        <f t="shared" ca="1" si="86"/>
        <v>NA</v>
      </c>
      <c r="AB188" s="427" t="str">
        <f t="shared" ca="1" si="86"/>
        <v>NA</v>
      </c>
      <c r="AC188" s="427" t="str">
        <f t="shared" ca="1" si="86"/>
        <v>NA</v>
      </c>
      <c r="AD188" s="427" t="str">
        <f t="shared" ca="1" si="86"/>
        <v>NA</v>
      </c>
      <c r="AE188" s="427" t="str">
        <f t="shared" ca="1" si="86"/>
        <v>NA</v>
      </c>
      <c r="AF188" s="427" t="str">
        <f t="shared" ca="1" si="81"/>
        <v>NA</v>
      </c>
      <c r="AG188" s="404"/>
      <c r="AH188" s="427" t="str">
        <f t="shared" ca="1" si="77"/>
        <v>NA</v>
      </c>
      <c r="AI188" s="427"/>
      <c r="AJ188" s="427" t="str">
        <f t="shared" ca="1" si="84"/>
        <v>NA</v>
      </c>
      <c r="AK188" s="427" t="str">
        <f t="shared" ca="1" si="84"/>
        <v>NA</v>
      </c>
      <c r="AL188" s="427" t="str">
        <f t="shared" ca="1" si="84"/>
        <v>NA</v>
      </c>
      <c r="AM188" s="427" t="str">
        <f t="shared" ca="1" si="84"/>
        <v>NA</v>
      </c>
      <c r="AN188" s="427" t="str">
        <f t="shared" ca="1" si="84"/>
        <v>NA</v>
      </c>
      <c r="AO188" s="404"/>
      <c r="AP188" s="427" t="str">
        <f t="shared" ca="1" si="79"/>
        <v>NA</v>
      </c>
      <c r="AQ188" s="404"/>
      <c r="AR188" s="404"/>
      <c r="AS188" s="404"/>
      <c r="AT188" s="127"/>
      <c r="AU188" s="404"/>
      <c r="AV188" s="404"/>
      <c r="AW188" s="404"/>
      <c r="AX188" s="404"/>
      <c r="AY188" s="404"/>
      <c r="AZ188" s="127"/>
    </row>
    <row r="189" spans="1:52" s="170" customFormat="1">
      <c r="A189" s="417" t="s">
        <v>52</v>
      </c>
      <c r="B189" s="427" t="str">
        <f t="shared" ref="B189:AE189" si="87">IFERROR(B173/B$15,"NA")</f>
        <v>NA</v>
      </c>
      <c r="C189" s="427" t="str">
        <f t="shared" si="87"/>
        <v>NA</v>
      </c>
      <c r="D189" s="427" t="str">
        <f t="shared" si="87"/>
        <v>NA</v>
      </c>
      <c r="E189" s="427" t="str">
        <f t="shared" si="87"/>
        <v>NA</v>
      </c>
      <c r="F189" s="427" t="str">
        <f t="shared" ca="1" si="87"/>
        <v>NA</v>
      </c>
      <c r="G189" s="427" t="str">
        <f t="shared" ca="1" si="87"/>
        <v>NA</v>
      </c>
      <c r="H189" s="427" t="str">
        <f t="shared" ca="1" si="87"/>
        <v>NA</v>
      </c>
      <c r="I189" s="427" t="str">
        <f t="shared" ca="1" si="87"/>
        <v>NA</v>
      </c>
      <c r="J189" s="427" t="str">
        <f t="shared" ca="1" si="87"/>
        <v>NA</v>
      </c>
      <c r="K189" s="427" t="str">
        <f t="shared" ca="1" si="87"/>
        <v>NA</v>
      </c>
      <c r="L189" s="427" t="str">
        <f t="shared" ca="1" si="87"/>
        <v>NA</v>
      </c>
      <c r="M189" s="427" t="str">
        <f t="shared" ca="1" si="87"/>
        <v>NA</v>
      </c>
      <c r="N189" s="427" t="str">
        <f t="shared" ca="1" si="87"/>
        <v>NA</v>
      </c>
      <c r="O189" s="427" t="str">
        <f t="shared" ca="1" si="87"/>
        <v>NA</v>
      </c>
      <c r="P189" s="427" t="str">
        <f t="shared" ca="1" si="87"/>
        <v>NA</v>
      </c>
      <c r="Q189" s="427" t="str">
        <f t="shared" ca="1" si="87"/>
        <v>NA</v>
      </c>
      <c r="R189" s="427" t="str">
        <f t="shared" ca="1" si="87"/>
        <v>NA</v>
      </c>
      <c r="S189" s="427" t="str">
        <f t="shared" ca="1" si="87"/>
        <v>NA</v>
      </c>
      <c r="T189" s="427" t="str">
        <f t="shared" ca="1" si="87"/>
        <v>NA</v>
      </c>
      <c r="U189" s="427" t="str">
        <f t="shared" ca="1" si="87"/>
        <v>NA</v>
      </c>
      <c r="V189" s="427" t="str">
        <f t="shared" ca="1" si="87"/>
        <v>NA</v>
      </c>
      <c r="W189" s="427" t="str">
        <f t="shared" ca="1" si="87"/>
        <v>NA</v>
      </c>
      <c r="X189" s="427" t="str">
        <f t="shared" ca="1" si="87"/>
        <v>NA</v>
      </c>
      <c r="Y189" s="427" t="str">
        <f t="shared" ca="1" si="87"/>
        <v>NA</v>
      </c>
      <c r="Z189" s="427" t="str">
        <f t="shared" ca="1" si="87"/>
        <v>NA</v>
      </c>
      <c r="AA189" s="427" t="str">
        <f t="shared" ca="1" si="87"/>
        <v>NA</v>
      </c>
      <c r="AB189" s="427" t="str">
        <f t="shared" ca="1" si="87"/>
        <v>NA</v>
      </c>
      <c r="AC189" s="427" t="str">
        <f t="shared" ca="1" si="87"/>
        <v>NA</v>
      </c>
      <c r="AD189" s="427" t="str">
        <f t="shared" ca="1" si="87"/>
        <v>NA</v>
      </c>
      <c r="AE189" s="427" t="str">
        <f t="shared" ca="1" si="87"/>
        <v>NA</v>
      </c>
      <c r="AF189" s="427" t="str">
        <f t="shared" ca="1" si="81"/>
        <v>NA</v>
      </c>
      <c r="AG189" s="404"/>
      <c r="AH189" s="427" t="str">
        <f t="shared" ca="1" si="77"/>
        <v>NA</v>
      </c>
      <c r="AI189" s="427"/>
      <c r="AJ189" s="427" t="str">
        <f t="shared" ca="1" si="84"/>
        <v>NA</v>
      </c>
      <c r="AK189" s="427" t="str">
        <f t="shared" ca="1" si="84"/>
        <v>NA</v>
      </c>
      <c r="AL189" s="427" t="str">
        <f t="shared" ca="1" si="84"/>
        <v>NA</v>
      </c>
      <c r="AM189" s="427" t="str">
        <f t="shared" ca="1" si="84"/>
        <v>NA</v>
      </c>
      <c r="AN189" s="427" t="str">
        <f t="shared" ca="1" si="84"/>
        <v>NA</v>
      </c>
      <c r="AO189" s="404"/>
      <c r="AP189" s="427" t="str">
        <f t="shared" ca="1" si="79"/>
        <v>NA</v>
      </c>
      <c r="AQ189" s="404"/>
      <c r="AR189" s="404"/>
      <c r="AS189" s="404"/>
      <c r="AT189" s="127"/>
      <c r="AU189" s="404"/>
      <c r="AV189" s="404"/>
      <c r="AW189" s="404"/>
      <c r="AX189" s="404"/>
      <c r="AY189" s="404"/>
      <c r="AZ189" s="127"/>
    </row>
    <row r="190" spans="1:52" s="170" customFormat="1">
      <c r="A190" s="348" t="s">
        <v>53</v>
      </c>
      <c r="B190" s="427" t="e">
        <f t="shared" ref="B190:AE191" si="88">B174/B$15</f>
        <v>#DIV/0!</v>
      </c>
      <c r="C190" s="427" t="e">
        <f t="shared" si="88"/>
        <v>#DIV/0!</v>
      </c>
      <c r="D190" s="427" t="e">
        <f t="shared" si="88"/>
        <v>#DIV/0!</v>
      </c>
      <c r="E190" s="427" t="e">
        <f t="shared" si="88"/>
        <v>#DIV/0!</v>
      </c>
      <c r="F190" s="427" t="e">
        <f t="shared" ca="1" si="88"/>
        <v>#DIV/0!</v>
      </c>
      <c r="G190" s="427" t="e">
        <f t="shared" ca="1" si="88"/>
        <v>#DIV/0!</v>
      </c>
      <c r="H190" s="427" t="e">
        <f t="shared" ca="1" si="88"/>
        <v>#DIV/0!</v>
      </c>
      <c r="I190" s="427" t="e">
        <f t="shared" ca="1" si="88"/>
        <v>#DIV/0!</v>
      </c>
      <c r="J190" s="427" t="e">
        <f t="shared" ca="1" si="88"/>
        <v>#DIV/0!</v>
      </c>
      <c r="K190" s="427" t="e">
        <f t="shared" ca="1" si="88"/>
        <v>#DIV/0!</v>
      </c>
      <c r="L190" s="427" t="e">
        <f t="shared" ca="1" si="88"/>
        <v>#DIV/0!</v>
      </c>
      <c r="M190" s="427" t="e">
        <f t="shared" ca="1" si="88"/>
        <v>#DIV/0!</v>
      </c>
      <c r="N190" s="427" t="e">
        <f t="shared" ca="1" si="88"/>
        <v>#DIV/0!</v>
      </c>
      <c r="O190" s="427" t="e">
        <f t="shared" ca="1" si="88"/>
        <v>#DIV/0!</v>
      </c>
      <c r="P190" s="427" t="e">
        <f t="shared" ca="1" si="88"/>
        <v>#DIV/0!</v>
      </c>
      <c r="Q190" s="427" t="e">
        <f t="shared" ca="1" si="88"/>
        <v>#DIV/0!</v>
      </c>
      <c r="R190" s="427" t="e">
        <f t="shared" ca="1" si="88"/>
        <v>#DIV/0!</v>
      </c>
      <c r="S190" s="427" t="e">
        <f t="shared" ca="1" si="88"/>
        <v>#DIV/0!</v>
      </c>
      <c r="T190" s="427" t="e">
        <f t="shared" ca="1" si="88"/>
        <v>#DIV/0!</v>
      </c>
      <c r="U190" s="427" t="e">
        <f t="shared" ca="1" si="88"/>
        <v>#DIV/0!</v>
      </c>
      <c r="V190" s="427" t="e">
        <f t="shared" ca="1" si="88"/>
        <v>#DIV/0!</v>
      </c>
      <c r="W190" s="427" t="e">
        <f t="shared" ca="1" si="88"/>
        <v>#DIV/0!</v>
      </c>
      <c r="X190" s="427" t="e">
        <f t="shared" ca="1" si="88"/>
        <v>#DIV/0!</v>
      </c>
      <c r="Y190" s="427" t="e">
        <f t="shared" ca="1" si="88"/>
        <v>#DIV/0!</v>
      </c>
      <c r="Z190" s="427" t="e">
        <f t="shared" ca="1" si="88"/>
        <v>#DIV/0!</v>
      </c>
      <c r="AA190" s="427" t="e">
        <f t="shared" ca="1" si="88"/>
        <v>#DIV/0!</v>
      </c>
      <c r="AB190" s="427" t="e">
        <f t="shared" ca="1" si="88"/>
        <v>#DIV/0!</v>
      </c>
      <c r="AC190" s="427" t="e">
        <f t="shared" ca="1" si="88"/>
        <v>#DIV/0!</v>
      </c>
      <c r="AD190" s="427" t="e">
        <f t="shared" ca="1" si="88"/>
        <v>#DIV/0!</v>
      </c>
      <c r="AE190" s="427" t="e">
        <f t="shared" ca="1" si="88"/>
        <v>#N/A</v>
      </c>
      <c r="AF190" s="427" t="e">
        <f t="shared" ca="1" si="81"/>
        <v>#N/A</v>
      </c>
      <c r="AG190" s="404"/>
      <c r="AH190" s="427" t="str">
        <f t="shared" si="77"/>
        <v>NA</v>
      </c>
      <c r="AI190" s="427"/>
      <c r="AJ190" s="427" t="e">
        <f t="shared" ref="AJ190:AN192" ca="1" si="89">AJ174/AJ$15</f>
        <v>#DIV/0!</v>
      </c>
      <c r="AK190" s="427" t="e">
        <f t="shared" ca="1" si="89"/>
        <v>#DIV/0!</v>
      </c>
      <c r="AL190" s="427" t="e">
        <f t="shared" ca="1" si="89"/>
        <v>#DIV/0!</v>
      </c>
      <c r="AM190" s="427" t="e">
        <f t="shared" ca="1" si="89"/>
        <v>#DIV/0!</v>
      </c>
      <c r="AN190" s="427" t="e">
        <f t="shared" ca="1" si="89"/>
        <v>#DIV/0!</v>
      </c>
      <c r="AO190" s="404"/>
      <c r="AP190" s="427" t="str">
        <f t="shared" ca="1" si="79"/>
        <v>NA</v>
      </c>
      <c r="AQ190" s="404"/>
      <c r="AR190" s="404"/>
      <c r="AS190" s="404"/>
      <c r="AT190" s="127"/>
      <c r="AU190" s="404"/>
      <c r="AV190" s="404"/>
      <c r="AW190" s="404"/>
      <c r="AX190" s="404"/>
      <c r="AY190" s="404"/>
      <c r="AZ190" s="127"/>
    </row>
    <row r="191" spans="1:52" s="170" customFormat="1" ht="21.75" customHeight="1">
      <c r="A191" s="882" t="s">
        <v>933</v>
      </c>
      <c r="B191" s="427" t="e">
        <f t="shared" si="88"/>
        <v>#DIV/0!</v>
      </c>
      <c r="C191" s="427" t="e">
        <f>C175/AVERAGE(B$15,C$15)</f>
        <v>#DIV/0!</v>
      </c>
      <c r="D191" s="427" t="e">
        <f>D175/AVERAGE(C$15,D$15)</f>
        <v>#DIV/0!</v>
      </c>
      <c r="E191" s="427" t="e">
        <f>E175/AVERAGE(D$15,E$15)</f>
        <v>#DIV/0!</v>
      </c>
      <c r="F191" s="427" t="e">
        <f ca="1">F175/AVERAGE($E$15:F$15)</f>
        <v>#DIV/0!</v>
      </c>
      <c r="G191" s="427" t="e">
        <f ca="1">G175/AVERAGE($E$15:G$15)</f>
        <v>#DIV/0!</v>
      </c>
      <c r="H191" s="427" t="e">
        <f ca="1">H175/AVERAGE($E$15:H$15)</f>
        <v>#DIV/0!</v>
      </c>
      <c r="I191" s="427" t="e">
        <f ca="1">I175/AVERAGE($E$15:I$15)</f>
        <v>#DIV/0!</v>
      </c>
      <c r="J191" s="427" t="e">
        <f ca="1">J175/AVERAGE($E$15:J$15)</f>
        <v>#DIV/0!</v>
      </c>
      <c r="K191" s="427" t="e">
        <f ca="1">K175/AVERAGE($E$15:K$15)</f>
        <v>#DIV/0!</v>
      </c>
      <c r="L191" s="427" t="e">
        <f ca="1">L175/AVERAGE($E$15:L$15)</f>
        <v>#DIV/0!</v>
      </c>
      <c r="M191" s="427" t="e">
        <f ca="1">M175/AVERAGE($E$15:M$15)</f>
        <v>#DIV/0!</v>
      </c>
      <c r="N191" s="427" t="e">
        <f ca="1">N175/AVERAGE($E$15:N$15)</f>
        <v>#DIV/0!</v>
      </c>
      <c r="O191" s="427" t="e">
        <f ca="1">O175/AVERAGE($E$15:O$15)</f>
        <v>#DIV/0!</v>
      </c>
      <c r="P191" s="427" t="e">
        <f ca="1">P175/AVERAGE($E$15:P$15)</f>
        <v>#DIV/0!</v>
      </c>
      <c r="Q191" s="427" t="e">
        <f ca="1">Q175/AVERAGE($E$15:Q$15)</f>
        <v>#DIV/0!</v>
      </c>
      <c r="R191" s="427" t="e">
        <f ca="1">R175/AVERAGE(E$15,R$15)</f>
        <v>#DIV/0!</v>
      </c>
      <c r="S191" s="427" t="e">
        <f ca="1">S175/AVERAGE($R$15:S15)</f>
        <v>#DIV/0!</v>
      </c>
      <c r="T191" s="427" t="e">
        <f ca="1">T175/AVERAGE($R$15:T15)</f>
        <v>#DIV/0!</v>
      </c>
      <c r="U191" s="427" t="e">
        <f ca="1">U175/AVERAGE($R$15:U15)</f>
        <v>#DIV/0!</v>
      </c>
      <c r="V191" s="427" t="e">
        <f ca="1">V175/AVERAGE($R$15:V15)</f>
        <v>#DIV/0!</v>
      </c>
      <c r="W191" s="427" t="e">
        <f ca="1">W175/AVERAGE($R$15:W15)</f>
        <v>#DIV/0!</v>
      </c>
      <c r="X191" s="427" t="e">
        <f ca="1">X175/AVERAGE($R$15:X15)</f>
        <v>#DIV/0!</v>
      </c>
      <c r="Y191" s="427" t="e">
        <f ca="1">Y175/AVERAGE($R$15:Y15)</f>
        <v>#DIV/0!</v>
      </c>
      <c r="Z191" s="427" t="e">
        <f ca="1">Z175/AVERAGE($R$15:Z15)</f>
        <v>#DIV/0!</v>
      </c>
      <c r="AA191" s="427" t="e">
        <f ca="1">AA175/AVERAGE($R$15:AA15)</f>
        <v>#DIV/0!</v>
      </c>
      <c r="AB191" s="427" t="e">
        <f ca="1">AB175/AVERAGE($R$15:AB15)</f>
        <v>#DIV/0!</v>
      </c>
      <c r="AC191" s="427" t="e">
        <f ca="1">AC175/AVERAGE($R$15:AC15)</f>
        <v>#DIV/0!</v>
      </c>
      <c r="AD191" s="427" t="e">
        <f ca="1">AD175/AVERAGE($R$15:AD15)</f>
        <v>#DIV/0!</v>
      </c>
      <c r="AE191" s="427" t="e">
        <f ca="1">AE175/AVERAGE(R$15:AE$15)</f>
        <v>#N/A</v>
      </c>
      <c r="AF191" s="427" t="e">
        <f ca="1">AF175/AVERAGE(HLOOKUP(1,F$6:Q95,ROW(AE15)-5,FALSE),AE$15)</f>
        <v>#N/A</v>
      </c>
      <c r="AG191" s="404"/>
      <c r="AH191" s="427" t="str">
        <f t="shared" si="77"/>
        <v>NA</v>
      </c>
      <c r="AI191" s="427"/>
      <c r="AJ191" s="437" t="e">
        <f ca="1">AJ175/AVERAGE(R15,AJ$15)</f>
        <v>#DIV/0!</v>
      </c>
      <c r="AK191" s="437" t="e">
        <f ca="1">AK175/AVERAGE(AJ$15,AK$15)</f>
        <v>#DIV/0!</v>
      </c>
      <c r="AL191" s="437" t="e">
        <f ca="1">AL175/AVERAGE(AK$15,AL$15)</f>
        <v>#DIV/0!</v>
      </c>
      <c r="AM191" s="437" t="e">
        <f ca="1">AM175/AVERAGE(AL$15,AM$15)</f>
        <v>#DIV/0!</v>
      </c>
      <c r="AN191" s="427" t="e">
        <f ca="1">AN175/AVERAGE(AM$15,AN$15)</f>
        <v>#DIV/0!</v>
      </c>
      <c r="AO191" s="404"/>
      <c r="AP191" s="427" t="str">
        <f t="shared" ca="1" si="79"/>
        <v>NA</v>
      </c>
      <c r="AQ191" s="404"/>
      <c r="AR191" s="404"/>
      <c r="AS191" s="404"/>
      <c r="AT191" s="127"/>
      <c r="AU191" s="404"/>
      <c r="AV191" s="404"/>
      <c r="AW191" s="404"/>
      <c r="AX191" s="404"/>
      <c r="AY191" s="404"/>
      <c r="AZ191" s="127"/>
    </row>
    <row r="192" spans="1:52" s="170" customFormat="1">
      <c r="A192" s="417" t="s">
        <v>363</v>
      </c>
      <c r="B192" s="427" t="e">
        <f t="shared" ref="B192:AE192" si="90">B176/B$15</f>
        <v>#DIV/0!</v>
      </c>
      <c r="C192" s="427" t="e">
        <f t="shared" si="90"/>
        <v>#DIV/0!</v>
      </c>
      <c r="D192" s="427" t="e">
        <f t="shared" si="90"/>
        <v>#DIV/0!</v>
      </c>
      <c r="E192" s="427" t="e">
        <f t="shared" si="90"/>
        <v>#DIV/0!</v>
      </c>
      <c r="F192" s="427" t="e">
        <f t="shared" ca="1" si="90"/>
        <v>#DIV/0!</v>
      </c>
      <c r="G192" s="427" t="e">
        <f t="shared" ca="1" si="90"/>
        <v>#DIV/0!</v>
      </c>
      <c r="H192" s="427" t="e">
        <f t="shared" ca="1" si="90"/>
        <v>#DIV/0!</v>
      </c>
      <c r="I192" s="427" t="e">
        <f t="shared" ca="1" si="90"/>
        <v>#DIV/0!</v>
      </c>
      <c r="J192" s="427" t="e">
        <f t="shared" ca="1" si="90"/>
        <v>#DIV/0!</v>
      </c>
      <c r="K192" s="427" t="e">
        <f t="shared" ca="1" si="90"/>
        <v>#DIV/0!</v>
      </c>
      <c r="L192" s="427" t="e">
        <f t="shared" ca="1" si="90"/>
        <v>#DIV/0!</v>
      </c>
      <c r="M192" s="427" t="e">
        <f t="shared" ca="1" si="90"/>
        <v>#DIV/0!</v>
      </c>
      <c r="N192" s="427" t="e">
        <f t="shared" ca="1" si="90"/>
        <v>#DIV/0!</v>
      </c>
      <c r="O192" s="427" t="e">
        <f t="shared" ca="1" si="90"/>
        <v>#DIV/0!</v>
      </c>
      <c r="P192" s="427" t="e">
        <f t="shared" ca="1" si="90"/>
        <v>#DIV/0!</v>
      </c>
      <c r="Q192" s="427" t="e">
        <f t="shared" ca="1" si="90"/>
        <v>#DIV/0!</v>
      </c>
      <c r="R192" s="427" t="e">
        <f t="shared" ca="1" si="90"/>
        <v>#DIV/0!</v>
      </c>
      <c r="S192" s="427" t="e">
        <f t="shared" ca="1" si="90"/>
        <v>#DIV/0!</v>
      </c>
      <c r="T192" s="427" t="e">
        <f t="shared" ca="1" si="90"/>
        <v>#DIV/0!</v>
      </c>
      <c r="U192" s="427" t="e">
        <f t="shared" ca="1" si="90"/>
        <v>#DIV/0!</v>
      </c>
      <c r="V192" s="427" t="e">
        <f t="shared" ca="1" si="90"/>
        <v>#DIV/0!</v>
      </c>
      <c r="W192" s="427" t="e">
        <f t="shared" ca="1" si="90"/>
        <v>#DIV/0!</v>
      </c>
      <c r="X192" s="427" t="e">
        <f t="shared" ca="1" si="90"/>
        <v>#DIV/0!</v>
      </c>
      <c r="Y192" s="427" t="e">
        <f t="shared" ca="1" si="90"/>
        <v>#DIV/0!</v>
      </c>
      <c r="Z192" s="427" t="e">
        <f t="shared" ca="1" si="90"/>
        <v>#DIV/0!</v>
      </c>
      <c r="AA192" s="427" t="e">
        <f t="shared" ca="1" si="90"/>
        <v>#DIV/0!</v>
      </c>
      <c r="AB192" s="427" t="e">
        <f t="shared" ca="1" si="90"/>
        <v>#DIV/0!</v>
      </c>
      <c r="AC192" s="427" t="e">
        <f t="shared" ca="1" si="90"/>
        <v>#DIV/0!</v>
      </c>
      <c r="AD192" s="427" t="e">
        <f t="shared" ca="1" si="90"/>
        <v>#DIV/0!</v>
      </c>
      <c r="AE192" s="427" t="e">
        <f t="shared" ca="1" si="90"/>
        <v>#N/A</v>
      </c>
      <c r="AF192" s="427" t="e">
        <f ca="1">AF176/AE$15</f>
        <v>#N/A</v>
      </c>
      <c r="AG192" s="404"/>
      <c r="AH192" s="427" t="str">
        <f t="shared" si="77"/>
        <v>NA</v>
      </c>
      <c r="AI192" s="427"/>
      <c r="AJ192" s="427" t="e">
        <f t="shared" ca="1" si="89"/>
        <v>#DIV/0!</v>
      </c>
      <c r="AK192" s="427" t="e">
        <f t="shared" ca="1" si="89"/>
        <v>#DIV/0!</v>
      </c>
      <c r="AL192" s="427" t="e">
        <f t="shared" ca="1" si="89"/>
        <v>#DIV/0!</v>
      </c>
      <c r="AM192" s="427" t="e">
        <f t="shared" ca="1" si="89"/>
        <v>#DIV/0!</v>
      </c>
      <c r="AN192" s="427" t="e">
        <f t="shared" ca="1" si="89"/>
        <v>#DIV/0!</v>
      </c>
      <c r="AO192" s="404"/>
      <c r="AP192" s="427" t="str">
        <f t="shared" ca="1" si="79"/>
        <v>NA</v>
      </c>
      <c r="AQ192" s="404"/>
      <c r="AR192" s="404"/>
      <c r="AS192" s="404"/>
      <c r="AT192" s="127"/>
      <c r="AU192" s="404"/>
      <c r="AV192" s="404"/>
      <c r="AW192" s="404"/>
      <c r="AX192" s="404"/>
      <c r="AY192" s="404"/>
      <c r="AZ192" s="127"/>
    </row>
    <row r="193" spans="1:52" s="170" customFormat="1">
      <c r="A193" s="428" t="s">
        <v>364</v>
      </c>
      <c r="B193" s="346" t="e">
        <f>B177/B$15</f>
        <v>#DIV/0!</v>
      </c>
      <c r="C193" s="346" t="e">
        <f>C177/AVERAGE(B$15,C$15)</f>
        <v>#DIV/0!</v>
      </c>
      <c r="D193" s="346" t="e">
        <f>D177/AVERAGE(C$15,D$15)</f>
        <v>#DIV/0!</v>
      </c>
      <c r="E193" s="346" t="e">
        <f>E177/AVERAGE(D$15,E$15)</f>
        <v>#DIV/0!</v>
      </c>
      <c r="F193" s="346" t="e">
        <f ca="1">F177/AVERAGE($E$15:F$15)</f>
        <v>#DIV/0!</v>
      </c>
      <c r="G193" s="346" t="e">
        <f ca="1">G177/AVERAGE($E$15:G$15)</f>
        <v>#DIV/0!</v>
      </c>
      <c r="H193" s="346" t="e">
        <f ca="1">H177/AVERAGE($E$15:H$15)</f>
        <v>#DIV/0!</v>
      </c>
      <c r="I193" s="346" t="e">
        <f ca="1">I177/AVERAGE($E$15:I$15)</f>
        <v>#DIV/0!</v>
      </c>
      <c r="J193" s="346" t="e">
        <f ca="1">J177/AVERAGE($E$15:J$15)</f>
        <v>#DIV/0!</v>
      </c>
      <c r="K193" s="346" t="e">
        <f ca="1">K177/AVERAGE($E$15:K$15)</f>
        <v>#DIV/0!</v>
      </c>
      <c r="L193" s="346" t="e">
        <f ca="1">L177/AVERAGE($E$15:L$15)</f>
        <v>#DIV/0!</v>
      </c>
      <c r="M193" s="346" t="e">
        <f ca="1">M177/AVERAGE($E$15:M$15)</f>
        <v>#DIV/0!</v>
      </c>
      <c r="N193" s="346" t="e">
        <f ca="1">N177/AVERAGE($E$15:N$15)</f>
        <v>#DIV/0!</v>
      </c>
      <c r="O193" s="346" t="e">
        <f ca="1">O177/AVERAGE($E$15:O$15)</f>
        <v>#DIV/0!</v>
      </c>
      <c r="P193" s="346" t="e">
        <f ca="1">P177/AVERAGE($E$15:P$15)</f>
        <v>#DIV/0!</v>
      </c>
      <c r="Q193" s="346" t="e">
        <f ca="1">Q177/AVERAGE($E$15:Q$15)</f>
        <v>#DIV/0!</v>
      </c>
      <c r="R193" s="346" t="e">
        <f ca="1">R177/AVERAGE(E$15,R$15)</f>
        <v>#DIV/0!</v>
      </c>
      <c r="S193" s="346" t="e">
        <f ca="1">S177/AVERAGE($R$15:S17)</f>
        <v>#DIV/0!</v>
      </c>
      <c r="T193" s="346" t="e">
        <f ca="1">T177/AVERAGE($R$15:T17)</f>
        <v>#DIV/0!</v>
      </c>
      <c r="U193" s="346" t="e">
        <f ca="1">U177/AVERAGE($R$15:U17)</f>
        <v>#DIV/0!</v>
      </c>
      <c r="V193" s="346" t="e">
        <f ca="1">V177/AVERAGE($R$15:V17)</f>
        <v>#DIV/0!</v>
      </c>
      <c r="W193" s="346" t="e">
        <f ca="1">W177/AVERAGE($R$15:W17)</f>
        <v>#DIV/0!</v>
      </c>
      <c r="X193" s="346" t="e">
        <f ca="1">X177/AVERAGE($R$15:X17)</f>
        <v>#DIV/0!</v>
      </c>
      <c r="Y193" s="346" t="e">
        <f ca="1">Y177/AVERAGE($R$15:Y17)</f>
        <v>#DIV/0!</v>
      </c>
      <c r="Z193" s="346" t="e">
        <f ca="1">Z177/AVERAGE($R$15:Z17)</f>
        <v>#DIV/0!</v>
      </c>
      <c r="AA193" s="346" t="e">
        <f ca="1">AA177/AVERAGE($R$15:AA17)</f>
        <v>#DIV/0!</v>
      </c>
      <c r="AB193" s="346" t="e">
        <f ca="1">AB177/AVERAGE($R$15:AB17)</f>
        <v>#DIV/0!</v>
      </c>
      <c r="AC193" s="346" t="e">
        <f ca="1">AC177/AVERAGE($R$15:AC17)</f>
        <v>#DIV/0!</v>
      </c>
      <c r="AD193" s="346" t="e">
        <f ca="1">AD177/AVERAGE($R$15:AD17)</f>
        <v>#DIV/0!</v>
      </c>
      <c r="AE193" s="346" t="e">
        <f ca="1">AE177/AVERAGE(R$15:AE$15)</f>
        <v>#N/A</v>
      </c>
      <c r="AF193" s="346" t="e">
        <f ca="1">AF177/AVERAGE(HLOOKUP(1,F$6:Q95,ROW(AE15)-5,FALSE),AE$15)</f>
        <v>#N/A</v>
      </c>
      <c r="AG193" s="404"/>
      <c r="AH193" s="346" t="str">
        <f t="shared" si="77"/>
        <v>NA</v>
      </c>
      <c r="AI193" s="346"/>
      <c r="AJ193" s="878" t="e">
        <f ca="1">AJ177/AVERAGE(R15,AJ$15)</f>
        <v>#DIV/0!</v>
      </c>
      <c r="AK193" s="878" t="e">
        <f ca="1">AK177/AVERAGE(AJ$15,AK$15)</f>
        <v>#DIV/0!</v>
      </c>
      <c r="AL193" s="878" t="e">
        <f ca="1">AL177/AVERAGE(AK$15,AL$15)</f>
        <v>#DIV/0!</v>
      </c>
      <c r="AM193" s="878" t="e">
        <f ca="1">AM177/AVERAGE(AL$15,AM$15)</f>
        <v>#DIV/0!</v>
      </c>
      <c r="AN193" s="878" t="e">
        <f ca="1">AN177/AVERAGE(AM$15,AN$15)</f>
        <v>#DIV/0!</v>
      </c>
      <c r="AO193" s="404"/>
      <c r="AP193" s="346" t="str">
        <f t="shared" ca="1" si="79"/>
        <v>NA</v>
      </c>
      <c r="AQ193" s="404"/>
      <c r="AR193" s="404"/>
      <c r="AS193" s="404"/>
      <c r="AT193" s="127"/>
      <c r="AU193" s="404"/>
      <c r="AV193" s="404"/>
      <c r="AW193" s="404"/>
      <c r="AX193" s="404"/>
      <c r="AY193" s="404"/>
      <c r="AZ193" s="127"/>
    </row>
    <row r="194" spans="1:52">
      <c r="AL194" s="126"/>
      <c r="AM194" s="126"/>
      <c r="AN194" s="126"/>
      <c r="AO194" s="126"/>
    </row>
    <row r="195" spans="1:52">
      <c r="AL195" s="126"/>
      <c r="AM195" s="126"/>
      <c r="AN195" s="126"/>
      <c r="AO195" s="126"/>
    </row>
    <row r="196" spans="1:52">
      <c r="A196" s="429" t="s">
        <v>442</v>
      </c>
      <c r="B196" s="760">
        <f>B$7</f>
        <v>692501</v>
      </c>
      <c r="C196" s="760">
        <f t="shared" ref="C196:AD196" si="91">C$7</f>
        <v>692867</v>
      </c>
      <c r="D196" s="760">
        <f t="shared" si="91"/>
        <v>693232</v>
      </c>
      <c r="E196" s="760">
        <f t="shared" si="91"/>
        <v>693597</v>
      </c>
      <c r="F196" s="362">
        <f t="shared" ca="1" si="91"/>
        <v>693628</v>
      </c>
      <c r="G196" s="362">
        <f t="shared" ca="1" si="91"/>
        <v>693656</v>
      </c>
      <c r="H196" s="362">
        <f t="shared" ca="1" si="91"/>
        <v>693687</v>
      </c>
      <c r="I196" s="362">
        <f t="shared" ca="1" si="91"/>
        <v>693717</v>
      </c>
      <c r="J196" s="362">
        <f t="shared" ca="1" si="91"/>
        <v>693748</v>
      </c>
      <c r="K196" s="362">
        <f t="shared" ca="1" si="91"/>
        <v>693778</v>
      </c>
      <c r="L196" s="362">
        <f t="shared" ca="1" si="91"/>
        <v>693809</v>
      </c>
      <c r="M196" s="362">
        <f t="shared" ca="1" si="91"/>
        <v>693840</v>
      </c>
      <c r="N196" s="362">
        <f t="shared" ca="1" si="91"/>
        <v>693870</v>
      </c>
      <c r="O196" s="362">
        <f t="shared" ca="1" si="91"/>
        <v>693901</v>
      </c>
      <c r="P196" s="362">
        <f t="shared" ca="1" si="91"/>
        <v>693931</v>
      </c>
      <c r="Q196" s="362">
        <f t="shared" ca="1" si="91"/>
        <v>693962</v>
      </c>
      <c r="R196" s="760">
        <f t="shared" ca="1" si="91"/>
        <v>693962</v>
      </c>
      <c r="S196" s="362">
        <f t="shared" ca="1" si="91"/>
        <v>31</v>
      </c>
      <c r="T196" s="362">
        <f t="shared" ca="1" si="91"/>
        <v>59</v>
      </c>
      <c r="U196" s="362">
        <f t="shared" ca="1" si="91"/>
        <v>91</v>
      </c>
      <c r="V196" s="362">
        <f t="shared" ca="1" si="91"/>
        <v>121</v>
      </c>
      <c r="W196" s="362">
        <f t="shared" ca="1" si="91"/>
        <v>152</v>
      </c>
      <c r="X196" s="362">
        <f t="shared" ca="1" si="91"/>
        <v>182</v>
      </c>
      <c r="Y196" s="362">
        <f t="shared" ca="1" si="91"/>
        <v>213</v>
      </c>
      <c r="Z196" s="362">
        <f t="shared" ca="1" si="91"/>
        <v>244</v>
      </c>
      <c r="AA196" s="362">
        <f t="shared" ca="1" si="91"/>
        <v>274</v>
      </c>
      <c r="AB196" s="362">
        <f t="shared" ca="1" si="91"/>
        <v>305</v>
      </c>
      <c r="AC196" s="362">
        <f t="shared" ca="1" si="91"/>
        <v>335</v>
      </c>
      <c r="AD196" s="362">
        <f t="shared" ca="1" si="91"/>
        <v>366</v>
      </c>
      <c r="AE196" s="376" t="e">
        <f ca="1">AE$42</f>
        <v>#N/A</v>
      </c>
      <c r="AF196" s="376" t="e">
        <f ca="1">AF$42</f>
        <v>#N/A</v>
      </c>
      <c r="AH196" s="365" t="str">
        <f ca="1">AH$7</f>
        <v>'96 - '99 CAGR/Avg.</v>
      </c>
      <c r="AJ196" s="760">
        <f ca="1">AJ$7</f>
        <v>694327</v>
      </c>
      <c r="AK196" s="760">
        <f ca="1">AK$7</f>
        <v>694692</v>
      </c>
      <c r="AL196" s="760">
        <f ca="1">AL$7</f>
        <v>695057</v>
      </c>
      <c r="AM196" s="760">
        <f ca="1">AM$7</f>
        <v>695422</v>
      </c>
      <c r="AN196" s="760">
        <f ca="1">AN$7</f>
        <v>695787</v>
      </c>
      <c r="AP196" s="365" t="str">
        <f ca="1">AP$7</f>
        <v>'00 - '04 CAGR/Avg.</v>
      </c>
    </row>
    <row r="197" spans="1:52">
      <c r="A197" s="341" t="str">
        <f t="shared" ref="A197:AF198" si="92">A153</f>
        <v>GLP ()</v>
      </c>
      <c r="B197" s="390">
        <f t="shared" si="92"/>
        <v>0</v>
      </c>
      <c r="C197" s="390">
        <f t="shared" si="92"/>
        <v>0</v>
      </c>
      <c r="D197" s="390">
        <f t="shared" si="92"/>
        <v>0</v>
      </c>
      <c r="E197" s="390">
        <f t="shared" si="92"/>
        <v>0</v>
      </c>
      <c r="F197" s="390">
        <f t="shared" ca="1" si="92"/>
        <v>0</v>
      </c>
      <c r="G197" s="390">
        <f t="shared" ca="1" si="92"/>
        <v>0</v>
      </c>
      <c r="H197" s="390">
        <f t="shared" ca="1" si="92"/>
        <v>0</v>
      </c>
      <c r="I197" s="390">
        <f t="shared" ca="1" si="92"/>
        <v>0</v>
      </c>
      <c r="J197" s="390">
        <f t="shared" ca="1" si="92"/>
        <v>0</v>
      </c>
      <c r="K197" s="390">
        <f t="shared" ca="1" si="92"/>
        <v>0</v>
      </c>
      <c r="L197" s="390">
        <f t="shared" ca="1" si="92"/>
        <v>0</v>
      </c>
      <c r="M197" s="390">
        <f t="shared" ca="1" si="92"/>
        <v>0</v>
      </c>
      <c r="N197" s="390">
        <f t="shared" ca="1" si="92"/>
        <v>0</v>
      </c>
      <c r="O197" s="390">
        <f t="shared" ca="1" si="92"/>
        <v>0</v>
      </c>
      <c r="P197" s="390">
        <f t="shared" ca="1" si="92"/>
        <v>0</v>
      </c>
      <c r="Q197" s="390">
        <f t="shared" ca="1" si="92"/>
        <v>0</v>
      </c>
      <c r="R197" s="390">
        <f t="shared" ca="1" si="92"/>
        <v>0</v>
      </c>
      <c r="S197" s="390">
        <f t="shared" ca="1" si="92"/>
        <v>0</v>
      </c>
      <c r="T197" s="390">
        <f t="shared" ca="1" si="92"/>
        <v>0</v>
      </c>
      <c r="U197" s="390">
        <f t="shared" ca="1" si="92"/>
        <v>0</v>
      </c>
      <c r="V197" s="390">
        <f t="shared" ca="1" si="92"/>
        <v>0</v>
      </c>
      <c r="W197" s="390">
        <f t="shared" ca="1" si="92"/>
        <v>0</v>
      </c>
      <c r="X197" s="390">
        <f t="shared" ca="1" si="92"/>
        <v>0</v>
      </c>
      <c r="Y197" s="390">
        <f t="shared" ca="1" si="92"/>
        <v>0</v>
      </c>
      <c r="Z197" s="390">
        <f t="shared" ca="1" si="92"/>
        <v>0</v>
      </c>
      <c r="AA197" s="390">
        <f t="shared" ca="1" si="92"/>
        <v>0</v>
      </c>
      <c r="AB197" s="390">
        <f t="shared" ca="1" si="92"/>
        <v>0</v>
      </c>
      <c r="AC197" s="390">
        <f t="shared" ca="1" si="92"/>
        <v>0</v>
      </c>
      <c r="AD197" s="390">
        <f t="shared" ca="1" si="92"/>
        <v>0</v>
      </c>
      <c r="AE197" s="390" t="e">
        <f t="shared" ca="1" si="92"/>
        <v>#N/A</v>
      </c>
      <c r="AF197" s="390" t="e">
        <f t="shared" ca="1" si="92"/>
        <v>#N/A</v>
      </c>
      <c r="AH197" s="391" t="str">
        <f ca="1">IFERROR(RATE(3,0,-C197,R197),"NA")</f>
        <v>NA</v>
      </c>
      <c r="AJ197" s="179" t="e">
        <f t="shared" ref="AJ197:AN198" ca="1" si="93">AJ153</f>
        <v>#DIV/0!</v>
      </c>
      <c r="AK197" s="179" t="e">
        <f t="shared" ca="1" si="93"/>
        <v>#DIV/0!</v>
      </c>
      <c r="AL197" s="179" t="e">
        <f t="shared" ca="1" si="93"/>
        <v>#DIV/0!</v>
      </c>
      <c r="AM197" s="179" t="e">
        <f t="shared" ca="1" si="93"/>
        <v>#DIV/0!</v>
      </c>
      <c r="AN197" s="179" t="e">
        <f t="shared" ca="1" si="93"/>
        <v>#DIV/0!</v>
      </c>
      <c r="AO197" s="126"/>
      <c r="AP197" s="391" t="str">
        <f ca="1">IFERROR(RATE(4,0,-AJ197,AN197),"NA")</f>
        <v>NA</v>
      </c>
    </row>
    <row r="198" spans="1:52">
      <c r="A198" s="341" t="str">
        <f t="shared" si="92"/>
        <v>Gross Loan Portfolio Growth (Y-o-Y)</v>
      </c>
      <c r="B198" s="342" t="str">
        <f t="shared" si="92"/>
        <v>NA</v>
      </c>
      <c r="C198" s="342" t="e">
        <f t="shared" si="92"/>
        <v>#DIV/0!</v>
      </c>
      <c r="D198" s="342" t="e">
        <f t="shared" si="92"/>
        <v>#DIV/0!</v>
      </c>
      <c r="E198" s="342" t="e">
        <f t="shared" si="92"/>
        <v>#DIV/0!</v>
      </c>
      <c r="F198" s="342" t="str">
        <f t="shared" si="92"/>
        <v>NA</v>
      </c>
      <c r="G198" s="342" t="str">
        <f t="shared" si="92"/>
        <v>NA</v>
      </c>
      <c r="H198" s="342" t="str">
        <f t="shared" si="92"/>
        <v>NA</v>
      </c>
      <c r="I198" s="342" t="str">
        <f t="shared" si="92"/>
        <v>NA</v>
      </c>
      <c r="J198" s="342" t="str">
        <f t="shared" si="92"/>
        <v>NA</v>
      </c>
      <c r="K198" s="342" t="str">
        <f t="shared" si="92"/>
        <v>NA</v>
      </c>
      <c r="L198" s="342" t="str">
        <f t="shared" si="92"/>
        <v>NA</v>
      </c>
      <c r="M198" s="342" t="str">
        <f t="shared" si="92"/>
        <v>NA</v>
      </c>
      <c r="N198" s="342" t="str">
        <f t="shared" si="92"/>
        <v>NA</v>
      </c>
      <c r="O198" s="342" t="str">
        <f t="shared" si="92"/>
        <v>NA</v>
      </c>
      <c r="P198" s="342" t="str">
        <f t="shared" si="92"/>
        <v>NA</v>
      </c>
      <c r="Q198" s="342" t="str">
        <f t="shared" si="92"/>
        <v>NA</v>
      </c>
      <c r="R198" s="342" t="e">
        <f t="shared" ca="1" si="92"/>
        <v>#DIV/0!</v>
      </c>
      <c r="S198" s="342" t="e">
        <f t="shared" ca="1" si="92"/>
        <v>#DIV/0!</v>
      </c>
      <c r="T198" s="342" t="e">
        <f t="shared" ca="1" si="92"/>
        <v>#DIV/0!</v>
      </c>
      <c r="U198" s="342" t="e">
        <f t="shared" ca="1" si="92"/>
        <v>#DIV/0!</v>
      </c>
      <c r="V198" s="342" t="e">
        <f t="shared" ca="1" si="92"/>
        <v>#DIV/0!</v>
      </c>
      <c r="W198" s="342" t="e">
        <f t="shared" ca="1" si="92"/>
        <v>#DIV/0!</v>
      </c>
      <c r="X198" s="342" t="e">
        <f t="shared" ca="1" si="92"/>
        <v>#DIV/0!</v>
      </c>
      <c r="Y198" s="342" t="e">
        <f t="shared" ca="1" si="92"/>
        <v>#DIV/0!</v>
      </c>
      <c r="Z198" s="342" t="e">
        <f t="shared" ca="1" si="92"/>
        <v>#DIV/0!</v>
      </c>
      <c r="AA198" s="342" t="e">
        <f t="shared" ca="1" si="92"/>
        <v>#DIV/0!</v>
      </c>
      <c r="AB198" s="342" t="e">
        <f t="shared" ca="1" si="92"/>
        <v>#DIV/0!</v>
      </c>
      <c r="AC198" s="342" t="e">
        <f t="shared" ca="1" si="92"/>
        <v>#DIV/0!</v>
      </c>
      <c r="AD198" s="342" t="e">
        <f t="shared" ca="1" si="92"/>
        <v>#DIV/0!</v>
      </c>
      <c r="AE198" s="342" t="e">
        <f t="shared" ca="1" si="92"/>
        <v>#N/A</v>
      </c>
      <c r="AF198" s="342" t="e">
        <f t="shared" ca="1" si="92"/>
        <v>#N/A</v>
      </c>
      <c r="AH198" s="340" t="str">
        <f t="shared" ref="AH198:AH207" si="94">IFERROR(AVERAGE(C198:E198,R198),"NA")</f>
        <v>NA</v>
      </c>
      <c r="AJ198" s="342" t="e">
        <f t="shared" ca="1" si="93"/>
        <v>#DIV/0!</v>
      </c>
      <c r="AK198" s="342" t="e">
        <f t="shared" ca="1" si="93"/>
        <v>#DIV/0!</v>
      </c>
      <c r="AL198" s="342" t="e">
        <f t="shared" ca="1" si="93"/>
        <v>#DIV/0!</v>
      </c>
      <c r="AM198" s="342" t="e">
        <f t="shared" ca="1" si="93"/>
        <v>#DIV/0!</v>
      </c>
      <c r="AN198" s="342" t="e">
        <f t="shared" ca="1" si="93"/>
        <v>#DIV/0!</v>
      </c>
      <c r="AO198" s="126"/>
      <c r="AP198" s="340" t="str">
        <f t="shared" ref="AP198:AP207" ca="1" si="95">IFERROR(AVERAGE(AJ198:AN198),"NA")</f>
        <v>NA</v>
      </c>
    </row>
    <row r="199" spans="1:52">
      <c r="A199" s="341" t="str">
        <f t="shared" ref="A199:AF199" si="96">A94</f>
        <v>Portfolio Yield (as % of GLP)</v>
      </c>
      <c r="B199" s="342" t="str">
        <f t="shared" si="96"/>
        <v>NA</v>
      </c>
      <c r="C199" s="342" t="e">
        <f t="shared" si="96"/>
        <v>#DIV/0!</v>
      </c>
      <c r="D199" s="342" t="e">
        <f t="shared" si="96"/>
        <v>#DIV/0!</v>
      </c>
      <c r="E199" s="342" t="e">
        <f t="shared" si="96"/>
        <v>#DIV/0!</v>
      </c>
      <c r="F199" s="342" t="e">
        <f t="shared" ca="1" si="96"/>
        <v>#DIV/0!</v>
      </c>
      <c r="G199" s="342" t="e">
        <f t="shared" ca="1" si="96"/>
        <v>#DIV/0!</v>
      </c>
      <c r="H199" s="342" t="e">
        <f t="shared" ca="1" si="96"/>
        <v>#DIV/0!</v>
      </c>
      <c r="I199" s="342" t="e">
        <f t="shared" ca="1" si="96"/>
        <v>#DIV/0!</v>
      </c>
      <c r="J199" s="342" t="e">
        <f t="shared" ca="1" si="96"/>
        <v>#DIV/0!</v>
      </c>
      <c r="K199" s="342" t="e">
        <f t="shared" ca="1" si="96"/>
        <v>#DIV/0!</v>
      </c>
      <c r="L199" s="342" t="e">
        <f t="shared" ca="1" si="96"/>
        <v>#DIV/0!</v>
      </c>
      <c r="M199" s="342" t="e">
        <f t="shared" ca="1" si="96"/>
        <v>#DIV/0!</v>
      </c>
      <c r="N199" s="342" t="e">
        <f t="shared" ca="1" si="96"/>
        <v>#DIV/0!</v>
      </c>
      <c r="O199" s="342" t="e">
        <f t="shared" ca="1" si="96"/>
        <v>#DIV/0!</v>
      </c>
      <c r="P199" s="342" t="e">
        <f t="shared" ca="1" si="96"/>
        <v>#DIV/0!</v>
      </c>
      <c r="Q199" s="342" t="e">
        <f t="shared" ca="1" si="96"/>
        <v>#DIV/0!</v>
      </c>
      <c r="R199" s="342" t="e">
        <f t="shared" ca="1" si="96"/>
        <v>#DIV/0!</v>
      </c>
      <c r="S199" s="342" t="e">
        <f t="shared" ca="1" si="96"/>
        <v>#DIV/0!</v>
      </c>
      <c r="T199" s="342" t="e">
        <f t="shared" ca="1" si="96"/>
        <v>#DIV/0!</v>
      </c>
      <c r="U199" s="342" t="e">
        <f t="shared" ca="1" si="96"/>
        <v>#DIV/0!</v>
      </c>
      <c r="V199" s="342" t="e">
        <f t="shared" ca="1" si="96"/>
        <v>#DIV/0!</v>
      </c>
      <c r="W199" s="342" t="e">
        <f t="shared" ca="1" si="96"/>
        <v>#DIV/0!</v>
      </c>
      <c r="X199" s="342" t="e">
        <f t="shared" ca="1" si="96"/>
        <v>#DIV/0!</v>
      </c>
      <c r="Y199" s="342" t="e">
        <f t="shared" ca="1" si="96"/>
        <v>#DIV/0!</v>
      </c>
      <c r="Z199" s="342" t="e">
        <f t="shared" ca="1" si="96"/>
        <v>#DIV/0!</v>
      </c>
      <c r="AA199" s="342" t="e">
        <f t="shared" ca="1" si="96"/>
        <v>#DIV/0!</v>
      </c>
      <c r="AB199" s="342" t="e">
        <f t="shared" ca="1" si="96"/>
        <v>#DIV/0!</v>
      </c>
      <c r="AC199" s="342" t="e">
        <f t="shared" ca="1" si="96"/>
        <v>#DIV/0!</v>
      </c>
      <c r="AD199" s="342" t="e">
        <f t="shared" ca="1" si="96"/>
        <v>#DIV/0!</v>
      </c>
      <c r="AE199" s="342" t="e">
        <f t="shared" ca="1" si="96"/>
        <v>#N/A</v>
      </c>
      <c r="AF199" s="342" t="e">
        <f t="shared" ca="1" si="96"/>
        <v>#N/A</v>
      </c>
      <c r="AH199" s="340" t="str">
        <f t="shared" si="94"/>
        <v>NA</v>
      </c>
      <c r="AJ199" s="342" t="e">
        <f ca="1">AJ94</f>
        <v>#DIV/0!</v>
      </c>
      <c r="AK199" s="342" t="e">
        <f ca="1">AK94</f>
        <v>#DIV/0!</v>
      </c>
      <c r="AL199" s="342" t="e">
        <f ca="1">AL94</f>
        <v>#DIV/0!</v>
      </c>
      <c r="AM199" s="342" t="e">
        <f ca="1">AM94</f>
        <v>#DIV/0!</v>
      </c>
      <c r="AN199" s="342" t="e">
        <f ca="1">AN94</f>
        <v>#DIV/0!</v>
      </c>
      <c r="AO199" s="126"/>
      <c r="AP199" s="340" t="str">
        <f t="shared" ca="1" si="95"/>
        <v>NA</v>
      </c>
    </row>
    <row r="200" spans="1:52">
      <c r="A200" s="430" t="s">
        <v>51</v>
      </c>
      <c r="B200" s="427" t="e">
        <f>B185</f>
        <v>#DIV/0!</v>
      </c>
      <c r="C200" s="427" t="e">
        <f t="shared" ref="C200:AN200" si="97">C185</f>
        <v>#DIV/0!</v>
      </c>
      <c r="D200" s="427" t="e">
        <f t="shared" si="97"/>
        <v>#DIV/0!</v>
      </c>
      <c r="E200" s="427" t="e">
        <f t="shared" si="97"/>
        <v>#DIV/0!</v>
      </c>
      <c r="F200" s="427" t="e">
        <f t="shared" ca="1" si="97"/>
        <v>#DIV/0!</v>
      </c>
      <c r="G200" s="427" t="e">
        <f t="shared" ca="1" si="97"/>
        <v>#DIV/0!</v>
      </c>
      <c r="H200" s="427" t="e">
        <f t="shared" ca="1" si="97"/>
        <v>#DIV/0!</v>
      </c>
      <c r="I200" s="427" t="e">
        <f t="shared" ca="1" si="97"/>
        <v>#DIV/0!</v>
      </c>
      <c r="J200" s="427" t="e">
        <f t="shared" ca="1" si="97"/>
        <v>#DIV/0!</v>
      </c>
      <c r="K200" s="427" t="e">
        <f t="shared" ca="1" si="97"/>
        <v>#DIV/0!</v>
      </c>
      <c r="L200" s="427" t="e">
        <f t="shared" ca="1" si="97"/>
        <v>#DIV/0!</v>
      </c>
      <c r="M200" s="427" t="e">
        <f t="shared" ca="1" si="97"/>
        <v>#DIV/0!</v>
      </c>
      <c r="N200" s="427" t="e">
        <f t="shared" ca="1" si="97"/>
        <v>#DIV/0!</v>
      </c>
      <c r="O200" s="427" t="e">
        <f t="shared" ca="1" si="97"/>
        <v>#DIV/0!</v>
      </c>
      <c r="P200" s="427" t="e">
        <f t="shared" ca="1" si="97"/>
        <v>#DIV/0!</v>
      </c>
      <c r="Q200" s="427" t="e">
        <f t="shared" ca="1" si="97"/>
        <v>#DIV/0!</v>
      </c>
      <c r="R200" s="427" t="e">
        <f t="shared" ca="1" si="97"/>
        <v>#DIV/0!</v>
      </c>
      <c r="S200" s="427" t="e">
        <f t="shared" ca="1" si="97"/>
        <v>#DIV/0!</v>
      </c>
      <c r="T200" s="427" t="e">
        <f t="shared" ca="1" si="97"/>
        <v>#DIV/0!</v>
      </c>
      <c r="U200" s="427" t="e">
        <f t="shared" ca="1" si="97"/>
        <v>#DIV/0!</v>
      </c>
      <c r="V200" s="427" t="e">
        <f t="shared" ca="1" si="97"/>
        <v>#DIV/0!</v>
      </c>
      <c r="W200" s="427" t="e">
        <f t="shared" ca="1" si="97"/>
        <v>#DIV/0!</v>
      </c>
      <c r="X200" s="427" t="e">
        <f t="shared" ca="1" si="97"/>
        <v>#DIV/0!</v>
      </c>
      <c r="Y200" s="427" t="e">
        <f t="shared" ca="1" si="97"/>
        <v>#DIV/0!</v>
      </c>
      <c r="Z200" s="427" t="e">
        <f t="shared" ca="1" si="97"/>
        <v>#DIV/0!</v>
      </c>
      <c r="AA200" s="427" t="e">
        <f t="shared" ca="1" si="97"/>
        <v>#DIV/0!</v>
      </c>
      <c r="AB200" s="427" t="e">
        <f t="shared" ca="1" si="97"/>
        <v>#DIV/0!</v>
      </c>
      <c r="AC200" s="427" t="e">
        <f t="shared" ca="1" si="97"/>
        <v>#DIV/0!</v>
      </c>
      <c r="AD200" s="427" t="e">
        <f t="shared" ca="1" si="97"/>
        <v>#DIV/0!</v>
      </c>
      <c r="AE200" s="427" t="e">
        <f t="shared" ca="1" si="97"/>
        <v>#N/A</v>
      </c>
      <c r="AF200" s="427" t="e">
        <f t="shared" ca="1" si="97"/>
        <v>#N/A</v>
      </c>
      <c r="AG200" s="427"/>
      <c r="AH200" s="340" t="str">
        <f t="shared" si="94"/>
        <v>NA</v>
      </c>
      <c r="AJ200" s="427" t="e">
        <f t="shared" ca="1" si="97"/>
        <v>#DIV/0!</v>
      </c>
      <c r="AK200" s="427" t="e">
        <f t="shared" ca="1" si="97"/>
        <v>#DIV/0!</v>
      </c>
      <c r="AL200" s="427" t="e">
        <f t="shared" ca="1" si="97"/>
        <v>#DIV/0!</v>
      </c>
      <c r="AM200" s="427" t="e">
        <f t="shared" ca="1" si="97"/>
        <v>#DIV/0!</v>
      </c>
      <c r="AN200" s="427" t="e">
        <f t="shared" ca="1" si="97"/>
        <v>#DIV/0!</v>
      </c>
      <c r="AO200" s="126"/>
      <c r="AP200" s="340" t="str">
        <f t="shared" ca="1" si="95"/>
        <v>NA</v>
      </c>
    </row>
    <row r="201" spans="1:52">
      <c r="A201" s="430" t="s">
        <v>53</v>
      </c>
      <c r="B201" s="427" t="e">
        <f>B190</f>
        <v>#DIV/0!</v>
      </c>
      <c r="C201" s="427" t="e">
        <f t="shared" ref="C201:AN202" si="98">C190</f>
        <v>#DIV/0!</v>
      </c>
      <c r="D201" s="427" t="e">
        <f t="shared" si="98"/>
        <v>#DIV/0!</v>
      </c>
      <c r="E201" s="427" t="e">
        <f t="shared" si="98"/>
        <v>#DIV/0!</v>
      </c>
      <c r="F201" s="427" t="e">
        <f t="shared" ca="1" si="98"/>
        <v>#DIV/0!</v>
      </c>
      <c r="G201" s="427" t="e">
        <f t="shared" ca="1" si="98"/>
        <v>#DIV/0!</v>
      </c>
      <c r="H201" s="427" t="e">
        <f t="shared" ca="1" si="98"/>
        <v>#DIV/0!</v>
      </c>
      <c r="I201" s="427" t="e">
        <f t="shared" ca="1" si="98"/>
        <v>#DIV/0!</v>
      </c>
      <c r="J201" s="427" t="e">
        <f t="shared" ca="1" si="98"/>
        <v>#DIV/0!</v>
      </c>
      <c r="K201" s="427" t="e">
        <f t="shared" ca="1" si="98"/>
        <v>#DIV/0!</v>
      </c>
      <c r="L201" s="427" t="e">
        <f t="shared" ca="1" si="98"/>
        <v>#DIV/0!</v>
      </c>
      <c r="M201" s="427" t="e">
        <f t="shared" ca="1" si="98"/>
        <v>#DIV/0!</v>
      </c>
      <c r="N201" s="427" t="e">
        <f t="shared" ca="1" si="98"/>
        <v>#DIV/0!</v>
      </c>
      <c r="O201" s="427" t="e">
        <f t="shared" ca="1" si="98"/>
        <v>#DIV/0!</v>
      </c>
      <c r="P201" s="427" t="e">
        <f t="shared" ca="1" si="98"/>
        <v>#DIV/0!</v>
      </c>
      <c r="Q201" s="427" t="e">
        <f t="shared" ca="1" si="98"/>
        <v>#DIV/0!</v>
      </c>
      <c r="R201" s="427" t="e">
        <f t="shared" ca="1" si="98"/>
        <v>#DIV/0!</v>
      </c>
      <c r="S201" s="427" t="e">
        <f t="shared" ca="1" si="98"/>
        <v>#DIV/0!</v>
      </c>
      <c r="T201" s="427" t="e">
        <f t="shared" ca="1" si="98"/>
        <v>#DIV/0!</v>
      </c>
      <c r="U201" s="427" t="e">
        <f t="shared" ca="1" si="98"/>
        <v>#DIV/0!</v>
      </c>
      <c r="V201" s="427" t="e">
        <f t="shared" ca="1" si="98"/>
        <v>#DIV/0!</v>
      </c>
      <c r="W201" s="427" t="e">
        <f t="shared" ca="1" si="98"/>
        <v>#DIV/0!</v>
      </c>
      <c r="X201" s="427" t="e">
        <f t="shared" ca="1" si="98"/>
        <v>#DIV/0!</v>
      </c>
      <c r="Y201" s="427" t="e">
        <f t="shared" ca="1" si="98"/>
        <v>#DIV/0!</v>
      </c>
      <c r="Z201" s="427" t="e">
        <f t="shared" ca="1" si="98"/>
        <v>#DIV/0!</v>
      </c>
      <c r="AA201" s="427" t="e">
        <f t="shared" ca="1" si="98"/>
        <v>#DIV/0!</v>
      </c>
      <c r="AB201" s="427" t="e">
        <f t="shared" ca="1" si="98"/>
        <v>#DIV/0!</v>
      </c>
      <c r="AC201" s="427" t="e">
        <f t="shared" ca="1" si="98"/>
        <v>#DIV/0!</v>
      </c>
      <c r="AD201" s="427" t="e">
        <f t="shared" ca="1" si="98"/>
        <v>#DIV/0!</v>
      </c>
      <c r="AE201" s="427" t="e">
        <f t="shared" ca="1" si="98"/>
        <v>#N/A</v>
      </c>
      <c r="AF201" s="427" t="e">
        <f t="shared" ca="1" si="98"/>
        <v>#N/A</v>
      </c>
      <c r="AG201" s="427"/>
      <c r="AH201" s="340" t="str">
        <f t="shared" si="94"/>
        <v>NA</v>
      </c>
      <c r="AJ201" s="427" t="e">
        <f t="shared" ca="1" si="98"/>
        <v>#DIV/0!</v>
      </c>
      <c r="AK201" s="427" t="e">
        <f t="shared" ca="1" si="98"/>
        <v>#DIV/0!</v>
      </c>
      <c r="AL201" s="427" t="e">
        <f t="shared" ca="1" si="98"/>
        <v>#DIV/0!</v>
      </c>
      <c r="AM201" s="427" t="e">
        <f t="shared" ca="1" si="98"/>
        <v>#DIV/0!</v>
      </c>
      <c r="AN201" s="427" t="e">
        <f t="shared" ca="1" si="98"/>
        <v>#DIV/0!</v>
      </c>
      <c r="AO201" s="126"/>
      <c r="AP201" s="340" t="str">
        <f t="shared" ca="1" si="95"/>
        <v>NA</v>
      </c>
    </row>
    <row r="202" spans="1:52">
      <c r="A202" s="430" t="s">
        <v>64</v>
      </c>
      <c r="B202" s="427" t="e">
        <f>B191</f>
        <v>#DIV/0!</v>
      </c>
      <c r="C202" s="427" t="e">
        <f t="shared" si="98"/>
        <v>#DIV/0!</v>
      </c>
      <c r="D202" s="427" t="e">
        <f t="shared" si="98"/>
        <v>#DIV/0!</v>
      </c>
      <c r="E202" s="427" t="e">
        <f t="shared" si="98"/>
        <v>#DIV/0!</v>
      </c>
      <c r="F202" s="427" t="e">
        <f t="shared" ca="1" si="98"/>
        <v>#DIV/0!</v>
      </c>
      <c r="G202" s="427" t="e">
        <f t="shared" ca="1" si="98"/>
        <v>#DIV/0!</v>
      </c>
      <c r="H202" s="427" t="e">
        <f t="shared" ca="1" si="98"/>
        <v>#DIV/0!</v>
      </c>
      <c r="I202" s="427" t="e">
        <f t="shared" ca="1" si="98"/>
        <v>#DIV/0!</v>
      </c>
      <c r="J202" s="427" t="e">
        <f t="shared" ca="1" si="98"/>
        <v>#DIV/0!</v>
      </c>
      <c r="K202" s="427" t="e">
        <f t="shared" ca="1" si="98"/>
        <v>#DIV/0!</v>
      </c>
      <c r="L202" s="427" t="e">
        <f t="shared" ca="1" si="98"/>
        <v>#DIV/0!</v>
      </c>
      <c r="M202" s="427" t="e">
        <f t="shared" ca="1" si="98"/>
        <v>#DIV/0!</v>
      </c>
      <c r="N202" s="427" t="e">
        <f t="shared" ca="1" si="98"/>
        <v>#DIV/0!</v>
      </c>
      <c r="O202" s="427" t="e">
        <f t="shared" ca="1" si="98"/>
        <v>#DIV/0!</v>
      </c>
      <c r="P202" s="427" t="e">
        <f t="shared" ca="1" si="98"/>
        <v>#DIV/0!</v>
      </c>
      <c r="Q202" s="427" t="e">
        <f t="shared" ca="1" si="98"/>
        <v>#DIV/0!</v>
      </c>
      <c r="R202" s="427" t="e">
        <f t="shared" ca="1" si="98"/>
        <v>#DIV/0!</v>
      </c>
      <c r="S202" s="427" t="e">
        <f t="shared" ca="1" si="98"/>
        <v>#DIV/0!</v>
      </c>
      <c r="T202" s="427" t="e">
        <f t="shared" ca="1" si="98"/>
        <v>#DIV/0!</v>
      </c>
      <c r="U202" s="427" t="e">
        <f t="shared" ca="1" si="98"/>
        <v>#DIV/0!</v>
      </c>
      <c r="V202" s="427" t="e">
        <f t="shared" ca="1" si="98"/>
        <v>#DIV/0!</v>
      </c>
      <c r="W202" s="427" t="e">
        <f t="shared" ca="1" si="98"/>
        <v>#DIV/0!</v>
      </c>
      <c r="X202" s="427" t="e">
        <f t="shared" ca="1" si="98"/>
        <v>#DIV/0!</v>
      </c>
      <c r="Y202" s="427" t="e">
        <f t="shared" ca="1" si="98"/>
        <v>#DIV/0!</v>
      </c>
      <c r="Z202" s="427" t="e">
        <f t="shared" ca="1" si="98"/>
        <v>#DIV/0!</v>
      </c>
      <c r="AA202" s="427" t="e">
        <f t="shared" ca="1" si="98"/>
        <v>#DIV/0!</v>
      </c>
      <c r="AB202" s="427" t="e">
        <f t="shared" ca="1" si="98"/>
        <v>#DIV/0!</v>
      </c>
      <c r="AC202" s="427" t="e">
        <f t="shared" ca="1" si="98"/>
        <v>#DIV/0!</v>
      </c>
      <c r="AD202" s="427" t="e">
        <f t="shared" ca="1" si="98"/>
        <v>#DIV/0!</v>
      </c>
      <c r="AE202" s="427" t="e">
        <f t="shared" ca="1" si="98"/>
        <v>#N/A</v>
      </c>
      <c r="AF202" s="427" t="e">
        <f t="shared" ca="1" si="98"/>
        <v>#N/A</v>
      </c>
      <c r="AG202" s="427"/>
      <c r="AH202" s="340" t="str">
        <f t="shared" si="94"/>
        <v>NA</v>
      </c>
      <c r="AJ202" s="427" t="e">
        <f t="shared" ca="1" si="98"/>
        <v>#DIV/0!</v>
      </c>
      <c r="AK202" s="427" t="e">
        <f t="shared" ca="1" si="98"/>
        <v>#DIV/0!</v>
      </c>
      <c r="AL202" s="427" t="e">
        <f t="shared" ca="1" si="98"/>
        <v>#DIV/0!</v>
      </c>
      <c r="AM202" s="427" t="e">
        <f t="shared" ca="1" si="98"/>
        <v>#DIV/0!</v>
      </c>
      <c r="AN202" s="427" t="e">
        <f t="shared" ca="1" si="98"/>
        <v>#DIV/0!</v>
      </c>
      <c r="AO202" s="126"/>
      <c r="AP202" s="340" t="str">
        <f t="shared" ca="1" si="95"/>
        <v>NA</v>
      </c>
    </row>
    <row r="203" spans="1:52">
      <c r="A203" s="430" t="s">
        <v>549</v>
      </c>
      <c r="B203" s="427" t="e">
        <f>B192</f>
        <v>#DIV/0!</v>
      </c>
      <c r="C203" s="427" t="e">
        <f t="shared" ref="C203:AE203" si="99">C174/C169</f>
        <v>#DIV/0!</v>
      </c>
      <c r="D203" s="427" t="e">
        <f t="shared" si="99"/>
        <v>#DIV/0!</v>
      </c>
      <c r="E203" s="427" t="e">
        <f t="shared" si="99"/>
        <v>#DIV/0!</v>
      </c>
      <c r="F203" s="427" t="e">
        <f t="shared" ca="1" si="99"/>
        <v>#DIV/0!</v>
      </c>
      <c r="G203" s="427" t="e">
        <f t="shared" ca="1" si="99"/>
        <v>#DIV/0!</v>
      </c>
      <c r="H203" s="427" t="e">
        <f t="shared" ca="1" si="99"/>
        <v>#DIV/0!</v>
      </c>
      <c r="I203" s="427" t="e">
        <f t="shared" ca="1" si="99"/>
        <v>#DIV/0!</v>
      </c>
      <c r="J203" s="427" t="e">
        <f t="shared" ca="1" si="99"/>
        <v>#DIV/0!</v>
      </c>
      <c r="K203" s="427" t="e">
        <f t="shared" ca="1" si="99"/>
        <v>#DIV/0!</v>
      </c>
      <c r="L203" s="427" t="e">
        <f t="shared" ca="1" si="99"/>
        <v>#DIV/0!</v>
      </c>
      <c r="M203" s="427" t="e">
        <f t="shared" ca="1" si="99"/>
        <v>#DIV/0!</v>
      </c>
      <c r="N203" s="427" t="e">
        <f t="shared" ca="1" si="99"/>
        <v>#DIV/0!</v>
      </c>
      <c r="O203" s="427" t="e">
        <f t="shared" ca="1" si="99"/>
        <v>#DIV/0!</v>
      </c>
      <c r="P203" s="427" t="e">
        <f t="shared" ca="1" si="99"/>
        <v>#DIV/0!</v>
      </c>
      <c r="Q203" s="427" t="e">
        <f t="shared" ca="1" si="99"/>
        <v>#DIV/0!</v>
      </c>
      <c r="R203" s="427" t="e">
        <f t="shared" ca="1" si="99"/>
        <v>#DIV/0!</v>
      </c>
      <c r="S203" s="427" t="e">
        <f t="shared" ca="1" si="99"/>
        <v>#DIV/0!</v>
      </c>
      <c r="T203" s="427" t="e">
        <f t="shared" ca="1" si="99"/>
        <v>#DIV/0!</v>
      </c>
      <c r="U203" s="427" t="e">
        <f t="shared" ca="1" si="99"/>
        <v>#DIV/0!</v>
      </c>
      <c r="V203" s="427" t="e">
        <f t="shared" ca="1" si="99"/>
        <v>#DIV/0!</v>
      </c>
      <c r="W203" s="427" t="e">
        <f t="shared" ca="1" si="99"/>
        <v>#DIV/0!</v>
      </c>
      <c r="X203" s="427" t="e">
        <f t="shared" ca="1" si="99"/>
        <v>#DIV/0!</v>
      </c>
      <c r="Y203" s="427" t="e">
        <f t="shared" ca="1" si="99"/>
        <v>#DIV/0!</v>
      </c>
      <c r="Z203" s="427" t="e">
        <f t="shared" ca="1" si="99"/>
        <v>#DIV/0!</v>
      </c>
      <c r="AA203" s="427" t="e">
        <f t="shared" ca="1" si="99"/>
        <v>#DIV/0!</v>
      </c>
      <c r="AB203" s="427" t="e">
        <f t="shared" ca="1" si="99"/>
        <v>#DIV/0!</v>
      </c>
      <c r="AC203" s="427" t="e">
        <f t="shared" ca="1" si="99"/>
        <v>#DIV/0!</v>
      </c>
      <c r="AD203" s="427" t="e">
        <f t="shared" ca="1" si="99"/>
        <v>#DIV/0!</v>
      </c>
      <c r="AE203" s="427" t="e">
        <f t="shared" ca="1" si="99"/>
        <v>#N/A</v>
      </c>
      <c r="AF203" s="427" t="e">
        <f ca="1">AE203</f>
        <v>#N/A</v>
      </c>
      <c r="AG203" s="427"/>
      <c r="AH203" s="340" t="str">
        <f t="shared" si="94"/>
        <v>NA</v>
      </c>
      <c r="AJ203" s="427" t="e">
        <f ca="1">AJ174/AJ169</f>
        <v>#DIV/0!</v>
      </c>
      <c r="AK203" s="427" t="e">
        <f ca="1">AK174/AK169</f>
        <v>#DIV/0!</v>
      </c>
      <c r="AL203" s="427" t="e">
        <f ca="1">AL174/AL169</f>
        <v>#DIV/0!</v>
      </c>
      <c r="AM203" s="427" t="e">
        <f ca="1">AM174/AM169</f>
        <v>#DIV/0!</v>
      </c>
      <c r="AN203" s="427" t="e">
        <f ca="1">AN174/AN169</f>
        <v>#DIV/0!</v>
      </c>
      <c r="AO203" s="126"/>
      <c r="AP203" s="340" t="str">
        <f t="shared" ca="1" si="95"/>
        <v>NA</v>
      </c>
    </row>
    <row r="204" spans="1:52" hidden="1" outlineLevel="1">
      <c r="A204" s="430" t="s">
        <v>548</v>
      </c>
      <c r="B204" s="427" t="e">
        <f>B175/B$169</f>
        <v>#DIV/0!</v>
      </c>
      <c r="C204" s="427" t="e">
        <f t="shared" ref="C204:AE204" si="100">C175/SUM(C$169,C$174)</f>
        <v>#DIV/0!</v>
      </c>
      <c r="D204" s="427" t="e">
        <f t="shared" si="100"/>
        <v>#DIV/0!</v>
      </c>
      <c r="E204" s="427" t="e">
        <f t="shared" si="100"/>
        <v>#DIV/0!</v>
      </c>
      <c r="F204" s="427" t="e">
        <f t="shared" ca="1" si="100"/>
        <v>#DIV/0!</v>
      </c>
      <c r="G204" s="427" t="e">
        <f t="shared" ca="1" si="100"/>
        <v>#DIV/0!</v>
      </c>
      <c r="H204" s="427" t="e">
        <f t="shared" ca="1" si="100"/>
        <v>#DIV/0!</v>
      </c>
      <c r="I204" s="427" t="e">
        <f t="shared" ca="1" si="100"/>
        <v>#DIV/0!</v>
      </c>
      <c r="J204" s="427" t="e">
        <f t="shared" ca="1" si="100"/>
        <v>#DIV/0!</v>
      </c>
      <c r="K204" s="427" t="e">
        <f t="shared" ca="1" si="100"/>
        <v>#DIV/0!</v>
      </c>
      <c r="L204" s="427" t="e">
        <f t="shared" ca="1" si="100"/>
        <v>#DIV/0!</v>
      </c>
      <c r="M204" s="427" t="e">
        <f t="shared" ca="1" si="100"/>
        <v>#DIV/0!</v>
      </c>
      <c r="N204" s="427" t="e">
        <f t="shared" ca="1" si="100"/>
        <v>#DIV/0!</v>
      </c>
      <c r="O204" s="427" t="e">
        <f t="shared" ca="1" si="100"/>
        <v>#DIV/0!</v>
      </c>
      <c r="P204" s="427" t="e">
        <f t="shared" ca="1" si="100"/>
        <v>#DIV/0!</v>
      </c>
      <c r="Q204" s="427" t="e">
        <f t="shared" ca="1" si="100"/>
        <v>#DIV/0!</v>
      </c>
      <c r="R204" s="427" t="e">
        <f t="shared" ca="1" si="100"/>
        <v>#DIV/0!</v>
      </c>
      <c r="S204" s="427" t="e">
        <f t="shared" ca="1" si="100"/>
        <v>#DIV/0!</v>
      </c>
      <c r="T204" s="427" t="e">
        <f t="shared" ca="1" si="100"/>
        <v>#DIV/0!</v>
      </c>
      <c r="U204" s="427" t="e">
        <f t="shared" ca="1" si="100"/>
        <v>#DIV/0!</v>
      </c>
      <c r="V204" s="427" t="e">
        <f t="shared" ca="1" si="100"/>
        <v>#DIV/0!</v>
      </c>
      <c r="W204" s="427" t="e">
        <f t="shared" ca="1" si="100"/>
        <v>#DIV/0!</v>
      </c>
      <c r="X204" s="427" t="e">
        <f t="shared" ca="1" si="100"/>
        <v>#DIV/0!</v>
      </c>
      <c r="Y204" s="427" t="e">
        <f t="shared" ca="1" si="100"/>
        <v>#DIV/0!</v>
      </c>
      <c r="Z204" s="427" t="e">
        <f t="shared" ca="1" si="100"/>
        <v>#DIV/0!</v>
      </c>
      <c r="AA204" s="427" t="e">
        <f t="shared" ca="1" si="100"/>
        <v>#DIV/0!</v>
      </c>
      <c r="AB204" s="427" t="e">
        <f t="shared" ca="1" si="100"/>
        <v>#DIV/0!</v>
      </c>
      <c r="AC204" s="427" t="e">
        <f t="shared" ca="1" si="100"/>
        <v>#DIV/0!</v>
      </c>
      <c r="AD204" s="427" t="e">
        <f t="shared" ca="1" si="100"/>
        <v>#DIV/0!</v>
      </c>
      <c r="AE204" s="427" t="e">
        <f t="shared" ca="1" si="100"/>
        <v>#N/A</v>
      </c>
      <c r="AF204" s="427" t="e">
        <f ca="1">AF175/SUM(AE$169,AE$174)</f>
        <v>#N/A</v>
      </c>
      <c r="AG204" s="427"/>
      <c r="AH204" s="340" t="str">
        <f t="shared" si="94"/>
        <v>NA</v>
      </c>
      <c r="AJ204" s="427" t="e">
        <f ca="1">AJ175/SUM(AJ$169,AJ$174)</f>
        <v>#DIV/0!</v>
      </c>
      <c r="AK204" s="427" t="e">
        <f ca="1">AK175/SUM(AK$169,AK$174)</f>
        <v>#DIV/0!</v>
      </c>
      <c r="AL204" s="427" t="e">
        <f ca="1">AL175/SUM(AL$169,AL$174)</f>
        <v>#DIV/0!</v>
      </c>
      <c r="AM204" s="427" t="e">
        <f ca="1">AM175/SUM(AM$169,AM$174)</f>
        <v>#DIV/0!</v>
      </c>
      <c r="AN204" s="427" t="e">
        <f ca="1">AN175/SUM(AN$169,AN$174)</f>
        <v>#DIV/0!</v>
      </c>
      <c r="AO204" s="126"/>
      <c r="AP204" s="340" t="str">
        <f t="shared" ca="1" si="95"/>
        <v>NA</v>
      </c>
    </row>
    <row r="205" spans="1:52" collapsed="1">
      <c r="A205" s="430" t="s">
        <v>572</v>
      </c>
      <c r="B205" s="427" t="str">
        <f>IF(B176=0,"NA",B176/B$169)</f>
        <v>NA</v>
      </c>
      <c r="C205" s="431" t="str">
        <f>IF(C176=0,"NA",C176/C$175)</f>
        <v>NA</v>
      </c>
      <c r="D205" s="431" t="str">
        <f t="shared" ref="D205:AN205" si="101">IF(D176=0,"NA",D176/D$175)</f>
        <v>NA</v>
      </c>
      <c r="E205" s="431" t="str">
        <f t="shared" si="101"/>
        <v>NA</v>
      </c>
      <c r="F205" s="431" t="str">
        <f t="shared" ca="1" si="101"/>
        <v>NA</v>
      </c>
      <c r="G205" s="431" t="str">
        <f t="shared" ca="1" si="101"/>
        <v>NA</v>
      </c>
      <c r="H205" s="431" t="str">
        <f t="shared" ca="1" si="101"/>
        <v>NA</v>
      </c>
      <c r="I205" s="431" t="str">
        <f t="shared" ca="1" si="101"/>
        <v>NA</v>
      </c>
      <c r="J205" s="431" t="str">
        <f t="shared" ca="1" si="101"/>
        <v>NA</v>
      </c>
      <c r="K205" s="431" t="str">
        <f t="shared" ca="1" si="101"/>
        <v>NA</v>
      </c>
      <c r="L205" s="431" t="str">
        <f t="shared" ca="1" si="101"/>
        <v>NA</v>
      </c>
      <c r="M205" s="431" t="str">
        <f t="shared" ca="1" si="101"/>
        <v>NA</v>
      </c>
      <c r="N205" s="431" t="str">
        <f t="shared" ca="1" si="101"/>
        <v>NA</v>
      </c>
      <c r="O205" s="431" t="str">
        <f t="shared" ca="1" si="101"/>
        <v>NA</v>
      </c>
      <c r="P205" s="431" t="str">
        <f t="shared" ca="1" si="101"/>
        <v>NA</v>
      </c>
      <c r="Q205" s="431" t="str">
        <f t="shared" ca="1" si="101"/>
        <v>NA</v>
      </c>
      <c r="R205" s="431" t="str">
        <f t="shared" ca="1" si="101"/>
        <v>NA</v>
      </c>
      <c r="S205" s="431" t="str">
        <f t="shared" ca="1" si="101"/>
        <v>NA</v>
      </c>
      <c r="T205" s="431" t="str">
        <f t="shared" ca="1" si="101"/>
        <v>NA</v>
      </c>
      <c r="U205" s="431" t="str">
        <f t="shared" ca="1" si="101"/>
        <v>NA</v>
      </c>
      <c r="V205" s="431" t="str">
        <f t="shared" ca="1" si="101"/>
        <v>NA</v>
      </c>
      <c r="W205" s="431" t="str">
        <f t="shared" ca="1" si="101"/>
        <v>NA</v>
      </c>
      <c r="X205" s="431" t="str">
        <f t="shared" ca="1" si="101"/>
        <v>NA</v>
      </c>
      <c r="Y205" s="431" t="str">
        <f t="shared" ca="1" si="101"/>
        <v>NA</v>
      </c>
      <c r="Z205" s="431" t="str">
        <f t="shared" ca="1" si="101"/>
        <v>NA</v>
      </c>
      <c r="AA205" s="431" t="str">
        <f t="shared" ca="1" si="101"/>
        <v>NA</v>
      </c>
      <c r="AB205" s="431" t="str">
        <f t="shared" ca="1" si="101"/>
        <v>NA</v>
      </c>
      <c r="AC205" s="431" t="str">
        <f t="shared" ca="1" si="101"/>
        <v>NA</v>
      </c>
      <c r="AD205" s="431" t="str">
        <f t="shared" ca="1" si="101"/>
        <v>NA</v>
      </c>
      <c r="AE205" s="431" t="e">
        <f t="shared" ca="1" si="101"/>
        <v>#N/A</v>
      </c>
      <c r="AF205" s="431" t="e">
        <f t="shared" ca="1" si="101"/>
        <v>#N/A</v>
      </c>
      <c r="AG205" s="431"/>
      <c r="AH205" s="340" t="str">
        <f t="shared" ca="1" si="94"/>
        <v>NA</v>
      </c>
      <c r="AJ205" s="431" t="str">
        <f t="shared" ca="1" si="101"/>
        <v>NA</v>
      </c>
      <c r="AK205" s="431" t="str">
        <f t="shared" ca="1" si="101"/>
        <v>NA</v>
      </c>
      <c r="AL205" s="431" t="str">
        <f t="shared" ca="1" si="101"/>
        <v>NA</v>
      </c>
      <c r="AM205" s="431" t="str">
        <f t="shared" ca="1" si="101"/>
        <v>NA</v>
      </c>
      <c r="AN205" s="431" t="str">
        <f t="shared" ca="1" si="101"/>
        <v>NA</v>
      </c>
      <c r="AO205" s="126"/>
      <c r="AP205" s="340" t="str">
        <f t="shared" ca="1" si="95"/>
        <v>NA</v>
      </c>
    </row>
    <row r="206" spans="1:52">
      <c r="A206" s="430" t="s">
        <v>444</v>
      </c>
      <c r="B206" s="427" t="e">
        <f t="shared" ref="B206:AE206" si="102">-B17/B15</f>
        <v>#DIV/0!</v>
      </c>
      <c r="C206" s="427" t="e">
        <f t="shared" si="102"/>
        <v>#DIV/0!</v>
      </c>
      <c r="D206" s="427" t="e">
        <f t="shared" si="102"/>
        <v>#DIV/0!</v>
      </c>
      <c r="E206" s="427" t="e">
        <f t="shared" si="102"/>
        <v>#DIV/0!</v>
      </c>
      <c r="F206" s="427" t="e">
        <f t="shared" ca="1" si="102"/>
        <v>#DIV/0!</v>
      </c>
      <c r="G206" s="427" t="e">
        <f t="shared" ca="1" si="102"/>
        <v>#DIV/0!</v>
      </c>
      <c r="H206" s="427" t="e">
        <f t="shared" ca="1" si="102"/>
        <v>#DIV/0!</v>
      </c>
      <c r="I206" s="427" t="e">
        <f t="shared" ca="1" si="102"/>
        <v>#DIV/0!</v>
      </c>
      <c r="J206" s="427" t="e">
        <f t="shared" ca="1" si="102"/>
        <v>#DIV/0!</v>
      </c>
      <c r="K206" s="427" t="e">
        <f t="shared" ca="1" si="102"/>
        <v>#DIV/0!</v>
      </c>
      <c r="L206" s="427" t="e">
        <f t="shared" ca="1" si="102"/>
        <v>#DIV/0!</v>
      </c>
      <c r="M206" s="427" t="e">
        <f t="shared" ca="1" si="102"/>
        <v>#DIV/0!</v>
      </c>
      <c r="N206" s="427" t="e">
        <f t="shared" ca="1" si="102"/>
        <v>#DIV/0!</v>
      </c>
      <c r="O206" s="427" t="e">
        <f t="shared" ca="1" si="102"/>
        <v>#DIV/0!</v>
      </c>
      <c r="P206" s="427" t="e">
        <f t="shared" ca="1" si="102"/>
        <v>#DIV/0!</v>
      </c>
      <c r="Q206" s="427" t="e">
        <f t="shared" ca="1" si="102"/>
        <v>#DIV/0!</v>
      </c>
      <c r="R206" s="427" t="e">
        <f t="shared" ca="1" si="102"/>
        <v>#DIV/0!</v>
      </c>
      <c r="S206" s="427" t="e">
        <f t="shared" ca="1" si="102"/>
        <v>#DIV/0!</v>
      </c>
      <c r="T206" s="427" t="e">
        <f t="shared" ca="1" si="102"/>
        <v>#DIV/0!</v>
      </c>
      <c r="U206" s="427" t="e">
        <f t="shared" ca="1" si="102"/>
        <v>#DIV/0!</v>
      </c>
      <c r="V206" s="427" t="e">
        <f t="shared" ca="1" si="102"/>
        <v>#DIV/0!</v>
      </c>
      <c r="W206" s="427" t="e">
        <f t="shared" ca="1" si="102"/>
        <v>#DIV/0!</v>
      </c>
      <c r="X206" s="427" t="e">
        <f t="shared" ca="1" si="102"/>
        <v>#DIV/0!</v>
      </c>
      <c r="Y206" s="427" t="e">
        <f t="shared" ca="1" si="102"/>
        <v>#DIV/0!</v>
      </c>
      <c r="Z206" s="427" t="e">
        <f t="shared" ca="1" si="102"/>
        <v>#DIV/0!</v>
      </c>
      <c r="AA206" s="427" t="e">
        <f t="shared" ca="1" si="102"/>
        <v>#DIV/0!</v>
      </c>
      <c r="AB206" s="427" t="e">
        <f t="shared" ca="1" si="102"/>
        <v>#DIV/0!</v>
      </c>
      <c r="AC206" s="427" t="e">
        <f t="shared" ca="1" si="102"/>
        <v>#DIV/0!</v>
      </c>
      <c r="AD206" s="427" t="e">
        <f t="shared" ca="1" si="102"/>
        <v>#DIV/0!</v>
      </c>
      <c r="AE206" s="427" t="e">
        <f t="shared" ca="1" si="102"/>
        <v>#N/A</v>
      </c>
      <c r="AF206" s="427" t="e">
        <f ca="1">AE206</f>
        <v>#N/A</v>
      </c>
      <c r="AG206" s="427"/>
      <c r="AH206" s="340" t="str">
        <f t="shared" si="94"/>
        <v>NA</v>
      </c>
      <c r="AJ206" s="427" t="e">
        <f ca="1">-AJ17/AJ15</f>
        <v>#DIV/0!</v>
      </c>
      <c r="AK206" s="427" t="e">
        <f ca="1">-AK17/AK15</f>
        <v>#DIV/0!</v>
      </c>
      <c r="AL206" s="427" t="e">
        <f ca="1">-AL17/AL15</f>
        <v>#DIV/0!</v>
      </c>
      <c r="AM206" s="427" t="e">
        <f ca="1">-AM17/AM15</f>
        <v>#DIV/0!</v>
      </c>
      <c r="AN206" s="427" t="e">
        <f ca="1">-AN17/AN15</f>
        <v>#DIV/0!</v>
      </c>
      <c r="AO206" s="126"/>
      <c r="AP206" s="340" t="str">
        <f t="shared" ca="1" si="95"/>
        <v>NA</v>
      </c>
    </row>
    <row r="207" spans="1:52">
      <c r="A207" s="430" t="s">
        <v>544</v>
      </c>
      <c r="B207" s="427" t="e">
        <f t="shared" ref="B207:AE207" si="103">-B17/SUM(B169,B174)</f>
        <v>#DIV/0!</v>
      </c>
      <c r="C207" s="427" t="e">
        <f t="shared" si="103"/>
        <v>#DIV/0!</v>
      </c>
      <c r="D207" s="427" t="e">
        <f t="shared" si="103"/>
        <v>#DIV/0!</v>
      </c>
      <c r="E207" s="427" t="e">
        <f t="shared" si="103"/>
        <v>#DIV/0!</v>
      </c>
      <c r="F207" s="427" t="e">
        <f t="shared" ca="1" si="103"/>
        <v>#DIV/0!</v>
      </c>
      <c r="G207" s="427" t="e">
        <f t="shared" ca="1" si="103"/>
        <v>#DIV/0!</v>
      </c>
      <c r="H207" s="427" t="e">
        <f t="shared" ca="1" si="103"/>
        <v>#DIV/0!</v>
      </c>
      <c r="I207" s="427" t="e">
        <f t="shared" ca="1" si="103"/>
        <v>#DIV/0!</v>
      </c>
      <c r="J207" s="427" t="e">
        <f t="shared" ca="1" si="103"/>
        <v>#DIV/0!</v>
      </c>
      <c r="K207" s="427" t="e">
        <f t="shared" ca="1" si="103"/>
        <v>#DIV/0!</v>
      </c>
      <c r="L207" s="427" t="e">
        <f t="shared" ca="1" si="103"/>
        <v>#DIV/0!</v>
      </c>
      <c r="M207" s="427" t="e">
        <f t="shared" ca="1" si="103"/>
        <v>#DIV/0!</v>
      </c>
      <c r="N207" s="427" t="e">
        <f t="shared" ca="1" si="103"/>
        <v>#DIV/0!</v>
      </c>
      <c r="O207" s="427" t="e">
        <f t="shared" ca="1" si="103"/>
        <v>#DIV/0!</v>
      </c>
      <c r="P207" s="427" t="e">
        <f t="shared" ca="1" si="103"/>
        <v>#DIV/0!</v>
      </c>
      <c r="Q207" s="427" t="e">
        <f t="shared" ca="1" si="103"/>
        <v>#DIV/0!</v>
      </c>
      <c r="R207" s="427" t="e">
        <f t="shared" ca="1" si="103"/>
        <v>#DIV/0!</v>
      </c>
      <c r="S207" s="427" t="e">
        <f t="shared" ca="1" si="103"/>
        <v>#DIV/0!</v>
      </c>
      <c r="T207" s="427" t="e">
        <f t="shared" ca="1" si="103"/>
        <v>#DIV/0!</v>
      </c>
      <c r="U207" s="427" t="e">
        <f t="shared" ca="1" si="103"/>
        <v>#DIV/0!</v>
      </c>
      <c r="V207" s="427" t="e">
        <f t="shared" ca="1" si="103"/>
        <v>#DIV/0!</v>
      </c>
      <c r="W207" s="427" t="e">
        <f t="shared" ca="1" si="103"/>
        <v>#DIV/0!</v>
      </c>
      <c r="X207" s="427" t="e">
        <f t="shared" ca="1" si="103"/>
        <v>#DIV/0!</v>
      </c>
      <c r="Y207" s="427" t="e">
        <f t="shared" ca="1" si="103"/>
        <v>#DIV/0!</v>
      </c>
      <c r="Z207" s="427" t="e">
        <f t="shared" ca="1" si="103"/>
        <v>#DIV/0!</v>
      </c>
      <c r="AA207" s="427" t="e">
        <f t="shared" ca="1" si="103"/>
        <v>#DIV/0!</v>
      </c>
      <c r="AB207" s="427" t="e">
        <f t="shared" ca="1" si="103"/>
        <v>#DIV/0!</v>
      </c>
      <c r="AC207" s="427" t="e">
        <f t="shared" ca="1" si="103"/>
        <v>#DIV/0!</v>
      </c>
      <c r="AD207" s="427" t="e">
        <f t="shared" ca="1" si="103"/>
        <v>#DIV/0!</v>
      </c>
      <c r="AE207" s="427" t="e">
        <f t="shared" ca="1" si="103"/>
        <v>#N/A</v>
      </c>
      <c r="AF207" s="427" t="e">
        <f ca="1">AE207</f>
        <v>#N/A</v>
      </c>
      <c r="AG207" s="427"/>
      <c r="AH207" s="340" t="str">
        <f t="shared" si="94"/>
        <v>NA</v>
      </c>
      <c r="AJ207" s="427" t="e">
        <f ca="1">-AJ17/SUM(AJ169,AJ174)</f>
        <v>#DIV/0!</v>
      </c>
      <c r="AK207" s="427" t="e">
        <f ca="1">-AK17/SUM(AK169,AK174)</f>
        <v>#DIV/0!</v>
      </c>
      <c r="AL207" s="427" t="e">
        <f ca="1">-AL17/SUM(AL169,AL174)</f>
        <v>#DIV/0!</v>
      </c>
      <c r="AM207" s="427" t="e">
        <f ca="1">-AM17/SUM(AM169,AM174)</f>
        <v>#DIV/0!</v>
      </c>
      <c r="AN207" s="427" t="e">
        <f ca="1">-AN17/SUM(AN169,AN174)</f>
        <v>#DIV/0!</v>
      </c>
      <c r="AO207" s="126"/>
      <c r="AP207" s="340" t="str">
        <f t="shared" ca="1" si="95"/>
        <v>NA</v>
      </c>
    </row>
    <row r="208" spans="1:52">
      <c r="A208" s="430" t="s">
        <v>659</v>
      </c>
      <c r="B208" s="427" t="s">
        <v>533</v>
      </c>
      <c r="C208" s="427" t="e">
        <f>-C47/AVERAGE(B$15:C$15)</f>
        <v>#DIV/0!</v>
      </c>
      <c r="D208" s="427" t="e">
        <f>-D47/AVERAGE(C$15:D$15)</f>
        <v>#DIV/0!</v>
      </c>
      <c r="E208" s="427" t="e">
        <f>-E47/AVERAGE(D$15:E$15)</f>
        <v>#DIV/0!</v>
      </c>
      <c r="F208" s="427" t="e">
        <f t="shared" ref="F208:Q208" ca="1" si="104">-(F47*(12/F$5))/AVERAGE($E$15,F$15)</f>
        <v>#DIV/0!</v>
      </c>
      <c r="G208" s="427" t="e">
        <f t="shared" ca="1" si="104"/>
        <v>#DIV/0!</v>
      </c>
      <c r="H208" s="427" t="e">
        <f t="shared" ca="1" si="104"/>
        <v>#DIV/0!</v>
      </c>
      <c r="I208" s="427" t="e">
        <f t="shared" ca="1" si="104"/>
        <v>#DIV/0!</v>
      </c>
      <c r="J208" s="427" t="e">
        <f t="shared" ca="1" si="104"/>
        <v>#DIV/0!</v>
      </c>
      <c r="K208" s="427" t="e">
        <f t="shared" ca="1" si="104"/>
        <v>#DIV/0!</v>
      </c>
      <c r="L208" s="427" t="e">
        <f t="shared" ca="1" si="104"/>
        <v>#DIV/0!</v>
      </c>
      <c r="M208" s="427" t="e">
        <f t="shared" ca="1" si="104"/>
        <v>#DIV/0!</v>
      </c>
      <c r="N208" s="427" t="e">
        <f t="shared" ca="1" si="104"/>
        <v>#DIV/0!</v>
      </c>
      <c r="O208" s="427" t="e">
        <f t="shared" ca="1" si="104"/>
        <v>#DIV/0!</v>
      </c>
      <c r="P208" s="427" t="e">
        <f t="shared" ca="1" si="104"/>
        <v>#DIV/0!</v>
      </c>
      <c r="Q208" s="427" t="e">
        <f t="shared" ca="1" si="104"/>
        <v>#DIV/0!</v>
      </c>
      <c r="R208" s="427" t="e">
        <f ca="1">-R47/AVERAGE(E$15,R$15)</f>
        <v>#DIV/0!</v>
      </c>
      <c r="S208" s="427" t="e">
        <f t="shared" ref="S208:AD208" ca="1" si="105">-(S47*(12/S$5))/AVERAGE($R$15,S$15)</f>
        <v>#DIV/0!</v>
      </c>
      <c r="T208" s="427" t="e">
        <f t="shared" ca="1" si="105"/>
        <v>#DIV/0!</v>
      </c>
      <c r="U208" s="427" t="e">
        <f t="shared" ca="1" si="105"/>
        <v>#DIV/0!</v>
      </c>
      <c r="V208" s="427" t="e">
        <f t="shared" ca="1" si="105"/>
        <v>#DIV/0!</v>
      </c>
      <c r="W208" s="427" t="e">
        <f t="shared" ca="1" si="105"/>
        <v>#DIV/0!</v>
      </c>
      <c r="X208" s="427" t="e">
        <f t="shared" ca="1" si="105"/>
        <v>#DIV/0!</v>
      </c>
      <c r="Y208" s="427" t="e">
        <f t="shared" ca="1" si="105"/>
        <v>#DIV/0!</v>
      </c>
      <c r="Z208" s="427" t="e">
        <f t="shared" ca="1" si="105"/>
        <v>#DIV/0!</v>
      </c>
      <c r="AA208" s="427" t="e">
        <f t="shared" ca="1" si="105"/>
        <v>#DIV/0!</v>
      </c>
      <c r="AB208" s="427" t="e">
        <f t="shared" ca="1" si="105"/>
        <v>#DIV/0!</v>
      </c>
      <c r="AC208" s="427" t="e">
        <f t="shared" ca="1" si="105"/>
        <v>#DIV/0!</v>
      </c>
      <c r="AD208" s="427" t="e">
        <f t="shared" ca="1" si="105"/>
        <v>#DIV/0!</v>
      </c>
      <c r="AE208" s="342" t="e">
        <f ca="1">HLOOKUP(1,S$6:AD208,ROW(AE208)-5,FALSE)</f>
        <v>#N/A</v>
      </c>
      <c r="AF208" s="342" t="e">
        <f ca="1">-AF47/AVERAGE(HLOOKUP(1,S$6:AD$15,ROW(AE$15)-5,FALSE),HLOOKUP(1,F$6:Q$15,ROW(AE$15)-5,FALSE))</f>
        <v>#N/A</v>
      </c>
      <c r="AG208" s="427"/>
      <c r="AH208" s="340" t="e">
        <f>-IFERROR(AVERAGE(C208:E208,R208),"NA")</f>
        <v>#VALUE!</v>
      </c>
      <c r="AJ208" s="427" t="e">
        <f ca="1">-AJ47/AVERAGE(R$15,AJ$15)</f>
        <v>#DIV/0!</v>
      </c>
      <c r="AK208" s="427" t="e">
        <f ca="1">-AK47/AVERAGE(AJ$15:AK$15)</f>
        <v>#DIV/0!</v>
      </c>
      <c r="AL208" s="427" t="e">
        <f ca="1">-AL47/AVERAGE(AK$15:AL$15)</f>
        <v>#DIV/0!</v>
      </c>
      <c r="AM208" s="427" t="e">
        <f ca="1">-AM47/AVERAGE(AL$15:AM$15)</f>
        <v>#DIV/0!</v>
      </c>
      <c r="AN208" s="427" t="e">
        <f ca="1">-AN47/AVERAGE(AM$15:AN$15)</f>
        <v>#DIV/0!</v>
      </c>
      <c r="AO208" s="126"/>
      <c r="AP208" s="340" t="e">
        <f ca="1">-IFERROR(AVERAGE(AJ208:AN208),"NA")</f>
        <v>#VALUE!</v>
      </c>
    </row>
    <row r="209" spans="1:53" outlineLevel="1">
      <c r="A209" s="430" t="s">
        <v>566</v>
      </c>
      <c r="B209" s="427" t="s">
        <v>533</v>
      </c>
      <c r="C209" s="427" t="e">
        <f>-C47/AVERAGE(SUM(B169,B174),SUM(C169,C174))</f>
        <v>#DIV/0!</v>
      </c>
      <c r="D209" s="427" t="e">
        <f>-D47/AVERAGE(SUM(C169,C174),SUM(D169,D174))</f>
        <v>#DIV/0!</v>
      </c>
      <c r="E209" s="427" t="e">
        <f>-E47/AVERAGE(SUM(D169,D174),SUM(E169,E174))</f>
        <v>#DIV/0!</v>
      </c>
      <c r="F209" s="427" t="s">
        <v>533</v>
      </c>
      <c r="G209" s="427" t="s">
        <v>533</v>
      </c>
      <c r="H209" s="427" t="s">
        <v>533</v>
      </c>
      <c r="I209" s="427" t="s">
        <v>533</v>
      </c>
      <c r="J209" s="427" t="s">
        <v>533</v>
      </c>
      <c r="K209" s="427" t="s">
        <v>533</v>
      </c>
      <c r="L209" s="427" t="s">
        <v>533</v>
      </c>
      <c r="M209" s="427" t="s">
        <v>533</v>
      </c>
      <c r="N209" s="427" t="s">
        <v>533</v>
      </c>
      <c r="O209" s="427" t="s">
        <v>533</v>
      </c>
      <c r="P209" s="427" t="s">
        <v>533</v>
      </c>
      <c r="Q209" s="427" t="s">
        <v>533</v>
      </c>
      <c r="R209" s="427" t="e">
        <f ca="1">-R47/AVERAGE(SUM(E169,E174),SUM(R169,R174))</f>
        <v>#DIV/0!</v>
      </c>
      <c r="S209" s="427" t="e">
        <f t="shared" ref="S209:AD209" ca="1" si="106">(-S47*(12/S$5))/AVERAGE(SUM(F169,F174),SUM(S169,S174))</f>
        <v>#DIV/0!</v>
      </c>
      <c r="T209" s="427" t="e">
        <f t="shared" ca="1" si="106"/>
        <v>#DIV/0!</v>
      </c>
      <c r="U209" s="427" t="e">
        <f t="shared" ca="1" si="106"/>
        <v>#DIV/0!</v>
      </c>
      <c r="V209" s="427" t="e">
        <f t="shared" ca="1" si="106"/>
        <v>#DIV/0!</v>
      </c>
      <c r="W209" s="427" t="e">
        <f t="shared" ca="1" si="106"/>
        <v>#DIV/0!</v>
      </c>
      <c r="X209" s="427" t="e">
        <f t="shared" ca="1" si="106"/>
        <v>#DIV/0!</v>
      </c>
      <c r="Y209" s="427" t="e">
        <f t="shared" ca="1" si="106"/>
        <v>#DIV/0!</v>
      </c>
      <c r="Z209" s="427" t="e">
        <f t="shared" ca="1" si="106"/>
        <v>#DIV/0!</v>
      </c>
      <c r="AA209" s="427" t="e">
        <f t="shared" ca="1" si="106"/>
        <v>#DIV/0!</v>
      </c>
      <c r="AB209" s="427" t="e">
        <f t="shared" ca="1" si="106"/>
        <v>#DIV/0!</v>
      </c>
      <c r="AC209" s="427" t="e">
        <f t="shared" ca="1" si="106"/>
        <v>#DIV/0!</v>
      </c>
      <c r="AD209" s="427" t="e">
        <f t="shared" ca="1" si="106"/>
        <v>#DIV/0!</v>
      </c>
      <c r="AE209" s="342" t="e">
        <f ca="1">HLOOKUP(1,S$6:AD209,ROW(AE209)-5,FALSE)</f>
        <v>#N/A</v>
      </c>
      <c r="AF209" s="342" t="e">
        <f ca="1">-AF47/AVERAGE(SUM(HLOOKUP(1,F$6:Q$169,ROW(AE$169)-5,FALSE),HLOOKUP(1,F$6:Q$174,ROW(AE$174)-5,FALSE)),SUM(AE169,AE174))</f>
        <v>#N/A</v>
      </c>
      <c r="AG209" s="427"/>
      <c r="AH209" s="340" t="str">
        <f>IFERROR(AVERAGE(C209:E209,R209),"NA")</f>
        <v>NA</v>
      </c>
      <c r="AJ209" s="427" t="e">
        <f ca="1">-AJ47/AVERAGE(SUM(R169,R174),SUM(AJ169,AJ174))</f>
        <v>#DIV/0!</v>
      </c>
      <c r="AK209" s="427" t="e">
        <f ca="1">-AK47/AVERAGE(SUM(AJ169,AJ174),SUM(AK169,AK174))</f>
        <v>#DIV/0!</v>
      </c>
      <c r="AL209" s="427" t="e">
        <f ca="1">-AL47/AVERAGE(SUM(AK169,AK174),SUM(AL169,AL174))</f>
        <v>#DIV/0!</v>
      </c>
      <c r="AM209" s="427" t="e">
        <f ca="1">-AM47/AVERAGE(SUM(AL169,AL174),SUM(AM169,AM174))</f>
        <v>#DIV/0!</v>
      </c>
      <c r="AN209" s="427" t="e">
        <f ca="1">-AN47/AVERAGE(SUM(AM169,AM174),SUM(AN169,AN174))</f>
        <v>#DIV/0!</v>
      </c>
      <c r="AO209" s="126"/>
      <c r="AP209" s="340" t="str">
        <f ca="1">IFERROR(AVERAGE(AJ209:AN209),"NA")</f>
        <v>NA</v>
      </c>
    </row>
    <row r="210" spans="1:53">
      <c r="A210" s="338"/>
      <c r="B210" s="386"/>
      <c r="C210" s="386"/>
      <c r="D210" s="386"/>
      <c r="E210" s="386"/>
      <c r="F210" s="386"/>
      <c r="G210" s="386"/>
      <c r="H210" s="386"/>
      <c r="I210" s="386"/>
      <c r="J210" s="386"/>
      <c r="K210" s="386"/>
      <c r="L210" s="386"/>
      <c r="M210" s="386"/>
      <c r="N210" s="386"/>
      <c r="O210" s="386"/>
      <c r="P210" s="386"/>
      <c r="Q210" s="386"/>
      <c r="R210" s="386"/>
      <c r="S210" s="386"/>
      <c r="T210" s="386"/>
      <c r="U210" s="386"/>
      <c r="V210" s="386"/>
      <c r="W210" s="386"/>
      <c r="X210" s="339"/>
      <c r="Y210" s="339"/>
      <c r="Z210" s="339"/>
      <c r="AA210" s="339"/>
      <c r="AB210" s="339"/>
      <c r="AC210" s="339"/>
      <c r="AD210" s="339"/>
      <c r="AE210" s="339"/>
      <c r="AF210" s="339"/>
      <c r="AH210" s="387"/>
      <c r="AJ210" s="339"/>
      <c r="AK210" s="339"/>
      <c r="AL210" s="339"/>
      <c r="AM210" s="339"/>
      <c r="AN210" s="339"/>
      <c r="AO210" s="126"/>
      <c r="AP210" s="387"/>
    </row>
    <row r="211" spans="1:53" s="392" customFormat="1" ht="24" customHeight="1">
      <c r="A211" s="397"/>
      <c r="B211" s="398"/>
      <c r="C211" s="398"/>
      <c r="D211" s="398"/>
      <c r="E211" s="398"/>
      <c r="F211" s="398"/>
      <c r="G211" s="398"/>
      <c r="H211" s="398"/>
      <c r="I211" s="398"/>
      <c r="J211" s="398"/>
      <c r="K211" s="398"/>
      <c r="L211" s="398"/>
      <c r="M211" s="398"/>
      <c r="N211" s="398"/>
      <c r="O211" s="398"/>
      <c r="P211" s="398"/>
      <c r="Q211" s="398"/>
      <c r="R211" s="399"/>
      <c r="S211" s="399"/>
      <c r="T211" s="399"/>
      <c r="U211" s="399"/>
      <c r="V211" s="399"/>
      <c r="W211" s="399"/>
      <c r="X211" s="399"/>
      <c r="Y211" s="399"/>
      <c r="Z211" s="399"/>
      <c r="AA211" s="399"/>
      <c r="AB211" s="399"/>
      <c r="AC211" s="399"/>
      <c r="AD211" s="399"/>
      <c r="AE211" s="399"/>
      <c r="AF211" s="399"/>
      <c r="AG211" s="399"/>
      <c r="AH211" s="393"/>
      <c r="AO211" s="399"/>
      <c r="AP211" s="393"/>
      <c r="AQ211" s="399"/>
      <c r="AR211" s="399"/>
      <c r="AS211" s="399"/>
      <c r="AT211" s="400"/>
      <c r="AU211" s="400"/>
      <c r="AV211" s="400"/>
      <c r="AW211" s="400"/>
      <c r="AX211" s="400"/>
      <c r="AY211" s="400"/>
      <c r="AZ211" s="400"/>
    </row>
    <row r="212" spans="1:53" s="127" customFormat="1" ht="15">
      <c r="A212" s="401"/>
      <c r="B212" s="132"/>
      <c r="C212" s="132"/>
      <c r="D212" s="132"/>
      <c r="E212" s="132"/>
      <c r="F212" s="132"/>
      <c r="G212" s="132"/>
      <c r="H212" s="132"/>
      <c r="I212" s="132"/>
      <c r="J212" s="132"/>
      <c r="K212" s="132"/>
      <c r="L212" s="132"/>
      <c r="M212" s="132"/>
      <c r="N212" s="132"/>
      <c r="O212" s="132"/>
      <c r="P212" s="132"/>
      <c r="Q212" s="132"/>
      <c r="R212" s="131"/>
      <c r="S212" s="131"/>
      <c r="T212" s="131"/>
      <c r="U212" s="131"/>
      <c r="V212" s="131"/>
      <c r="W212" s="131"/>
      <c r="X212" s="131"/>
      <c r="Y212" s="131"/>
      <c r="Z212" s="131"/>
      <c r="AA212" s="131"/>
      <c r="AB212" s="131"/>
      <c r="AC212" s="131"/>
      <c r="AD212" s="131"/>
      <c r="AE212" s="131"/>
      <c r="AF212" s="131"/>
      <c r="AG212" s="131"/>
      <c r="AH212" s="391"/>
      <c r="AO212" s="131"/>
      <c r="AP212" s="391"/>
      <c r="AQ212" s="131"/>
      <c r="AR212" s="131"/>
      <c r="AS212" s="131"/>
    </row>
    <row r="213" spans="1:53">
      <c r="A213" s="360" t="str">
        <f>'Hist &amp; Proj'!A112</f>
        <v>ORGANIZATIONAL DATA</v>
      </c>
      <c r="B213" s="760">
        <f>B$7</f>
        <v>692501</v>
      </c>
      <c r="C213" s="760">
        <f t="shared" ref="C213:AD213" si="107">C$7</f>
        <v>692867</v>
      </c>
      <c r="D213" s="760">
        <f t="shared" si="107"/>
        <v>693232</v>
      </c>
      <c r="E213" s="760">
        <f t="shared" si="107"/>
        <v>693597</v>
      </c>
      <c r="F213" s="362">
        <f t="shared" ca="1" si="107"/>
        <v>693628</v>
      </c>
      <c r="G213" s="362">
        <f t="shared" ca="1" si="107"/>
        <v>693656</v>
      </c>
      <c r="H213" s="362">
        <f t="shared" ca="1" si="107"/>
        <v>693687</v>
      </c>
      <c r="I213" s="362">
        <f t="shared" ca="1" si="107"/>
        <v>693717</v>
      </c>
      <c r="J213" s="362">
        <f t="shared" ca="1" si="107"/>
        <v>693748</v>
      </c>
      <c r="K213" s="362">
        <f t="shared" ca="1" si="107"/>
        <v>693778</v>
      </c>
      <c r="L213" s="362">
        <f t="shared" ca="1" si="107"/>
        <v>693809</v>
      </c>
      <c r="M213" s="362">
        <f t="shared" ca="1" si="107"/>
        <v>693840</v>
      </c>
      <c r="N213" s="362">
        <f t="shared" ca="1" si="107"/>
        <v>693870</v>
      </c>
      <c r="O213" s="362">
        <f t="shared" ca="1" si="107"/>
        <v>693901</v>
      </c>
      <c r="P213" s="362">
        <f t="shared" ca="1" si="107"/>
        <v>693931</v>
      </c>
      <c r="Q213" s="362">
        <f t="shared" ca="1" si="107"/>
        <v>693962</v>
      </c>
      <c r="R213" s="760">
        <f t="shared" ca="1" si="107"/>
        <v>693962</v>
      </c>
      <c r="S213" s="362">
        <f t="shared" ca="1" si="107"/>
        <v>31</v>
      </c>
      <c r="T213" s="362">
        <f t="shared" ca="1" si="107"/>
        <v>59</v>
      </c>
      <c r="U213" s="362">
        <f t="shared" ca="1" si="107"/>
        <v>91</v>
      </c>
      <c r="V213" s="362">
        <f t="shared" ca="1" si="107"/>
        <v>121</v>
      </c>
      <c r="W213" s="362">
        <f t="shared" ca="1" si="107"/>
        <v>152</v>
      </c>
      <c r="X213" s="362">
        <f t="shared" ca="1" si="107"/>
        <v>182</v>
      </c>
      <c r="Y213" s="362">
        <f t="shared" ca="1" si="107"/>
        <v>213</v>
      </c>
      <c r="Z213" s="362">
        <f t="shared" ca="1" si="107"/>
        <v>244</v>
      </c>
      <c r="AA213" s="362">
        <f t="shared" ca="1" si="107"/>
        <v>274</v>
      </c>
      <c r="AB213" s="362">
        <f t="shared" ca="1" si="107"/>
        <v>305</v>
      </c>
      <c r="AC213" s="362">
        <f t="shared" ca="1" si="107"/>
        <v>335</v>
      </c>
      <c r="AD213" s="362">
        <f t="shared" ca="1" si="107"/>
        <v>366</v>
      </c>
      <c r="AE213" s="376" t="e">
        <f ca="1">AE$42</f>
        <v>#N/A</v>
      </c>
      <c r="AF213" s="131"/>
      <c r="AH213" s="365" t="str">
        <f ca="1">AH$7</f>
        <v>'96 - '99 CAGR/Avg.</v>
      </c>
      <c r="AJ213" s="760">
        <f ca="1">AJ$7</f>
        <v>694327</v>
      </c>
      <c r="AK213" s="760">
        <f ca="1">AK$7</f>
        <v>694692</v>
      </c>
      <c r="AL213" s="760">
        <f ca="1">AL$7</f>
        <v>695057</v>
      </c>
      <c r="AM213" s="760">
        <f ca="1">AM$7</f>
        <v>695422</v>
      </c>
      <c r="AN213" s="760">
        <f ca="1">AN$7</f>
        <v>695787</v>
      </c>
      <c r="AP213" s="365" t="str">
        <f ca="1">AP$7</f>
        <v>'00 - '04 CAGR/Avg.</v>
      </c>
    </row>
    <row r="214" spans="1:53" s="170" customFormat="1">
      <c r="A214" s="170" t="s">
        <v>55</v>
      </c>
      <c r="B214" s="179">
        <f>'Hist &amp; Proj'!B115</f>
        <v>0</v>
      </c>
      <c r="C214" s="179">
        <f>'Hist &amp; Proj'!C115</f>
        <v>0</v>
      </c>
      <c r="D214" s="179">
        <f>'Hist &amp; Proj'!D115</f>
        <v>0</v>
      </c>
      <c r="E214" s="179">
        <f>'Hist &amp; Proj'!E115</f>
        <v>0</v>
      </c>
      <c r="F214" s="179">
        <f ca="1">'Hist &amp; Proj'!F115</f>
        <v>0</v>
      </c>
      <c r="G214" s="179">
        <f ca="1">'Hist &amp; Proj'!G115</f>
        <v>0</v>
      </c>
      <c r="H214" s="179">
        <f ca="1">'Hist &amp; Proj'!H115</f>
        <v>0</v>
      </c>
      <c r="I214" s="179">
        <f ca="1">'Hist &amp; Proj'!I115</f>
        <v>0</v>
      </c>
      <c r="J214" s="179">
        <f ca="1">'Hist &amp; Proj'!J115</f>
        <v>0</v>
      </c>
      <c r="K214" s="179">
        <f ca="1">'Hist &amp; Proj'!K115</f>
        <v>0</v>
      </c>
      <c r="L214" s="179">
        <f ca="1">'Hist &amp; Proj'!L115</f>
        <v>0</v>
      </c>
      <c r="M214" s="179">
        <f ca="1">'Hist &amp; Proj'!M115</f>
        <v>0</v>
      </c>
      <c r="N214" s="179">
        <f ca="1">'Hist &amp; Proj'!N115</f>
        <v>0</v>
      </c>
      <c r="O214" s="179">
        <f ca="1">'Hist &amp; Proj'!O115</f>
        <v>0</v>
      </c>
      <c r="P214" s="179">
        <f ca="1">'Hist &amp; Proj'!P115</f>
        <v>0</v>
      </c>
      <c r="Q214" s="179">
        <f ca="1">'Hist &amp; Proj'!Q115</f>
        <v>0</v>
      </c>
      <c r="R214" s="179">
        <f ca="1">'Hist &amp; Proj'!R115</f>
        <v>0</v>
      </c>
      <c r="S214" s="179">
        <f ca="1">'Hist &amp; Proj'!S115</f>
        <v>0</v>
      </c>
      <c r="T214" s="179">
        <f ca="1">'Hist &amp; Proj'!T115</f>
        <v>0</v>
      </c>
      <c r="U214" s="179">
        <f ca="1">'Hist &amp; Proj'!U115</f>
        <v>0</v>
      </c>
      <c r="V214" s="179">
        <f ca="1">'Hist &amp; Proj'!V115</f>
        <v>0</v>
      </c>
      <c r="W214" s="179">
        <f ca="1">'Hist &amp; Proj'!W115</f>
        <v>0</v>
      </c>
      <c r="X214" s="179">
        <f ca="1">'Hist &amp; Proj'!X115</f>
        <v>0</v>
      </c>
      <c r="Y214" s="179">
        <f ca="1">'Hist &amp; Proj'!Y115</f>
        <v>0</v>
      </c>
      <c r="Z214" s="179">
        <f ca="1">'Hist &amp; Proj'!Z115</f>
        <v>0</v>
      </c>
      <c r="AA214" s="179">
        <f ca="1">'Hist &amp; Proj'!AA115</f>
        <v>0</v>
      </c>
      <c r="AB214" s="179">
        <f ca="1">'Hist &amp; Proj'!AB115</f>
        <v>0</v>
      </c>
      <c r="AC214" s="179">
        <f ca="1">'Hist &amp; Proj'!AC115</f>
        <v>0</v>
      </c>
      <c r="AD214" s="179">
        <f ca="1">'Hist &amp; Proj'!AD115</f>
        <v>0</v>
      </c>
      <c r="AE214" s="179" t="e">
        <f ca="1">'Hist &amp; Proj'!AE115</f>
        <v>#N/A</v>
      </c>
      <c r="AF214" s="179"/>
      <c r="AG214" s="130"/>
      <c r="AH214" s="367" t="str">
        <f t="shared" ref="AH214:AH219" ca="1" si="108">IFERROR(RATE(3,0,-C214,R214),"NA")</f>
        <v>NA</v>
      </c>
      <c r="AI214" s="416"/>
      <c r="AJ214" s="179">
        <f ca="1">Assump!AJ53</f>
        <v>0</v>
      </c>
      <c r="AK214" s="179">
        <f ca="1">Assump!AK53</f>
        <v>0</v>
      </c>
      <c r="AL214" s="179">
        <f ca="1">Assump!AL53</f>
        <v>0</v>
      </c>
      <c r="AM214" s="179">
        <f ca="1">Assump!AM53</f>
        <v>0</v>
      </c>
      <c r="AN214" s="179">
        <f ca="1">Assump!AN53</f>
        <v>0</v>
      </c>
      <c r="AO214" s="127"/>
      <c r="AP214" s="367" t="str">
        <f t="shared" ref="AP214:AP219" ca="1" si="109">IFERROR(RATE(4,0,-AJ214,AN214),"NA")</f>
        <v>NA</v>
      </c>
      <c r="AQ214" s="127"/>
      <c r="AR214" s="127"/>
      <c r="AS214" s="127"/>
      <c r="AT214" s="127"/>
      <c r="AU214" s="127"/>
      <c r="AV214" s="127"/>
      <c r="AW214" s="127"/>
      <c r="AX214" s="127"/>
      <c r="AY214" s="127"/>
      <c r="AZ214" s="127"/>
    </row>
    <row r="215" spans="1:53" s="170" customFormat="1">
      <c r="A215" s="170" t="s">
        <v>56</v>
      </c>
      <c r="B215" s="179">
        <f>'Hist &amp; Proj'!B116</f>
        <v>0</v>
      </c>
      <c r="C215" s="179">
        <f>'Hist &amp; Proj'!C116</f>
        <v>0</v>
      </c>
      <c r="D215" s="179">
        <f>'Hist &amp; Proj'!D116</f>
        <v>0</v>
      </c>
      <c r="E215" s="179">
        <f>'Hist &amp; Proj'!E116</f>
        <v>0</v>
      </c>
      <c r="F215" s="179">
        <f ca="1">'Hist &amp; Proj'!F116</f>
        <v>0</v>
      </c>
      <c r="G215" s="179">
        <f ca="1">'Hist &amp; Proj'!G116</f>
        <v>0</v>
      </c>
      <c r="H215" s="179">
        <f ca="1">'Hist &amp; Proj'!H116</f>
        <v>0</v>
      </c>
      <c r="I215" s="179">
        <f ca="1">'Hist &amp; Proj'!I116</f>
        <v>0</v>
      </c>
      <c r="J215" s="179">
        <f ca="1">'Hist &amp; Proj'!J116</f>
        <v>0</v>
      </c>
      <c r="K215" s="179">
        <f ca="1">'Hist &amp; Proj'!K116</f>
        <v>0</v>
      </c>
      <c r="L215" s="179">
        <f ca="1">'Hist &amp; Proj'!L116</f>
        <v>0</v>
      </c>
      <c r="M215" s="179">
        <f ca="1">'Hist &amp; Proj'!M116</f>
        <v>0</v>
      </c>
      <c r="N215" s="179">
        <f ca="1">'Hist &amp; Proj'!N116</f>
        <v>0</v>
      </c>
      <c r="O215" s="179">
        <f ca="1">'Hist &amp; Proj'!O116</f>
        <v>0</v>
      </c>
      <c r="P215" s="179">
        <f ca="1">'Hist &amp; Proj'!P116</f>
        <v>0</v>
      </c>
      <c r="Q215" s="179">
        <f ca="1">'Hist &amp; Proj'!Q116</f>
        <v>0</v>
      </c>
      <c r="R215" s="179">
        <f ca="1">'Hist &amp; Proj'!R116</f>
        <v>0</v>
      </c>
      <c r="S215" s="179">
        <f ca="1">'Hist &amp; Proj'!S116</f>
        <v>0</v>
      </c>
      <c r="T215" s="179">
        <f ca="1">'Hist &amp; Proj'!T116</f>
        <v>0</v>
      </c>
      <c r="U215" s="179">
        <f ca="1">'Hist &amp; Proj'!U116</f>
        <v>0</v>
      </c>
      <c r="V215" s="179">
        <f ca="1">'Hist &amp; Proj'!V116</f>
        <v>0</v>
      </c>
      <c r="W215" s="179">
        <f ca="1">'Hist &amp; Proj'!W116</f>
        <v>0</v>
      </c>
      <c r="X215" s="179">
        <f ca="1">'Hist &amp; Proj'!X116</f>
        <v>0</v>
      </c>
      <c r="Y215" s="179">
        <f ca="1">'Hist &amp; Proj'!Y116</f>
        <v>0</v>
      </c>
      <c r="Z215" s="179">
        <f ca="1">'Hist &amp; Proj'!Z116</f>
        <v>0</v>
      </c>
      <c r="AA215" s="179">
        <f ca="1">'Hist &amp; Proj'!AA116</f>
        <v>0</v>
      </c>
      <c r="AB215" s="179">
        <f ca="1">'Hist &amp; Proj'!AB116</f>
        <v>0</v>
      </c>
      <c r="AC215" s="179">
        <f ca="1">'Hist &amp; Proj'!AC116</f>
        <v>0</v>
      </c>
      <c r="AD215" s="179">
        <f ca="1">'Hist &amp; Proj'!AD116</f>
        <v>0</v>
      </c>
      <c r="AE215" s="179" t="e">
        <f ca="1">'Hist &amp; Proj'!AE116</f>
        <v>#N/A</v>
      </c>
      <c r="AF215" s="179"/>
      <c r="AG215" s="130"/>
      <c r="AH215" s="367" t="str">
        <f t="shared" ca="1" si="108"/>
        <v>NA</v>
      </c>
      <c r="AI215" s="416"/>
      <c r="AJ215" s="179">
        <f ca="1">Assump!AJ54</f>
        <v>0</v>
      </c>
      <c r="AK215" s="179">
        <f ca="1">Assump!AK54</f>
        <v>0</v>
      </c>
      <c r="AL215" s="179">
        <f ca="1">Assump!AL54</f>
        <v>0</v>
      </c>
      <c r="AM215" s="179">
        <f ca="1">Assump!AM54</f>
        <v>0</v>
      </c>
      <c r="AN215" s="179">
        <f ca="1">Assump!AN54</f>
        <v>0</v>
      </c>
      <c r="AO215" s="127"/>
      <c r="AP215" s="367" t="str">
        <f t="shared" ca="1" si="109"/>
        <v>NA</v>
      </c>
      <c r="AQ215" s="127"/>
      <c r="AR215" s="127"/>
      <c r="AS215" s="127"/>
      <c r="AT215" s="127"/>
      <c r="AU215" s="127"/>
      <c r="AV215" s="127"/>
      <c r="AW215" s="127"/>
      <c r="AX215" s="127"/>
      <c r="AY215" s="127"/>
      <c r="AZ215" s="127"/>
    </row>
    <row r="216" spans="1:53" s="170" customFormat="1">
      <c r="A216" s="170" t="s">
        <v>113</v>
      </c>
      <c r="B216" s="179">
        <f>'Hist &amp; Proj'!B117</f>
        <v>0</v>
      </c>
      <c r="C216" s="179">
        <f>'Hist &amp; Proj'!C117</f>
        <v>0</v>
      </c>
      <c r="D216" s="179">
        <f>'Hist &amp; Proj'!D117</f>
        <v>0</v>
      </c>
      <c r="E216" s="179">
        <f>'Hist &amp; Proj'!E117</f>
        <v>0</v>
      </c>
      <c r="F216" s="179">
        <f ca="1">'Hist &amp; Proj'!F117</f>
        <v>0</v>
      </c>
      <c r="G216" s="179">
        <f ca="1">'Hist &amp; Proj'!G117</f>
        <v>0</v>
      </c>
      <c r="H216" s="179">
        <f ca="1">'Hist &amp; Proj'!H117</f>
        <v>0</v>
      </c>
      <c r="I216" s="179">
        <f ca="1">'Hist &amp; Proj'!I117</f>
        <v>0</v>
      </c>
      <c r="J216" s="179">
        <f ca="1">'Hist &amp; Proj'!J117</f>
        <v>0</v>
      </c>
      <c r="K216" s="179">
        <f ca="1">'Hist &amp; Proj'!K117</f>
        <v>0</v>
      </c>
      <c r="L216" s="179">
        <f ca="1">'Hist &amp; Proj'!L117</f>
        <v>0</v>
      </c>
      <c r="M216" s="179">
        <f ca="1">'Hist &amp; Proj'!M117</f>
        <v>0</v>
      </c>
      <c r="N216" s="179">
        <f ca="1">'Hist &amp; Proj'!N117</f>
        <v>0</v>
      </c>
      <c r="O216" s="179">
        <f ca="1">'Hist &amp; Proj'!O117</f>
        <v>0</v>
      </c>
      <c r="P216" s="179">
        <f ca="1">'Hist &amp; Proj'!P117</f>
        <v>0</v>
      </c>
      <c r="Q216" s="179">
        <f ca="1">'Hist &amp; Proj'!Q117</f>
        <v>0</v>
      </c>
      <c r="R216" s="179">
        <f ca="1">'Hist &amp; Proj'!R117</f>
        <v>0</v>
      </c>
      <c r="S216" s="179">
        <f ca="1">'Hist &amp; Proj'!S117</f>
        <v>0</v>
      </c>
      <c r="T216" s="179">
        <f ca="1">'Hist &amp; Proj'!T117</f>
        <v>0</v>
      </c>
      <c r="U216" s="179">
        <f ca="1">'Hist &amp; Proj'!U117</f>
        <v>0</v>
      </c>
      <c r="V216" s="179">
        <f ca="1">'Hist &amp; Proj'!V117</f>
        <v>0</v>
      </c>
      <c r="W216" s="179">
        <f ca="1">'Hist &amp; Proj'!W117</f>
        <v>0</v>
      </c>
      <c r="X216" s="179">
        <f ca="1">'Hist &amp; Proj'!X117</f>
        <v>0</v>
      </c>
      <c r="Y216" s="179">
        <f ca="1">'Hist &amp; Proj'!Y117</f>
        <v>0</v>
      </c>
      <c r="Z216" s="179">
        <f ca="1">'Hist &amp; Proj'!Z117</f>
        <v>0</v>
      </c>
      <c r="AA216" s="179">
        <f ca="1">'Hist &amp; Proj'!AA117</f>
        <v>0</v>
      </c>
      <c r="AB216" s="179">
        <f ca="1">'Hist &amp; Proj'!AB117</f>
        <v>0</v>
      </c>
      <c r="AC216" s="179">
        <f ca="1">'Hist &amp; Proj'!AC117</f>
        <v>0</v>
      </c>
      <c r="AD216" s="179">
        <f ca="1">'Hist &amp; Proj'!AD117</f>
        <v>0</v>
      </c>
      <c r="AE216" s="179" t="e">
        <f ca="1">'Hist &amp; Proj'!AE117</f>
        <v>#N/A</v>
      </c>
      <c r="AF216" s="179"/>
      <c r="AG216" s="130"/>
      <c r="AH216" s="367" t="str">
        <f t="shared" ca="1" si="108"/>
        <v>NA</v>
      </c>
      <c r="AI216" s="416"/>
      <c r="AJ216" s="179">
        <f ca="1">Assump!AJ55</f>
        <v>0</v>
      </c>
      <c r="AK216" s="179">
        <f ca="1">Assump!AK55</f>
        <v>0</v>
      </c>
      <c r="AL216" s="179">
        <f ca="1">Assump!AL55</f>
        <v>0</v>
      </c>
      <c r="AM216" s="179">
        <f ca="1">Assump!AM55</f>
        <v>0</v>
      </c>
      <c r="AN216" s="179">
        <f ca="1">Assump!AN55</f>
        <v>0</v>
      </c>
      <c r="AO216" s="127"/>
      <c r="AP216" s="367" t="str">
        <f t="shared" ca="1" si="109"/>
        <v>NA</v>
      </c>
      <c r="AQ216" s="127"/>
      <c r="AR216" s="127"/>
      <c r="AS216" s="127"/>
      <c r="AT216" s="127"/>
      <c r="AU216" s="127"/>
      <c r="AV216" s="127"/>
      <c r="AW216" s="127"/>
      <c r="AX216" s="127"/>
      <c r="AY216" s="127"/>
      <c r="AZ216" s="127"/>
      <c r="BA216" s="432"/>
    </row>
    <row r="217" spans="1:53" s="170" customFormat="1">
      <c r="A217" s="170" t="s">
        <v>57</v>
      </c>
      <c r="B217" s="179">
        <f>'Hist &amp; Proj'!B118</f>
        <v>0</v>
      </c>
      <c r="C217" s="179">
        <f>'Hist &amp; Proj'!C118</f>
        <v>0</v>
      </c>
      <c r="D217" s="179">
        <f>'Hist &amp; Proj'!D118</f>
        <v>0</v>
      </c>
      <c r="E217" s="179">
        <f>'Hist &amp; Proj'!E118</f>
        <v>0</v>
      </c>
      <c r="F217" s="179">
        <f ca="1">'Hist &amp; Proj'!F118</f>
        <v>0</v>
      </c>
      <c r="G217" s="179">
        <f ca="1">'Hist &amp; Proj'!G118</f>
        <v>0</v>
      </c>
      <c r="H217" s="179">
        <f ca="1">'Hist &amp; Proj'!H118</f>
        <v>0</v>
      </c>
      <c r="I217" s="179">
        <f ca="1">'Hist &amp; Proj'!I118</f>
        <v>0</v>
      </c>
      <c r="J217" s="179">
        <f ca="1">'Hist &amp; Proj'!J118</f>
        <v>0</v>
      </c>
      <c r="K217" s="179">
        <f ca="1">'Hist &amp; Proj'!K118</f>
        <v>0</v>
      </c>
      <c r="L217" s="179">
        <f ca="1">'Hist &amp; Proj'!L118</f>
        <v>0</v>
      </c>
      <c r="M217" s="179">
        <f ca="1">'Hist &amp; Proj'!M118</f>
        <v>0</v>
      </c>
      <c r="N217" s="179">
        <f ca="1">'Hist &amp; Proj'!N118</f>
        <v>0</v>
      </c>
      <c r="O217" s="179">
        <f ca="1">'Hist &amp; Proj'!O118</f>
        <v>0</v>
      </c>
      <c r="P217" s="179">
        <f ca="1">'Hist &amp; Proj'!P118</f>
        <v>0</v>
      </c>
      <c r="Q217" s="179">
        <f ca="1">'Hist &amp; Proj'!Q118</f>
        <v>0</v>
      </c>
      <c r="R217" s="179">
        <f ca="1">'Hist &amp; Proj'!R118</f>
        <v>0</v>
      </c>
      <c r="S217" s="179">
        <f ca="1">'Hist &amp; Proj'!S118</f>
        <v>0</v>
      </c>
      <c r="T217" s="179">
        <f ca="1">'Hist &amp; Proj'!T118</f>
        <v>0</v>
      </c>
      <c r="U217" s="179">
        <f ca="1">'Hist &amp; Proj'!U118</f>
        <v>0</v>
      </c>
      <c r="V217" s="179">
        <f ca="1">'Hist &amp; Proj'!V118</f>
        <v>0</v>
      </c>
      <c r="W217" s="179">
        <f ca="1">'Hist &amp; Proj'!W118</f>
        <v>0</v>
      </c>
      <c r="X217" s="179">
        <f ca="1">'Hist &amp; Proj'!X118</f>
        <v>0</v>
      </c>
      <c r="Y217" s="179">
        <f ca="1">'Hist &amp; Proj'!Y118</f>
        <v>0</v>
      </c>
      <c r="Z217" s="179">
        <f ca="1">'Hist &amp; Proj'!Z118</f>
        <v>0</v>
      </c>
      <c r="AA217" s="179">
        <f ca="1">'Hist &amp; Proj'!AA118</f>
        <v>0</v>
      </c>
      <c r="AB217" s="179">
        <f ca="1">'Hist &amp; Proj'!AB118</f>
        <v>0</v>
      </c>
      <c r="AC217" s="179">
        <f ca="1">'Hist &amp; Proj'!AC118</f>
        <v>0</v>
      </c>
      <c r="AD217" s="179">
        <f ca="1">'Hist &amp; Proj'!AD118</f>
        <v>0</v>
      </c>
      <c r="AE217" s="179" t="e">
        <f ca="1">'Hist &amp; Proj'!AE118</f>
        <v>#N/A</v>
      </c>
      <c r="AF217" s="179"/>
      <c r="AG217" s="130"/>
      <c r="AH217" s="367" t="str">
        <f t="shared" ca="1" si="108"/>
        <v>NA</v>
      </c>
      <c r="AI217" s="416"/>
      <c r="AJ217" s="179">
        <f ca="1">Assump!AJ56</f>
        <v>0</v>
      </c>
      <c r="AK217" s="179">
        <f ca="1">Assump!AK56</f>
        <v>0</v>
      </c>
      <c r="AL217" s="179">
        <f ca="1">Assump!AL56</f>
        <v>0</v>
      </c>
      <c r="AM217" s="179">
        <f ca="1">Assump!AM56</f>
        <v>0</v>
      </c>
      <c r="AN217" s="179">
        <f ca="1">Assump!AN56</f>
        <v>0</v>
      </c>
      <c r="AO217" s="127"/>
      <c r="AP217" s="367" t="str">
        <f t="shared" ca="1" si="109"/>
        <v>NA</v>
      </c>
      <c r="AQ217" s="127"/>
      <c r="AR217" s="127"/>
      <c r="AS217" s="127"/>
      <c r="AT217" s="127"/>
      <c r="AU217" s="127"/>
      <c r="AV217" s="127"/>
      <c r="AW217" s="127"/>
      <c r="AX217" s="127"/>
      <c r="AY217" s="127"/>
      <c r="AZ217" s="127"/>
    </row>
    <row r="218" spans="1:53" s="170" customFormat="1">
      <c r="A218" s="170" t="s">
        <v>58</v>
      </c>
      <c r="B218" s="179">
        <f>'Hist &amp; Proj'!B119</f>
        <v>0</v>
      </c>
      <c r="C218" s="179">
        <f>'Hist &amp; Proj'!C119</f>
        <v>0</v>
      </c>
      <c r="D218" s="179">
        <f>'Hist &amp; Proj'!D119</f>
        <v>0</v>
      </c>
      <c r="E218" s="179">
        <f>'Hist &amp; Proj'!E119</f>
        <v>0</v>
      </c>
      <c r="F218" s="179">
        <f ca="1">'Hist &amp; Proj'!F119</f>
        <v>0</v>
      </c>
      <c r="G218" s="179">
        <f ca="1">'Hist &amp; Proj'!G119</f>
        <v>0</v>
      </c>
      <c r="H218" s="179">
        <f ca="1">'Hist &amp; Proj'!H119</f>
        <v>0</v>
      </c>
      <c r="I218" s="179">
        <f ca="1">'Hist &amp; Proj'!I119</f>
        <v>0</v>
      </c>
      <c r="J218" s="179">
        <f ca="1">'Hist &amp; Proj'!J119</f>
        <v>0</v>
      </c>
      <c r="K218" s="179">
        <f ca="1">'Hist &amp; Proj'!K119</f>
        <v>0</v>
      </c>
      <c r="L218" s="179">
        <f ca="1">'Hist &amp; Proj'!L119</f>
        <v>0</v>
      </c>
      <c r="M218" s="179">
        <f ca="1">'Hist &amp; Proj'!M119</f>
        <v>0</v>
      </c>
      <c r="N218" s="179">
        <f ca="1">'Hist &amp; Proj'!N119</f>
        <v>0</v>
      </c>
      <c r="O218" s="179">
        <f ca="1">'Hist &amp; Proj'!O119</f>
        <v>0</v>
      </c>
      <c r="P218" s="179">
        <f ca="1">'Hist &amp; Proj'!P119</f>
        <v>0</v>
      </c>
      <c r="Q218" s="179">
        <f ca="1">'Hist &amp; Proj'!Q119</f>
        <v>0</v>
      </c>
      <c r="R218" s="179">
        <f ca="1">'Hist &amp; Proj'!R119</f>
        <v>0</v>
      </c>
      <c r="S218" s="179">
        <f ca="1">'Hist &amp; Proj'!S119</f>
        <v>0</v>
      </c>
      <c r="T218" s="179">
        <f ca="1">'Hist &amp; Proj'!T119</f>
        <v>0</v>
      </c>
      <c r="U218" s="179">
        <f ca="1">'Hist &amp; Proj'!U119</f>
        <v>0</v>
      </c>
      <c r="V218" s="179">
        <f ca="1">'Hist &amp; Proj'!V119</f>
        <v>0</v>
      </c>
      <c r="W218" s="179">
        <f ca="1">'Hist &amp; Proj'!W119</f>
        <v>0</v>
      </c>
      <c r="X218" s="179">
        <f ca="1">'Hist &amp; Proj'!X119</f>
        <v>0</v>
      </c>
      <c r="Y218" s="179">
        <f ca="1">'Hist &amp; Proj'!Y119</f>
        <v>0</v>
      </c>
      <c r="Z218" s="179">
        <f ca="1">'Hist &amp; Proj'!Z119</f>
        <v>0</v>
      </c>
      <c r="AA218" s="179">
        <f ca="1">'Hist &amp; Proj'!AA119</f>
        <v>0</v>
      </c>
      <c r="AB218" s="179">
        <f ca="1">'Hist &amp; Proj'!AB119</f>
        <v>0</v>
      </c>
      <c r="AC218" s="179">
        <f ca="1">'Hist &amp; Proj'!AC119</f>
        <v>0</v>
      </c>
      <c r="AD218" s="179">
        <f ca="1">'Hist &amp; Proj'!AD119</f>
        <v>0</v>
      </c>
      <c r="AE218" s="179" t="e">
        <f ca="1">'Hist &amp; Proj'!AE119</f>
        <v>#N/A</v>
      </c>
      <c r="AF218" s="179"/>
      <c r="AG218" s="130"/>
      <c r="AH218" s="367" t="str">
        <f t="shared" ca="1" si="108"/>
        <v>NA</v>
      </c>
      <c r="AI218" s="416"/>
      <c r="AJ218" s="179">
        <f ca="1">Assump!AJ57</f>
        <v>0</v>
      </c>
      <c r="AK218" s="179">
        <f ca="1">Assump!AK57</f>
        <v>0</v>
      </c>
      <c r="AL218" s="179">
        <f ca="1">Assump!AL57</f>
        <v>0</v>
      </c>
      <c r="AM218" s="179">
        <f ca="1">Assump!AM57</f>
        <v>0</v>
      </c>
      <c r="AN218" s="179">
        <f ca="1">Assump!AN57</f>
        <v>0</v>
      </c>
      <c r="AO218" s="127"/>
      <c r="AP218" s="367" t="str">
        <f t="shared" ca="1" si="109"/>
        <v>NA</v>
      </c>
      <c r="AQ218" s="127"/>
      <c r="AR218" s="127"/>
      <c r="AS218" s="127"/>
      <c r="AT218" s="127"/>
      <c r="AU218" s="127"/>
      <c r="AV218" s="127"/>
      <c r="AW218" s="127"/>
      <c r="AX218" s="127"/>
      <c r="AY218" s="127"/>
      <c r="AZ218" s="127"/>
    </row>
    <row r="219" spans="1:53" s="170" customFormat="1">
      <c r="A219" s="352" t="s">
        <v>59</v>
      </c>
      <c r="B219" s="343">
        <f>'Hist &amp; Proj'!B120</f>
        <v>0</v>
      </c>
      <c r="C219" s="343">
        <f>'Hist &amp; Proj'!C120</f>
        <v>0</v>
      </c>
      <c r="D219" s="343">
        <f>'Hist &amp; Proj'!D120</f>
        <v>0</v>
      </c>
      <c r="E219" s="343">
        <f>'Hist &amp; Proj'!E120</f>
        <v>0</v>
      </c>
      <c r="F219" s="343">
        <f ca="1">'Hist &amp; Proj'!F120</f>
        <v>0</v>
      </c>
      <c r="G219" s="343">
        <f ca="1">'Hist &amp; Proj'!G120</f>
        <v>0</v>
      </c>
      <c r="H219" s="343">
        <f ca="1">'Hist &amp; Proj'!H120</f>
        <v>0</v>
      </c>
      <c r="I219" s="343">
        <f ca="1">'Hist &amp; Proj'!I120</f>
        <v>0</v>
      </c>
      <c r="J219" s="343">
        <f ca="1">'Hist &amp; Proj'!J120</f>
        <v>0</v>
      </c>
      <c r="K219" s="343">
        <f ca="1">'Hist &amp; Proj'!K120</f>
        <v>0</v>
      </c>
      <c r="L219" s="343">
        <f ca="1">'Hist &amp; Proj'!L120</f>
        <v>0</v>
      </c>
      <c r="M219" s="343">
        <f ca="1">'Hist &amp; Proj'!M120</f>
        <v>0</v>
      </c>
      <c r="N219" s="343">
        <f ca="1">'Hist &amp; Proj'!N120</f>
        <v>0</v>
      </c>
      <c r="O219" s="343">
        <f ca="1">'Hist &amp; Proj'!O120</f>
        <v>0</v>
      </c>
      <c r="P219" s="343">
        <f ca="1">'Hist &amp; Proj'!P120</f>
        <v>0</v>
      </c>
      <c r="Q219" s="343">
        <f ca="1">'Hist &amp; Proj'!Q120</f>
        <v>0</v>
      </c>
      <c r="R219" s="343">
        <f ca="1">'Hist &amp; Proj'!R120</f>
        <v>0</v>
      </c>
      <c r="S219" s="343">
        <f ca="1">'Hist &amp; Proj'!S120</f>
        <v>0</v>
      </c>
      <c r="T219" s="343">
        <f ca="1">'Hist &amp; Proj'!T120</f>
        <v>0</v>
      </c>
      <c r="U219" s="343">
        <f ca="1">'Hist &amp; Proj'!U120</f>
        <v>0</v>
      </c>
      <c r="V219" s="343">
        <f ca="1">'Hist &amp; Proj'!V120</f>
        <v>0</v>
      </c>
      <c r="W219" s="343">
        <f ca="1">'Hist &amp; Proj'!W120</f>
        <v>0</v>
      </c>
      <c r="X219" s="343">
        <f ca="1">'Hist &amp; Proj'!X120</f>
        <v>0</v>
      </c>
      <c r="Y219" s="343">
        <f ca="1">'Hist &amp; Proj'!Y120</f>
        <v>0</v>
      </c>
      <c r="Z219" s="343">
        <f ca="1">'Hist &amp; Proj'!Z120</f>
        <v>0</v>
      </c>
      <c r="AA219" s="343">
        <f ca="1">'Hist &amp; Proj'!AA120</f>
        <v>0</v>
      </c>
      <c r="AB219" s="343">
        <f ca="1">'Hist &amp; Proj'!AB120</f>
        <v>0</v>
      </c>
      <c r="AC219" s="343">
        <f ca="1">'Hist &amp; Proj'!AC120</f>
        <v>0</v>
      </c>
      <c r="AD219" s="343">
        <f ca="1">'Hist &amp; Proj'!AD120</f>
        <v>0</v>
      </c>
      <c r="AE219" s="343" t="e">
        <f ca="1">'Hist &amp; Proj'!AE120</f>
        <v>#N/A</v>
      </c>
      <c r="AF219" s="179"/>
      <c r="AG219" s="130"/>
      <c r="AH219" s="433" t="str">
        <f t="shared" ca="1" si="108"/>
        <v>NA</v>
      </c>
      <c r="AI219" s="416"/>
      <c r="AJ219" s="343">
        <f ca="1">Assump!AJ58</f>
        <v>0</v>
      </c>
      <c r="AK219" s="343">
        <f ca="1">Assump!AK58</f>
        <v>0</v>
      </c>
      <c r="AL219" s="343">
        <f ca="1">Assump!AL58</f>
        <v>0</v>
      </c>
      <c r="AM219" s="343">
        <f ca="1">Assump!AM58</f>
        <v>0</v>
      </c>
      <c r="AN219" s="343">
        <f ca="1">Assump!AN58</f>
        <v>0</v>
      </c>
      <c r="AO219" s="127"/>
      <c r="AP219" s="433" t="str">
        <f t="shared" ca="1" si="109"/>
        <v>NA</v>
      </c>
      <c r="AQ219" s="127"/>
      <c r="AR219" s="127"/>
      <c r="AS219" s="127"/>
      <c r="AT219" s="127"/>
      <c r="AU219" s="127"/>
      <c r="AV219" s="127"/>
      <c r="AW219" s="127"/>
      <c r="AX219" s="127"/>
      <c r="AY219" s="127"/>
      <c r="AZ219" s="127"/>
    </row>
    <row r="220" spans="1:53" s="128" customFormat="1">
      <c r="A220" s="424"/>
      <c r="B220" s="132"/>
      <c r="C220" s="132"/>
      <c r="D220" s="132"/>
      <c r="E220" s="132"/>
      <c r="F220" s="132"/>
      <c r="G220" s="132"/>
      <c r="H220" s="132"/>
      <c r="I220" s="132"/>
      <c r="J220" s="132"/>
      <c r="K220" s="132"/>
      <c r="L220" s="132"/>
      <c r="M220" s="132"/>
      <c r="N220" s="132"/>
      <c r="O220" s="132"/>
      <c r="P220" s="132"/>
      <c r="Q220" s="132"/>
      <c r="R220" s="131"/>
      <c r="S220" s="131"/>
      <c r="T220" s="131"/>
      <c r="U220" s="131"/>
      <c r="V220" s="131"/>
      <c r="W220" s="131"/>
      <c r="X220" s="131"/>
      <c r="Y220" s="131"/>
      <c r="Z220" s="131"/>
      <c r="AA220" s="131"/>
      <c r="AB220" s="131"/>
      <c r="AC220" s="131"/>
      <c r="AD220" s="131"/>
      <c r="AE220" s="131"/>
      <c r="AF220" s="179"/>
      <c r="AG220" s="131"/>
      <c r="AH220" s="434"/>
      <c r="AJ220" s="131"/>
      <c r="AK220" s="131"/>
      <c r="AL220" s="131"/>
      <c r="AM220" s="131"/>
      <c r="AN220" s="131"/>
      <c r="AO220" s="131"/>
      <c r="AP220" s="434"/>
      <c r="AQ220" s="131"/>
      <c r="AR220" s="131"/>
      <c r="AS220" s="131"/>
      <c r="AT220" s="127"/>
      <c r="AU220" s="127"/>
      <c r="AV220" s="127"/>
      <c r="AW220" s="127"/>
      <c r="AX220" s="127"/>
      <c r="AY220" s="127"/>
      <c r="AZ220" s="127"/>
    </row>
    <row r="221" spans="1:53" s="170" customFormat="1">
      <c r="A221" s="341"/>
      <c r="B221" s="414"/>
      <c r="C221" s="414"/>
      <c r="D221" s="414"/>
      <c r="E221" s="414"/>
      <c r="F221" s="414"/>
      <c r="G221" s="414"/>
      <c r="H221" s="414"/>
      <c r="I221" s="414"/>
      <c r="J221" s="414"/>
      <c r="K221" s="414"/>
      <c r="L221" s="414"/>
      <c r="M221" s="414"/>
      <c r="N221" s="414"/>
      <c r="O221" s="414"/>
      <c r="P221" s="414"/>
      <c r="Q221" s="414"/>
      <c r="R221" s="414"/>
      <c r="S221" s="414"/>
      <c r="T221" s="414"/>
      <c r="U221" s="414"/>
      <c r="V221" s="414"/>
      <c r="W221" s="414"/>
      <c r="X221" s="342"/>
      <c r="Y221" s="342"/>
      <c r="Z221" s="342"/>
      <c r="AA221" s="342"/>
      <c r="AB221" s="342"/>
      <c r="AC221" s="342"/>
      <c r="AD221" s="342"/>
      <c r="AE221" s="342"/>
      <c r="AF221" s="342"/>
      <c r="AH221" s="340"/>
      <c r="AJ221" s="342"/>
      <c r="AK221" s="342"/>
      <c r="AL221" s="342"/>
      <c r="AM221" s="342"/>
      <c r="AN221" s="342"/>
      <c r="AO221" s="208"/>
      <c r="AP221" s="340"/>
    </row>
    <row r="222" spans="1:53">
      <c r="A222" s="360" t="s">
        <v>437</v>
      </c>
      <c r="B222" s="760">
        <f>B$7</f>
        <v>692501</v>
      </c>
      <c r="C222" s="760">
        <f t="shared" ref="C222:AD222" si="110">C$7</f>
        <v>692867</v>
      </c>
      <c r="D222" s="760">
        <f t="shared" si="110"/>
        <v>693232</v>
      </c>
      <c r="E222" s="760">
        <f t="shared" si="110"/>
        <v>693597</v>
      </c>
      <c r="F222" s="362">
        <f t="shared" ca="1" si="110"/>
        <v>693628</v>
      </c>
      <c r="G222" s="362">
        <f t="shared" ca="1" si="110"/>
        <v>693656</v>
      </c>
      <c r="H222" s="362">
        <f t="shared" ca="1" si="110"/>
        <v>693687</v>
      </c>
      <c r="I222" s="362">
        <f t="shared" ca="1" si="110"/>
        <v>693717</v>
      </c>
      <c r="J222" s="362">
        <f t="shared" ca="1" si="110"/>
        <v>693748</v>
      </c>
      <c r="K222" s="362">
        <f t="shared" ca="1" si="110"/>
        <v>693778</v>
      </c>
      <c r="L222" s="362">
        <f t="shared" ca="1" si="110"/>
        <v>693809</v>
      </c>
      <c r="M222" s="362">
        <f t="shared" ca="1" si="110"/>
        <v>693840</v>
      </c>
      <c r="N222" s="362">
        <f t="shared" ca="1" si="110"/>
        <v>693870</v>
      </c>
      <c r="O222" s="362">
        <f t="shared" ca="1" si="110"/>
        <v>693901</v>
      </c>
      <c r="P222" s="362">
        <f t="shared" ca="1" si="110"/>
        <v>693931</v>
      </c>
      <c r="Q222" s="362">
        <f t="shared" ca="1" si="110"/>
        <v>693962</v>
      </c>
      <c r="R222" s="760">
        <f t="shared" ca="1" si="110"/>
        <v>693962</v>
      </c>
      <c r="S222" s="362">
        <f t="shared" ca="1" si="110"/>
        <v>31</v>
      </c>
      <c r="T222" s="362">
        <f t="shared" ca="1" si="110"/>
        <v>59</v>
      </c>
      <c r="U222" s="362">
        <f t="shared" ca="1" si="110"/>
        <v>91</v>
      </c>
      <c r="V222" s="362">
        <f t="shared" ca="1" si="110"/>
        <v>121</v>
      </c>
      <c r="W222" s="362">
        <f t="shared" ca="1" si="110"/>
        <v>152</v>
      </c>
      <c r="X222" s="362">
        <f t="shared" ca="1" si="110"/>
        <v>182</v>
      </c>
      <c r="Y222" s="362">
        <f t="shared" ca="1" si="110"/>
        <v>213</v>
      </c>
      <c r="Z222" s="362">
        <f t="shared" ca="1" si="110"/>
        <v>244</v>
      </c>
      <c r="AA222" s="362">
        <f t="shared" ca="1" si="110"/>
        <v>274</v>
      </c>
      <c r="AB222" s="362">
        <f t="shared" ca="1" si="110"/>
        <v>305</v>
      </c>
      <c r="AC222" s="362">
        <f t="shared" ca="1" si="110"/>
        <v>335</v>
      </c>
      <c r="AD222" s="362">
        <f t="shared" ca="1" si="110"/>
        <v>366</v>
      </c>
      <c r="AE222" s="376" t="e">
        <f ca="1">AE$42</f>
        <v>#N/A</v>
      </c>
      <c r="AF222" s="376" t="e">
        <f ca="1">AF$42</f>
        <v>#N/A</v>
      </c>
      <c r="AH222" s="365" t="str">
        <f ca="1">AH$7</f>
        <v>'96 - '99 CAGR/Avg.</v>
      </c>
      <c r="AJ222" s="760">
        <f ca="1">AJ$7</f>
        <v>694327</v>
      </c>
      <c r="AK222" s="760">
        <f ca="1">AK$7</f>
        <v>694692</v>
      </c>
      <c r="AL222" s="760">
        <f ca="1">AL$7</f>
        <v>695057</v>
      </c>
      <c r="AM222" s="760">
        <f ca="1">AM$7</f>
        <v>695422</v>
      </c>
      <c r="AN222" s="760">
        <f ca="1">AN$7</f>
        <v>695787</v>
      </c>
      <c r="AP222" s="365" t="str">
        <f ca="1">AP$7</f>
        <v>'00 - '04 CAGR/Avg.</v>
      </c>
    </row>
    <row r="223" spans="1:53">
      <c r="A223" s="341" t="s">
        <v>524</v>
      </c>
      <c r="B223" s="435" t="e">
        <f t="shared" ref="B223:AE223" si="111">B$218/B214</f>
        <v>#DIV/0!</v>
      </c>
      <c r="C223" s="435" t="e">
        <f t="shared" si="111"/>
        <v>#DIV/0!</v>
      </c>
      <c r="D223" s="435" t="e">
        <f t="shared" si="111"/>
        <v>#DIV/0!</v>
      </c>
      <c r="E223" s="435" t="e">
        <f t="shared" si="111"/>
        <v>#DIV/0!</v>
      </c>
      <c r="F223" s="435" t="e">
        <f t="shared" ca="1" si="111"/>
        <v>#DIV/0!</v>
      </c>
      <c r="G223" s="435" t="e">
        <f t="shared" ca="1" si="111"/>
        <v>#DIV/0!</v>
      </c>
      <c r="H223" s="435" t="e">
        <f t="shared" ca="1" si="111"/>
        <v>#DIV/0!</v>
      </c>
      <c r="I223" s="435" t="e">
        <f t="shared" ca="1" si="111"/>
        <v>#DIV/0!</v>
      </c>
      <c r="J223" s="435" t="e">
        <f t="shared" ca="1" si="111"/>
        <v>#DIV/0!</v>
      </c>
      <c r="K223" s="435" t="e">
        <f t="shared" ca="1" si="111"/>
        <v>#DIV/0!</v>
      </c>
      <c r="L223" s="435" t="e">
        <f t="shared" ca="1" si="111"/>
        <v>#DIV/0!</v>
      </c>
      <c r="M223" s="435" t="e">
        <f t="shared" ca="1" si="111"/>
        <v>#DIV/0!</v>
      </c>
      <c r="N223" s="435" t="e">
        <f t="shared" ca="1" si="111"/>
        <v>#DIV/0!</v>
      </c>
      <c r="O223" s="435" t="e">
        <f t="shared" ca="1" si="111"/>
        <v>#DIV/0!</v>
      </c>
      <c r="P223" s="435" t="e">
        <f t="shared" ca="1" si="111"/>
        <v>#DIV/0!</v>
      </c>
      <c r="Q223" s="435" t="e">
        <f t="shared" ca="1" si="111"/>
        <v>#DIV/0!</v>
      </c>
      <c r="R223" s="435" t="e">
        <f t="shared" ca="1" si="111"/>
        <v>#DIV/0!</v>
      </c>
      <c r="S223" s="435" t="e">
        <f t="shared" ca="1" si="111"/>
        <v>#DIV/0!</v>
      </c>
      <c r="T223" s="435" t="e">
        <f t="shared" ca="1" si="111"/>
        <v>#DIV/0!</v>
      </c>
      <c r="U223" s="435" t="e">
        <f t="shared" ca="1" si="111"/>
        <v>#DIV/0!</v>
      </c>
      <c r="V223" s="435" t="e">
        <f t="shared" ca="1" si="111"/>
        <v>#DIV/0!</v>
      </c>
      <c r="W223" s="435" t="e">
        <f t="shared" ca="1" si="111"/>
        <v>#DIV/0!</v>
      </c>
      <c r="X223" s="435" t="e">
        <f t="shared" ca="1" si="111"/>
        <v>#DIV/0!</v>
      </c>
      <c r="Y223" s="435" t="e">
        <f t="shared" ca="1" si="111"/>
        <v>#DIV/0!</v>
      </c>
      <c r="Z223" s="435" t="e">
        <f t="shared" ca="1" si="111"/>
        <v>#DIV/0!</v>
      </c>
      <c r="AA223" s="435" t="e">
        <f t="shared" ca="1" si="111"/>
        <v>#DIV/0!</v>
      </c>
      <c r="AB223" s="435" t="e">
        <f t="shared" ca="1" si="111"/>
        <v>#DIV/0!</v>
      </c>
      <c r="AC223" s="435" t="e">
        <f t="shared" ca="1" si="111"/>
        <v>#DIV/0!</v>
      </c>
      <c r="AD223" s="435" t="e">
        <f t="shared" ca="1" si="111"/>
        <v>#DIV/0!</v>
      </c>
      <c r="AE223" s="435" t="e">
        <f t="shared" ca="1" si="111"/>
        <v>#N/A</v>
      </c>
      <c r="AF223" s="435" t="e">
        <f ca="1">AE223</f>
        <v>#N/A</v>
      </c>
      <c r="AH223" s="435" t="str">
        <f>IFERROR(AVERAGE(C223:E223,R223),"NA")</f>
        <v>NA</v>
      </c>
      <c r="AI223" s="435"/>
      <c r="AJ223" s="435" t="e">
        <f ca="1">AJ$218/AJ214</f>
        <v>#DIV/0!</v>
      </c>
      <c r="AK223" s="435" t="e">
        <f ca="1">AK$218/AK214</f>
        <v>#DIV/0!</v>
      </c>
      <c r="AL223" s="435" t="e">
        <f ca="1">AL$218/AL214</f>
        <v>#DIV/0!</v>
      </c>
      <c r="AM223" s="435" t="e">
        <f ca="1">AM$218/AM214</f>
        <v>#DIV/0!</v>
      </c>
      <c r="AN223" s="435" t="e">
        <f ca="1">AN$218/AN214</f>
        <v>#DIV/0!</v>
      </c>
      <c r="AP223" s="435" t="str">
        <f ca="1">IFERROR(AVERAGE(AJ223:AN223),"NA")</f>
        <v>NA</v>
      </c>
    </row>
    <row r="224" spans="1:53">
      <c r="A224" s="341" t="str">
        <f>"Loan officer productivity (GLP in "&amp;Assump!A7&amp;" / LO)"</f>
        <v>Loan officer productivity (GLP in  / LO)</v>
      </c>
      <c r="B224" s="435" t="e">
        <f t="shared" ref="B224:AE224" si="112">B$15/B214</f>
        <v>#DIV/0!</v>
      </c>
      <c r="C224" s="435" t="e">
        <f t="shared" si="112"/>
        <v>#DIV/0!</v>
      </c>
      <c r="D224" s="435" t="e">
        <f t="shared" si="112"/>
        <v>#DIV/0!</v>
      </c>
      <c r="E224" s="435" t="e">
        <f t="shared" si="112"/>
        <v>#DIV/0!</v>
      </c>
      <c r="F224" s="435" t="e">
        <f t="shared" ca="1" si="112"/>
        <v>#DIV/0!</v>
      </c>
      <c r="G224" s="435" t="e">
        <f t="shared" ca="1" si="112"/>
        <v>#DIV/0!</v>
      </c>
      <c r="H224" s="435" t="e">
        <f t="shared" ca="1" si="112"/>
        <v>#DIV/0!</v>
      </c>
      <c r="I224" s="435" t="e">
        <f t="shared" ca="1" si="112"/>
        <v>#DIV/0!</v>
      </c>
      <c r="J224" s="435" t="e">
        <f t="shared" ca="1" si="112"/>
        <v>#DIV/0!</v>
      </c>
      <c r="K224" s="435" t="e">
        <f t="shared" ca="1" si="112"/>
        <v>#DIV/0!</v>
      </c>
      <c r="L224" s="435" t="e">
        <f t="shared" ca="1" si="112"/>
        <v>#DIV/0!</v>
      </c>
      <c r="M224" s="435" t="e">
        <f t="shared" ca="1" si="112"/>
        <v>#DIV/0!</v>
      </c>
      <c r="N224" s="435" t="e">
        <f t="shared" ca="1" si="112"/>
        <v>#DIV/0!</v>
      </c>
      <c r="O224" s="435" t="e">
        <f t="shared" ca="1" si="112"/>
        <v>#DIV/0!</v>
      </c>
      <c r="P224" s="435" t="e">
        <f t="shared" ca="1" si="112"/>
        <v>#DIV/0!</v>
      </c>
      <c r="Q224" s="435" t="e">
        <f t="shared" ca="1" si="112"/>
        <v>#DIV/0!</v>
      </c>
      <c r="R224" s="435" t="e">
        <f t="shared" ca="1" si="112"/>
        <v>#DIV/0!</v>
      </c>
      <c r="S224" s="435" t="e">
        <f t="shared" ca="1" si="112"/>
        <v>#DIV/0!</v>
      </c>
      <c r="T224" s="435" t="e">
        <f t="shared" ca="1" si="112"/>
        <v>#DIV/0!</v>
      </c>
      <c r="U224" s="435" t="e">
        <f t="shared" ca="1" si="112"/>
        <v>#DIV/0!</v>
      </c>
      <c r="V224" s="435" t="e">
        <f t="shared" ca="1" si="112"/>
        <v>#DIV/0!</v>
      </c>
      <c r="W224" s="435" t="e">
        <f t="shared" ca="1" si="112"/>
        <v>#DIV/0!</v>
      </c>
      <c r="X224" s="435" t="e">
        <f t="shared" ca="1" si="112"/>
        <v>#DIV/0!</v>
      </c>
      <c r="Y224" s="435" t="e">
        <f t="shared" ca="1" si="112"/>
        <v>#DIV/0!</v>
      </c>
      <c r="Z224" s="435" t="e">
        <f t="shared" ca="1" si="112"/>
        <v>#DIV/0!</v>
      </c>
      <c r="AA224" s="435" t="e">
        <f t="shared" ca="1" si="112"/>
        <v>#DIV/0!</v>
      </c>
      <c r="AB224" s="435" t="e">
        <f t="shared" ca="1" si="112"/>
        <v>#DIV/0!</v>
      </c>
      <c r="AC224" s="435" t="e">
        <f t="shared" ca="1" si="112"/>
        <v>#DIV/0!</v>
      </c>
      <c r="AD224" s="435" t="e">
        <f t="shared" ca="1" si="112"/>
        <v>#DIV/0!</v>
      </c>
      <c r="AE224" s="435" t="e">
        <f t="shared" ca="1" si="112"/>
        <v>#N/A</v>
      </c>
      <c r="AF224" s="435" t="e">
        <f ca="1">AE224</f>
        <v>#N/A</v>
      </c>
      <c r="AH224" s="435" t="str">
        <f>IFERROR(AVERAGE(C224:E224,R224),"NA")</f>
        <v>NA</v>
      </c>
      <c r="AI224" s="435"/>
      <c r="AJ224" s="435" t="e">
        <f ca="1">AJ$15/AJ214</f>
        <v>#DIV/0!</v>
      </c>
      <c r="AK224" s="435" t="e">
        <f ca="1">AK$15/AK214</f>
        <v>#DIV/0!</v>
      </c>
      <c r="AL224" s="435" t="e">
        <f ca="1">AL$15/AL214</f>
        <v>#DIV/0!</v>
      </c>
      <c r="AM224" s="435" t="e">
        <f ca="1">AM$15/AM214</f>
        <v>#DIV/0!</v>
      </c>
      <c r="AN224" s="435" t="e">
        <f ca="1">AN$15/AN214</f>
        <v>#DIV/0!</v>
      </c>
      <c r="AP224" s="435" t="str">
        <f ca="1">IFERROR(AVERAGE(AJ224:AN224),"NA")</f>
        <v>NA</v>
      </c>
    </row>
    <row r="225" spans="1:42">
      <c r="A225" s="341" t="s">
        <v>525</v>
      </c>
      <c r="B225" s="435" t="e">
        <f t="shared" ref="B225:AE225" si="113">B$218/B215</f>
        <v>#DIV/0!</v>
      </c>
      <c r="C225" s="435" t="e">
        <f t="shared" si="113"/>
        <v>#DIV/0!</v>
      </c>
      <c r="D225" s="435" t="e">
        <f t="shared" si="113"/>
        <v>#DIV/0!</v>
      </c>
      <c r="E225" s="435" t="e">
        <f t="shared" si="113"/>
        <v>#DIV/0!</v>
      </c>
      <c r="F225" s="435" t="e">
        <f t="shared" ca="1" si="113"/>
        <v>#DIV/0!</v>
      </c>
      <c r="G225" s="435" t="e">
        <f t="shared" ca="1" si="113"/>
        <v>#DIV/0!</v>
      </c>
      <c r="H225" s="435" t="e">
        <f t="shared" ca="1" si="113"/>
        <v>#DIV/0!</v>
      </c>
      <c r="I225" s="435" t="e">
        <f t="shared" ca="1" si="113"/>
        <v>#DIV/0!</v>
      </c>
      <c r="J225" s="435" t="e">
        <f t="shared" ca="1" si="113"/>
        <v>#DIV/0!</v>
      </c>
      <c r="K225" s="435" t="e">
        <f t="shared" ca="1" si="113"/>
        <v>#DIV/0!</v>
      </c>
      <c r="L225" s="435" t="e">
        <f t="shared" ca="1" si="113"/>
        <v>#DIV/0!</v>
      </c>
      <c r="M225" s="435" t="e">
        <f t="shared" ca="1" si="113"/>
        <v>#DIV/0!</v>
      </c>
      <c r="N225" s="435" t="e">
        <f t="shared" ca="1" si="113"/>
        <v>#DIV/0!</v>
      </c>
      <c r="O225" s="435" t="e">
        <f t="shared" ca="1" si="113"/>
        <v>#DIV/0!</v>
      </c>
      <c r="P225" s="435" t="e">
        <f t="shared" ca="1" si="113"/>
        <v>#DIV/0!</v>
      </c>
      <c r="Q225" s="435" t="e">
        <f t="shared" ca="1" si="113"/>
        <v>#DIV/0!</v>
      </c>
      <c r="R225" s="435" t="e">
        <f t="shared" ca="1" si="113"/>
        <v>#DIV/0!</v>
      </c>
      <c r="S225" s="435" t="e">
        <f t="shared" ca="1" si="113"/>
        <v>#DIV/0!</v>
      </c>
      <c r="T225" s="435" t="e">
        <f t="shared" ca="1" si="113"/>
        <v>#DIV/0!</v>
      </c>
      <c r="U225" s="435" t="e">
        <f t="shared" ca="1" si="113"/>
        <v>#DIV/0!</v>
      </c>
      <c r="V225" s="435" t="e">
        <f t="shared" ca="1" si="113"/>
        <v>#DIV/0!</v>
      </c>
      <c r="W225" s="435" t="e">
        <f t="shared" ca="1" si="113"/>
        <v>#DIV/0!</v>
      </c>
      <c r="X225" s="435" t="e">
        <f t="shared" ca="1" si="113"/>
        <v>#DIV/0!</v>
      </c>
      <c r="Y225" s="435" t="e">
        <f t="shared" ca="1" si="113"/>
        <v>#DIV/0!</v>
      </c>
      <c r="Z225" s="435" t="e">
        <f t="shared" ca="1" si="113"/>
        <v>#DIV/0!</v>
      </c>
      <c r="AA225" s="435" t="e">
        <f t="shared" ca="1" si="113"/>
        <v>#DIV/0!</v>
      </c>
      <c r="AB225" s="435" t="e">
        <f t="shared" ca="1" si="113"/>
        <v>#DIV/0!</v>
      </c>
      <c r="AC225" s="435" t="e">
        <f t="shared" ca="1" si="113"/>
        <v>#DIV/0!</v>
      </c>
      <c r="AD225" s="435" t="e">
        <f t="shared" ca="1" si="113"/>
        <v>#DIV/0!</v>
      </c>
      <c r="AE225" s="435" t="e">
        <f t="shared" ca="1" si="113"/>
        <v>#N/A</v>
      </c>
      <c r="AF225" s="435" t="e">
        <f ca="1">AE225</f>
        <v>#N/A</v>
      </c>
      <c r="AH225" s="435" t="str">
        <f>IFERROR(AVERAGE(C225:E225,R225),"NA")</f>
        <v>NA</v>
      </c>
      <c r="AI225" s="435"/>
      <c r="AJ225" s="435" t="e">
        <f ca="1">AJ$218/AJ215</f>
        <v>#DIV/0!</v>
      </c>
      <c r="AK225" s="435" t="e">
        <f ca="1">AK$218/AK215</f>
        <v>#DIV/0!</v>
      </c>
      <c r="AL225" s="435" t="e">
        <f ca="1">AL$218/AL215</f>
        <v>#DIV/0!</v>
      </c>
      <c r="AM225" s="435" t="e">
        <f ca="1">AM$218/AM215</f>
        <v>#DIV/0!</v>
      </c>
      <c r="AN225" s="435" t="e">
        <f ca="1">AN$218/AN215</f>
        <v>#DIV/0!</v>
      </c>
      <c r="AP225" s="435" t="str">
        <f ca="1">IFERROR(AVERAGE(AJ225:AN225),"NA")</f>
        <v>NA</v>
      </c>
    </row>
    <row r="226" spans="1:42">
      <c r="A226" s="341" t="str">
        <f>"Staff productivity (GLP in "&amp;Assump!A7&amp;" / employee)"</f>
        <v>Staff productivity (GLP in  / employee)</v>
      </c>
      <c r="B226" s="435" t="e">
        <f t="shared" ref="B226:AE226" si="114">B$15/B215</f>
        <v>#DIV/0!</v>
      </c>
      <c r="C226" s="435" t="e">
        <f t="shared" si="114"/>
        <v>#DIV/0!</v>
      </c>
      <c r="D226" s="435" t="e">
        <f t="shared" si="114"/>
        <v>#DIV/0!</v>
      </c>
      <c r="E226" s="435" t="e">
        <f t="shared" si="114"/>
        <v>#DIV/0!</v>
      </c>
      <c r="F226" s="435" t="e">
        <f t="shared" ca="1" si="114"/>
        <v>#DIV/0!</v>
      </c>
      <c r="G226" s="435" t="e">
        <f t="shared" ca="1" si="114"/>
        <v>#DIV/0!</v>
      </c>
      <c r="H226" s="435" t="e">
        <f t="shared" ca="1" si="114"/>
        <v>#DIV/0!</v>
      </c>
      <c r="I226" s="435" t="e">
        <f t="shared" ca="1" si="114"/>
        <v>#DIV/0!</v>
      </c>
      <c r="J226" s="435" t="e">
        <f t="shared" ca="1" si="114"/>
        <v>#DIV/0!</v>
      </c>
      <c r="K226" s="435" t="e">
        <f t="shared" ca="1" si="114"/>
        <v>#DIV/0!</v>
      </c>
      <c r="L226" s="435" t="e">
        <f t="shared" ca="1" si="114"/>
        <v>#DIV/0!</v>
      </c>
      <c r="M226" s="435" t="e">
        <f t="shared" ca="1" si="114"/>
        <v>#DIV/0!</v>
      </c>
      <c r="N226" s="435" t="e">
        <f t="shared" ca="1" si="114"/>
        <v>#DIV/0!</v>
      </c>
      <c r="O226" s="435" t="e">
        <f t="shared" ca="1" si="114"/>
        <v>#DIV/0!</v>
      </c>
      <c r="P226" s="435" t="e">
        <f t="shared" ca="1" si="114"/>
        <v>#DIV/0!</v>
      </c>
      <c r="Q226" s="435" t="e">
        <f t="shared" ca="1" si="114"/>
        <v>#DIV/0!</v>
      </c>
      <c r="R226" s="435" t="e">
        <f t="shared" ca="1" si="114"/>
        <v>#DIV/0!</v>
      </c>
      <c r="S226" s="435" t="e">
        <f t="shared" ca="1" si="114"/>
        <v>#DIV/0!</v>
      </c>
      <c r="T226" s="435" t="e">
        <f t="shared" ca="1" si="114"/>
        <v>#DIV/0!</v>
      </c>
      <c r="U226" s="435" t="e">
        <f t="shared" ca="1" si="114"/>
        <v>#DIV/0!</v>
      </c>
      <c r="V226" s="435" t="e">
        <f t="shared" ca="1" si="114"/>
        <v>#DIV/0!</v>
      </c>
      <c r="W226" s="435" t="e">
        <f t="shared" ca="1" si="114"/>
        <v>#DIV/0!</v>
      </c>
      <c r="X226" s="435" t="e">
        <f t="shared" ca="1" si="114"/>
        <v>#DIV/0!</v>
      </c>
      <c r="Y226" s="435" t="e">
        <f t="shared" ca="1" si="114"/>
        <v>#DIV/0!</v>
      </c>
      <c r="Z226" s="435" t="e">
        <f t="shared" ca="1" si="114"/>
        <v>#DIV/0!</v>
      </c>
      <c r="AA226" s="435" t="e">
        <f t="shared" ca="1" si="114"/>
        <v>#DIV/0!</v>
      </c>
      <c r="AB226" s="435" t="e">
        <f t="shared" ca="1" si="114"/>
        <v>#DIV/0!</v>
      </c>
      <c r="AC226" s="435" t="e">
        <f t="shared" ca="1" si="114"/>
        <v>#DIV/0!</v>
      </c>
      <c r="AD226" s="435" t="e">
        <f t="shared" ca="1" si="114"/>
        <v>#DIV/0!</v>
      </c>
      <c r="AE226" s="435" t="e">
        <f t="shared" ca="1" si="114"/>
        <v>#N/A</v>
      </c>
      <c r="AF226" s="435" t="e">
        <f ca="1">AE226</f>
        <v>#N/A</v>
      </c>
      <c r="AH226" s="435" t="str">
        <f>IFERROR(AVERAGE(C226:E226,R226),"NA")</f>
        <v>NA</v>
      </c>
      <c r="AI226" s="435"/>
      <c r="AJ226" s="435" t="e">
        <f ca="1">AJ$15/AJ215</f>
        <v>#DIV/0!</v>
      </c>
      <c r="AK226" s="435" t="e">
        <f ca="1">AK$15/AK215</f>
        <v>#DIV/0!</v>
      </c>
      <c r="AL226" s="435" t="e">
        <f ca="1">AL$15/AL215</f>
        <v>#DIV/0!</v>
      </c>
      <c r="AM226" s="435" t="e">
        <f ca="1">AM$15/AM215</f>
        <v>#DIV/0!</v>
      </c>
      <c r="AN226" s="435" t="e">
        <f ca="1">AN$15/AN215</f>
        <v>#DIV/0!</v>
      </c>
      <c r="AP226" s="435" t="str">
        <f ca="1">IFERROR(AVERAGE(AJ226:AN226),"NA")</f>
        <v>NA</v>
      </c>
    </row>
    <row r="227" spans="1:42">
      <c r="A227" s="344" t="str">
        <f>"Cost per client (OpEx in "&amp;Assump!A7&amp;" / clients)"</f>
        <v>Cost per client (OpEx in  / clients)</v>
      </c>
      <c r="B227" s="436" t="e">
        <f>-B52/B156</f>
        <v>#DIV/0!</v>
      </c>
      <c r="C227" s="878" t="e">
        <f>-C52/AVERAGE(B156,C156)</f>
        <v>#DIV/0!</v>
      </c>
      <c r="D227" s="905" t="e">
        <f>-D52/AVERAGE(C156,D156)</f>
        <v>#DIV/0!</v>
      </c>
      <c r="E227" s="905" t="e">
        <f>-E52/AVERAGE(D156,E156)</f>
        <v>#DIV/0!</v>
      </c>
      <c r="F227" s="905" t="s">
        <v>533</v>
      </c>
      <c r="G227" s="905" t="s">
        <v>533</v>
      </c>
      <c r="H227" s="905" t="s">
        <v>533</v>
      </c>
      <c r="I227" s="905" t="s">
        <v>533</v>
      </c>
      <c r="J227" s="905" t="s">
        <v>533</v>
      </c>
      <c r="K227" s="905" t="s">
        <v>533</v>
      </c>
      <c r="L227" s="905" t="s">
        <v>533</v>
      </c>
      <c r="M227" s="905" t="s">
        <v>533</v>
      </c>
      <c r="N227" s="905" t="s">
        <v>533</v>
      </c>
      <c r="O227" s="905" t="s">
        <v>533</v>
      </c>
      <c r="P227" s="905" t="s">
        <v>533</v>
      </c>
      <c r="Q227" s="905" t="s">
        <v>533</v>
      </c>
      <c r="R227" s="905" t="e">
        <f ca="1">-R52/AVERAGE(E156,R156)</f>
        <v>#DIV/0!</v>
      </c>
      <c r="S227" s="905" t="e">
        <f ca="1">(-S52*(12/S$5))/AVERAGE($R$156,S156)</f>
        <v>#DIV/0!</v>
      </c>
      <c r="T227" s="905" t="e">
        <f t="shared" ref="T227:AD227" ca="1" si="115">(-T52*(12/T$5))/AVERAGE($R$156,T156)</f>
        <v>#DIV/0!</v>
      </c>
      <c r="U227" s="905" t="e">
        <f t="shared" ca="1" si="115"/>
        <v>#DIV/0!</v>
      </c>
      <c r="V227" s="905" t="e">
        <f t="shared" ca="1" si="115"/>
        <v>#DIV/0!</v>
      </c>
      <c r="W227" s="905" t="e">
        <f t="shared" ca="1" si="115"/>
        <v>#DIV/0!</v>
      </c>
      <c r="X227" s="905" t="e">
        <f t="shared" ca="1" si="115"/>
        <v>#DIV/0!</v>
      </c>
      <c r="Y227" s="905" t="e">
        <f t="shared" ca="1" si="115"/>
        <v>#DIV/0!</v>
      </c>
      <c r="Z227" s="905" t="e">
        <f t="shared" ca="1" si="115"/>
        <v>#DIV/0!</v>
      </c>
      <c r="AA227" s="905" t="e">
        <f t="shared" ca="1" si="115"/>
        <v>#DIV/0!</v>
      </c>
      <c r="AB227" s="905" t="e">
        <f t="shared" ca="1" si="115"/>
        <v>#DIV/0!</v>
      </c>
      <c r="AC227" s="905" t="e">
        <f t="shared" ca="1" si="115"/>
        <v>#DIV/0!</v>
      </c>
      <c r="AD227" s="905" t="e">
        <f t="shared" ca="1" si="115"/>
        <v>#DIV/0!</v>
      </c>
      <c r="AE227" s="905" t="e">
        <f ca="1">HLOOKUP(1,S$6:AD227,ROW(AE227)-5,FALSE)</f>
        <v>#N/A</v>
      </c>
      <c r="AF227" s="905" t="e">
        <f ca="1">-AF52/AVERAGE(AF156,HLOOKUP(1,$S$6:AD227,ROW(AE227)-5,FALSE))</f>
        <v>#N/A</v>
      </c>
      <c r="AH227" s="436" t="str">
        <f>IFERROR(AVERAGE(C227:E227,R227),"NA")</f>
        <v>NA</v>
      </c>
      <c r="AI227" s="436"/>
      <c r="AJ227" s="436" t="e">
        <f ca="1">-AJ52/AJ156</f>
        <v>#DIV/0!</v>
      </c>
      <c r="AK227" s="436" t="e">
        <f ca="1">-AK52/AK156</f>
        <v>#DIV/0!</v>
      </c>
      <c r="AL227" s="436" t="e">
        <f ca="1">-AL52/AL156</f>
        <v>#DIV/0!</v>
      </c>
      <c r="AM227" s="436" t="e">
        <f ca="1">-AM52/AM156</f>
        <v>#DIV/0!</v>
      </c>
      <c r="AN227" s="436" t="e">
        <f ca="1">-AN52/AN156</f>
        <v>#DIV/0!</v>
      </c>
      <c r="AP227" s="436" t="str">
        <f ca="1">IFERROR(AVERAGE(AJ227:AN227),"NA")</f>
        <v>NA</v>
      </c>
    </row>
    <row r="228" spans="1:42">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H228" s="334"/>
      <c r="AJ228" s="170"/>
      <c r="AK228" s="170"/>
      <c r="AL228" s="335"/>
      <c r="AM228" s="208"/>
      <c r="AN228" s="208"/>
      <c r="AP228" s="334"/>
    </row>
    <row r="229" spans="1:42" s="392" customFormat="1" ht="24" customHeight="1">
      <c r="AH229" s="393"/>
      <c r="AL229" s="394"/>
      <c r="AM229" s="395"/>
      <c r="AN229" s="395"/>
      <c r="AO229" s="395"/>
      <c r="AP229" s="393"/>
    </row>
    <row r="230" spans="1:42" ht="12" customHeight="1">
      <c r="AL230" s="126"/>
      <c r="AM230" s="126"/>
      <c r="AN230" s="126"/>
      <c r="AO230" s="126"/>
    </row>
    <row r="231" spans="1:42">
      <c r="A231" s="389" t="s">
        <v>561</v>
      </c>
      <c r="B231" s="760">
        <f>B$7</f>
        <v>692501</v>
      </c>
      <c r="C231" s="760">
        <f t="shared" ref="C231:AD231" si="116">C$7</f>
        <v>692867</v>
      </c>
      <c r="D231" s="760">
        <f t="shared" si="116"/>
        <v>693232</v>
      </c>
      <c r="E231" s="760">
        <f t="shared" si="116"/>
        <v>693597</v>
      </c>
      <c r="F231" s="362">
        <f t="shared" ca="1" si="116"/>
        <v>693628</v>
      </c>
      <c r="G231" s="362">
        <f t="shared" ca="1" si="116"/>
        <v>693656</v>
      </c>
      <c r="H231" s="362">
        <f t="shared" ca="1" si="116"/>
        <v>693687</v>
      </c>
      <c r="I231" s="362">
        <f t="shared" ca="1" si="116"/>
        <v>693717</v>
      </c>
      <c r="J231" s="362">
        <f t="shared" ca="1" si="116"/>
        <v>693748</v>
      </c>
      <c r="K231" s="362">
        <f t="shared" ca="1" si="116"/>
        <v>693778</v>
      </c>
      <c r="L231" s="362">
        <f t="shared" ca="1" si="116"/>
        <v>693809</v>
      </c>
      <c r="M231" s="362">
        <f t="shared" ca="1" si="116"/>
        <v>693840</v>
      </c>
      <c r="N231" s="362">
        <f t="shared" ca="1" si="116"/>
        <v>693870</v>
      </c>
      <c r="O231" s="362">
        <f t="shared" ca="1" si="116"/>
        <v>693901</v>
      </c>
      <c r="P231" s="362">
        <f t="shared" ca="1" si="116"/>
        <v>693931</v>
      </c>
      <c r="Q231" s="362">
        <f t="shared" ca="1" si="116"/>
        <v>693962</v>
      </c>
      <c r="R231" s="760">
        <f t="shared" ca="1" si="116"/>
        <v>693962</v>
      </c>
      <c r="S231" s="362">
        <f t="shared" ca="1" si="116"/>
        <v>31</v>
      </c>
      <c r="T231" s="362">
        <f t="shared" ca="1" si="116"/>
        <v>59</v>
      </c>
      <c r="U231" s="362">
        <f t="shared" ca="1" si="116"/>
        <v>91</v>
      </c>
      <c r="V231" s="362">
        <f t="shared" ca="1" si="116"/>
        <v>121</v>
      </c>
      <c r="W231" s="362">
        <f t="shared" ca="1" si="116"/>
        <v>152</v>
      </c>
      <c r="X231" s="362">
        <f t="shared" ca="1" si="116"/>
        <v>182</v>
      </c>
      <c r="Y231" s="362">
        <f t="shared" ca="1" si="116"/>
        <v>213</v>
      </c>
      <c r="Z231" s="362">
        <f t="shared" ca="1" si="116"/>
        <v>244</v>
      </c>
      <c r="AA231" s="362">
        <f t="shared" ca="1" si="116"/>
        <v>274</v>
      </c>
      <c r="AB231" s="362">
        <f t="shared" ca="1" si="116"/>
        <v>305</v>
      </c>
      <c r="AC231" s="362">
        <f t="shared" ca="1" si="116"/>
        <v>335</v>
      </c>
      <c r="AD231" s="362">
        <f t="shared" ca="1" si="116"/>
        <v>366</v>
      </c>
      <c r="AE231" s="376" t="e">
        <f ca="1">AE$42</f>
        <v>#N/A</v>
      </c>
      <c r="AF231" s="376" t="e">
        <f ca="1">AF$42</f>
        <v>#N/A</v>
      </c>
      <c r="AH231" s="365" t="str">
        <f ca="1">AH$7</f>
        <v>'96 - '99 CAGR/Avg.</v>
      </c>
      <c r="AJ231" s="760">
        <f ca="1">AJ$7</f>
        <v>694327</v>
      </c>
      <c r="AK231" s="760">
        <f ca="1">AK$7</f>
        <v>694692</v>
      </c>
      <c r="AL231" s="760">
        <f ca="1">AL$7</f>
        <v>695057</v>
      </c>
      <c r="AM231" s="760">
        <f ca="1">AM$7</f>
        <v>695422</v>
      </c>
      <c r="AN231" s="760">
        <f ca="1">AN$7</f>
        <v>695787</v>
      </c>
      <c r="AP231" s="365" t="str">
        <f ca="1">AP$7</f>
        <v>'00 - '04 CAGR/Avg.</v>
      </c>
    </row>
    <row r="232" spans="1:42">
      <c r="A232" s="341" t="s">
        <v>571</v>
      </c>
      <c r="B232" s="342">
        <f>B212</f>
        <v>0</v>
      </c>
      <c r="C232" s="342" t="e">
        <f t="shared" ref="C232:AE232" si="117">C10/C15</f>
        <v>#DIV/0!</v>
      </c>
      <c r="D232" s="342" t="e">
        <f t="shared" si="117"/>
        <v>#DIV/0!</v>
      </c>
      <c r="E232" s="342" t="e">
        <f t="shared" si="117"/>
        <v>#DIV/0!</v>
      </c>
      <c r="F232" s="342" t="e">
        <f t="shared" ca="1" si="117"/>
        <v>#DIV/0!</v>
      </c>
      <c r="G232" s="342" t="e">
        <f t="shared" ca="1" si="117"/>
        <v>#DIV/0!</v>
      </c>
      <c r="H232" s="342" t="e">
        <f t="shared" ca="1" si="117"/>
        <v>#DIV/0!</v>
      </c>
      <c r="I232" s="342" t="e">
        <f t="shared" ca="1" si="117"/>
        <v>#DIV/0!</v>
      </c>
      <c r="J232" s="342" t="e">
        <f t="shared" ca="1" si="117"/>
        <v>#DIV/0!</v>
      </c>
      <c r="K232" s="342" t="e">
        <f t="shared" ca="1" si="117"/>
        <v>#DIV/0!</v>
      </c>
      <c r="L232" s="342" t="e">
        <f t="shared" ca="1" si="117"/>
        <v>#DIV/0!</v>
      </c>
      <c r="M232" s="342" t="e">
        <f t="shared" ca="1" si="117"/>
        <v>#DIV/0!</v>
      </c>
      <c r="N232" s="342" t="e">
        <f t="shared" ca="1" si="117"/>
        <v>#DIV/0!</v>
      </c>
      <c r="O232" s="342" t="e">
        <f t="shared" ca="1" si="117"/>
        <v>#DIV/0!</v>
      </c>
      <c r="P232" s="342" t="e">
        <f t="shared" ca="1" si="117"/>
        <v>#DIV/0!</v>
      </c>
      <c r="Q232" s="342" t="e">
        <f t="shared" ca="1" si="117"/>
        <v>#DIV/0!</v>
      </c>
      <c r="R232" s="342" t="e">
        <f t="shared" ca="1" si="117"/>
        <v>#DIV/0!</v>
      </c>
      <c r="S232" s="342" t="e">
        <f t="shared" ca="1" si="117"/>
        <v>#DIV/0!</v>
      </c>
      <c r="T232" s="342" t="e">
        <f t="shared" ca="1" si="117"/>
        <v>#DIV/0!</v>
      </c>
      <c r="U232" s="342" t="e">
        <f t="shared" ca="1" si="117"/>
        <v>#DIV/0!</v>
      </c>
      <c r="V232" s="342" t="e">
        <f t="shared" ca="1" si="117"/>
        <v>#DIV/0!</v>
      </c>
      <c r="W232" s="342" t="e">
        <f t="shared" ca="1" si="117"/>
        <v>#DIV/0!</v>
      </c>
      <c r="X232" s="342" t="e">
        <f t="shared" ca="1" si="117"/>
        <v>#DIV/0!</v>
      </c>
      <c r="Y232" s="342" t="e">
        <f t="shared" ca="1" si="117"/>
        <v>#DIV/0!</v>
      </c>
      <c r="Z232" s="342" t="e">
        <f t="shared" ca="1" si="117"/>
        <v>#DIV/0!</v>
      </c>
      <c r="AA232" s="342" t="e">
        <f t="shared" ca="1" si="117"/>
        <v>#DIV/0!</v>
      </c>
      <c r="AB232" s="342" t="e">
        <f t="shared" ca="1" si="117"/>
        <v>#DIV/0!</v>
      </c>
      <c r="AC232" s="342" t="e">
        <f t="shared" ca="1" si="117"/>
        <v>#DIV/0!</v>
      </c>
      <c r="AD232" s="342" t="e">
        <f t="shared" ca="1" si="117"/>
        <v>#DIV/0!</v>
      </c>
      <c r="AE232" s="342" t="e">
        <f t="shared" ca="1" si="117"/>
        <v>#N/A</v>
      </c>
      <c r="AF232" s="342" t="e">
        <f ca="1">AE232</f>
        <v>#N/A</v>
      </c>
      <c r="AH232" s="340" t="str">
        <f>IFERROR(AVERAGE(C232:E232,R232),"NA")</f>
        <v>NA</v>
      </c>
      <c r="AJ232" s="342" t="e">
        <f ca="1">AJ10/AJ15</f>
        <v>#DIV/0!</v>
      </c>
      <c r="AK232" s="342" t="e">
        <f ca="1">AK10/AK15</f>
        <v>#DIV/0!</v>
      </c>
      <c r="AL232" s="342" t="e">
        <f ca="1">AL10/AL15</f>
        <v>#DIV/0!</v>
      </c>
      <c r="AM232" s="342" t="e">
        <f ca="1">AM10/AM15</f>
        <v>#DIV/0!</v>
      </c>
      <c r="AN232" s="342" t="e">
        <f ca="1">AN10/AN15</f>
        <v>#DIV/0!</v>
      </c>
      <c r="AP232" s="340" t="str">
        <f ca="1">IFERROR(AVERAGE(AJ232:AN232),"NA")</f>
        <v>NA</v>
      </c>
    </row>
    <row r="233" spans="1:42">
      <c r="A233" s="341" t="s">
        <v>932</v>
      </c>
      <c r="B233" s="342"/>
      <c r="C233" s="342" t="e">
        <f>C10/C21</f>
        <v>#DIV/0!</v>
      </c>
      <c r="D233" s="342" t="e">
        <f t="shared" ref="D233:AE233" si="118">D10/D21</f>
        <v>#DIV/0!</v>
      </c>
      <c r="E233" s="342" t="e">
        <f t="shared" si="118"/>
        <v>#DIV/0!</v>
      </c>
      <c r="F233" s="342" t="e">
        <f t="shared" ca="1" si="118"/>
        <v>#DIV/0!</v>
      </c>
      <c r="G233" s="342" t="e">
        <f t="shared" ca="1" si="118"/>
        <v>#DIV/0!</v>
      </c>
      <c r="H233" s="342" t="e">
        <f t="shared" ca="1" si="118"/>
        <v>#DIV/0!</v>
      </c>
      <c r="I233" s="342" t="e">
        <f t="shared" ca="1" si="118"/>
        <v>#DIV/0!</v>
      </c>
      <c r="J233" s="342" t="e">
        <f t="shared" ca="1" si="118"/>
        <v>#DIV/0!</v>
      </c>
      <c r="K233" s="342" t="e">
        <f t="shared" ca="1" si="118"/>
        <v>#DIV/0!</v>
      </c>
      <c r="L233" s="342" t="e">
        <f t="shared" ca="1" si="118"/>
        <v>#DIV/0!</v>
      </c>
      <c r="M233" s="342" t="e">
        <f t="shared" ca="1" si="118"/>
        <v>#DIV/0!</v>
      </c>
      <c r="N233" s="342" t="e">
        <f t="shared" ca="1" si="118"/>
        <v>#DIV/0!</v>
      </c>
      <c r="O233" s="342" t="e">
        <f t="shared" ca="1" si="118"/>
        <v>#DIV/0!</v>
      </c>
      <c r="P233" s="342" t="e">
        <f t="shared" ca="1" si="118"/>
        <v>#DIV/0!</v>
      </c>
      <c r="Q233" s="342" t="e">
        <f t="shared" ca="1" si="118"/>
        <v>#DIV/0!</v>
      </c>
      <c r="R233" s="342" t="e">
        <f t="shared" ca="1" si="118"/>
        <v>#DIV/0!</v>
      </c>
      <c r="S233" s="342" t="e">
        <f t="shared" ca="1" si="118"/>
        <v>#DIV/0!</v>
      </c>
      <c r="T233" s="342" t="e">
        <f t="shared" ca="1" si="118"/>
        <v>#DIV/0!</v>
      </c>
      <c r="U233" s="342" t="e">
        <f t="shared" ca="1" si="118"/>
        <v>#DIV/0!</v>
      </c>
      <c r="V233" s="342" t="e">
        <f t="shared" ca="1" si="118"/>
        <v>#DIV/0!</v>
      </c>
      <c r="W233" s="342" t="e">
        <f t="shared" ca="1" si="118"/>
        <v>#DIV/0!</v>
      </c>
      <c r="X233" s="342" t="e">
        <f t="shared" ca="1" si="118"/>
        <v>#DIV/0!</v>
      </c>
      <c r="Y233" s="342" t="e">
        <f t="shared" ca="1" si="118"/>
        <v>#DIV/0!</v>
      </c>
      <c r="Z233" s="342" t="e">
        <f t="shared" ca="1" si="118"/>
        <v>#DIV/0!</v>
      </c>
      <c r="AA233" s="342" t="e">
        <f t="shared" ca="1" si="118"/>
        <v>#DIV/0!</v>
      </c>
      <c r="AB233" s="342" t="e">
        <f t="shared" ca="1" si="118"/>
        <v>#DIV/0!</v>
      </c>
      <c r="AC233" s="342" t="e">
        <f t="shared" ca="1" si="118"/>
        <v>#DIV/0!</v>
      </c>
      <c r="AD233" s="342" t="e">
        <f t="shared" ca="1" si="118"/>
        <v>#DIV/0!</v>
      </c>
      <c r="AE233" s="342" t="e">
        <f t="shared" ca="1" si="118"/>
        <v>#N/A</v>
      </c>
      <c r="AF233" s="342" t="e">
        <f ca="1">AE233</f>
        <v>#N/A</v>
      </c>
      <c r="AH233" s="340" t="str">
        <f>IFERROR(AVERAGE(C233:E233,R233),"NA")</f>
        <v>NA</v>
      </c>
      <c r="AJ233" s="342" t="e">
        <f ca="1">AJ10/AJ21</f>
        <v>#DIV/0!</v>
      </c>
      <c r="AK233" s="342" t="e">
        <f ca="1">AK10/AK21</f>
        <v>#DIV/0!</v>
      </c>
      <c r="AL233" s="342" t="e">
        <f ca="1">AL10/AL21</f>
        <v>#DIV/0!</v>
      </c>
      <c r="AM233" s="342" t="e">
        <f ca="1">AM10/AM21</f>
        <v>#DIV/0!</v>
      </c>
      <c r="AN233" s="342" t="e">
        <f ca="1">AN10/AN21</f>
        <v>#DIV/0!</v>
      </c>
      <c r="AP233" s="340"/>
    </row>
    <row r="234" spans="1:42">
      <c r="A234" s="341" t="s">
        <v>562</v>
      </c>
      <c r="B234" s="342" t="s">
        <v>533</v>
      </c>
      <c r="C234" s="342" t="e">
        <f>C46/AVERAGE(B$15:C$15)</f>
        <v>#DIV/0!</v>
      </c>
      <c r="D234" s="342" t="e">
        <f>D46/AVERAGE(C$15:D$15)</f>
        <v>#DIV/0!</v>
      </c>
      <c r="E234" s="342" t="e">
        <f>E46/AVERAGE(D$15:E$15)</f>
        <v>#DIV/0!</v>
      </c>
      <c r="F234" s="342" t="s">
        <v>533</v>
      </c>
      <c r="G234" s="342" t="s">
        <v>533</v>
      </c>
      <c r="H234" s="342" t="s">
        <v>533</v>
      </c>
      <c r="I234" s="342" t="s">
        <v>533</v>
      </c>
      <c r="J234" s="342" t="s">
        <v>533</v>
      </c>
      <c r="K234" s="342" t="s">
        <v>533</v>
      </c>
      <c r="L234" s="342" t="s">
        <v>533</v>
      </c>
      <c r="M234" s="342" t="s">
        <v>533</v>
      </c>
      <c r="N234" s="342" t="s">
        <v>533</v>
      </c>
      <c r="O234" s="342" t="s">
        <v>533</v>
      </c>
      <c r="P234" s="342" t="s">
        <v>533</v>
      </c>
      <c r="Q234" s="342" t="s">
        <v>533</v>
      </c>
      <c r="R234" s="342" t="e">
        <f ca="1">R46/AVERAGE(E$15,R$15)</f>
        <v>#DIV/0!</v>
      </c>
      <c r="S234" s="342" t="e">
        <f t="shared" ref="S234:AD234" ca="1" si="119">(S46*(12/S$5))/AVERAGE($R$15,S$15)</f>
        <v>#DIV/0!</v>
      </c>
      <c r="T234" s="342" t="e">
        <f t="shared" ca="1" si="119"/>
        <v>#DIV/0!</v>
      </c>
      <c r="U234" s="342" t="e">
        <f t="shared" ca="1" si="119"/>
        <v>#DIV/0!</v>
      </c>
      <c r="V234" s="342" t="e">
        <f t="shared" ca="1" si="119"/>
        <v>#DIV/0!</v>
      </c>
      <c r="W234" s="342" t="e">
        <f t="shared" ca="1" si="119"/>
        <v>#DIV/0!</v>
      </c>
      <c r="X234" s="342" t="e">
        <f t="shared" ca="1" si="119"/>
        <v>#DIV/0!</v>
      </c>
      <c r="Y234" s="342" t="e">
        <f t="shared" ca="1" si="119"/>
        <v>#DIV/0!</v>
      </c>
      <c r="Z234" s="342" t="e">
        <f t="shared" ca="1" si="119"/>
        <v>#DIV/0!</v>
      </c>
      <c r="AA234" s="342" t="e">
        <f t="shared" ca="1" si="119"/>
        <v>#DIV/0!</v>
      </c>
      <c r="AB234" s="342" t="e">
        <f t="shared" ca="1" si="119"/>
        <v>#DIV/0!</v>
      </c>
      <c r="AC234" s="342" t="e">
        <f t="shared" ca="1" si="119"/>
        <v>#DIV/0!</v>
      </c>
      <c r="AD234" s="342" t="e">
        <f t="shared" ca="1" si="119"/>
        <v>#DIV/0!</v>
      </c>
      <c r="AE234" s="342" t="e">
        <f ca="1">HLOOKUP(1,S$6:AD234,ROW(AE234)-5,FALSE)</f>
        <v>#N/A</v>
      </c>
      <c r="AF234" s="342" t="e">
        <f ca="1">AF46/AVERAGE(HLOOKUP(1,S$6:AD$15,ROW(AE$15)-5,FALSE),HLOOKUP(1,F$6:Q$15,ROW(AE$15)-5,FALSE))</f>
        <v>#N/A</v>
      </c>
      <c r="AH234" s="340" t="str">
        <f>IFERROR(AVERAGE(C234:E234,R234),"NA")</f>
        <v>NA</v>
      </c>
      <c r="AJ234" s="342" t="e">
        <f ca="1">AJ46/AVERAGE(R$15,AJ$15)</f>
        <v>#DIV/0!</v>
      </c>
      <c r="AK234" s="342" t="e">
        <f ca="1">AK46/AVERAGE(AJ$15:AK$15)</f>
        <v>#DIV/0!</v>
      </c>
      <c r="AL234" s="342" t="e">
        <f ca="1">AL46/AVERAGE(AK$15:AL$15)</f>
        <v>#DIV/0!</v>
      </c>
      <c r="AM234" s="342" t="e">
        <f ca="1">AM46/AVERAGE(AL$15:AM$15)</f>
        <v>#DIV/0!</v>
      </c>
      <c r="AN234" s="342" t="e">
        <f ca="1">AN46/AVERAGE(AM$15:AN$15)</f>
        <v>#DIV/0!</v>
      </c>
      <c r="AP234" s="340" t="str">
        <f ca="1">IFERROR(AVERAGE(AJ234:AN234),"NA")</f>
        <v>NA</v>
      </c>
    </row>
    <row r="235" spans="1:42">
      <c r="A235" s="341" t="s">
        <v>563</v>
      </c>
      <c r="B235" s="342" t="e">
        <f>B51/B44</f>
        <v>#DIV/0!</v>
      </c>
      <c r="C235" s="342" t="e">
        <f t="shared" ref="C235:AN235" si="120">C51/C44</f>
        <v>#DIV/0!</v>
      </c>
      <c r="D235" s="342" t="e">
        <f t="shared" si="120"/>
        <v>#DIV/0!</v>
      </c>
      <c r="E235" s="342" t="e">
        <f t="shared" si="120"/>
        <v>#DIV/0!</v>
      </c>
      <c r="F235" s="342" t="e">
        <f t="shared" ca="1" si="120"/>
        <v>#DIV/0!</v>
      </c>
      <c r="G235" s="342" t="e">
        <f t="shared" ca="1" si="120"/>
        <v>#DIV/0!</v>
      </c>
      <c r="H235" s="342" t="e">
        <f t="shared" ca="1" si="120"/>
        <v>#DIV/0!</v>
      </c>
      <c r="I235" s="342" t="e">
        <f t="shared" ca="1" si="120"/>
        <v>#DIV/0!</v>
      </c>
      <c r="J235" s="342" t="e">
        <f t="shared" ca="1" si="120"/>
        <v>#DIV/0!</v>
      </c>
      <c r="K235" s="342" t="e">
        <f t="shared" ca="1" si="120"/>
        <v>#DIV/0!</v>
      </c>
      <c r="L235" s="342" t="e">
        <f t="shared" ca="1" si="120"/>
        <v>#DIV/0!</v>
      </c>
      <c r="M235" s="342" t="e">
        <f t="shared" ca="1" si="120"/>
        <v>#DIV/0!</v>
      </c>
      <c r="N235" s="342" t="e">
        <f t="shared" ca="1" si="120"/>
        <v>#DIV/0!</v>
      </c>
      <c r="O235" s="342" t="e">
        <f t="shared" ca="1" si="120"/>
        <v>#DIV/0!</v>
      </c>
      <c r="P235" s="342" t="e">
        <f t="shared" ca="1" si="120"/>
        <v>#DIV/0!</v>
      </c>
      <c r="Q235" s="342" t="e">
        <f t="shared" ca="1" si="120"/>
        <v>#DIV/0!</v>
      </c>
      <c r="R235" s="342" t="e">
        <f t="shared" ca="1" si="120"/>
        <v>#DIV/0!</v>
      </c>
      <c r="S235" s="342" t="e">
        <f t="shared" ca="1" si="120"/>
        <v>#DIV/0!</v>
      </c>
      <c r="T235" s="342" t="e">
        <f t="shared" ca="1" si="120"/>
        <v>#DIV/0!</v>
      </c>
      <c r="U235" s="342" t="e">
        <f t="shared" ca="1" si="120"/>
        <v>#DIV/0!</v>
      </c>
      <c r="V235" s="342" t="e">
        <f t="shared" ca="1" si="120"/>
        <v>#DIV/0!</v>
      </c>
      <c r="W235" s="342" t="e">
        <f t="shared" ca="1" si="120"/>
        <v>#DIV/0!</v>
      </c>
      <c r="X235" s="342" t="e">
        <f t="shared" ca="1" si="120"/>
        <v>#DIV/0!</v>
      </c>
      <c r="Y235" s="342" t="e">
        <f t="shared" ca="1" si="120"/>
        <v>#DIV/0!</v>
      </c>
      <c r="Z235" s="342" t="e">
        <f t="shared" ca="1" si="120"/>
        <v>#DIV/0!</v>
      </c>
      <c r="AA235" s="342" t="e">
        <f t="shared" ca="1" si="120"/>
        <v>#DIV/0!</v>
      </c>
      <c r="AB235" s="342" t="e">
        <f t="shared" ca="1" si="120"/>
        <v>#DIV/0!</v>
      </c>
      <c r="AC235" s="342" t="e">
        <f t="shared" ca="1" si="120"/>
        <v>#DIV/0!</v>
      </c>
      <c r="AD235" s="342" t="e">
        <f t="shared" ca="1" si="120"/>
        <v>#DIV/0!</v>
      </c>
      <c r="AE235" s="342" t="e">
        <f t="shared" ca="1" si="120"/>
        <v>#N/A</v>
      </c>
      <c r="AF235" s="342" t="e">
        <f ca="1">AF51/AF44</f>
        <v>#N/A</v>
      </c>
      <c r="AH235" s="340" t="str">
        <f>IFERROR(AVERAGE(C235:E235,R235),"NA")</f>
        <v>NA</v>
      </c>
      <c r="AJ235" s="342" t="e">
        <f t="shared" ca="1" si="120"/>
        <v>#DIV/0!</v>
      </c>
      <c r="AK235" s="342" t="e">
        <f t="shared" ca="1" si="120"/>
        <v>#DIV/0!</v>
      </c>
      <c r="AL235" s="342" t="e">
        <f t="shared" ca="1" si="120"/>
        <v>#DIV/0!</v>
      </c>
      <c r="AM235" s="342" t="e">
        <f t="shared" ca="1" si="120"/>
        <v>#DIV/0!</v>
      </c>
      <c r="AN235" s="342" t="e">
        <f t="shared" ca="1" si="120"/>
        <v>#DIV/0!</v>
      </c>
      <c r="AP235" s="340" t="str">
        <f ca="1">IFERROR(AVERAGE(AJ235:AN235),"NA")</f>
        <v>NA</v>
      </c>
    </row>
    <row r="236" spans="1:42">
      <c r="A236" s="338"/>
      <c r="B236" s="386"/>
      <c r="C236" s="386"/>
      <c r="D236" s="386"/>
      <c r="E236" s="386"/>
      <c r="F236" s="386"/>
      <c r="G236" s="386"/>
      <c r="H236" s="386"/>
      <c r="I236" s="386"/>
      <c r="J236" s="386"/>
      <c r="K236" s="386"/>
      <c r="L236" s="386"/>
      <c r="M236" s="386"/>
      <c r="N236" s="386"/>
      <c r="O236" s="386"/>
      <c r="P236" s="386"/>
      <c r="Q236" s="386"/>
      <c r="R236" s="386"/>
      <c r="S236" s="386"/>
      <c r="T236" s="386"/>
      <c r="U236" s="386"/>
      <c r="V236" s="386"/>
      <c r="W236" s="386"/>
      <c r="X236" s="339"/>
      <c r="Y236" s="339"/>
      <c r="Z236" s="339"/>
      <c r="AA236" s="339"/>
      <c r="AB236" s="339"/>
      <c r="AC236" s="339"/>
      <c r="AD236" s="339"/>
      <c r="AE236" s="339"/>
      <c r="AF236" s="339"/>
      <c r="AH236" s="387"/>
      <c r="AJ236" s="339"/>
      <c r="AK236" s="339"/>
      <c r="AL236" s="339"/>
      <c r="AM236" s="339"/>
      <c r="AN236" s="339"/>
      <c r="AO236" s="126"/>
      <c r="AP236" s="387"/>
    </row>
  </sheetData>
  <conditionalFormatting sqref="AP179 AH179 B179:AF179 AJ179:AN179">
    <cfRule type="cellIs" dxfId="13" priority="1" stopIfTrue="1" operator="greaterThan">
      <formula>0</formula>
    </cfRule>
    <cfRule type="cellIs" dxfId="12" priority="2" stopIfTrue="1" operator="equal">
      <formula>0</formula>
    </cfRule>
  </conditionalFormatting>
  <pageMargins left="0.42" right="0.54" top="1" bottom="1" header="0.5" footer="0.5"/>
  <pageSetup scale="21"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sheetPr codeName="Sheet7" enableFormatConditionsCalculation="0">
    <tabColor theme="0" tint="-0.34998626667073579"/>
    <pageSetUpPr autoPageBreaks="0"/>
  </sheetPr>
  <dimension ref="A1:AY243"/>
  <sheetViews>
    <sheetView showGridLines="0" zoomScale="85" zoomScaleNormal="85" workbookViewId="0"/>
  </sheetViews>
  <sheetFormatPr defaultRowHeight="12.75" outlineLevelRow="1" outlineLevelCol="1"/>
  <cols>
    <col min="1" max="1" width="25.7109375" style="770" customWidth="1"/>
    <col min="2" max="2" width="14.5703125" style="770" bestFit="1" customWidth="1"/>
    <col min="3" max="3" width="14" style="770" bestFit="1" customWidth="1"/>
    <col min="4" max="4" width="16.42578125" style="770" bestFit="1" customWidth="1"/>
    <col min="5" max="6" width="13.7109375" style="770" bestFit="1" customWidth="1"/>
    <col min="7" max="7" width="17.42578125" style="770" bestFit="1" customWidth="1"/>
    <col min="8" max="8" width="17.42578125" style="770" customWidth="1" outlineLevel="1"/>
    <col min="9" max="9" width="12.7109375" style="770" customWidth="1" outlineLevel="1"/>
    <col min="10" max="10" width="13.7109375" style="770" customWidth="1" outlineLevel="1"/>
    <col min="11" max="12" width="17.42578125" style="770" customWidth="1" outlineLevel="1"/>
    <col min="13" max="16384" width="9.140625" style="770"/>
  </cols>
  <sheetData>
    <row r="1" spans="1:51" ht="19.5">
      <c r="A1" s="125">
        <f>'Hist &amp; Proj'!A1</f>
        <v>0</v>
      </c>
    </row>
    <row r="2" spans="1:51" s="169" customFormat="1" ht="4.5" customHeight="1" thickBot="1">
      <c r="A2" s="482"/>
      <c r="B2" s="482"/>
      <c r="C2" s="482"/>
      <c r="D2" s="482"/>
      <c r="E2" s="482"/>
      <c r="F2" s="482"/>
      <c r="G2" s="482"/>
      <c r="H2" s="482"/>
      <c r="I2" s="482"/>
      <c r="J2" s="482"/>
      <c r="K2" s="482"/>
      <c r="L2" s="482"/>
      <c r="M2" s="770"/>
      <c r="N2" s="770"/>
      <c r="O2" s="770"/>
      <c r="P2" s="770"/>
      <c r="Q2" s="770"/>
      <c r="R2" s="770"/>
      <c r="S2" s="770"/>
      <c r="T2" s="770"/>
      <c r="U2" s="770"/>
      <c r="V2" s="770"/>
      <c r="W2" s="770"/>
      <c r="X2" s="770"/>
      <c r="Y2" s="770"/>
      <c r="Z2" s="770"/>
      <c r="AA2" s="770"/>
      <c r="AB2" s="770"/>
      <c r="AC2" s="770"/>
      <c r="AD2" s="770"/>
      <c r="AE2" s="770"/>
      <c r="AF2" s="770"/>
      <c r="AG2" s="770"/>
      <c r="AH2" s="770"/>
      <c r="AI2" s="770"/>
      <c r="AJ2" s="770"/>
      <c r="AK2" s="770"/>
      <c r="AL2" s="770"/>
      <c r="AM2" s="159"/>
      <c r="AN2" s="159"/>
      <c r="AO2" s="159"/>
      <c r="AP2" s="159"/>
      <c r="AQ2" s="159"/>
      <c r="AR2" s="159"/>
      <c r="AS2" s="159"/>
      <c r="AT2" s="159"/>
      <c r="AU2" s="159"/>
      <c r="AV2" s="159"/>
      <c r="AW2" s="159"/>
      <c r="AX2" s="159"/>
      <c r="AY2" s="159"/>
    </row>
    <row r="3" spans="1:51" s="355" customFormat="1">
      <c r="M3" s="770"/>
      <c r="N3" s="770"/>
      <c r="O3" s="770"/>
      <c r="P3" s="770"/>
      <c r="Q3" s="770"/>
      <c r="R3" s="770"/>
      <c r="S3" s="770"/>
      <c r="T3" s="770"/>
      <c r="U3" s="770"/>
      <c r="V3" s="770"/>
      <c r="W3" s="770"/>
      <c r="X3" s="770"/>
      <c r="Y3" s="770"/>
      <c r="Z3" s="770"/>
      <c r="AA3" s="770"/>
      <c r="AB3" s="770"/>
      <c r="AC3" s="770"/>
      <c r="AD3" s="770"/>
      <c r="AE3" s="770"/>
      <c r="AF3" s="770"/>
      <c r="AG3" s="770"/>
      <c r="AH3" s="770"/>
      <c r="AI3" s="770"/>
      <c r="AJ3" s="770"/>
      <c r="AK3" s="770"/>
      <c r="AL3" s="770"/>
      <c r="AM3" s="358"/>
      <c r="AN3" s="358"/>
      <c r="AO3" s="356"/>
    </row>
    <row r="4" spans="1:51" s="355" customFormat="1" ht="19.5">
      <c r="A4" s="359" t="s">
        <v>682</v>
      </c>
      <c r="M4" s="770"/>
      <c r="N4" s="770"/>
      <c r="O4" s="770"/>
      <c r="P4" s="770"/>
      <c r="Q4" s="770"/>
      <c r="R4" s="770"/>
      <c r="S4" s="770"/>
      <c r="T4" s="770"/>
      <c r="U4" s="770"/>
      <c r="V4" s="770"/>
      <c r="W4" s="770"/>
      <c r="X4" s="770"/>
      <c r="Y4" s="770"/>
      <c r="Z4" s="770"/>
      <c r="AA4" s="770"/>
      <c r="AB4" s="770"/>
      <c r="AC4" s="770"/>
      <c r="AD4" s="770"/>
      <c r="AE4" s="770"/>
      <c r="AF4" s="770"/>
      <c r="AG4" s="770"/>
      <c r="AH4" s="770"/>
      <c r="AI4" s="770"/>
      <c r="AJ4" s="770"/>
      <c r="AK4" s="770"/>
      <c r="AL4" s="770"/>
      <c r="AM4" s="358"/>
      <c r="AN4" s="358"/>
      <c r="AO4" s="356"/>
    </row>
    <row r="5" spans="1:51" s="126" customFormat="1">
      <c r="B5" s="170"/>
      <c r="C5" s="170"/>
      <c r="D5" s="170"/>
      <c r="E5" s="170"/>
      <c r="F5" s="170"/>
      <c r="G5" s="170"/>
      <c r="H5" s="170"/>
      <c r="I5" s="170"/>
      <c r="J5" s="170"/>
      <c r="K5" s="170"/>
      <c r="L5" s="170"/>
      <c r="M5" s="170"/>
      <c r="N5" s="170"/>
      <c r="O5" s="170"/>
      <c r="P5" s="170"/>
      <c r="Q5" s="170"/>
      <c r="R5" s="211">
        <v>1</v>
      </c>
      <c r="S5" s="211">
        <f>R5+1</f>
        <v>2</v>
      </c>
      <c r="T5" s="211">
        <f t="shared" ref="T5:AC5" si="0">S5+1</f>
        <v>3</v>
      </c>
      <c r="U5" s="211">
        <f t="shared" si="0"/>
        <v>4</v>
      </c>
      <c r="V5" s="211">
        <f t="shared" si="0"/>
        <v>5</v>
      </c>
      <c r="W5" s="211">
        <f t="shared" si="0"/>
        <v>6</v>
      </c>
      <c r="X5" s="211">
        <f t="shared" si="0"/>
        <v>7</v>
      </c>
      <c r="Y5" s="211">
        <f t="shared" si="0"/>
        <v>8</v>
      </c>
      <c r="Z5" s="211">
        <f t="shared" si="0"/>
        <v>9</v>
      </c>
      <c r="AA5" s="211">
        <f t="shared" si="0"/>
        <v>10</v>
      </c>
      <c r="AB5" s="211">
        <f t="shared" si="0"/>
        <v>11</v>
      </c>
      <c r="AC5" s="211">
        <f t="shared" si="0"/>
        <v>12</v>
      </c>
      <c r="AD5" s="170"/>
      <c r="AG5" s="334"/>
      <c r="AI5" s="170"/>
      <c r="AJ5" s="170"/>
      <c r="AK5" s="170"/>
      <c r="AL5" s="335"/>
      <c r="AM5" s="208"/>
      <c r="AN5" s="208"/>
      <c r="AO5" s="334"/>
      <c r="AP5" s="129"/>
    </row>
    <row r="6" spans="1:51">
      <c r="A6" s="771" t="s">
        <v>683</v>
      </c>
    </row>
    <row r="7" spans="1:51">
      <c r="A7" s="771"/>
    </row>
    <row r="8" spans="1:51">
      <c r="A8" s="360" t="str">
        <f>CONCATENATE("Figures based on GLP in ",Assump!$A$7)</f>
        <v xml:space="preserve">Figures based on GLP in </v>
      </c>
      <c r="B8" s="361"/>
      <c r="C8" s="760">
        <f>'Fin Output'!C$7</f>
        <v>692867</v>
      </c>
      <c r="D8" s="760">
        <f>'Fin Output'!D$7</f>
        <v>693232</v>
      </c>
      <c r="E8" s="760">
        <f>'Fin Output'!E$7</f>
        <v>693597</v>
      </c>
      <c r="F8" s="760">
        <f ca="1">'Fin Output'!R$7</f>
        <v>693962</v>
      </c>
      <c r="G8" s="362" t="e">
        <f ca="1">'Fin Output'!AE$7</f>
        <v>#N/A</v>
      </c>
      <c r="H8" s="760">
        <f ca="1">'Fin Output'!AJ$7</f>
        <v>694327</v>
      </c>
      <c r="I8" s="760">
        <f ca="1">'Fin Output'!AK$7</f>
        <v>694692</v>
      </c>
      <c r="J8" s="760">
        <f ca="1">'Fin Output'!AL$7</f>
        <v>695057</v>
      </c>
      <c r="K8" s="760">
        <f ca="1">'Fin Output'!AM$7</f>
        <v>695422</v>
      </c>
      <c r="L8" s="760">
        <f ca="1">'Fin Output'!AN$7</f>
        <v>695787</v>
      </c>
    </row>
    <row r="9" spans="1:51">
      <c r="A9" s="770" t="s">
        <v>446</v>
      </c>
      <c r="B9" s="772"/>
      <c r="C9" s="773" t="e">
        <f>'Fin Output'!C154</f>
        <v>#DIV/0!</v>
      </c>
      <c r="D9" s="773" t="e">
        <f>'Fin Output'!D154</f>
        <v>#DIV/0!</v>
      </c>
      <c r="E9" s="773" t="e">
        <f>'Fin Output'!E154</f>
        <v>#DIV/0!</v>
      </c>
      <c r="F9" s="773" t="e">
        <f ca="1">'Fin Output'!R154</f>
        <v>#DIV/0!</v>
      </c>
      <c r="G9" s="773" t="e">
        <f ca="1">'Fin Output'!AF154</f>
        <v>#N/A</v>
      </c>
      <c r="H9" s="773" t="e">
        <f ca="1">'Fin Output'!AJ154</f>
        <v>#DIV/0!</v>
      </c>
      <c r="I9" s="773" t="e">
        <f ca="1">'Fin Output'!AK154</f>
        <v>#DIV/0!</v>
      </c>
      <c r="J9" s="773" t="e">
        <f ca="1">'Fin Output'!AL154</f>
        <v>#DIV/0!</v>
      </c>
      <c r="K9" s="773" t="e">
        <f ca="1">'Fin Output'!AM154</f>
        <v>#DIV/0!</v>
      </c>
      <c r="L9" s="773" t="e">
        <f ca="1">'Fin Output'!AN154</f>
        <v>#DIV/0!</v>
      </c>
    </row>
    <row r="10" spans="1:51">
      <c r="A10" s="770" t="s">
        <v>447</v>
      </c>
      <c r="B10" s="772"/>
      <c r="C10" s="773" t="e">
        <f>'Fin Output'!C157</f>
        <v>#DIV/0!</v>
      </c>
      <c r="D10" s="773" t="e">
        <f>'Fin Output'!D157</f>
        <v>#DIV/0!</v>
      </c>
      <c r="E10" s="773" t="e">
        <f>'Fin Output'!E157</f>
        <v>#DIV/0!</v>
      </c>
      <c r="F10" s="773" t="e">
        <f ca="1">'Fin Output'!R157</f>
        <v>#DIV/0!</v>
      </c>
      <c r="G10" s="773" t="e">
        <f ca="1">'Fin Output'!AE157</f>
        <v>#N/A</v>
      </c>
      <c r="H10" s="773" t="e">
        <f ca="1">'Fin Output'!AJ157</f>
        <v>#DIV/0!</v>
      </c>
      <c r="I10" s="773" t="e">
        <f ca="1">'Fin Output'!AK157</f>
        <v>#DIV/0!</v>
      </c>
      <c r="J10" s="773" t="e">
        <f ca="1">'Fin Output'!AL157</f>
        <v>#DIV/0!</v>
      </c>
      <c r="K10" s="773" t="e">
        <f ca="1">'Fin Output'!AM157</f>
        <v>#DIV/0!</v>
      </c>
      <c r="L10" s="773" t="e">
        <f ca="1">'Fin Output'!AN157</f>
        <v>#DIV/0!</v>
      </c>
    </row>
    <row r="11" spans="1:51">
      <c r="A11" s="774"/>
      <c r="B11" s="774"/>
      <c r="C11" s="774"/>
      <c r="D11" s="774"/>
      <c r="E11" s="774"/>
      <c r="F11" s="774"/>
      <c r="G11" s="774"/>
      <c r="H11" s="774"/>
      <c r="I11" s="774"/>
      <c r="J11" s="774"/>
      <c r="K11" s="774"/>
      <c r="L11" s="774"/>
    </row>
    <row r="35" spans="1:12">
      <c r="A35" s="771" t="s">
        <v>684</v>
      </c>
    </row>
    <row r="36" spans="1:12">
      <c r="A36" s="771"/>
    </row>
    <row r="37" spans="1:12">
      <c r="A37" s="360"/>
      <c r="B37" s="361"/>
      <c r="C37" s="760">
        <f>'Fin Output'!C$7</f>
        <v>692867</v>
      </c>
      <c r="D37" s="760">
        <f>'Fin Output'!D$7</f>
        <v>693232</v>
      </c>
      <c r="E37" s="760">
        <f>'Fin Output'!E$7</f>
        <v>693597</v>
      </c>
      <c r="F37" s="760">
        <f ca="1">'Fin Output'!R$7</f>
        <v>693962</v>
      </c>
      <c r="G37" s="362" t="e">
        <f ca="1">'Fin Output'!AE$7</f>
        <v>#N/A</v>
      </c>
      <c r="H37" s="760">
        <f ca="1">'Fin Output'!AJ$7</f>
        <v>694327</v>
      </c>
      <c r="I37" s="760">
        <f ca="1">'Fin Output'!AK$7</f>
        <v>694692</v>
      </c>
      <c r="J37" s="760">
        <f ca="1">'Fin Output'!AL$7</f>
        <v>695057</v>
      </c>
      <c r="K37" s="760">
        <f ca="1">'Fin Output'!AM$7</f>
        <v>695422</v>
      </c>
      <c r="L37" s="760">
        <f ca="1">'Fin Output'!AN$7</f>
        <v>695787</v>
      </c>
    </row>
    <row r="38" spans="1:12">
      <c r="A38" s="770" t="str">
        <f>CONCATENATE("GLP in ",Assump!$A$7)</f>
        <v xml:space="preserve">GLP in </v>
      </c>
      <c r="B38" s="775"/>
      <c r="C38" s="775">
        <f>'Fin Output'!C15</f>
        <v>0</v>
      </c>
      <c r="D38" s="775">
        <f>'Fin Output'!D15</f>
        <v>0</v>
      </c>
      <c r="E38" s="775">
        <f>'Fin Output'!E15</f>
        <v>0</v>
      </c>
      <c r="F38" s="775">
        <f ca="1">'Fin Output'!R15</f>
        <v>0</v>
      </c>
      <c r="G38" s="775" t="e">
        <f ca="1">'Fin Output'!AE15</f>
        <v>#N/A</v>
      </c>
      <c r="H38" s="775" t="e">
        <f ca="1">'Fin Output'!AJ15</f>
        <v>#DIV/0!</v>
      </c>
      <c r="I38" s="775" t="e">
        <f ca="1">'Fin Output'!AK15</f>
        <v>#DIV/0!</v>
      </c>
      <c r="J38" s="775" t="e">
        <f ca="1">'Fin Output'!AL15</f>
        <v>#DIV/0!</v>
      </c>
      <c r="K38" s="775" t="e">
        <f ca="1">'Fin Output'!AM15</f>
        <v>#DIV/0!</v>
      </c>
      <c r="L38" s="775" t="e">
        <f ca="1">'Fin Output'!AN15</f>
        <v>#DIV/0!</v>
      </c>
    </row>
    <row r="39" spans="1:12">
      <c r="A39" s="770" t="str">
        <f>'Fin Output'!A200</f>
        <v>PAR (&gt;30 days)</v>
      </c>
      <c r="B39" s="776"/>
      <c r="C39" s="777" t="e">
        <f>'Fin Output'!C185</f>
        <v>#DIV/0!</v>
      </c>
      <c r="D39" s="777" t="e">
        <f>'Fin Output'!D185</f>
        <v>#DIV/0!</v>
      </c>
      <c r="E39" s="777" t="e">
        <f>'Fin Output'!E185</f>
        <v>#DIV/0!</v>
      </c>
      <c r="F39" s="777" t="e">
        <f ca="1">'Fin Output'!R185</f>
        <v>#DIV/0!</v>
      </c>
      <c r="G39" s="777" t="e">
        <f ca="1">'Fin Output'!AE185</f>
        <v>#N/A</v>
      </c>
      <c r="H39" s="777" t="e">
        <f ca="1">'Fin Output'!AJ185</f>
        <v>#DIV/0!</v>
      </c>
      <c r="I39" s="777" t="e">
        <f ca="1">'Fin Output'!AK185</f>
        <v>#DIV/0!</v>
      </c>
      <c r="J39" s="777" t="e">
        <f ca="1">'Fin Output'!AL185</f>
        <v>#DIV/0!</v>
      </c>
      <c r="K39" s="777" t="e">
        <f ca="1">'Fin Output'!AM185</f>
        <v>#DIV/0!</v>
      </c>
      <c r="L39" s="777" t="e">
        <f ca="1">'Fin Output'!AN185</f>
        <v>#DIV/0!</v>
      </c>
    </row>
    <row r="40" spans="1:12">
      <c r="A40" s="774"/>
      <c r="B40" s="774"/>
      <c r="C40" s="774"/>
      <c r="D40" s="774"/>
      <c r="E40" s="774"/>
      <c r="F40" s="774"/>
      <c r="G40" s="774"/>
      <c r="H40" s="774"/>
      <c r="I40" s="774"/>
      <c r="J40" s="774"/>
      <c r="K40" s="774"/>
      <c r="L40" s="774"/>
    </row>
    <row r="64" spans="1:1">
      <c r="A64" s="771" t="s">
        <v>685</v>
      </c>
    </row>
    <row r="65" spans="1:13">
      <c r="A65" s="771"/>
    </row>
    <row r="66" spans="1:13">
      <c r="A66" s="360"/>
      <c r="B66" s="361"/>
      <c r="C66" s="760">
        <f>'Fin Output'!C$7</f>
        <v>692867</v>
      </c>
      <c r="D66" s="760">
        <f>'Fin Output'!D$7</f>
        <v>693232</v>
      </c>
      <c r="E66" s="760">
        <f>'Fin Output'!E$7</f>
        <v>693597</v>
      </c>
      <c r="F66" s="760">
        <f ca="1">'Fin Output'!R$7</f>
        <v>693962</v>
      </c>
      <c r="G66" s="362" t="e">
        <f ca="1">'Fin Output'!AE90</f>
        <v>#N/A</v>
      </c>
      <c r="H66" s="362" t="e">
        <f ca="1">'Fin Output'!$AF$42</f>
        <v>#N/A</v>
      </c>
      <c r="I66" s="760">
        <f ca="1">'Fin Output'!AJ$7</f>
        <v>694327</v>
      </c>
      <c r="J66" s="760">
        <f ca="1">'Fin Output'!AK$7</f>
        <v>694692</v>
      </c>
      <c r="K66" s="760">
        <f ca="1">'Fin Output'!AL$7</f>
        <v>695057</v>
      </c>
      <c r="L66" s="760">
        <f ca="1">'Fin Output'!AM$7</f>
        <v>695422</v>
      </c>
      <c r="M66" s="760">
        <f ca="1">'Fin Output'!AN$7</f>
        <v>695787</v>
      </c>
    </row>
    <row r="67" spans="1:13">
      <c r="A67" s="770" t="s">
        <v>677</v>
      </c>
      <c r="B67" s="775"/>
      <c r="C67" s="777" t="e">
        <f>'Fin Output'!C94</f>
        <v>#DIV/0!</v>
      </c>
      <c r="D67" s="777" t="e">
        <f>'Fin Output'!D94</f>
        <v>#DIV/0!</v>
      </c>
      <c r="E67" s="777" t="e">
        <f>'Fin Output'!E94</f>
        <v>#DIV/0!</v>
      </c>
      <c r="F67" s="777" t="e">
        <f ca="1">'Fin Output'!R94</f>
        <v>#DIV/0!</v>
      </c>
      <c r="G67" s="777" t="e">
        <f ca="1">'Fin Output'!AE94</f>
        <v>#N/A</v>
      </c>
      <c r="H67" s="777" t="e">
        <f ca="1">'Fin Output'!AF94</f>
        <v>#N/A</v>
      </c>
      <c r="I67" s="777" t="e">
        <f ca="1">'Fin Output'!AJ94</f>
        <v>#DIV/0!</v>
      </c>
      <c r="J67" s="777" t="e">
        <f ca="1">'Fin Output'!AK94</f>
        <v>#DIV/0!</v>
      </c>
      <c r="K67" s="777" t="e">
        <f ca="1">'Fin Output'!AL94</f>
        <v>#DIV/0!</v>
      </c>
      <c r="L67" s="777" t="e">
        <f ca="1">'Fin Output'!AM94</f>
        <v>#DIV/0!</v>
      </c>
      <c r="M67" s="777" t="e">
        <f ca="1">'Fin Output'!AN94</f>
        <v>#DIV/0!</v>
      </c>
    </row>
    <row r="68" spans="1:13">
      <c r="A68" s="778" t="s">
        <v>678</v>
      </c>
      <c r="B68" s="779"/>
      <c r="C68" s="780" t="e">
        <f>'Fin Output'!C95</f>
        <v>#DIV/0!</v>
      </c>
      <c r="D68" s="780" t="e">
        <f>'Fin Output'!D95</f>
        <v>#DIV/0!</v>
      </c>
      <c r="E68" s="780" t="e">
        <f>'Fin Output'!E95</f>
        <v>#DIV/0!</v>
      </c>
      <c r="F68" s="780" t="e">
        <f ca="1">'Fin Output'!R95</f>
        <v>#DIV/0!</v>
      </c>
      <c r="G68" s="780" t="e">
        <f ca="1">'Fin Output'!AE95</f>
        <v>#N/A</v>
      </c>
      <c r="H68" s="780" t="e">
        <f ca="1">'Fin Output'!AF95</f>
        <v>#N/A</v>
      </c>
      <c r="I68" s="780" t="e">
        <f ca="1">'Fin Output'!AJ95</f>
        <v>#DIV/0!</v>
      </c>
      <c r="J68" s="780" t="e">
        <f ca="1">'Fin Output'!AK95</f>
        <v>#DIV/0!</v>
      </c>
      <c r="K68" s="780" t="e">
        <f ca="1">'Fin Output'!AL95</f>
        <v>#DIV/0!</v>
      </c>
      <c r="L68" s="780" t="e">
        <f ca="1">'Fin Output'!AM95</f>
        <v>#DIV/0!</v>
      </c>
      <c r="M68" s="780" t="e">
        <f ca="1">'Fin Output'!AN95</f>
        <v>#DIV/0!</v>
      </c>
    </row>
    <row r="69" spans="1:13" s="778" customFormat="1">
      <c r="A69" s="778" t="s">
        <v>679</v>
      </c>
      <c r="B69" s="779"/>
      <c r="C69" s="780" t="e">
        <f>'Fin Output'!C96</f>
        <v>#DIV/0!</v>
      </c>
      <c r="D69" s="780" t="e">
        <f>'Fin Output'!D96</f>
        <v>#DIV/0!</v>
      </c>
      <c r="E69" s="780" t="e">
        <f>'Fin Output'!E96</f>
        <v>#DIV/0!</v>
      </c>
      <c r="F69" s="780" t="e">
        <f ca="1">'Fin Output'!R96</f>
        <v>#DIV/0!</v>
      </c>
      <c r="G69" s="780" t="e">
        <f ca="1">'Fin Output'!AE96</f>
        <v>#N/A</v>
      </c>
      <c r="H69" s="780" t="e">
        <f ca="1">'Fin Output'!AF96</f>
        <v>#N/A</v>
      </c>
      <c r="I69" s="780" t="e">
        <f ca="1">'Fin Output'!AJ96</f>
        <v>#DIV/0!</v>
      </c>
      <c r="J69" s="780" t="e">
        <f ca="1">'Fin Output'!AK96</f>
        <v>#DIV/0!</v>
      </c>
      <c r="K69" s="780" t="e">
        <f ca="1">'Fin Output'!AL96</f>
        <v>#DIV/0!</v>
      </c>
      <c r="L69" s="780" t="e">
        <f ca="1">'Fin Output'!AM96</f>
        <v>#DIV/0!</v>
      </c>
      <c r="M69" s="780" t="e">
        <f ca="1">'Fin Output'!AN96</f>
        <v>#DIV/0!</v>
      </c>
    </row>
    <row r="70" spans="1:13">
      <c r="A70" s="781" t="s">
        <v>680</v>
      </c>
      <c r="B70" s="782"/>
      <c r="C70" s="783" t="e">
        <f>'Fin Output'!C97</f>
        <v>#DIV/0!</v>
      </c>
      <c r="D70" s="783" t="e">
        <f>'Fin Output'!D97</f>
        <v>#DIV/0!</v>
      </c>
      <c r="E70" s="783" t="e">
        <f>'Fin Output'!E97</f>
        <v>#DIV/0!</v>
      </c>
      <c r="F70" s="783" t="e">
        <f ca="1">'Fin Output'!R97</f>
        <v>#DIV/0!</v>
      </c>
      <c r="G70" s="783" t="e">
        <f ca="1">'Fin Output'!AE97</f>
        <v>#N/A</v>
      </c>
      <c r="H70" s="783" t="e">
        <f ca="1">'Fin Output'!AF97</f>
        <v>#N/A</v>
      </c>
      <c r="I70" s="783" t="e">
        <f ca="1">'Fin Output'!AJ97</f>
        <v>#DIV/0!</v>
      </c>
      <c r="J70" s="783" t="e">
        <f ca="1">'Fin Output'!AK97</f>
        <v>#DIV/0!</v>
      </c>
      <c r="K70" s="783" t="e">
        <f ca="1">'Fin Output'!AL97</f>
        <v>#DIV/0!</v>
      </c>
      <c r="L70" s="783" t="e">
        <f ca="1">'Fin Output'!AM97</f>
        <v>#DIV/0!</v>
      </c>
      <c r="M70" s="783" t="e">
        <f ca="1">'Fin Output'!AN97</f>
        <v>#DIV/0!</v>
      </c>
    </row>
    <row r="71" spans="1:13" s="784" customFormat="1">
      <c r="A71" s="879" t="s">
        <v>676</v>
      </c>
      <c r="B71" s="880"/>
      <c r="C71" s="881" t="e">
        <f t="shared" ref="C71:M71" si="1">C67-SUM(C68:C70)</f>
        <v>#DIV/0!</v>
      </c>
      <c r="D71" s="881" t="e">
        <f t="shared" si="1"/>
        <v>#DIV/0!</v>
      </c>
      <c r="E71" s="881" t="e">
        <f t="shared" si="1"/>
        <v>#DIV/0!</v>
      </c>
      <c r="F71" s="881" t="e">
        <f t="shared" ca="1" si="1"/>
        <v>#DIV/0!</v>
      </c>
      <c r="G71" s="881" t="e">
        <f t="shared" ca="1" si="1"/>
        <v>#N/A</v>
      </c>
      <c r="H71" s="881" t="e">
        <f t="shared" ca="1" si="1"/>
        <v>#N/A</v>
      </c>
      <c r="I71" s="881" t="e">
        <f t="shared" ca="1" si="1"/>
        <v>#DIV/0!</v>
      </c>
      <c r="J71" s="881" t="e">
        <f t="shared" ca="1" si="1"/>
        <v>#DIV/0!</v>
      </c>
      <c r="K71" s="881" t="e">
        <f t="shared" ca="1" si="1"/>
        <v>#DIV/0!</v>
      </c>
      <c r="L71" s="881" t="e">
        <f t="shared" ca="1" si="1"/>
        <v>#DIV/0!</v>
      </c>
      <c r="M71" s="881" t="e">
        <f t="shared" ca="1" si="1"/>
        <v>#DIV/0!</v>
      </c>
    </row>
    <row r="72" spans="1:13">
      <c r="B72" s="776"/>
      <c r="C72" s="776"/>
      <c r="D72" s="776"/>
      <c r="E72" s="776"/>
      <c r="F72" s="776"/>
      <c r="G72" s="776"/>
      <c r="H72" s="776"/>
    </row>
    <row r="73" spans="1:13">
      <c r="B73" s="776"/>
      <c r="C73" s="776"/>
      <c r="D73" s="776"/>
      <c r="E73" s="776"/>
      <c r="F73" s="776"/>
      <c r="G73" s="776"/>
      <c r="H73" s="776"/>
    </row>
    <row r="74" spans="1:13">
      <c r="B74" s="776"/>
      <c r="C74" s="776"/>
      <c r="D74" s="776"/>
      <c r="E74" s="776"/>
      <c r="F74" s="776"/>
      <c r="G74" s="776"/>
      <c r="H74" s="776"/>
    </row>
    <row r="96" spans="1:1">
      <c r="A96" s="771" t="s">
        <v>686</v>
      </c>
    </row>
    <row r="97" spans="1:12">
      <c r="A97" s="771"/>
    </row>
    <row r="98" spans="1:12">
      <c r="A98" s="360"/>
      <c r="B98" s="361"/>
      <c r="C98" s="760">
        <f>'Fin Output'!C$7</f>
        <v>692867</v>
      </c>
      <c r="D98" s="760">
        <f>'Fin Output'!D$7</f>
        <v>693232</v>
      </c>
      <c r="E98" s="760">
        <f>'Fin Output'!E$7</f>
        <v>693597</v>
      </c>
      <c r="F98" s="760">
        <f ca="1">'Fin Output'!R$7</f>
        <v>693962</v>
      </c>
      <c r="G98" s="362" t="e">
        <f ca="1">'Fin Output'!AE$7</f>
        <v>#N/A</v>
      </c>
      <c r="H98" s="760">
        <f ca="1">'Fin Output'!AJ$7</f>
        <v>694327</v>
      </c>
      <c r="I98" s="760">
        <f ca="1">'Fin Output'!AK$7</f>
        <v>694692</v>
      </c>
      <c r="J98" s="760">
        <f ca="1">'Fin Output'!AL$7</f>
        <v>695057</v>
      </c>
      <c r="K98" s="760">
        <f ca="1">'Fin Output'!AM$7</f>
        <v>695422</v>
      </c>
      <c r="L98" s="760">
        <f ca="1">'Fin Output'!AN$7</f>
        <v>695787</v>
      </c>
    </row>
    <row r="99" spans="1:12">
      <c r="A99" s="778" t="s">
        <v>62</v>
      </c>
      <c r="B99" s="785"/>
      <c r="C99" s="786">
        <f>'Fin Output'!C24</f>
        <v>0</v>
      </c>
      <c r="D99" s="786">
        <f>'Fin Output'!D24</f>
        <v>0</v>
      </c>
      <c r="E99" s="786">
        <f>'Fin Output'!E24</f>
        <v>0</v>
      </c>
      <c r="F99" s="786">
        <f ca="1">'Fin Output'!R24</f>
        <v>0</v>
      </c>
      <c r="G99" s="786" t="e">
        <f ca="1">'Fin Output'!AE24</f>
        <v>#N/A</v>
      </c>
      <c r="H99" s="786" t="e">
        <f ca="1">'Fin Output'!AJ24</f>
        <v>#DIV/0!</v>
      </c>
      <c r="I99" s="786" t="e">
        <f ca="1">'Fin Output'!AK24</f>
        <v>#DIV/0!</v>
      </c>
      <c r="J99" s="786" t="e">
        <f ca="1">'Fin Output'!AL24</f>
        <v>#DIV/0!</v>
      </c>
      <c r="K99" s="786" t="e">
        <f ca="1">'Fin Output'!AM24</f>
        <v>#DIV/0!</v>
      </c>
      <c r="L99" s="786" t="e">
        <f ca="1">'Fin Output'!AN24</f>
        <v>#DIV/0!</v>
      </c>
    </row>
    <row r="100" spans="1:12">
      <c r="A100" s="778" t="s">
        <v>4</v>
      </c>
      <c r="B100" s="785"/>
      <c r="C100" s="786">
        <f>'Fin Output'!C25</f>
        <v>0</v>
      </c>
      <c r="D100" s="786">
        <f>'Fin Output'!D25</f>
        <v>0</v>
      </c>
      <c r="E100" s="786">
        <f>'Fin Output'!E25</f>
        <v>0</v>
      </c>
      <c r="F100" s="786">
        <f ca="1">'Fin Output'!R25</f>
        <v>0</v>
      </c>
      <c r="G100" s="786" t="e">
        <f ca="1">'Fin Output'!AE25</f>
        <v>#N/A</v>
      </c>
      <c r="H100" s="786">
        <f ca="1">'Fin Output'!AJ25</f>
        <v>0</v>
      </c>
      <c r="I100" s="786">
        <f ca="1">'Fin Output'!AK25</f>
        <v>0</v>
      </c>
      <c r="J100" s="786">
        <f ca="1">'Fin Output'!AL25</f>
        <v>0</v>
      </c>
      <c r="K100" s="786">
        <f ca="1">'Fin Output'!AM25</f>
        <v>0</v>
      </c>
      <c r="L100" s="786">
        <f ca="1">'Fin Output'!AN25</f>
        <v>0</v>
      </c>
    </row>
    <row r="101" spans="1:12">
      <c r="A101" s="781" t="s">
        <v>306</v>
      </c>
      <c r="B101" s="787"/>
      <c r="C101" s="788">
        <f>'Fin Output'!C37</f>
        <v>0</v>
      </c>
      <c r="D101" s="788">
        <f>'Fin Output'!D37</f>
        <v>0</v>
      </c>
      <c r="E101" s="788">
        <f>'Fin Output'!E37</f>
        <v>0</v>
      </c>
      <c r="F101" s="788">
        <f ca="1">'Fin Output'!R37</f>
        <v>0</v>
      </c>
      <c r="G101" s="788" t="e">
        <f ca="1">'Fin Output'!AE37</f>
        <v>#N/A</v>
      </c>
      <c r="H101" s="788">
        <f ca="1">'Fin Output'!AJ37</f>
        <v>0</v>
      </c>
      <c r="I101" s="788">
        <f ca="1">'Fin Output'!AK37</f>
        <v>0</v>
      </c>
      <c r="J101" s="788">
        <f ca="1">'Fin Output'!AL37</f>
        <v>0</v>
      </c>
      <c r="K101" s="788">
        <f ca="1">'Fin Output'!AM37</f>
        <v>0</v>
      </c>
      <c r="L101" s="788">
        <f ca="1">'Fin Output'!AN37</f>
        <v>0</v>
      </c>
    </row>
    <row r="124" spans="1:12">
      <c r="A124" s="771"/>
    </row>
    <row r="125" spans="1:12">
      <c r="A125" s="771"/>
    </row>
    <row r="126" spans="1:12">
      <c r="A126" s="771" t="s">
        <v>687</v>
      </c>
    </row>
    <row r="127" spans="1:12">
      <c r="A127" s="771"/>
    </row>
    <row r="128" spans="1:12">
      <c r="A128" s="360"/>
      <c r="B128" s="361"/>
      <c r="C128" s="760">
        <f>'Fin Output'!C$7</f>
        <v>692867</v>
      </c>
      <c r="D128" s="760">
        <f>'Fin Output'!D$7</f>
        <v>693232</v>
      </c>
      <c r="E128" s="760">
        <f>'Fin Output'!E$7</f>
        <v>693597</v>
      </c>
      <c r="F128" s="760">
        <f ca="1">'Fin Output'!R$7</f>
        <v>693962</v>
      </c>
      <c r="G128" s="362" t="e">
        <f ca="1">'Fin Output'!AE$7</f>
        <v>#N/A</v>
      </c>
      <c r="H128" s="760">
        <f ca="1">'Fin Output'!AJ$7</f>
        <v>694327</v>
      </c>
      <c r="I128" s="760">
        <f ca="1">'Fin Output'!AK$7</f>
        <v>694692</v>
      </c>
      <c r="J128" s="760">
        <f ca="1">'Fin Output'!AL$7</f>
        <v>695057</v>
      </c>
      <c r="K128" s="760">
        <f ca="1">'Fin Output'!AM$7</f>
        <v>695422</v>
      </c>
      <c r="L128" s="760">
        <f ca="1">'Fin Output'!AN$7</f>
        <v>695787</v>
      </c>
    </row>
    <row r="129" spans="1:12" s="789" customFormat="1">
      <c r="A129" s="789" t="s">
        <v>50</v>
      </c>
      <c r="C129" s="789">
        <f>'Fin Output'!C168</f>
        <v>0</v>
      </c>
      <c r="D129" s="789">
        <f>'Fin Output'!D168</f>
        <v>0</v>
      </c>
      <c r="E129" s="789">
        <f>'Fin Output'!E168</f>
        <v>0</v>
      </c>
      <c r="F129" s="789">
        <f ca="1">'Fin Output'!R168</f>
        <v>0</v>
      </c>
      <c r="G129" s="789" t="e">
        <f ca="1">'Fin Output'!AF168</f>
        <v>#N/A</v>
      </c>
      <c r="H129" s="789" t="str">
        <f ca="1">'Fin Output'!AJ168</f>
        <v>NA</v>
      </c>
      <c r="I129" s="789" t="str">
        <f ca="1">'Fin Output'!AK168</f>
        <v>NA</v>
      </c>
      <c r="J129" s="789" t="str">
        <f ca="1">'Fin Output'!AL168</f>
        <v>NA</v>
      </c>
      <c r="K129" s="789" t="str">
        <f ca="1">'Fin Output'!AM168</f>
        <v>NA</v>
      </c>
      <c r="L129" s="789" t="str">
        <f ca="1">'Fin Output'!AN168</f>
        <v>NA</v>
      </c>
    </row>
    <row r="130" spans="1:12">
      <c r="A130" s="770" t="s">
        <v>405</v>
      </c>
      <c r="B130" s="790"/>
      <c r="C130" s="789">
        <f>'Fin Output'!C170</f>
        <v>0</v>
      </c>
      <c r="D130" s="789">
        <f>'Fin Output'!D170</f>
        <v>0</v>
      </c>
      <c r="E130" s="789">
        <f>'Fin Output'!E170</f>
        <v>0</v>
      </c>
      <c r="F130" s="789">
        <f ca="1">'Fin Output'!R170</f>
        <v>0</v>
      </c>
      <c r="G130" s="789" t="e">
        <f ca="1">'Fin Output'!AF170</f>
        <v>#N/A</v>
      </c>
      <c r="H130" s="789" t="str">
        <f ca="1">'Fin Output'!AJ170</f>
        <v>NA</v>
      </c>
      <c r="I130" s="789" t="str">
        <f ca="1">'Fin Output'!AK170</f>
        <v>NA</v>
      </c>
      <c r="J130" s="789" t="str">
        <f ca="1">'Fin Output'!AL170</f>
        <v>NA</v>
      </c>
      <c r="K130" s="789" t="str">
        <f ca="1">'Fin Output'!AM170</f>
        <v>NA</v>
      </c>
      <c r="L130" s="789" t="str">
        <f ca="1">'Fin Output'!AN170</f>
        <v>NA</v>
      </c>
    </row>
    <row r="131" spans="1:12">
      <c r="A131" s="770" t="s">
        <v>406</v>
      </c>
      <c r="B131" s="790"/>
      <c r="C131" s="789">
        <f>'Fin Output'!C171</f>
        <v>0</v>
      </c>
      <c r="D131" s="789">
        <f>'Fin Output'!D171</f>
        <v>0</v>
      </c>
      <c r="E131" s="789">
        <f>'Fin Output'!E171</f>
        <v>0</v>
      </c>
      <c r="F131" s="789">
        <f ca="1">'Fin Output'!R171</f>
        <v>0</v>
      </c>
      <c r="G131" s="789" t="e">
        <f ca="1">'Fin Output'!AF171</f>
        <v>#N/A</v>
      </c>
      <c r="H131" s="789" t="str">
        <f ca="1">'Fin Output'!AJ171</f>
        <v>NA</v>
      </c>
      <c r="I131" s="789" t="str">
        <f ca="1">'Fin Output'!AK171</f>
        <v>NA</v>
      </c>
      <c r="J131" s="789" t="str">
        <f ca="1">'Fin Output'!AL171</f>
        <v>NA</v>
      </c>
      <c r="K131" s="789" t="str">
        <f ca="1">'Fin Output'!AM171</f>
        <v>NA</v>
      </c>
      <c r="L131" s="789" t="str">
        <f ca="1">'Fin Output'!AN171</f>
        <v>NA</v>
      </c>
    </row>
    <row r="132" spans="1:12">
      <c r="A132" s="770" t="s">
        <v>407</v>
      </c>
      <c r="B132" s="790"/>
      <c r="C132" s="789">
        <f>'Fin Output'!C172</f>
        <v>0</v>
      </c>
      <c r="D132" s="789">
        <f>'Fin Output'!D172</f>
        <v>0</v>
      </c>
      <c r="E132" s="789">
        <f>'Fin Output'!E172</f>
        <v>0</v>
      </c>
      <c r="F132" s="789">
        <f ca="1">'Fin Output'!R172</f>
        <v>0</v>
      </c>
      <c r="G132" s="789" t="e">
        <f ca="1">'Fin Output'!AF172</f>
        <v>#N/A</v>
      </c>
      <c r="H132" s="789" t="str">
        <f ca="1">'Fin Output'!AJ172</f>
        <v>NA</v>
      </c>
      <c r="I132" s="789" t="str">
        <f ca="1">'Fin Output'!AK172</f>
        <v>NA</v>
      </c>
      <c r="J132" s="789" t="str">
        <f ca="1">'Fin Output'!AL172</f>
        <v>NA</v>
      </c>
      <c r="K132" s="789" t="str">
        <f ca="1">'Fin Output'!AM172</f>
        <v>NA</v>
      </c>
      <c r="L132" s="789" t="str">
        <f ca="1">'Fin Output'!AN172</f>
        <v>NA</v>
      </c>
    </row>
    <row r="133" spans="1:12">
      <c r="A133" s="770" t="s">
        <v>52</v>
      </c>
      <c r="B133" s="790"/>
      <c r="C133" s="789">
        <f>'Fin Output'!C173</f>
        <v>0</v>
      </c>
      <c r="D133" s="789">
        <f>'Fin Output'!D173</f>
        <v>0</v>
      </c>
      <c r="E133" s="789">
        <f>'Fin Output'!E173</f>
        <v>0</v>
      </c>
      <c r="F133" s="789">
        <f ca="1">'Fin Output'!R173</f>
        <v>0</v>
      </c>
      <c r="G133" s="789" t="e">
        <f ca="1">'Fin Output'!AF173</f>
        <v>#N/A</v>
      </c>
      <c r="H133" s="789" t="str">
        <f ca="1">'Fin Output'!AJ173</f>
        <v>NA</v>
      </c>
      <c r="I133" s="789" t="str">
        <f ca="1">'Fin Output'!AK173</f>
        <v>NA</v>
      </c>
      <c r="J133" s="789" t="str">
        <f ca="1">'Fin Output'!AL173</f>
        <v>NA</v>
      </c>
      <c r="K133" s="789" t="str">
        <f ca="1">'Fin Output'!AM173</f>
        <v>NA</v>
      </c>
      <c r="L133" s="789" t="str">
        <f ca="1">'Fin Output'!AN173</f>
        <v>NA</v>
      </c>
    </row>
    <row r="134" spans="1:12">
      <c r="A134" s="781" t="s">
        <v>181</v>
      </c>
      <c r="B134" s="791"/>
      <c r="C134" s="792" t="e">
        <f>'Fin Output'!C207</f>
        <v>#DIV/0!</v>
      </c>
      <c r="D134" s="792" t="e">
        <f>'Fin Output'!D207</f>
        <v>#DIV/0!</v>
      </c>
      <c r="E134" s="792" t="e">
        <f>'Fin Output'!E207</f>
        <v>#DIV/0!</v>
      </c>
      <c r="F134" s="792" t="e">
        <f ca="1">'Fin Output'!R207</f>
        <v>#DIV/0!</v>
      </c>
      <c r="G134" s="792" t="e">
        <f ca="1">'Fin Output'!AF207</f>
        <v>#N/A</v>
      </c>
      <c r="H134" s="792" t="e">
        <f ca="1">'Fin Output'!AJ207</f>
        <v>#DIV/0!</v>
      </c>
      <c r="I134" s="792" t="e">
        <f ca="1">'Fin Output'!AK207</f>
        <v>#DIV/0!</v>
      </c>
      <c r="J134" s="792" t="e">
        <f ca="1">'Fin Output'!AL207</f>
        <v>#DIV/0!</v>
      </c>
      <c r="K134" s="792" t="e">
        <f ca="1">'Fin Output'!AM207</f>
        <v>#DIV/0!</v>
      </c>
      <c r="L134" s="792" t="e">
        <f ca="1">'Fin Output'!AN207</f>
        <v>#DIV/0!</v>
      </c>
    </row>
    <row r="160" spans="1:1">
      <c r="A160" s="771" t="s">
        <v>688</v>
      </c>
    </row>
    <row r="161" spans="1:12">
      <c r="A161" s="771"/>
    </row>
    <row r="162" spans="1:12" ht="25.5">
      <c r="A162" s="360" t="s">
        <v>613</v>
      </c>
      <c r="B162" s="566" t="str">
        <f>CONCATENATE("Loan Portfolio in ",'Port &amp; Other'!A100)</f>
        <v>Loan Portfolio in 0</v>
      </c>
      <c r="C162" s="566" t="s">
        <v>681</v>
      </c>
      <c r="D162" s="151"/>
      <c r="E162" s="151"/>
      <c r="F162" s="151"/>
      <c r="G162" s="151"/>
      <c r="H162" s="151"/>
      <c r="I162" s="151"/>
      <c r="J162" s="151"/>
      <c r="K162" s="151"/>
      <c r="L162" s="151"/>
    </row>
    <row r="163" spans="1:12" ht="15">
      <c r="A163" s="586" t="str">
        <f>'Port &amp; Other'!A102</f>
        <v>[$&gt;0 &amp; &lt;=500]</v>
      </c>
      <c r="B163" s="587">
        <f>'Port &amp; Other'!B102</f>
        <v>0</v>
      </c>
      <c r="C163" s="588" t="e">
        <f>'Port &amp; Other'!G102</f>
        <v>#DIV/0!</v>
      </c>
      <c r="D163" s="151"/>
      <c r="E163" s="151"/>
      <c r="F163" s="151"/>
      <c r="G163" s="151"/>
      <c r="H163" s="151"/>
      <c r="I163" s="151"/>
      <c r="J163" s="151"/>
      <c r="K163" s="151"/>
      <c r="L163" s="151"/>
    </row>
    <row r="164" spans="1:12" ht="15">
      <c r="A164" s="586" t="str">
        <f>'Port &amp; Other'!A103</f>
        <v>[$&gt;500 &amp; &lt;=1000]</v>
      </c>
      <c r="B164" s="587">
        <f>'Port &amp; Other'!B103</f>
        <v>0</v>
      </c>
      <c r="C164" s="588" t="e">
        <f>'Port &amp; Other'!G103</f>
        <v>#DIV/0!</v>
      </c>
      <c r="D164" s="151"/>
      <c r="E164" s="151"/>
      <c r="F164" s="151"/>
      <c r="G164" s="151"/>
      <c r="H164" s="151"/>
      <c r="I164" s="151"/>
      <c r="J164" s="151"/>
      <c r="K164" s="151"/>
      <c r="L164" s="151"/>
    </row>
    <row r="165" spans="1:12" ht="15">
      <c r="A165" s="586" t="str">
        <f>'Port &amp; Other'!A104</f>
        <v>[$ &gt;1000 &amp; &lt;=1500]</v>
      </c>
      <c r="B165" s="587">
        <f>'Port &amp; Other'!B104</f>
        <v>0</v>
      </c>
      <c r="C165" s="588" t="e">
        <f>'Port &amp; Other'!G104</f>
        <v>#DIV/0!</v>
      </c>
      <c r="D165" s="151"/>
      <c r="E165" s="151"/>
      <c r="F165" s="151"/>
      <c r="G165" s="151"/>
      <c r="H165" s="151"/>
      <c r="I165" s="151"/>
      <c r="J165" s="151"/>
      <c r="K165" s="151"/>
      <c r="L165" s="151"/>
    </row>
    <row r="166" spans="1:12" ht="15">
      <c r="A166" s="586" t="str">
        <f>'Port &amp; Other'!A105</f>
        <v>[$&gt;1500 &amp; &lt;=2000]</v>
      </c>
      <c r="B166" s="587">
        <f>'Port &amp; Other'!B105</f>
        <v>0</v>
      </c>
      <c r="C166" s="588" t="e">
        <f>'Port &amp; Other'!G105</f>
        <v>#DIV/0!</v>
      </c>
      <c r="D166" s="151"/>
      <c r="E166" s="151"/>
      <c r="F166" s="151"/>
      <c r="G166" s="151"/>
      <c r="H166" s="151"/>
      <c r="I166" s="151"/>
      <c r="J166" s="151"/>
      <c r="K166" s="151"/>
      <c r="L166" s="151"/>
    </row>
    <row r="167" spans="1:12" ht="15">
      <c r="A167" s="586" t="str">
        <f>'Port &amp; Other'!A106</f>
        <v>[$&gt;2500 &amp; &lt;=3000]</v>
      </c>
      <c r="B167" s="587">
        <f>'Port &amp; Other'!B106</f>
        <v>0</v>
      </c>
      <c r="C167" s="588" t="e">
        <f>'Port &amp; Other'!G106</f>
        <v>#DIV/0!</v>
      </c>
      <c r="D167" s="151"/>
      <c r="E167" s="151"/>
      <c r="F167" s="151"/>
      <c r="G167" s="151"/>
      <c r="H167" s="151"/>
      <c r="I167" s="151"/>
      <c r="J167" s="151"/>
      <c r="K167" s="151"/>
      <c r="L167" s="151"/>
    </row>
    <row r="168" spans="1:12" ht="15">
      <c r="A168" s="586" t="str">
        <f>'Port &amp; Other'!A107</f>
        <v>[$&gt;3000]</v>
      </c>
      <c r="B168" s="587">
        <f>'Port &amp; Other'!B107</f>
        <v>0</v>
      </c>
      <c r="C168" s="588" t="e">
        <f>'Port &amp; Other'!G107</f>
        <v>#DIV/0!</v>
      </c>
      <c r="D168" s="151"/>
      <c r="E168" s="151"/>
      <c r="F168" s="151"/>
      <c r="G168" s="151"/>
      <c r="H168" s="151"/>
      <c r="I168" s="151"/>
      <c r="J168" s="151"/>
      <c r="K168" s="151"/>
      <c r="L168" s="151"/>
    </row>
    <row r="169" spans="1:12" ht="15">
      <c r="A169" s="586" t="e">
        <f>'Port &amp; Other'!#REF!</f>
        <v>#REF!</v>
      </c>
      <c r="B169" s="587" t="e">
        <f>'Port &amp; Other'!#REF!</f>
        <v>#REF!</v>
      </c>
      <c r="C169" s="588" t="e">
        <f>'Port &amp; Other'!#REF!</f>
        <v>#REF!</v>
      </c>
      <c r="D169" s="151"/>
      <c r="E169" s="151"/>
      <c r="F169" s="151"/>
      <c r="G169" s="151"/>
      <c r="H169" s="151"/>
      <c r="I169" s="151"/>
      <c r="J169" s="151"/>
      <c r="K169" s="151"/>
      <c r="L169" s="151"/>
    </row>
    <row r="170" spans="1:12" ht="15">
      <c r="A170" s="586" t="e">
        <f>'Port &amp; Other'!#REF!</f>
        <v>#REF!</v>
      </c>
      <c r="B170" s="587" t="e">
        <f>'Port &amp; Other'!#REF!</f>
        <v>#REF!</v>
      </c>
      <c r="C170" s="588" t="e">
        <f>'Port &amp; Other'!#REF!</f>
        <v>#REF!</v>
      </c>
      <c r="D170" s="151"/>
      <c r="E170" s="151"/>
      <c r="F170" s="151"/>
      <c r="G170" s="151"/>
      <c r="H170" s="151"/>
      <c r="I170" s="151"/>
      <c r="J170" s="151"/>
      <c r="K170" s="151"/>
      <c r="L170" s="151"/>
    </row>
    <row r="171" spans="1:12" ht="15">
      <c r="A171" s="586" t="e">
        <f>'Port &amp; Other'!#REF!</f>
        <v>#REF!</v>
      </c>
      <c r="B171" s="587" t="e">
        <f>'Port &amp; Other'!#REF!</f>
        <v>#REF!</v>
      </c>
      <c r="C171" s="588" t="e">
        <f>'Port &amp; Other'!#REF!</f>
        <v>#REF!</v>
      </c>
    </row>
    <row r="172" spans="1:12" ht="15">
      <c r="A172" s="589" t="e">
        <f>'Port &amp; Other'!#REF!</f>
        <v>#REF!</v>
      </c>
      <c r="B172" s="590" t="e">
        <f>'Port &amp; Other'!#REF!</f>
        <v>#REF!</v>
      </c>
      <c r="C172" s="591" t="e">
        <f>'Port &amp; Other'!#REF!</f>
        <v>#REF!</v>
      </c>
    </row>
    <row r="198" spans="1:10" ht="15">
      <c r="A198" s="804" t="s">
        <v>698</v>
      </c>
      <c r="B198" s="805"/>
      <c r="C198" s="805"/>
      <c r="D198" s="805"/>
      <c r="E198" s="805"/>
      <c r="F198" s="805"/>
      <c r="G198" s="805"/>
    </row>
    <row r="199" spans="1:10" ht="15">
      <c r="A199" s="805"/>
      <c r="B199" s="805"/>
      <c r="C199" s="805"/>
      <c r="D199" s="805"/>
      <c r="E199" s="805"/>
      <c r="F199" s="805"/>
      <c r="G199" s="805"/>
    </row>
    <row r="200" spans="1:10" ht="15">
      <c r="A200" s="806" t="s">
        <v>719</v>
      </c>
      <c r="B200" s="807" t="s">
        <v>699</v>
      </c>
      <c r="C200" s="807" t="s">
        <v>700</v>
      </c>
      <c r="D200" s="807" t="s">
        <v>701</v>
      </c>
      <c r="E200" s="807" t="s">
        <v>702</v>
      </c>
      <c r="F200" s="807" t="s">
        <v>703</v>
      </c>
      <c r="G200" s="808" t="s">
        <v>704</v>
      </c>
      <c r="H200" s="582" t="s">
        <v>705</v>
      </c>
      <c r="I200" s="582" t="s">
        <v>706</v>
      </c>
      <c r="J200" s="582" t="s">
        <v>707</v>
      </c>
    </row>
    <row r="201" spans="1:10" ht="15">
      <c r="A201" s="809" t="s">
        <v>708</v>
      </c>
      <c r="B201" s="810"/>
      <c r="C201" s="810"/>
      <c r="D201" s="811"/>
      <c r="E201" s="810"/>
      <c r="F201" s="810"/>
      <c r="G201" s="810"/>
      <c r="H201" s="583"/>
      <c r="I201" s="583"/>
      <c r="J201" s="583"/>
    </row>
    <row r="202" spans="1:10" ht="15">
      <c r="A202" s="812" t="s">
        <v>666</v>
      </c>
      <c r="B202" s="813"/>
      <c r="C202" s="810">
        <f>SUM(B202,B206,B211)</f>
        <v>0</v>
      </c>
      <c r="D202" s="811">
        <f t="shared" ref="D202:J202" si="2">SUM(C202,C206,C211)</f>
        <v>0</v>
      </c>
      <c r="E202" s="810">
        <f t="shared" si="2"/>
        <v>0</v>
      </c>
      <c r="F202" s="810">
        <f t="shared" si="2"/>
        <v>0</v>
      </c>
      <c r="G202" s="810">
        <f>SUM(F202,F206,F211)</f>
        <v>0</v>
      </c>
      <c r="H202" s="583">
        <f t="shared" si="2"/>
        <v>0</v>
      </c>
      <c r="I202" s="583">
        <f t="shared" si="2"/>
        <v>0</v>
      </c>
      <c r="J202" s="583">
        <f t="shared" si="2"/>
        <v>0</v>
      </c>
    </row>
    <row r="203" spans="1:10" ht="15">
      <c r="A203" s="812" t="s">
        <v>428</v>
      </c>
      <c r="B203" s="813"/>
      <c r="C203" s="810">
        <f t="shared" ref="C203:J204" si="3">SUM(B203,B207,B212)</f>
        <v>0</v>
      </c>
      <c r="D203" s="811">
        <f t="shared" si="3"/>
        <v>0</v>
      </c>
      <c r="E203" s="810">
        <f t="shared" si="3"/>
        <v>0</v>
      </c>
      <c r="F203" s="810">
        <f t="shared" si="3"/>
        <v>0</v>
      </c>
      <c r="G203" s="810">
        <f>SUM(F203,F207,F212)</f>
        <v>0</v>
      </c>
      <c r="H203" s="583">
        <f t="shared" si="3"/>
        <v>0</v>
      </c>
      <c r="I203" s="583">
        <f t="shared" si="3"/>
        <v>0</v>
      </c>
      <c r="J203" s="583">
        <f t="shared" si="3"/>
        <v>0</v>
      </c>
    </row>
    <row r="204" spans="1:10" ht="15">
      <c r="A204" s="812" t="s">
        <v>429</v>
      </c>
      <c r="B204" s="813">
        <v>0</v>
      </c>
      <c r="C204" s="810">
        <f t="shared" si="3"/>
        <v>0</v>
      </c>
      <c r="D204" s="811">
        <f t="shared" si="3"/>
        <v>0</v>
      </c>
      <c r="E204" s="810">
        <f t="shared" si="3"/>
        <v>0</v>
      </c>
      <c r="F204" s="810">
        <f t="shared" si="3"/>
        <v>0</v>
      </c>
      <c r="G204" s="810">
        <f>SUM(F204,F208,F213)</f>
        <v>0</v>
      </c>
      <c r="H204" s="583">
        <f t="shared" si="3"/>
        <v>0</v>
      </c>
      <c r="I204" s="583">
        <f t="shared" si="3"/>
        <v>0</v>
      </c>
      <c r="J204" s="583">
        <f t="shared" si="3"/>
        <v>0</v>
      </c>
    </row>
    <row r="205" spans="1:10" ht="15">
      <c r="A205" s="809" t="s">
        <v>709</v>
      </c>
      <c r="B205" s="810"/>
      <c r="C205" s="810"/>
      <c r="D205" s="811"/>
      <c r="E205" s="810"/>
      <c r="F205" s="810"/>
      <c r="G205" s="810"/>
      <c r="H205" s="583"/>
      <c r="I205" s="583"/>
      <c r="J205" s="583"/>
    </row>
    <row r="206" spans="1:10" ht="15">
      <c r="A206" s="812" t="s">
        <v>666</v>
      </c>
      <c r="B206" s="813">
        <v>0</v>
      </c>
      <c r="C206" s="813">
        <v>0</v>
      </c>
      <c r="D206" s="813">
        <v>0</v>
      </c>
      <c r="E206" s="813">
        <v>0</v>
      </c>
      <c r="F206" s="813">
        <v>0</v>
      </c>
      <c r="G206" s="813">
        <v>0</v>
      </c>
      <c r="H206" s="584">
        <v>0</v>
      </c>
      <c r="I206" s="584">
        <v>0</v>
      </c>
      <c r="J206" s="584">
        <v>0</v>
      </c>
    </row>
    <row r="207" spans="1:10" ht="15">
      <c r="A207" s="812" t="s">
        <v>428</v>
      </c>
      <c r="B207" s="813">
        <v>0</v>
      </c>
      <c r="C207" s="813">
        <v>0</v>
      </c>
      <c r="D207" s="813">
        <v>0</v>
      </c>
      <c r="E207" s="813">
        <v>0</v>
      </c>
      <c r="F207" s="813">
        <v>0</v>
      </c>
      <c r="G207" s="813">
        <v>0</v>
      </c>
      <c r="H207" s="584">
        <v>0</v>
      </c>
      <c r="I207" s="584">
        <v>0</v>
      </c>
      <c r="J207" s="584">
        <v>0</v>
      </c>
    </row>
    <row r="208" spans="1:10" ht="15">
      <c r="A208" s="812" t="s">
        <v>429</v>
      </c>
      <c r="B208" s="813">
        <v>0</v>
      </c>
      <c r="C208" s="813">
        <v>0</v>
      </c>
      <c r="D208" s="813">
        <v>0</v>
      </c>
      <c r="E208" s="813">
        <v>0</v>
      </c>
      <c r="F208" s="813">
        <v>0</v>
      </c>
      <c r="G208" s="813">
        <v>0</v>
      </c>
      <c r="H208" s="584">
        <v>0</v>
      </c>
      <c r="I208" s="584">
        <v>0</v>
      </c>
      <c r="J208" s="584">
        <v>0</v>
      </c>
    </row>
    <row r="209" spans="1:10" ht="15">
      <c r="A209" s="815"/>
      <c r="B209" s="810"/>
      <c r="C209" s="810"/>
      <c r="D209" s="811"/>
      <c r="E209" s="810"/>
      <c r="F209" s="810"/>
      <c r="G209" s="810"/>
      <c r="H209" s="583"/>
      <c r="I209" s="583"/>
      <c r="J209" s="583"/>
    </row>
    <row r="210" spans="1:10" ht="15">
      <c r="A210" s="809" t="s">
        <v>710</v>
      </c>
      <c r="B210" s="810"/>
      <c r="C210" s="810"/>
      <c r="D210" s="811"/>
      <c r="E210" s="810"/>
      <c r="F210" s="810"/>
      <c r="G210" s="810"/>
      <c r="H210" s="583"/>
      <c r="I210" s="583"/>
      <c r="J210" s="583"/>
    </row>
    <row r="211" spans="1:10" ht="15">
      <c r="A211" s="812" t="s">
        <v>666</v>
      </c>
      <c r="B211" s="813">
        <v>0</v>
      </c>
      <c r="C211" s="816"/>
      <c r="D211" s="814">
        <v>0</v>
      </c>
      <c r="E211" s="814">
        <v>0</v>
      </c>
      <c r="F211" s="814">
        <v>0</v>
      </c>
      <c r="G211" s="814">
        <v>0</v>
      </c>
      <c r="H211" s="814">
        <v>0</v>
      </c>
      <c r="I211" s="814">
        <v>0</v>
      </c>
      <c r="J211" s="814">
        <v>0</v>
      </c>
    </row>
    <row r="212" spans="1:10" ht="15">
      <c r="A212" s="812" t="s">
        <v>428</v>
      </c>
      <c r="B212" s="813">
        <v>0</v>
      </c>
      <c r="C212" s="813">
        <v>0</v>
      </c>
      <c r="D212" s="814">
        <v>0</v>
      </c>
      <c r="E212" s="813">
        <v>0</v>
      </c>
      <c r="F212" s="813">
        <v>0</v>
      </c>
      <c r="G212" s="813">
        <v>0</v>
      </c>
      <c r="H212" s="813">
        <v>0</v>
      </c>
      <c r="I212" s="813">
        <v>0</v>
      </c>
      <c r="J212" s="813">
        <v>0</v>
      </c>
    </row>
    <row r="213" spans="1:10" ht="15">
      <c r="A213" s="812" t="s">
        <v>429</v>
      </c>
      <c r="B213" s="813">
        <v>0</v>
      </c>
      <c r="C213" s="813">
        <v>0</v>
      </c>
      <c r="D213" s="814">
        <v>0</v>
      </c>
      <c r="E213" s="813">
        <v>0</v>
      </c>
      <c r="F213" s="813">
        <v>0</v>
      </c>
      <c r="G213" s="813">
        <v>0</v>
      </c>
      <c r="H213" s="584"/>
      <c r="I213" s="584">
        <f>H213</f>
        <v>0</v>
      </c>
      <c r="J213" s="584">
        <f>I213</f>
        <v>0</v>
      </c>
    </row>
    <row r="214" spans="1:10" ht="15">
      <c r="A214" s="815"/>
      <c r="B214" s="810"/>
      <c r="C214" s="810"/>
      <c r="D214" s="811"/>
      <c r="E214" s="810"/>
      <c r="F214" s="810"/>
      <c r="G214" s="810"/>
      <c r="H214" s="583"/>
      <c r="I214" s="583"/>
      <c r="J214" s="583"/>
    </row>
    <row r="215" spans="1:10" ht="15">
      <c r="A215" s="817" t="s">
        <v>711</v>
      </c>
      <c r="B215" s="818">
        <f>SUM(B202:B214)</f>
        <v>0</v>
      </c>
      <c r="C215" s="818">
        <f>SUM(C202:C214)</f>
        <v>0</v>
      </c>
      <c r="D215" s="818">
        <f t="shared" ref="D215:J215" si="4">SUM(D202:D214)</f>
        <v>0</v>
      </c>
      <c r="E215" s="818">
        <f>SUM(E202:E214)</f>
        <v>0</v>
      </c>
      <c r="F215" s="818">
        <f>SUM(F202:F214)</f>
        <v>0</v>
      </c>
      <c r="G215" s="818">
        <f>SUM(G202:G214)</f>
        <v>0</v>
      </c>
      <c r="H215" s="585">
        <f t="shared" si="4"/>
        <v>0</v>
      </c>
      <c r="I215" s="585">
        <f t="shared" si="4"/>
        <v>0</v>
      </c>
      <c r="J215" s="585">
        <f t="shared" si="4"/>
        <v>0</v>
      </c>
    </row>
    <row r="216" spans="1:10" ht="15">
      <c r="A216" s="805"/>
      <c r="B216" s="805"/>
      <c r="C216" s="805"/>
      <c r="D216" s="805"/>
      <c r="E216" s="805"/>
      <c r="F216" s="805"/>
      <c r="G216" s="805"/>
    </row>
    <row r="217" spans="1:10" ht="15">
      <c r="A217" s="805"/>
      <c r="B217" s="805"/>
      <c r="C217" s="805"/>
      <c r="D217" s="805"/>
      <c r="E217" s="805"/>
      <c r="F217" s="805"/>
      <c r="G217" s="805"/>
    </row>
    <row r="218" spans="1:10" ht="15">
      <c r="A218" s="804" t="str">
        <f ca="1">CONCATENATE("Table 2. External Funding Needs for ", TEXT('Fin Output'!AJ7,"yyyy"))</f>
        <v>Table 2. External Funding Needs for 3800</v>
      </c>
      <c r="B218" s="805"/>
      <c r="C218" s="805"/>
      <c r="D218" s="805"/>
      <c r="E218" s="805"/>
      <c r="F218" s="805"/>
      <c r="G218" s="805"/>
    </row>
    <row r="219" spans="1:10" ht="15">
      <c r="A219" s="804"/>
      <c r="B219" s="805"/>
      <c r="C219" s="805"/>
      <c r="D219" s="805"/>
      <c r="E219" s="805"/>
      <c r="F219" s="805"/>
      <c r="G219" s="805"/>
    </row>
    <row r="220" spans="1:10" ht="15">
      <c r="A220" s="819" t="str">
        <f>CONCATENATE("Data in ",Assump!$A$7 )</f>
        <v xml:space="preserve">Data in </v>
      </c>
      <c r="B220" s="819"/>
      <c r="C220" s="820" t="s">
        <v>4</v>
      </c>
      <c r="D220" s="820" t="s">
        <v>689</v>
      </c>
      <c r="E220" s="805"/>
      <c r="F220" s="805"/>
      <c r="G220" s="805"/>
    </row>
    <row r="221" spans="1:10" ht="15">
      <c r="A221" s="567" t="str">
        <f ca="1">CONCATENATE("Funds needed to reach ",TEXT('Fin Output'!AJ7,"yyyy")," projections")</f>
        <v>Funds needed to reach 3800 projections</v>
      </c>
      <c r="B221" s="568"/>
      <c r="C221" s="565">
        <f ca="1">'Fin Output'!AJ120</f>
        <v>0</v>
      </c>
      <c r="D221" s="565" t="e">
        <f ca="1">'Fin Output'!AJ128</f>
        <v>#DIV/0!</v>
      </c>
      <c r="E221" s="805"/>
      <c r="F221" s="805"/>
      <c r="G221" s="805"/>
    </row>
    <row r="222" spans="1:10" ht="15" outlineLevel="1">
      <c r="A222" s="567" t="s">
        <v>697</v>
      </c>
      <c r="B222" s="568"/>
      <c r="C222" s="569"/>
      <c r="D222" s="569"/>
      <c r="E222" s="805"/>
      <c r="F222" s="805"/>
      <c r="G222" s="805"/>
    </row>
    <row r="223" spans="1:10" ht="15">
      <c r="A223" s="567" t="s">
        <v>690</v>
      </c>
      <c r="B223" s="568"/>
      <c r="C223" s="565" t="e">
        <f ca="1">IF(Assump!A7='Gen Info'!B50,'Gen Info'!B32*'Hist &amp; Proj'!AE8,'Gen Info'!B32)</f>
        <v>#N/A</v>
      </c>
      <c r="D223" s="565">
        <v>0</v>
      </c>
      <c r="E223" s="805"/>
      <c r="F223" s="805"/>
      <c r="G223" s="805"/>
    </row>
    <row r="224" spans="1:10" ht="15">
      <c r="A224" s="570" t="s">
        <v>691</v>
      </c>
      <c r="B224" s="571"/>
      <c r="C224" s="572" t="e">
        <f ca="1">C221-SUM(C222:C223)</f>
        <v>#N/A</v>
      </c>
      <c r="D224" s="572" t="e">
        <f ca="1">D221-SUM(D222:D223)</f>
        <v>#DIV/0!</v>
      </c>
      <c r="E224" s="805"/>
      <c r="F224" s="805"/>
      <c r="G224" s="805"/>
    </row>
    <row r="225" spans="1:12" ht="15">
      <c r="A225" s="805"/>
      <c r="B225" s="805"/>
      <c r="C225" s="805"/>
      <c r="D225" s="805"/>
      <c r="E225" s="805"/>
      <c r="F225" s="805"/>
      <c r="G225" s="805"/>
    </row>
    <row r="226" spans="1:12" ht="15">
      <c r="A226" s="805"/>
      <c r="B226" s="805"/>
      <c r="C226" s="805"/>
      <c r="D226" s="805"/>
      <c r="E226" s="805"/>
      <c r="F226" s="805"/>
      <c r="G226" s="805"/>
    </row>
    <row r="227" spans="1:12" ht="15">
      <c r="A227" s="805"/>
      <c r="B227" s="805"/>
      <c r="C227" s="805"/>
      <c r="D227" s="805"/>
      <c r="E227" s="805"/>
      <c r="F227" s="805"/>
      <c r="G227" s="805"/>
    </row>
    <row r="228" spans="1:12" ht="15">
      <c r="A228" s="804" t="s">
        <v>897</v>
      </c>
      <c r="B228" s="805"/>
      <c r="C228" s="805"/>
      <c r="D228" s="805"/>
      <c r="E228" s="805"/>
      <c r="F228" s="805"/>
      <c r="G228" s="805"/>
    </row>
    <row r="229" spans="1:12" ht="15">
      <c r="A229" s="804"/>
      <c r="B229" s="805"/>
      <c r="C229" s="821">
        <v>1</v>
      </c>
      <c r="D229" s="821">
        <f>C229+1</f>
        <v>2</v>
      </c>
      <c r="E229" s="821">
        <f>D229+1</f>
        <v>3</v>
      </c>
      <c r="F229" s="821">
        <f>E229+1</f>
        <v>4</v>
      </c>
      <c r="G229" s="821">
        <f>F229+1</f>
        <v>5</v>
      </c>
    </row>
    <row r="230" spans="1:12" ht="17.25">
      <c r="A230" s="819"/>
      <c r="B230" s="819"/>
      <c r="C230" s="827" t="str">
        <f>Definitions!$A$99</f>
        <v>Last Fiscal Year</v>
      </c>
      <c r="D230" s="827"/>
      <c r="E230" s="827" t="str">
        <f ca="1">Definitions!$A$100</f>
        <v>'96 - '99 CAGR/Avg.</v>
      </c>
      <c r="F230" s="827"/>
      <c r="G230" s="827" t="str">
        <f>Definitions!$A$101</f>
        <v>Management</v>
      </c>
      <c r="H230" s="827"/>
      <c r="I230" s="827" t="str">
        <f>Definitions!$A$102</f>
        <v>DWM Base</v>
      </c>
      <c r="J230" s="827"/>
      <c r="K230" s="827" t="str">
        <f>Definitions!$A$103</f>
        <v>DWM Stress</v>
      </c>
      <c r="L230" s="827"/>
    </row>
    <row r="231" spans="1:12" ht="15">
      <c r="A231" s="819" t="str">
        <f>CONCATENATE("Data in ",Assump!$A$7 )</f>
        <v xml:space="preserve">Data in </v>
      </c>
      <c r="B231" s="819"/>
      <c r="C231" s="760">
        <f ca="1">'Fin Output'!$AJ$7</f>
        <v>694327</v>
      </c>
      <c r="D231" s="760">
        <f ca="1">'Fin Output'!$AK$7</f>
        <v>694692</v>
      </c>
      <c r="E231" s="760">
        <f ca="1">'Fin Output'!$AJ$7</f>
        <v>694327</v>
      </c>
      <c r="F231" s="760">
        <f ca="1">'Fin Output'!$AK$7</f>
        <v>694692</v>
      </c>
      <c r="G231" s="760">
        <f ca="1">'Fin Output'!$AJ$7</f>
        <v>694327</v>
      </c>
      <c r="H231" s="760">
        <f ca="1">'Fin Output'!$AK$7</f>
        <v>694692</v>
      </c>
      <c r="I231" s="760">
        <f ca="1">'Fin Output'!$AJ$7</f>
        <v>694327</v>
      </c>
      <c r="J231" s="760">
        <f ca="1">'Fin Output'!$AK$7</f>
        <v>694692</v>
      </c>
      <c r="K231" s="760">
        <f ca="1">'Fin Output'!$AJ$7</f>
        <v>694327</v>
      </c>
      <c r="L231" s="760">
        <f ca="1">'Fin Output'!$AK$7</f>
        <v>694692</v>
      </c>
    </row>
    <row r="232" spans="1:12" ht="15">
      <c r="A232" s="592" t="str">
        <f>'Fin Output'!$A$15</f>
        <v>Gross Loan Portfolio</v>
      </c>
      <c r="B232" s="592"/>
      <c r="C232" s="828">
        <f ca="1">IF(Assump!$AM$8=C$229,'Fin Output'!$AJ$15,C232)</f>
        <v>76726861.839724854</v>
      </c>
      <c r="D232" s="825">
        <f ca="1">IF(Assump!$AM$8=C$229,'Fin Output'!$AK$15,D232)</f>
        <v>96672586.277836338</v>
      </c>
      <c r="E232" s="828">
        <f ca="1">IF(Assump!$AM$8=D$229,'Fin Output'!$AJ$15,E232)</f>
        <v>101859886.76997909</v>
      </c>
      <c r="F232" s="825">
        <f ca="1">IF(Assump!$AM$8=D$229,'Fin Output'!$AK$15,F232)</f>
        <v>170378521.04256225</v>
      </c>
      <c r="G232" s="828" t="e">
        <f ca="1">IF(Assump!$AM$8=E$229,'Fin Output'!$AJ$15,G232)</f>
        <v>#DIV/0!</v>
      </c>
      <c r="H232" s="825" t="e">
        <f ca="1">IF(Assump!$AM$8=E$229,'Fin Output'!$AK$15,H232)</f>
        <v>#DIV/0!</v>
      </c>
      <c r="I232" s="828" t="e">
        <f ca="1">IF(Assump!$AM$8=F$229,'Fin Output'!$AJ$15,I232)</f>
        <v>#DIV/0!</v>
      </c>
      <c r="J232" s="825" t="e">
        <f ca="1">IF(Assump!$AM$8=F$229,'Fin Output'!$AK$15,J232)</f>
        <v>#DIV/0!</v>
      </c>
      <c r="K232" s="828">
        <f ca="1">IF(Assump!$AM$8=G$229,'Fin Output'!$AJ$15,K232)</f>
        <v>4055551.9680996332</v>
      </c>
      <c r="L232" s="832">
        <f ca="1">IF(Assump!$AM$8=G$229,'Fin Output'!$AK$15,L232)</f>
        <v>4539668.5357074905</v>
      </c>
    </row>
    <row r="233" spans="1:12" ht="15">
      <c r="A233" s="586" t="str">
        <f>'Fin Output'!$A$154</f>
        <v>Gross Loan Portfolio Growth (Y-o-Y)</v>
      </c>
      <c r="B233" s="586"/>
      <c r="C233" s="829">
        <f ca="1">IF(Assump!$AM$8=C$229,'Fin Output'!$AJ$154,C233)</f>
        <v>0.25995751630994901</v>
      </c>
      <c r="D233" s="822">
        <f ca="1">IF(Assump!$AM$8=C$229,'Fin Output'!$AK$154,D233)</f>
        <v>0.25995751630994901</v>
      </c>
      <c r="E233" s="829">
        <f ca="1">IF(Assump!$AM$8=D$229,'Fin Output'!$AJ$154,E233)</f>
        <v>0.6726753430161625</v>
      </c>
      <c r="F233" s="822">
        <f ca="1">IF(Assump!$AM$8=D$229,'Fin Output'!$AK$154,F233)</f>
        <v>0.6726753430161625</v>
      </c>
      <c r="G233" s="829" t="e">
        <f ca="1">IF(Assump!$AM$8=E$229,'Fin Output'!$AJ$154,G233)</f>
        <v>#DIV/0!</v>
      </c>
      <c r="H233" s="822" t="e">
        <f ca="1">IF(Assump!$AM$8=E$229,'Fin Output'!$AK$154,H233)</f>
        <v>#DIV/0!</v>
      </c>
      <c r="I233" s="829" t="e">
        <f ca="1">IF(Assump!$AM$8=F$229,'Fin Output'!$AJ$154,I233)</f>
        <v>#DIV/0!</v>
      </c>
      <c r="J233" s="822" t="e">
        <f ca="1">IF(Assump!$AM$8=F$229,'Fin Output'!$AK$154,J233)</f>
        <v>#DIV/0!</v>
      </c>
      <c r="K233" s="829">
        <f ca="1">IF(Assump!$AM$8=G$229,'Fin Output'!$AJ$154,K233)</f>
        <v>4.7416966789440407E-2</v>
      </c>
      <c r="L233" s="833">
        <f ca="1">IF(Assump!$AM$8=G$229,'Fin Output'!$AK$154,L233)</f>
        <v>0.1193713140445114</v>
      </c>
    </row>
    <row r="234" spans="1:12" ht="15">
      <c r="A234" s="586" t="str">
        <f>'Fin Output'!$A$185</f>
        <v>PAR (&gt;30 days)</v>
      </c>
      <c r="B234" s="586"/>
      <c r="C234" s="829">
        <f ca="1">IF(Assump!$AM$8=C$229,'Fin Output'!$AJ$185,C234)</f>
        <v>4.524716470437691E-2</v>
      </c>
      <c r="D234" s="822">
        <f ca="1">IF(Assump!$AM$8=C$229,'Fin Output'!$AK$185,D234)</f>
        <v>4.524716470437691E-2</v>
      </c>
      <c r="E234" s="829">
        <f ca="1">IF(Assump!$AM$8=D$229,'Fin Output'!$AJ$185,E234)</f>
        <v>3.7409247180457184E-2</v>
      </c>
      <c r="F234" s="822">
        <f ca="1">IF(Assump!$AM$8=D$229,'Fin Output'!$AK$185,F234)</f>
        <v>3.7409247180457184E-2</v>
      </c>
      <c r="G234" s="829" t="e">
        <f ca="1">IF(Assump!$AM$8=E$229,'Fin Output'!$AJ$185,G234)</f>
        <v>#DIV/0!</v>
      </c>
      <c r="H234" s="822" t="e">
        <f ca="1">IF(Assump!$AM$8=E$229,'Fin Output'!$AK$185,H234)</f>
        <v>#DIV/0!</v>
      </c>
      <c r="I234" s="829" t="e">
        <f ca="1">IF(Assump!$AM$8=F$229,'Fin Output'!$AJ$185,I234)</f>
        <v>#DIV/0!</v>
      </c>
      <c r="J234" s="822" t="e">
        <f ca="1">IF(Assump!$AM$8=F$229,'Fin Output'!$AK$185,J234)</f>
        <v>#DIV/0!</v>
      </c>
      <c r="K234" s="829">
        <f ca="1">IF(Assump!$AM$8=G$229,'Fin Output'!$AJ$185,K234)</f>
        <v>0.02</v>
      </c>
      <c r="L234" s="833">
        <f ca="1">IF(Assump!$AM$8=G$229,'Fin Output'!$AK$185,L234)</f>
        <v>2.5000000000000001E-2</v>
      </c>
    </row>
    <row r="235" spans="1:12" ht="15">
      <c r="A235" s="586" t="str">
        <f>'Fin Output'!$A$94</f>
        <v>Portfolio Yield (as % of GLP)</v>
      </c>
      <c r="B235" s="586"/>
      <c r="C235" s="829">
        <f ca="1">IF(Assump!$AM$8=C$229,'Fin Output'!$AJ$94,C235)</f>
        <v>0.44747562430656151</v>
      </c>
      <c r="D235" s="822">
        <f ca="1">IF(Assump!$AM$8=C$229,'Fin Output'!$AK$94,D235)</f>
        <v>0.44747562430656151</v>
      </c>
      <c r="E235" s="829">
        <f ca="1">IF(Assump!$AM$8=D$229,'Fin Output'!$AJ$94,E235)</f>
        <v>0.46593276142113732</v>
      </c>
      <c r="F235" s="822">
        <f ca="1">IF(Assump!$AM$8=D$229,'Fin Output'!$AK$94,F235)</f>
        <v>0.46593276142113726</v>
      </c>
      <c r="G235" s="829" t="e">
        <f ca="1">IF(Assump!$AM$8=E$229,'Fin Output'!$AJ$94,G235)</f>
        <v>#DIV/0!</v>
      </c>
      <c r="H235" s="822" t="e">
        <f ca="1">IF(Assump!$AM$8=E$229,'Fin Output'!$AK$94,H235)</f>
        <v>#DIV/0!</v>
      </c>
      <c r="I235" s="829" t="e">
        <f ca="1">IF(Assump!$AM$8=F$229,'Fin Output'!$AJ$94,I235)</f>
        <v>#DIV/0!</v>
      </c>
      <c r="J235" s="822" t="e">
        <f ca="1">IF(Assump!$AM$8=F$229,'Fin Output'!$AK$94,J235)</f>
        <v>#DIV/0!</v>
      </c>
      <c r="K235" s="829">
        <f ca="1">IF(Assump!$AM$8=G$229,'Fin Output'!$AJ$94,K235)</f>
        <v>0.375</v>
      </c>
      <c r="L235" s="833">
        <f ca="1">IF(Assump!$AM$8=G$229,'Fin Output'!$AK$94,L235)</f>
        <v>0.375</v>
      </c>
    </row>
    <row r="236" spans="1:12" ht="15">
      <c r="A236" s="586" t="str">
        <f>'Fin Output'!$A$98</f>
        <v>Avg. Cost of Borrowing</v>
      </c>
      <c r="B236" s="586"/>
      <c r="C236" s="829">
        <f ca="1">IF(Assump!$AM$8=C$229,'Fin Output'!$AJ$98,C236)</f>
        <v>0.10319385210789499</v>
      </c>
      <c r="D236" s="822">
        <f ca="1">IF(Assump!$AM$8=C$229,'Fin Output'!$AK$98,D236)</f>
        <v>0.10319385210789499</v>
      </c>
      <c r="E236" s="829">
        <f ca="1">IF(Assump!$AM$8=D$229,'Fin Output'!$AJ$98,E236)</f>
        <v>9.8323603668029974E-2</v>
      </c>
      <c r="F236" s="822">
        <f ca="1">IF(Assump!$AM$8=D$229,'Fin Output'!$AK$98,F236)</f>
        <v>9.8323603668029974E-2</v>
      </c>
      <c r="G236" s="829" t="e">
        <f ca="1">IF(Assump!$AM$8=E$229,'Fin Output'!$AJ$98,G236)</f>
        <v>#DIV/0!</v>
      </c>
      <c r="H236" s="822" t="e">
        <f ca="1">IF(Assump!$AM$8=E$229,'Fin Output'!$AK$98,H236)</f>
        <v>#DIV/0!</v>
      </c>
      <c r="I236" s="829" t="e">
        <f ca="1">IF(Assump!$AM$8=F$229,'Fin Output'!$AJ$98,I236)</f>
        <v>#DIV/0!</v>
      </c>
      <c r="J236" s="822" t="e">
        <f ca="1">IF(Assump!$AM$8=F$229,'Fin Output'!$AK$98,J236)</f>
        <v>#DIV/0!</v>
      </c>
      <c r="K236" s="829">
        <f ca="1">IF(Assump!$AM$8=G$229,'Fin Output'!$AJ$98,K236)</f>
        <v>9.0596869771695246E-2</v>
      </c>
      <c r="L236" s="833">
        <f ca="1">IF(Assump!$AM$8=G$229,'Fin Output'!$AK$98,L236)</f>
        <v>9.4031219083960629E-2</v>
      </c>
    </row>
    <row r="237" spans="1:12" ht="15">
      <c r="A237" s="824" t="str">
        <f>'Fin Output'!$A$93</f>
        <v>Op. Self-Sufficiency</v>
      </c>
      <c r="B237" s="586"/>
      <c r="C237" s="829">
        <f ca="1">IF(Assump!$AM$8=C$229,'Fin Output'!$AJ$93,C237)</f>
        <v>1.2056766995115069</v>
      </c>
      <c r="D237" s="822">
        <f ca="1">IF(Assump!$AM$8=C$229,'Fin Output'!$AK$93,D237)</f>
        <v>1.2135940281098783</v>
      </c>
      <c r="E237" s="829">
        <f ca="1">IF(Assump!$AM$8=D$229,'Fin Output'!$AJ$93,E237)</f>
        <v>1.0977645944196956</v>
      </c>
      <c r="F237" s="822">
        <f ca="1">IF(Assump!$AM$8=D$229,'Fin Output'!$AK$93,F237)</f>
        <v>1.0805197209055071</v>
      </c>
      <c r="G237" s="829" t="e">
        <f ca="1">IF(Assump!$AM$8=E$229,'Fin Output'!$AJ$93,G237)</f>
        <v>#DIV/0!</v>
      </c>
      <c r="H237" s="822" t="e">
        <f ca="1">IF(Assump!$AM$8=E$229,'Fin Output'!$AK$93,H237)</f>
        <v>#DIV/0!</v>
      </c>
      <c r="I237" s="829" t="e">
        <f ca="1">IF(Assump!$AM$8=F$229,'Fin Output'!$AJ$93,I237)</f>
        <v>#DIV/0!</v>
      </c>
      <c r="J237" s="822" t="e">
        <f ca="1">IF(Assump!$AM$8=F$229,'Fin Output'!$AK$93,J237)</f>
        <v>#DIV/0!</v>
      </c>
      <c r="K237" s="829">
        <f ca="1">IF(Assump!$AM$8=G$229,'Fin Output'!$AJ$93,K237)</f>
        <v>0.9308206310005992</v>
      </c>
      <c r="L237" s="833">
        <f ca="1">IF(Assump!$AM$8=G$229,'Fin Output'!$AK$93,L237)</f>
        <v>0.95568191268720359</v>
      </c>
    </row>
    <row r="238" spans="1:12" ht="15">
      <c r="A238" s="586" t="str">
        <f>'Fin Output'!$A$97</f>
        <v>OpEx Ratio (as % of GLP)</v>
      </c>
      <c r="B238" s="586"/>
      <c r="C238" s="829">
        <f ca="1">IF(Assump!$AM$8=C$229,'Fin Output'!$AJ$97,C238)</f>
        <v>0.19455471876794708</v>
      </c>
      <c r="D238" s="822">
        <f ca="1">IF(Assump!$AM$8=C$229,'Fin Output'!$AK$97,D238)</f>
        <v>0.19455471876794705</v>
      </c>
      <c r="E238" s="829">
        <f ca="1">IF(Assump!$AM$8=D$229,'Fin Output'!$AJ$97,E238)</f>
        <v>0.25039516759122576</v>
      </c>
      <c r="F238" s="822">
        <f ca="1">IF(Assump!$AM$8=D$229,'Fin Output'!$AK$97,F238)</f>
        <v>0.25039516759122576</v>
      </c>
      <c r="G238" s="829" t="e">
        <f ca="1">IF(Assump!$AM$8=E$229,'Fin Output'!$AJ$97,G238)</f>
        <v>#DIV/0!</v>
      </c>
      <c r="H238" s="822" t="e">
        <f ca="1">IF(Assump!$AM$8=E$229,'Fin Output'!$AK$97,H238)</f>
        <v>#DIV/0!</v>
      </c>
      <c r="I238" s="829" t="e">
        <f ca="1">IF(Assump!$AM$8=F$229,'Fin Output'!$AJ$97,I238)</f>
        <v>#DIV/0!</v>
      </c>
      <c r="J238" s="822" t="e">
        <f ca="1">IF(Assump!$AM$8=F$229,'Fin Output'!$AK$97,J238)</f>
        <v>#DIV/0!</v>
      </c>
      <c r="K238" s="829">
        <f ca="1">IF(Assump!$AM$8=G$229,'Fin Output'!$AJ$97,K238)</f>
        <v>0.30499999999999999</v>
      </c>
      <c r="L238" s="833">
        <f ca="1">IF(Assump!$AM$8=G$229,'Fin Output'!$AK$97,L238)</f>
        <v>0.30499999999999999</v>
      </c>
    </row>
    <row r="239" spans="1:12" ht="15">
      <c r="A239" s="586" t="str">
        <f>'Fin Output'!$A$66</f>
        <v>Net Income (After Taxes Before Donations)</v>
      </c>
      <c r="B239" s="586"/>
      <c r="C239" s="830">
        <f ca="1">IF(Assump!$AM$8=C$229,'Fin Output'!$AJ$66,C239)</f>
        <v>3089586.338294032</v>
      </c>
      <c r="D239" s="823">
        <f ca="1">IF(Assump!$AM$8=C$229,'Fin Output'!$AK$66,D239)</f>
        <v>4080679.3053703164</v>
      </c>
      <c r="E239" s="830">
        <f ca="1">IF(Assump!$AM$8=D$229,'Fin Output'!$AJ$66,E239)</f>
        <v>1451344.2363570426</v>
      </c>
      <c r="F239" s="823">
        <f ca="1">IF(Assump!$AM$8=D$229,'Fin Output'!$AK$66,F239)</f>
        <v>2095482.9404566446</v>
      </c>
      <c r="G239" s="830" t="e">
        <f ca="1">IF(Assump!$AM$8=E$229,'Fin Output'!$AJ$66,G239)</f>
        <v>#DIV/0!</v>
      </c>
      <c r="H239" s="823" t="e">
        <f ca="1">IF(Assump!$AM$8=E$229,'Fin Output'!$AK$66,H239)</f>
        <v>#DIV/0!</v>
      </c>
      <c r="I239" s="830" t="e">
        <f ca="1">IF(Assump!$AM$8=F$229,'Fin Output'!$AJ$66,I239)</f>
        <v>#DIV/0!</v>
      </c>
      <c r="J239" s="823" t="e">
        <f ca="1">IF(Assump!$AM$8=F$229,'Fin Output'!$AK$66,J239)</f>
        <v>#DIV/0!</v>
      </c>
      <c r="K239" s="830">
        <f ca="1">IF(Assump!$AM$8=G$229,'Fin Output'!$AJ$66,K239)</f>
        <v>-84009.96359697172</v>
      </c>
      <c r="L239" s="834">
        <f ca="1">IF(Assump!$AM$8=G$229,'Fin Output'!$AK$66,L239)</f>
        <v>-56798.848233651079</v>
      </c>
    </row>
    <row r="240" spans="1:12" ht="15">
      <c r="A240" s="586" t="str">
        <f>'Fin Output'!$A$91</f>
        <v>ROA</v>
      </c>
      <c r="B240" s="586"/>
      <c r="C240" s="829">
        <f ca="1">IF(Assump!$AM$8=C$229,'Fin Output'!$AJ$91,C240)</f>
        <v>3.2020473676987751E-2</v>
      </c>
      <c r="D240" s="822">
        <f ca="1">IF(Assump!$AM$8=C$229,'Fin Output'!$AK$91,D240)</f>
        <v>3.4638288429992406E-2</v>
      </c>
      <c r="E240" s="829">
        <f ca="1">IF(Assump!$AM$8=D$229,'Fin Output'!$AJ$91,E240)</f>
        <v>1.2505684992866561E-2</v>
      </c>
      <c r="F240" s="822">
        <f ca="1">IF(Assump!$AM$8=D$229,'Fin Output'!$AK$91,F240)</f>
        <v>1.0872251517001606E-2</v>
      </c>
      <c r="G240" s="829" t="e">
        <f ca="1">IF(Assump!$AM$8=E$229,'Fin Output'!$AJ$91,G240)</f>
        <v>#DIV/0!</v>
      </c>
      <c r="H240" s="822" t="e">
        <f ca="1">IF(Assump!$AM$8=E$229,'Fin Output'!$AK$91,H240)</f>
        <v>#DIV/0!</v>
      </c>
      <c r="I240" s="829" t="e">
        <f ca="1">IF(Assump!$AM$8=F$229,'Fin Output'!$AJ$91,I240)</f>
        <v>#DIV/0!</v>
      </c>
      <c r="J240" s="822" t="e">
        <f ca="1">IF(Assump!$AM$8=F$229,'Fin Output'!$AK$91,J240)</f>
        <v>#DIV/0!</v>
      </c>
      <c r="K240" s="829">
        <f ca="1">IF(Assump!$AM$8=G$229,'Fin Output'!$AJ$91,K240)</f>
        <v>-1.7666158761176103E-2</v>
      </c>
      <c r="L240" s="833">
        <f ca="1">IF(Assump!$AM$8=G$229,'Fin Output'!$AK$91,L240)</f>
        <v>-1.168933560046756E-2</v>
      </c>
    </row>
    <row r="241" spans="1:12" ht="15">
      <c r="A241" s="586" t="str">
        <f>'Fin Output'!$A$92</f>
        <v xml:space="preserve">ROE </v>
      </c>
      <c r="B241" s="586"/>
      <c r="C241" s="829">
        <f ca="1">IF(Assump!$AM$8=C$229,'Fin Output'!$AJ$92,C241)</f>
        <v>0.15961241705960796</v>
      </c>
      <c r="D241" s="822">
        <f ca="1">IF(Assump!$AM$8=C$229,'Fin Output'!$AK$92,D241)</f>
        <v>0.17786986618811124</v>
      </c>
      <c r="E241" s="829">
        <f ca="1">IF(Assump!$AM$8=D$229,'Fin Output'!$AJ$92,E241)</f>
        <v>7.8291564717914597E-2</v>
      </c>
      <c r="F241" s="822">
        <f ca="1">IF(Assump!$AM$8=D$229,'Fin Output'!$AK$92,F241)</f>
        <v>0.10316936332721932</v>
      </c>
      <c r="G241" s="829" t="e">
        <f ca="1">IF(Assump!$AM$8=E$229,'Fin Output'!$AJ$92,G241)</f>
        <v>#DIV/0!</v>
      </c>
      <c r="H241" s="822" t="e">
        <f ca="1">IF(Assump!$AM$8=E$229,'Fin Output'!$AK$92,H241)</f>
        <v>#DIV/0!</v>
      </c>
      <c r="I241" s="829" t="e">
        <f ca="1">IF(Assump!$AM$8=F$229,'Fin Output'!$AJ$92,I241)</f>
        <v>#DIV/0!</v>
      </c>
      <c r="J241" s="822" t="e">
        <f ca="1">IF(Assump!$AM$8=F$229,'Fin Output'!$AK$92,J241)</f>
        <v>#DIV/0!</v>
      </c>
      <c r="K241" s="829">
        <f ca="1">IF(Assump!$AM$8=G$229,'Fin Output'!$AJ$92,K241)</f>
        <v>-5.9618147027296474E-2</v>
      </c>
      <c r="L241" s="833">
        <f ca="1">IF(Assump!$AM$8=G$229,'Fin Output'!$AK$92,L241)</f>
        <v>-3.5704973136136034E-2</v>
      </c>
    </row>
    <row r="242" spans="1:12" ht="15">
      <c r="A242" s="589" t="str">
        <f>'Fin Output'!$A$140</f>
        <v>Solvency ratio (E/TA)</v>
      </c>
      <c r="B242" s="589"/>
      <c r="C242" s="831">
        <f ca="1">IF(Assump!$AM$8=C$229,'Fin Output'!$AJ$140,C242)</f>
        <v>0.19733033494973506</v>
      </c>
      <c r="D242" s="826">
        <f ca="1">IF(Assump!$AM$8=C$229,'Fin Output'!$AK$140,D242)</f>
        <v>0.19262355901565148</v>
      </c>
      <c r="E242" s="831">
        <f ca="1">IF(Assump!$AM$8=D$229,'Fin Output'!$AJ$140,E242)</f>
        <v>0.13279971206356356</v>
      </c>
      <c r="F242" s="826">
        <f ca="1">IF(Assump!$AM$8=D$229,'Fin Output'!$AK$140,F242)</f>
        <v>8.8840469144246967E-2</v>
      </c>
      <c r="G242" s="831" t="e">
        <f ca="1">IF(Assump!$AM$8=E$229,'Fin Output'!$AJ$140,G242)</f>
        <v>#DIV/0!</v>
      </c>
      <c r="H242" s="826" t="e">
        <f ca="1">IF(Assump!$AM$8=E$229,'Fin Output'!$AK$140,H242)</f>
        <v>#DIV/0!</v>
      </c>
      <c r="I242" s="831" t="e">
        <f ca="1">IF(Assump!$AM$8=F$229,'Fin Output'!$AJ$140,I242)</f>
        <v>#DIV/0!</v>
      </c>
      <c r="J242" s="826" t="e">
        <f ca="1">IF(Assump!$AM$8=F$229,'Fin Output'!$AK$140,J242)</f>
        <v>#DIV/0!</v>
      </c>
      <c r="K242" s="831">
        <f ca="1">IF(Assump!$AM$8=G$229,'Fin Output'!$AJ$140,K242)</f>
        <v>0.35330340689127998</v>
      </c>
      <c r="L242" s="835">
        <f ca="1">IF(Assump!$AM$8=G$229,'Fin Output'!$AK$140,L242)</f>
        <v>0.30425658274162004</v>
      </c>
    </row>
    <row r="243" spans="1:12" ht="15">
      <c r="A243" s="805"/>
      <c r="B243" s="805"/>
      <c r="C243" s="805"/>
      <c r="D243" s="805"/>
      <c r="E243" s="805"/>
      <c r="F243" s="805"/>
      <c r="G243" s="805"/>
    </row>
  </sheetData>
  <phoneticPr fontId="46" type="noConversion"/>
  <pageMargins left="0.75" right="0.75" top="1" bottom="1" header="0.5" footer="0.5"/>
  <pageSetup orientation="portrait" horizontalDpi="4294967293"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sheetPr codeName="Sheet6" enableFormatConditionsCalculation="0">
    <tabColor theme="0" tint="-0.34998626667073579"/>
  </sheetPr>
  <dimension ref="A1:IV130"/>
  <sheetViews>
    <sheetView showGridLines="0" zoomScale="55" zoomScaleNormal="55" workbookViewId="0"/>
  </sheetViews>
  <sheetFormatPr defaultColWidth="23.5703125" defaultRowHeight="15" outlineLevelRow="1" outlineLevelCol="1"/>
  <cols>
    <col min="1" max="1" width="38" style="8" customWidth="1"/>
    <col min="2" max="2" width="13.7109375" style="8" hidden="1" customWidth="1"/>
    <col min="3" max="3" width="58.140625" style="8" customWidth="1"/>
    <col min="4" max="4" width="6.42578125" style="8" bestFit="1" customWidth="1"/>
    <col min="5" max="5" width="19.5703125" style="8" bestFit="1" customWidth="1"/>
    <col min="6" max="6" width="23.7109375" style="8" customWidth="1"/>
    <col min="7" max="7" width="11.7109375" style="8" customWidth="1"/>
    <col min="8" max="8" width="67.28515625" style="111" customWidth="1"/>
    <col min="9" max="9" width="5.85546875" style="8" bestFit="1" customWidth="1"/>
    <col min="10" max="10" width="15.28515625" style="8" customWidth="1"/>
    <col min="11" max="11" width="21.5703125" style="112" customWidth="1"/>
    <col min="12" max="12" width="11" style="8" customWidth="1"/>
    <col min="13" max="18" width="23.5703125" style="8"/>
    <col min="19" max="19" width="20" style="8" customWidth="1"/>
    <col min="20" max="20" width="18.85546875" style="8" customWidth="1" outlineLevel="1"/>
    <col min="21" max="21" width="23.5703125" style="8" customWidth="1" outlineLevel="1"/>
    <col min="22" max="22" width="29.5703125" style="8" customWidth="1" outlineLevel="1"/>
    <col min="23" max="45" width="23.5703125" style="8" customWidth="1" outlineLevel="1"/>
    <col min="46" max="46" width="23.5703125" style="8" customWidth="1"/>
    <col min="47" max="52" width="23.5703125" style="8"/>
    <col min="53" max="60" width="23.5703125" style="93"/>
    <col min="61" max="16384" width="23.5703125" style="8"/>
  </cols>
  <sheetData>
    <row r="1" spans="1:256" ht="22.5" customHeight="1">
      <c r="A1" s="125">
        <f>'Hist &amp; Proj'!A1</f>
        <v>0</v>
      </c>
      <c r="B1" s="6"/>
      <c r="C1" s="6"/>
      <c r="D1" s="6"/>
      <c r="E1" s="6"/>
      <c r="F1" s="6"/>
      <c r="G1" s="6"/>
      <c r="H1" s="6"/>
      <c r="I1" s="6"/>
      <c r="J1" s="6"/>
      <c r="K1" s="7"/>
      <c r="L1" s="6"/>
      <c r="M1" s="6"/>
      <c r="BA1" s="8"/>
      <c r="BB1" s="8"/>
      <c r="BC1" s="8"/>
      <c r="BD1" s="8"/>
      <c r="BE1" s="8"/>
      <c r="BF1" s="8"/>
      <c r="BG1" s="8"/>
      <c r="BH1" s="8"/>
    </row>
    <row r="2" spans="1:256" s="169" customFormat="1" ht="4.5" customHeight="1" thickBot="1">
      <c r="A2" s="482"/>
      <c r="B2" s="482"/>
      <c r="C2" s="482"/>
      <c r="D2" s="482"/>
      <c r="E2" s="482"/>
      <c r="F2" s="482"/>
      <c r="G2" s="482"/>
      <c r="H2" s="482"/>
      <c r="I2" s="482"/>
      <c r="J2" s="482"/>
      <c r="K2" s="482"/>
      <c r="L2" s="482"/>
      <c r="M2" s="482"/>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row>
    <row r="3" spans="1:256" s="355" customFormat="1">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row>
    <row r="4" spans="1:256" s="355" customFormat="1" ht="20.25" thickBot="1">
      <c r="A4" s="359" t="s">
        <v>421</v>
      </c>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row>
    <row r="5" spans="1:256" ht="9.75" customHeight="1" thickBot="1">
      <c r="A5" s="9"/>
      <c r="B5" s="6"/>
      <c r="C5" s="6"/>
      <c r="D5" s="6"/>
      <c r="E5" s="1201" t="s">
        <v>303</v>
      </c>
      <c r="F5" s="1202"/>
      <c r="G5" s="6"/>
      <c r="H5" s="6"/>
      <c r="I5" s="6"/>
      <c r="J5" s="6"/>
      <c r="K5" s="1207" t="s">
        <v>297</v>
      </c>
      <c r="L5" s="10"/>
      <c r="M5" s="10"/>
      <c r="BA5" s="8"/>
      <c r="BB5" s="8"/>
      <c r="BC5" s="8"/>
      <c r="BD5" s="8"/>
      <c r="BE5" s="8"/>
      <c r="BF5" s="8"/>
      <c r="BG5" s="8"/>
      <c r="BH5" s="8"/>
    </row>
    <row r="6" spans="1:256" ht="24" customHeight="1" thickBot="1">
      <c r="A6" s="11" t="s">
        <v>123</v>
      </c>
      <c r="B6" s="6"/>
      <c r="C6" s="113"/>
      <c r="D6" s="6"/>
      <c r="E6" s="1203"/>
      <c r="F6" s="1204"/>
      <c r="G6" s="6"/>
      <c r="H6" s="11" t="s">
        <v>124</v>
      </c>
      <c r="I6" s="6"/>
      <c r="J6" s="6"/>
      <c r="K6" s="1208"/>
      <c r="L6" s="10"/>
      <c r="M6" s="10"/>
      <c r="BA6" s="8"/>
      <c r="BB6" s="8"/>
      <c r="BC6" s="8"/>
      <c r="BD6" s="8"/>
      <c r="BE6" s="8"/>
      <c r="BF6" s="8"/>
      <c r="BG6" s="8"/>
      <c r="BH6" s="8"/>
    </row>
    <row r="7" spans="1:256" ht="83.25" customHeight="1" thickBot="1">
      <c r="A7" s="520" t="e">
        <f ca="1">B10*(E14+J14)+B15*(E20+J20)+B21*(E28+J28)+B29*(E34+J34)+B35*(E40+J40)+B41*(E46+J46)+B47*(E52+J52)+B53*(E57+J57)</f>
        <v>#DIV/0!</v>
      </c>
      <c r="B7" s="6"/>
      <c r="C7" s="113" t="s">
        <v>361</v>
      </c>
      <c r="D7" s="6"/>
      <c r="E7" s="1205"/>
      <c r="F7" s="1206"/>
      <c r="G7" s="6"/>
      <c r="H7" s="134" t="s">
        <v>182</v>
      </c>
      <c r="I7" s="6"/>
      <c r="J7" s="6"/>
      <c r="K7" s="1209"/>
      <c r="L7" s="10"/>
      <c r="M7" s="10"/>
      <c r="BA7" s="8"/>
      <c r="BB7" s="8"/>
      <c r="BC7" s="8"/>
      <c r="BD7" s="8"/>
      <c r="BE7" s="8"/>
      <c r="BF7" s="8"/>
      <c r="BG7" s="8"/>
      <c r="BH7" s="8"/>
    </row>
    <row r="8" spans="1:256" ht="16.5" thickBot="1">
      <c r="A8" s="6"/>
      <c r="B8" s="6"/>
      <c r="C8" s="6"/>
      <c r="D8" s="6"/>
      <c r="E8" s="6"/>
      <c r="F8" s="6"/>
      <c r="G8" s="6"/>
      <c r="H8" s="6"/>
      <c r="I8" s="6"/>
      <c r="J8" s="6"/>
      <c r="K8" s="7"/>
      <c r="L8" s="6"/>
      <c r="M8" s="10"/>
      <c r="BA8" s="8"/>
      <c r="BB8" s="8"/>
      <c r="BC8" s="8"/>
      <c r="BD8" s="8"/>
      <c r="BE8" s="8"/>
      <c r="BF8" s="8"/>
      <c r="BG8" s="8"/>
      <c r="BH8" s="8"/>
    </row>
    <row r="9" spans="1:256" ht="32.25" customHeight="1" thickTop="1" thickBot="1">
      <c r="A9" s="12" t="s">
        <v>126</v>
      </c>
      <c r="B9" s="13" t="s">
        <v>293</v>
      </c>
      <c r="C9" s="1210" t="s">
        <v>409</v>
      </c>
      <c r="D9" s="1211"/>
      <c r="E9" s="14" t="s">
        <v>127</v>
      </c>
      <c r="F9" s="14" t="s">
        <v>128</v>
      </c>
      <c r="G9" s="14" t="s">
        <v>129</v>
      </c>
      <c r="H9" s="1212" t="s">
        <v>130</v>
      </c>
      <c r="I9" s="1213"/>
      <c r="J9" s="15" t="s">
        <v>127</v>
      </c>
      <c r="K9" s="14" t="s">
        <v>128</v>
      </c>
      <c r="L9" s="16" t="s">
        <v>131</v>
      </c>
      <c r="M9" s="10"/>
      <c r="T9" s="17"/>
      <c r="U9" s="18"/>
      <c r="V9" s="19" t="s">
        <v>132</v>
      </c>
      <c r="W9" s="19" t="s">
        <v>133</v>
      </c>
      <c r="X9" s="19" t="s">
        <v>134</v>
      </c>
      <c r="Y9" s="19" t="s">
        <v>135</v>
      </c>
      <c r="Z9" s="19" t="s">
        <v>136</v>
      </c>
      <c r="AA9" s="19" t="s">
        <v>137</v>
      </c>
      <c r="AB9" s="19" t="s">
        <v>138</v>
      </c>
      <c r="AC9" s="19" t="s">
        <v>76</v>
      </c>
      <c r="AD9" s="19" t="s">
        <v>139</v>
      </c>
      <c r="AE9" s="20" t="s">
        <v>140</v>
      </c>
      <c r="AF9" s="19" t="s">
        <v>141</v>
      </c>
      <c r="AG9" s="19" t="s">
        <v>142</v>
      </c>
      <c r="AH9" s="19" t="s">
        <v>143</v>
      </c>
      <c r="AI9" s="19" t="s">
        <v>144</v>
      </c>
      <c r="AJ9" s="19" t="s">
        <v>145</v>
      </c>
      <c r="AK9" s="19" t="s">
        <v>63</v>
      </c>
      <c r="AL9" s="19" t="s">
        <v>146</v>
      </c>
      <c r="AM9" s="19" t="s">
        <v>183</v>
      </c>
      <c r="AN9" s="19" t="s">
        <v>147</v>
      </c>
      <c r="AO9" s="20" t="s">
        <v>148</v>
      </c>
      <c r="AP9" s="19" t="s">
        <v>149</v>
      </c>
      <c r="AQ9" s="19" t="s">
        <v>150</v>
      </c>
      <c r="AR9" s="20" t="s">
        <v>151</v>
      </c>
      <c r="AS9" s="21" t="s">
        <v>152</v>
      </c>
      <c r="BA9" s="8"/>
      <c r="BB9" s="8"/>
      <c r="BC9" s="8"/>
      <c r="BD9" s="8"/>
      <c r="BE9" s="8"/>
      <c r="BF9" s="8"/>
      <c r="BG9" s="8"/>
      <c r="BH9" s="8"/>
    </row>
    <row r="10" spans="1:256" ht="20.25" customHeight="1">
      <c r="A10" s="1177" t="s">
        <v>286</v>
      </c>
      <c r="B10" s="1197">
        <v>0.15</v>
      </c>
      <c r="C10" s="22" t="s">
        <v>132</v>
      </c>
      <c r="D10" s="23">
        <v>0.15</v>
      </c>
      <c r="E10" s="24" t="e">
        <f ca="1">IF($H$7="Africa",IF($F10&gt;V$15,4,IF($F10&gt;V$14,3,(IF($F10&gt;V$13,2,1)))),IF($H$7="East &amp; South Asia",IF($F10&gt;V$19,4,IF($F10&gt;V$18,3,(IF($F10&gt;V$17,2,1)))),IF($H$7="Eastern Europe &amp; Central Asia",IF($F10&gt;V$23,4,IF($F10&gt;V$22,3,(IF($F10&gt;V$21,2,1)))),IF($H$7="Latin America &amp; Caribbean",IF($F10&gt;V$27,4,IF($F10&gt;V$26,3,(IF($F10&gt;V$25,2,1)))),IF($H$7="Middle East &amp; North Africa",IF($F10&gt;V$31,4,IF($F10&gt;V$30,3,(IF($F10&gt;V$29,2,1)))))))))/4</f>
        <v>#DIV/0!</v>
      </c>
      <c r="F10" s="25" t="e">
        <f ca="1">(('Hist &amp; Proj'!R41+'Hist &amp; Proj'!E41)/2)/(('Hist &amp; Proj'!R25+'Hist &amp; Proj'!E25)/2)*100</f>
        <v>#DIV/0!</v>
      </c>
      <c r="G10" s="26" t="s">
        <v>153</v>
      </c>
      <c r="H10" s="27" t="s">
        <v>282</v>
      </c>
      <c r="I10" s="28">
        <v>0.2</v>
      </c>
      <c r="J10" s="29">
        <f>K10/5</f>
        <v>0.8</v>
      </c>
      <c r="K10" s="139">
        <v>4</v>
      </c>
      <c r="L10" s="7"/>
      <c r="M10" s="10"/>
      <c r="T10" s="30"/>
      <c r="U10" s="31" t="s">
        <v>154</v>
      </c>
      <c r="V10" s="32" t="s">
        <v>153</v>
      </c>
      <c r="W10" s="32" t="s">
        <v>155</v>
      </c>
      <c r="X10" s="32" t="s">
        <v>153</v>
      </c>
      <c r="Y10" s="32" t="s">
        <v>153</v>
      </c>
      <c r="Z10" s="32" t="s">
        <v>153</v>
      </c>
      <c r="AA10" s="32" t="s">
        <v>153</v>
      </c>
      <c r="AB10" s="32" t="s">
        <v>153</v>
      </c>
      <c r="AC10" s="32" t="s">
        <v>153</v>
      </c>
      <c r="AD10" s="32" t="s">
        <v>153</v>
      </c>
      <c r="AE10" s="32" t="s">
        <v>153</v>
      </c>
      <c r="AF10" s="32" t="s">
        <v>153</v>
      </c>
      <c r="AG10" s="32" t="s">
        <v>153</v>
      </c>
      <c r="AH10" s="33" t="s">
        <v>156</v>
      </c>
      <c r="AI10" s="33" t="s">
        <v>156</v>
      </c>
      <c r="AJ10" s="32" t="s">
        <v>153</v>
      </c>
      <c r="AK10" s="32" t="s">
        <v>153</v>
      </c>
      <c r="AL10" s="32" t="s">
        <v>155</v>
      </c>
      <c r="AM10" s="32" t="s">
        <v>153</v>
      </c>
      <c r="AN10" s="33" t="s">
        <v>153</v>
      </c>
      <c r="AO10" s="32" t="s">
        <v>153</v>
      </c>
      <c r="AP10" s="32" t="s">
        <v>153</v>
      </c>
      <c r="AQ10" s="32" t="s">
        <v>153</v>
      </c>
      <c r="AR10" s="32" t="s">
        <v>153</v>
      </c>
      <c r="AS10" s="34" t="s">
        <v>153</v>
      </c>
      <c r="BA10" s="8"/>
      <c r="BB10" s="8"/>
      <c r="BC10" s="8"/>
      <c r="BD10" s="8"/>
      <c r="BE10" s="8"/>
      <c r="BF10" s="8"/>
      <c r="BG10" s="8"/>
      <c r="BH10" s="8"/>
    </row>
    <row r="11" spans="1:256" ht="20.25" customHeight="1" thickBot="1">
      <c r="A11" s="1177"/>
      <c r="B11" s="1198"/>
      <c r="C11" s="27" t="s">
        <v>157</v>
      </c>
      <c r="D11" s="28">
        <v>0.2</v>
      </c>
      <c r="E11" s="29" t="e">
        <f ca="1">IF($H$7="Africa",IF($F11&gt;W$15,1,IF($F11&gt;W$14,2,(IF($F11&gt;W$13,3,4)))),IF($H$7="East &amp; South Asia",IF($F11&gt;W$19,1,IF($F11&gt;W$18,2,(IF($F11&gt;W$17,3,4)))),IF($H$7="Eastern Europe &amp; Central Asia",IF($F11&gt;W$23,1,IF($F11&gt;W$22,2,(IF($F11&gt;W$21,3,4)))),IF($H$7="Latin America &amp; Caribbean",IF($F11&gt;W$27,1,IF($F11&gt;W$26,2,(IF($F11&gt;W$25,3,4)))),IF($H$7="Middle East &amp; North Africa",IF($F11&gt;W$31,1,IF($F11&gt;W$30,2,(IF($F11&gt;W$29,3,4)))))))))/4</f>
        <v>#DIV/0!</v>
      </c>
      <c r="F11" s="25" t="e">
        <f ca="1">('Hist &amp; Proj'!R29+'Hist &amp; Proj'!R28)/'Hist &amp; Proj'!R41</f>
        <v>#DIV/0!</v>
      </c>
      <c r="G11" s="35" t="s">
        <v>155</v>
      </c>
      <c r="H11" s="27" t="s">
        <v>158</v>
      </c>
      <c r="I11" s="28">
        <v>0.15</v>
      </c>
      <c r="J11" s="29">
        <f>K11/5</f>
        <v>0.8</v>
      </c>
      <c r="K11" s="140">
        <v>4</v>
      </c>
      <c r="L11" s="7"/>
      <c r="M11" s="10"/>
      <c r="T11" s="36"/>
      <c r="U11" s="31"/>
      <c r="V11" s="37"/>
      <c r="W11" s="37"/>
      <c r="X11" s="37"/>
      <c r="Y11" s="37"/>
      <c r="Z11" s="37"/>
      <c r="AA11" s="37"/>
      <c r="AB11" s="37"/>
      <c r="AC11" s="37"/>
      <c r="AD11" s="37"/>
      <c r="AE11" s="37"/>
      <c r="AF11" s="37"/>
      <c r="AG11" s="37"/>
      <c r="AH11" s="38"/>
      <c r="AI11" s="38"/>
      <c r="AJ11" s="37"/>
      <c r="AK11" s="37"/>
      <c r="AL11" s="37"/>
      <c r="AM11" s="39"/>
      <c r="AN11" s="37"/>
      <c r="AO11" s="37"/>
      <c r="AP11" s="37"/>
      <c r="AQ11" s="37"/>
      <c r="AR11" s="37"/>
      <c r="AS11" s="40"/>
      <c r="BA11" s="8"/>
      <c r="BB11" s="8"/>
      <c r="BC11" s="8"/>
      <c r="BD11" s="8"/>
      <c r="BE11" s="8"/>
      <c r="BF11" s="8"/>
      <c r="BG11" s="8"/>
      <c r="BH11" s="8"/>
    </row>
    <row r="12" spans="1:256" ht="20.25" customHeight="1" thickTop="1" thickBot="1">
      <c r="A12" s="1177"/>
      <c r="B12" s="1198"/>
      <c r="C12" s="27" t="s">
        <v>135</v>
      </c>
      <c r="D12" s="28">
        <v>0.1</v>
      </c>
      <c r="E12" s="29" t="e">
        <f ca="1">IF($H$7="Africa",IF($F12&gt;Y$15,1,IF($F12&gt;Y$14,2,(IF($F12&gt;Y$13,3,4)))),IF($H$7="East &amp; South Asia",IF($F12&gt;Y$19,1,IF($F12&gt;Y$18,2,(IF($F12&gt;Y$17,3,4)))),IF($H$7="Eastern Europe &amp; Central Asia",IF($F12&gt;Y$23,1,IF($F12&gt;Y$22,2,(IF($F12&gt;Y$21,3,4)))),IF($H$7="Latin America &amp; Caribbean",IF($F12&gt;Y$27,1,IF($F12&gt;Y$26,2,(IF($F12&gt;Y$25,3,4)))),IF($H$7="Middle East &amp; North Africa",IF($F12&gt;Y$31,1,IF($F12&gt;Y$30,2,(IF($F12&gt;Y$29,3,4)))))))))/4</f>
        <v>#DIV/0!</v>
      </c>
      <c r="F12" s="25" t="e">
        <f ca="1">(-'Hist &amp; Proj'!R52/(('Hist &amp; Proj'!R25+'Hist &amp; Proj'!E25)/2))*100</f>
        <v>#DIV/0!</v>
      </c>
      <c r="G12" s="35" t="s">
        <v>153</v>
      </c>
      <c r="H12" s="27" t="s">
        <v>159</v>
      </c>
      <c r="I12" s="28">
        <v>0.05</v>
      </c>
      <c r="J12" s="29">
        <f>K12/5</f>
        <v>1</v>
      </c>
      <c r="K12" s="140">
        <v>5</v>
      </c>
      <c r="L12" s="7"/>
      <c r="M12" s="10"/>
      <c r="T12" s="41"/>
      <c r="U12" s="42"/>
      <c r="V12" s="42"/>
      <c r="W12" s="42"/>
      <c r="X12" s="42"/>
      <c r="Y12" s="42"/>
      <c r="Z12" s="42"/>
      <c r="AA12" s="42"/>
      <c r="AB12" s="42"/>
      <c r="AC12" s="42"/>
      <c r="AD12" s="42"/>
      <c r="AE12" s="42"/>
      <c r="AF12" s="42"/>
      <c r="AG12" s="42"/>
      <c r="AH12" s="42"/>
      <c r="AI12" s="42"/>
      <c r="AJ12" s="42"/>
      <c r="AK12" s="42"/>
      <c r="AL12" s="42"/>
      <c r="AM12" s="6"/>
      <c r="AN12" s="42"/>
      <c r="AO12" s="42"/>
      <c r="AP12" s="42"/>
      <c r="AQ12" s="42"/>
      <c r="AR12" s="42"/>
      <c r="AS12" s="43"/>
      <c r="BA12" s="8"/>
      <c r="BB12" s="8"/>
      <c r="BC12" s="8"/>
      <c r="BD12" s="8"/>
      <c r="BE12" s="8"/>
      <c r="BF12" s="8"/>
      <c r="BG12" s="8"/>
      <c r="BH12" s="8"/>
    </row>
    <row r="13" spans="1:256" ht="20.25" customHeight="1" thickBot="1">
      <c r="A13" s="1177"/>
      <c r="B13" s="1198"/>
      <c r="C13" s="44" t="s">
        <v>160</v>
      </c>
      <c r="D13" s="28">
        <v>0.15</v>
      </c>
      <c r="E13" s="24" t="e">
        <f ca="1">IF($H$7="Africa",IF($F13&gt;X$15,4,IF($F13&gt;X$14,3,(IF($F13&gt;X$13,2,1)))),IF($H$7="East &amp; South Asia",IF($F13&gt;X$19,4,IF($F13&gt;X$18,3,(IF($F13&gt;X$17,2,1)))),IF($H$7="Eastern Europe &amp; Central Asia",IF($F13&gt;X$23,4,IF($F13&gt;X$22,3,(IF($F13&gt;X$21,2,1)))),IF($H$7="Latin America &amp; Caribbean",IF($F13&gt;X$27,4,IF($F13&gt;X$26,3,(IF($F13&gt;X$25,2,1)))),IF($H$7="Middle East &amp; North Africa",IF($F13&gt;X$31,4,IF($F13&gt;X$30,3,(IF($F13&gt;X$29,2,1)))))))))/4</f>
        <v>#DIV/0!</v>
      </c>
      <c r="F13" s="25" t="e">
        <f ca="1">'Hist &amp; Proj'!R22/'Hist &amp; Proj'!R25*100</f>
        <v>#DIV/0!</v>
      </c>
      <c r="G13" s="26" t="s">
        <v>153</v>
      </c>
      <c r="H13" s="45"/>
      <c r="I13" s="46"/>
      <c r="J13" s="47"/>
      <c r="K13" s="48"/>
      <c r="L13" s="7"/>
      <c r="M13" s="10"/>
      <c r="T13" s="1194" t="s">
        <v>125</v>
      </c>
      <c r="U13" s="49" t="s">
        <v>161</v>
      </c>
      <c r="V13" s="51">
        <v>14.84</v>
      </c>
      <c r="W13" s="51">
        <v>0.9524999999999999</v>
      </c>
      <c r="X13" s="51">
        <v>52.417500000000004</v>
      </c>
      <c r="Y13" s="51">
        <v>2.9375</v>
      </c>
      <c r="Z13" s="51">
        <v>-5.085</v>
      </c>
      <c r="AA13" s="51">
        <v>-15.509999999999998</v>
      </c>
      <c r="AB13" s="51">
        <v>-29.695</v>
      </c>
      <c r="AC13" s="50">
        <v>77.13</v>
      </c>
      <c r="AD13" s="50">
        <v>21.787499999999998</v>
      </c>
      <c r="AE13" s="50">
        <v>-4.1345331536343348</v>
      </c>
      <c r="AF13" s="50">
        <v>1.7549999999999999</v>
      </c>
      <c r="AG13" s="50">
        <v>0</v>
      </c>
      <c r="AH13" s="50">
        <v>54.169350000000001</v>
      </c>
      <c r="AI13" s="50">
        <v>168.96639999999999</v>
      </c>
      <c r="AJ13" s="50">
        <v>20.51</v>
      </c>
      <c r="AK13" s="50">
        <v>94.01</v>
      </c>
      <c r="AL13" s="50">
        <v>0.38037500000000002</v>
      </c>
      <c r="AM13" s="50">
        <v>10.0725</v>
      </c>
      <c r="AN13" s="50">
        <v>32.645000000000003</v>
      </c>
      <c r="AO13" s="50">
        <v>-12.329956584659918</v>
      </c>
      <c r="AP13" s="50">
        <v>37.980000000000004</v>
      </c>
      <c r="AQ13" s="50">
        <v>4.4000280000000007</v>
      </c>
      <c r="AR13" s="50">
        <v>79.900000000000006</v>
      </c>
      <c r="AS13" s="116">
        <v>2.5</v>
      </c>
      <c r="BA13" s="8"/>
      <c r="BB13" s="8"/>
      <c r="BC13" s="8"/>
      <c r="BD13" s="8"/>
      <c r="BE13" s="8"/>
      <c r="BF13" s="8"/>
      <c r="BG13" s="8"/>
      <c r="BH13" s="8"/>
    </row>
    <row r="14" spans="1:256" ht="18" customHeight="1" thickBot="1">
      <c r="A14" s="1184"/>
      <c r="B14" s="1199"/>
      <c r="C14" s="52" t="s">
        <v>162</v>
      </c>
      <c r="D14" s="53">
        <f>SUM(D10:D13)</f>
        <v>0.6</v>
      </c>
      <c r="E14" s="54" t="e">
        <f ca="1">SUMPRODUCT(D10:D13,E10:E13)</f>
        <v>#DIV/0!</v>
      </c>
      <c r="F14" s="55"/>
      <c r="G14" s="55"/>
      <c r="H14" s="52" t="s">
        <v>162</v>
      </c>
      <c r="I14" s="53">
        <f>SUM(I10:I13)</f>
        <v>0.39999999999999997</v>
      </c>
      <c r="J14" s="54">
        <f>I10*J10+I11*J11+I12*J12</f>
        <v>0.33</v>
      </c>
      <c r="K14" s="55"/>
      <c r="L14" s="56">
        <f>D14+I14</f>
        <v>1</v>
      </c>
      <c r="M14" s="10"/>
      <c r="T14" s="1195"/>
      <c r="U14" s="57" t="s">
        <v>163</v>
      </c>
      <c r="V14" s="50">
        <v>26.145000000000003</v>
      </c>
      <c r="W14" s="50">
        <v>2.3250000000000002</v>
      </c>
      <c r="X14" s="50">
        <v>65.77</v>
      </c>
      <c r="Y14" s="50">
        <v>4.7600000000000007</v>
      </c>
      <c r="Z14" s="50">
        <v>-0.66999999999999993</v>
      </c>
      <c r="AA14" s="50">
        <v>-2.3449999999999998</v>
      </c>
      <c r="AB14" s="51">
        <v>-3.6699999999999995</v>
      </c>
      <c r="AC14" s="50">
        <v>96.344999999999999</v>
      </c>
      <c r="AD14" s="50">
        <v>-3.6699999999999995</v>
      </c>
      <c r="AE14" s="50">
        <v>2.2447899599988386</v>
      </c>
      <c r="AF14" s="50">
        <v>4.71</v>
      </c>
      <c r="AG14" s="50">
        <v>1.58</v>
      </c>
      <c r="AH14" s="50">
        <v>107.625</v>
      </c>
      <c r="AI14" s="50">
        <v>287.5102</v>
      </c>
      <c r="AJ14" s="50">
        <v>32.67</v>
      </c>
      <c r="AK14" s="50">
        <v>108.36999999999999</v>
      </c>
      <c r="AL14" s="50">
        <v>0.57069999999999999</v>
      </c>
      <c r="AM14" s="50">
        <v>16.05</v>
      </c>
      <c r="AN14" s="50">
        <v>64.025000000000006</v>
      </c>
      <c r="AO14" s="50">
        <v>-6.7040816326530583</v>
      </c>
      <c r="AP14" s="50">
        <v>57.210000000000008</v>
      </c>
      <c r="AQ14" s="50">
        <v>6.0999990000000004</v>
      </c>
      <c r="AR14" s="50">
        <v>89.9</v>
      </c>
      <c r="AS14" s="116">
        <v>5</v>
      </c>
      <c r="BA14" s="8"/>
      <c r="BB14" s="8"/>
      <c r="BC14" s="8"/>
      <c r="BD14" s="8"/>
      <c r="BE14" s="8"/>
      <c r="BF14" s="8"/>
      <c r="BG14" s="8"/>
      <c r="BH14" s="8"/>
    </row>
    <row r="15" spans="1:256" ht="20.25" customHeight="1" thickTop="1" thickBot="1">
      <c r="A15" s="1176" t="s">
        <v>164</v>
      </c>
      <c r="B15" s="1191">
        <v>0.15</v>
      </c>
      <c r="C15" s="58" t="s">
        <v>165</v>
      </c>
      <c r="D15" s="28">
        <v>0.15</v>
      </c>
      <c r="E15" s="29" t="e">
        <f ca="1">IF($H$7="Africa",IF($F15&gt;Z$15,4,IF($F15&gt;Z$14,3,(IF($F15&gt;Z$13,2,1)))),IF($H$7="East &amp; South Asia",IF($F15&gt;Z$19,4,IF($F15&gt;Z$18,3,(IF($F15&gt;Z$17,2,1)))),IF($H$7="Eastern Europe &amp; Central Asia",IF($F15&gt;Z$23,4,IF($F15&gt;Z$22,3,(IF($F15&gt;Z$21,2,1)))),IF($H$7="Latin America &amp; Caribbean",IF($F15&gt;Z$27,4,IF($F15&gt;Z$26,3,(IF($F15&gt;Z$25,2,1)))),IF($H$7="Middle East &amp; North Africa",IF($F15&gt;Z$31,4,IF($F15&gt;Z$30,3,(IF($F15&gt;Z$29,2,1)))))))))/4</f>
        <v>#DIV/0!</v>
      </c>
      <c r="F15" s="25" t="e">
        <f ca="1">'Fin Output'!R85*100</f>
        <v>#DIV/0!</v>
      </c>
      <c r="G15" s="35" t="s">
        <v>153</v>
      </c>
      <c r="H15" s="27" t="s">
        <v>287</v>
      </c>
      <c r="I15" s="28">
        <v>0.25</v>
      </c>
      <c r="J15" s="29">
        <f>K15/5</f>
        <v>0.4</v>
      </c>
      <c r="K15" s="139">
        <v>2</v>
      </c>
      <c r="L15" s="7"/>
      <c r="M15" s="10"/>
      <c r="T15" s="1200"/>
      <c r="U15" s="57" t="s">
        <v>166</v>
      </c>
      <c r="V15" s="51">
        <v>43.2</v>
      </c>
      <c r="W15" s="51">
        <v>4.7475000000000005</v>
      </c>
      <c r="X15" s="51">
        <v>76.587499999999991</v>
      </c>
      <c r="Y15" s="51">
        <v>7.7825000000000006</v>
      </c>
      <c r="Z15" s="51">
        <v>2.4649999999999999</v>
      </c>
      <c r="AA15" s="51">
        <v>8.5474999999999994</v>
      </c>
      <c r="AB15" s="51">
        <v>11.594999999999999</v>
      </c>
      <c r="AC15" s="50">
        <v>111.94</v>
      </c>
      <c r="AD15" s="50">
        <v>48.74</v>
      </c>
      <c r="AE15" s="50">
        <v>-24.888726272382545</v>
      </c>
      <c r="AF15" s="50">
        <v>8.4550000000000001</v>
      </c>
      <c r="AG15" s="50">
        <v>4.665</v>
      </c>
      <c r="AH15" s="50">
        <v>195.6446</v>
      </c>
      <c r="AI15" s="50">
        <v>487.854375</v>
      </c>
      <c r="AJ15" s="50">
        <v>53.280000000000008</v>
      </c>
      <c r="AK15" s="50">
        <v>124.1</v>
      </c>
      <c r="AL15" s="50">
        <v>0.88029999999999997</v>
      </c>
      <c r="AM15" s="50">
        <v>27.83</v>
      </c>
      <c r="AN15" s="50">
        <v>155.01249999999999</v>
      </c>
      <c r="AO15" s="50">
        <v>4.4791859389454292</v>
      </c>
      <c r="AP15" s="50">
        <v>79.09</v>
      </c>
      <c r="AQ15" s="50">
        <v>7.0219050000000003</v>
      </c>
      <c r="AR15" s="50">
        <v>99.9</v>
      </c>
      <c r="AS15" s="116">
        <v>7.5</v>
      </c>
      <c r="AU15" s="59"/>
      <c r="AV15" s="60"/>
      <c r="AW15" s="60"/>
      <c r="AX15" s="60"/>
      <c r="AY15" s="60"/>
      <c r="BA15" s="8"/>
      <c r="BB15" s="8"/>
      <c r="BC15" s="8"/>
      <c r="BD15" s="8"/>
      <c r="BE15" s="8"/>
      <c r="BF15" s="8"/>
      <c r="BG15" s="8"/>
      <c r="BH15" s="8"/>
    </row>
    <row r="16" spans="1:256" ht="20.25" customHeight="1" thickBot="1">
      <c r="A16" s="1177"/>
      <c r="B16" s="1198"/>
      <c r="C16" s="27" t="s">
        <v>167</v>
      </c>
      <c r="D16" s="28">
        <v>0.1</v>
      </c>
      <c r="E16" s="29" t="e">
        <f ca="1">IF($H$7="Africa",IF($F16&gt;AA$15,4,IF($F16&gt;AA$14,3,(IF($F16&gt;AA$13,2,1)))),IF($H$7="East &amp; South Asia",IF($F16&gt;AA$19,4,IF($F16&gt;AA$18,3,(IF($F16&gt;AA$17,2,1)))),IF($H$7="Eastern Europe &amp; Central Asia",IF($F16&gt;AA$23,4,IF($F16&gt;AA$22,3,(IF($F16&gt;AA$21,2,1)))),IF($H$7="Latin America &amp; Caribbean",IF($F16&gt;AA$27,4,IF($F16&gt;AA$26,3,(IF($F16&gt;AA$25,2,1)))),IF($H$7="Middle East &amp; North Africa",IF($F16&gt;AA$31,4,IF($F16&gt;AA$30,3,(IF($F16&gt;AA$29,2,1)))))))))/4</f>
        <v>#DIV/0!</v>
      </c>
      <c r="F16" s="25" t="e">
        <f ca="1">'Fin Output'!R86*100</f>
        <v>#DIV/0!</v>
      </c>
      <c r="G16" s="35" t="s">
        <v>153</v>
      </c>
      <c r="H16" s="27" t="s">
        <v>168</v>
      </c>
      <c r="I16" s="28">
        <v>0.1</v>
      </c>
      <c r="J16" s="29">
        <f>K16/5</f>
        <v>0.6</v>
      </c>
      <c r="K16" s="140">
        <v>3</v>
      </c>
      <c r="L16" s="7"/>
      <c r="M16" s="10"/>
      <c r="T16" s="36"/>
      <c r="U16" s="61"/>
      <c r="V16" s="62"/>
      <c r="W16" s="62"/>
      <c r="X16" s="62"/>
      <c r="Y16" s="62"/>
      <c r="Z16" s="62"/>
      <c r="AA16" s="62"/>
      <c r="AB16" s="62"/>
      <c r="AC16" s="115"/>
      <c r="AD16" s="115"/>
      <c r="AE16" s="115"/>
      <c r="AF16" s="115"/>
      <c r="AG16" s="115"/>
      <c r="AH16" s="115"/>
      <c r="AI16" s="115"/>
      <c r="AJ16" s="115"/>
      <c r="AK16" s="115"/>
      <c r="AL16" s="115"/>
      <c r="AM16" s="115"/>
      <c r="AN16" s="115"/>
      <c r="AO16" s="115"/>
      <c r="AP16" s="115"/>
      <c r="AQ16" s="115"/>
      <c r="AR16" s="115"/>
      <c r="AS16" s="117"/>
      <c r="BA16" s="8"/>
      <c r="BB16" s="8"/>
      <c r="BC16" s="8"/>
      <c r="BD16" s="8"/>
      <c r="BE16" s="8"/>
      <c r="BF16" s="8"/>
      <c r="BG16" s="8"/>
      <c r="BH16" s="8"/>
    </row>
    <row r="17" spans="1:60" ht="20.25" customHeight="1">
      <c r="A17" s="1177"/>
      <c r="B17" s="1198"/>
      <c r="C17" s="27" t="s">
        <v>169</v>
      </c>
      <c r="D17" s="28">
        <v>0.1</v>
      </c>
      <c r="E17" s="29" t="e">
        <f ca="1">IF($H$7="Africa",IF($F17&gt;AB$15,4,IF($F17&gt;AB$14,3,(IF($F17&gt;AB$13,2,1)))),IF($H$7="East &amp; South Asia",IF($F17&gt;AB$19,4,IF($F17&gt;AB$18,3,(IF($F17&gt;AB$17,2,1)))),IF($H$7="Eastern Europe &amp; Central Asia",IF($F17&gt;AB$23,4,IF($F17&gt;AB$22,3,(IF($F17&gt;AB$21,2,1)))),IF($H$7="Latin America &amp; Caribbean",IF($F17&gt;AB$27,4,IF($F17&gt;AB$26,3,(IF($F17&gt;AB$25,2,1)))),IF($H$7="Middle East &amp; North Africa",IF($F17&gt;AB$31,4,IF($F17&gt;AB$30,3,(IF($F17&gt;AB$29,2,1)))))))))/4</f>
        <v>#VALUE!</v>
      </c>
      <c r="F17" s="25" t="e">
        <f ca="1">'Hist &amp; Proj'!R78*100</f>
        <v>#VALUE!</v>
      </c>
      <c r="G17" s="35" t="s">
        <v>153</v>
      </c>
      <c r="H17" s="63"/>
      <c r="I17" s="64"/>
      <c r="J17" s="65"/>
      <c r="K17" s="48"/>
      <c r="L17" s="7"/>
      <c r="M17" s="10"/>
      <c r="T17" s="1194" t="s">
        <v>170</v>
      </c>
      <c r="U17" s="49" t="s">
        <v>161</v>
      </c>
      <c r="V17" s="51">
        <v>10.422499999999999</v>
      </c>
      <c r="W17" s="51">
        <v>2.4474999999999998</v>
      </c>
      <c r="X17" s="51">
        <v>64.142499999999998</v>
      </c>
      <c r="Y17" s="51">
        <v>5.5</v>
      </c>
      <c r="Z17" s="51">
        <v>-2.4775</v>
      </c>
      <c r="AA17" s="51">
        <v>-5.0449999999999999</v>
      </c>
      <c r="AB17" s="51">
        <v>-8.4649999999999999</v>
      </c>
      <c r="AC17" s="50">
        <v>88.424999999999997</v>
      </c>
      <c r="AD17" s="50">
        <v>20.862500000000001</v>
      </c>
      <c r="AE17" s="50">
        <v>-13.176827933126212</v>
      </c>
      <c r="AF17" s="50">
        <v>0.255</v>
      </c>
      <c r="AG17" s="50">
        <v>3.2500000000000001E-2</v>
      </c>
      <c r="AH17" s="50">
        <v>81.239100000000008</v>
      </c>
      <c r="AI17" s="50">
        <v>190.72730000000001</v>
      </c>
      <c r="AJ17" s="50">
        <v>10.862500000000001</v>
      </c>
      <c r="AK17" s="50">
        <v>101.50999999999999</v>
      </c>
      <c r="AL17" s="50">
        <v>0.50570000000000004</v>
      </c>
      <c r="AM17" s="50">
        <v>10.530000000000001</v>
      </c>
      <c r="AN17" s="50">
        <v>9.9200000000000017</v>
      </c>
      <c r="AO17" s="50">
        <v>-0.42860497886331173</v>
      </c>
      <c r="AP17" s="50">
        <v>58.135000000000005</v>
      </c>
      <c r="AQ17" s="50">
        <v>6.2781339999999988</v>
      </c>
      <c r="AR17" s="50">
        <v>79.900000000000006</v>
      </c>
      <c r="AS17" s="116">
        <v>2.5</v>
      </c>
      <c r="BA17" s="8"/>
      <c r="BB17" s="8"/>
      <c r="BC17" s="8"/>
      <c r="BD17" s="8"/>
      <c r="BE17" s="8"/>
      <c r="BF17" s="8"/>
      <c r="BG17" s="8"/>
      <c r="BH17" s="8"/>
    </row>
    <row r="18" spans="1:60" ht="20.25" customHeight="1">
      <c r="A18" s="1177"/>
      <c r="B18" s="1198"/>
      <c r="C18" s="27" t="s">
        <v>171</v>
      </c>
      <c r="D18" s="28">
        <v>0.15</v>
      </c>
      <c r="E18" s="29" t="e">
        <f ca="1">IF($H$7="Africa",IF($F18&gt;AC$15,4,IF($F18&gt;AC$14,3,(IF($F18&gt;AC$13,2,1)))),IF($H$7="East &amp; South Asia",IF($F18&gt;AC$19,4,IF($F18&gt;AC$18,3,(IF($F18&gt;AC$17,2,1)))),IF($H$7="Eastern Europe &amp; Central Asia",IF($F18&gt;AC$23,4,IF($F18&gt;AC$22,3,(IF($F18&gt;AC$21,2,1)))),IF($H$7="Latin America &amp; Caribbean",IF($F18&gt;AC$27,4,IF($F18&gt;AC$26,3,(IF($F18&gt;AC$25,2,1)))),IF($H$7="Middle East &amp; North Africa",IF($F18&gt;AC$31,4,IF($F18&gt;AC$30,3,(IF($F18&gt;AC$29,2,1)))))))))/4</f>
        <v>#DIV/0!</v>
      </c>
      <c r="F18" s="25" t="e">
        <f ca="1">'Fin Output'!R93*100</f>
        <v>#DIV/0!</v>
      </c>
      <c r="G18" s="35" t="s">
        <v>153</v>
      </c>
      <c r="H18" s="63"/>
      <c r="I18" s="64"/>
      <c r="J18" s="65"/>
      <c r="K18" s="48"/>
      <c r="L18" s="7"/>
      <c r="M18" s="10"/>
      <c r="T18" s="1195"/>
      <c r="U18" s="57" t="s">
        <v>163</v>
      </c>
      <c r="V18" s="50">
        <v>14.900000000000002</v>
      </c>
      <c r="W18" s="50">
        <v>4.9749999999999996</v>
      </c>
      <c r="X18" s="50">
        <v>74.3</v>
      </c>
      <c r="Y18" s="50">
        <v>7.4399999999999995</v>
      </c>
      <c r="Z18" s="50">
        <v>1.28</v>
      </c>
      <c r="AA18" s="50">
        <v>9.6199999999999992</v>
      </c>
      <c r="AB18" s="50">
        <v>8.0299999999999994</v>
      </c>
      <c r="AC18" s="50">
        <v>107.99000000000001</v>
      </c>
      <c r="AD18" s="50">
        <v>8.0299999999999994</v>
      </c>
      <c r="AE18" s="50">
        <v>2.3826891893208524</v>
      </c>
      <c r="AF18" s="50">
        <v>1.4500000000000002</v>
      </c>
      <c r="AG18" s="50">
        <v>0.4</v>
      </c>
      <c r="AH18" s="50">
        <v>132.30699999999999</v>
      </c>
      <c r="AI18" s="50">
        <v>271.5</v>
      </c>
      <c r="AJ18" s="50">
        <v>17.239999999999998</v>
      </c>
      <c r="AK18" s="50">
        <v>113.38</v>
      </c>
      <c r="AL18" s="50">
        <v>0.97940000000000005</v>
      </c>
      <c r="AM18" s="50">
        <v>17.285</v>
      </c>
      <c r="AN18" s="50">
        <v>16.689999999999998</v>
      </c>
      <c r="AO18" s="50">
        <v>-4.8490368162499298</v>
      </c>
      <c r="AP18" s="50">
        <v>93.789999999999992</v>
      </c>
      <c r="AQ18" s="50">
        <v>7.0788149999999996</v>
      </c>
      <c r="AR18" s="50">
        <v>89.9</v>
      </c>
      <c r="AS18" s="116">
        <v>5</v>
      </c>
      <c r="BA18" s="8"/>
      <c r="BB18" s="8"/>
      <c r="BC18" s="8"/>
      <c r="BD18" s="8"/>
      <c r="BE18" s="8"/>
      <c r="BF18" s="8"/>
      <c r="BG18" s="8"/>
      <c r="BH18" s="8"/>
    </row>
    <row r="19" spans="1:60" ht="20.25" customHeight="1" thickBot="1">
      <c r="A19" s="1177"/>
      <c r="B19" s="1198"/>
      <c r="C19" s="27" t="s">
        <v>172</v>
      </c>
      <c r="D19" s="28">
        <v>0.15</v>
      </c>
      <c r="E19" s="29" t="e">
        <f ca="1">IF($H$7="Africa",IF($F19&gt;AD$15,4,IF($F19&gt;AD$14,3,(IF($F19&gt;AD$13,2,1)))),IF($H$7="East &amp; South Asia",IF($F19&gt;AD$19,4,IF($F19&gt;AD$18,3,(IF($F19&gt;AD$17,2,1)))),IF($H$7="Eastern Europe &amp; Central Asia",IF($F19&gt;AD$23,4,IF($F19&gt;AD$22,3,(IF($F19&gt;AD$21,2,1)))),IF($H$7="Latin America &amp; Caribbean",IF($F19&gt;AD$27,4,IF($F19&gt;AD$26,3,(IF($F19&gt;AD$25,2,1)))),IF($H$7="Middle East &amp; North Africa",IF($F19&gt;AD$31,4,IF($F19&gt;AD$30,3,(IF($F19&gt;AD$29,2,1)))))))))/4</f>
        <v>#DIV/0!</v>
      </c>
      <c r="F19" s="25" t="e">
        <f ca="1">'Hist &amp; Proj'!R51/(('Hist &amp; Proj'!R22+'Hist &amp; Proj'!E22)/2)*100</f>
        <v>#DIV/0!</v>
      </c>
      <c r="G19" s="35" t="s">
        <v>153</v>
      </c>
      <c r="H19" s="63"/>
      <c r="I19" s="46"/>
      <c r="J19" s="47"/>
      <c r="K19" s="48"/>
      <c r="L19" s="7"/>
      <c r="M19" s="10"/>
      <c r="T19" s="1200"/>
      <c r="U19" s="57" t="s">
        <v>166</v>
      </c>
      <c r="V19" s="51">
        <v>23.32</v>
      </c>
      <c r="W19" s="51">
        <v>7.7774999999999999</v>
      </c>
      <c r="X19" s="51">
        <v>82.38</v>
      </c>
      <c r="Y19" s="51">
        <v>9.6150000000000002</v>
      </c>
      <c r="Z19" s="51">
        <v>3.2425000000000002</v>
      </c>
      <c r="AA19" s="51">
        <v>24.677499999999998</v>
      </c>
      <c r="AB19" s="51">
        <v>17.175000000000001</v>
      </c>
      <c r="AC19" s="50">
        <v>120.33</v>
      </c>
      <c r="AD19" s="50">
        <v>36.6</v>
      </c>
      <c r="AE19" s="50">
        <v>-9.3946380190004337</v>
      </c>
      <c r="AF19" s="50">
        <v>6.49</v>
      </c>
      <c r="AG19" s="50">
        <v>1.8499999999999999</v>
      </c>
      <c r="AH19" s="50">
        <v>223.53694999999999</v>
      </c>
      <c r="AI19" s="50">
        <v>439</v>
      </c>
      <c r="AJ19" s="50">
        <v>26.387499999999996</v>
      </c>
      <c r="AK19" s="50">
        <v>125.325</v>
      </c>
      <c r="AL19" s="50">
        <v>0.33724500000000002</v>
      </c>
      <c r="AM19" s="50">
        <v>24.852499999999999</v>
      </c>
      <c r="AN19" s="50">
        <v>43.164999999999999</v>
      </c>
      <c r="AO19" s="50">
        <v>-1.0689649978914417</v>
      </c>
      <c r="AP19" s="50">
        <v>100</v>
      </c>
      <c r="AQ19" s="50">
        <v>9.0603960000000008</v>
      </c>
      <c r="AR19" s="50">
        <v>99.9</v>
      </c>
      <c r="AS19" s="116">
        <v>7.5</v>
      </c>
      <c r="BA19" s="8"/>
      <c r="BB19" s="8"/>
      <c r="BC19" s="8"/>
      <c r="BD19" s="8"/>
      <c r="BE19" s="8"/>
      <c r="BF19" s="8"/>
      <c r="BG19" s="8"/>
      <c r="BH19" s="8"/>
    </row>
    <row r="20" spans="1:60" ht="18" customHeight="1" thickBot="1">
      <c r="A20" s="1178"/>
      <c r="B20" s="1199"/>
      <c r="C20" s="52" t="s">
        <v>162</v>
      </c>
      <c r="D20" s="53">
        <f>SUM(D15:D19)</f>
        <v>0.65</v>
      </c>
      <c r="E20" s="54" t="e">
        <f ca="1">SUMPRODUCT(D15:D19,E15:E19)</f>
        <v>#DIV/0!</v>
      </c>
      <c r="F20" s="55"/>
      <c r="G20" s="55"/>
      <c r="H20" s="52" t="s">
        <v>162</v>
      </c>
      <c r="I20" s="53">
        <f>SUM(I15:I19)</f>
        <v>0.35</v>
      </c>
      <c r="J20" s="54">
        <f>I15*J15+I16*J16</f>
        <v>0.16</v>
      </c>
      <c r="K20" s="55"/>
      <c r="L20" s="56">
        <f>D20+I20</f>
        <v>1</v>
      </c>
      <c r="M20" s="10"/>
      <c r="T20" s="36"/>
      <c r="U20" s="61"/>
      <c r="V20" s="62"/>
      <c r="W20" s="50"/>
      <c r="X20" s="50"/>
      <c r="Y20" s="62"/>
      <c r="Z20" s="62"/>
      <c r="AA20" s="62"/>
      <c r="AB20" s="62"/>
      <c r="AC20" s="115"/>
      <c r="AD20" s="115"/>
      <c r="AE20" s="115"/>
      <c r="AF20" s="115"/>
      <c r="AG20" s="115"/>
      <c r="AH20" s="115"/>
      <c r="AI20" s="115"/>
      <c r="AJ20" s="115"/>
      <c r="AK20" s="115"/>
      <c r="AL20" s="115"/>
      <c r="AM20" s="115"/>
      <c r="AN20" s="115"/>
      <c r="AO20" s="115"/>
      <c r="AP20" s="115"/>
      <c r="AQ20" s="115"/>
      <c r="AR20" s="115"/>
      <c r="AS20" s="117"/>
      <c r="BA20" s="8"/>
      <c r="BB20" s="8"/>
      <c r="BC20" s="8"/>
      <c r="BD20" s="8"/>
      <c r="BE20" s="8"/>
      <c r="BF20" s="8"/>
      <c r="BG20" s="8"/>
      <c r="BH20" s="8"/>
    </row>
    <row r="21" spans="1:60" ht="33" customHeight="1" thickTop="1">
      <c r="A21" s="1176" t="s">
        <v>173</v>
      </c>
      <c r="B21" s="1191">
        <v>0.15</v>
      </c>
      <c r="C21" s="27" t="s">
        <v>304</v>
      </c>
      <c r="D21" s="28">
        <v>0.1</v>
      </c>
      <c r="E21" s="29" t="e">
        <f ca="1">IF($H$7="Africa",IF($F21&gt;AE$15,4,IF($F21&gt;AE$14,3,(IF($F21&gt;AE$13,2,1)))),IF($H$7="East &amp; South Asia",IF($F21&gt;AE$19,4,IF($F21&gt;AE$18,3,(IF($F21&gt;AE$17,2,1)))),IF($H$7="Eastern Europe &amp; Central Asia",IF($F21&gt;AE$23,4,IF($F21&gt;AE$22,3,(IF($F21&gt;AE$21,2,1)))),IF($H$7="Latin America &amp; Caribbean",IF($F21&gt;AE$27,4,IF($F21&gt;AE$26,3,(IF($F21&gt;AE$25,2,1)))),IF($H$7="Middle East &amp; North Africa",IF($F21&gt;AE$31,4,IF($F21&gt;AE$30,3,(IF($F21&gt;AE$29,2,1)))))))))/4</f>
        <v>#DIV/0!</v>
      </c>
      <c r="F21" s="25" t="e">
        <f ca="1">('Hist &amp; Proj'!R22-'Hist &amp; Proj'!E22)/'Hist &amp; Proj'!E22*100</f>
        <v>#DIV/0!</v>
      </c>
      <c r="G21" s="35" t="s">
        <v>153</v>
      </c>
      <c r="H21" s="27" t="s">
        <v>302</v>
      </c>
      <c r="I21" s="28">
        <v>0.1</v>
      </c>
      <c r="J21" s="29">
        <f>K21/5</f>
        <v>0.8</v>
      </c>
      <c r="K21" s="139">
        <v>4</v>
      </c>
      <c r="L21" s="7"/>
      <c r="M21" s="10"/>
      <c r="T21" s="1194" t="s">
        <v>174</v>
      </c>
      <c r="U21" s="49" t="s">
        <v>161</v>
      </c>
      <c r="V21" s="51">
        <v>13.139999999999999</v>
      </c>
      <c r="W21" s="51">
        <v>1.1125</v>
      </c>
      <c r="X21" s="51">
        <v>78.17</v>
      </c>
      <c r="Y21" s="51">
        <v>6.3975000000000009</v>
      </c>
      <c r="Z21" s="51">
        <v>-2.8000000000000003</v>
      </c>
      <c r="AA21" s="51">
        <v>-7.0575000000000001</v>
      </c>
      <c r="AB21" s="51">
        <v>-9.75</v>
      </c>
      <c r="AC21" s="50">
        <v>90.795000000000002</v>
      </c>
      <c r="AD21" s="50">
        <v>21.14</v>
      </c>
      <c r="AE21" s="50">
        <v>-66.154493723578824</v>
      </c>
      <c r="AF21" s="50">
        <v>0.98</v>
      </c>
      <c r="AG21" s="50">
        <v>5.0000000000000001E-3</v>
      </c>
      <c r="AH21" s="50">
        <v>34.779049999999998</v>
      </c>
      <c r="AI21" s="50">
        <v>96.4</v>
      </c>
      <c r="AJ21" s="50">
        <v>10.295</v>
      </c>
      <c r="AK21" s="50">
        <v>103.54999999999998</v>
      </c>
      <c r="AL21" s="50">
        <v>0.44919999999999999</v>
      </c>
      <c r="AM21" s="50">
        <v>2.1</v>
      </c>
      <c r="AN21" s="50">
        <v>36.055000000000007</v>
      </c>
      <c r="AO21" s="50">
        <v>-69.020501138952156</v>
      </c>
      <c r="AP21" s="50">
        <v>33.76</v>
      </c>
      <c r="AQ21" s="50">
        <v>6.84</v>
      </c>
      <c r="AR21" s="50">
        <v>79.900000000000006</v>
      </c>
      <c r="AS21" s="116">
        <v>2.5</v>
      </c>
      <c r="BA21" s="8"/>
      <c r="BB21" s="8"/>
      <c r="BC21" s="8"/>
      <c r="BD21" s="8"/>
      <c r="BE21" s="8"/>
      <c r="BF21" s="8"/>
      <c r="BG21" s="8"/>
      <c r="BH21" s="8"/>
    </row>
    <row r="22" spans="1:60" ht="20.25" customHeight="1">
      <c r="A22" s="1177"/>
      <c r="B22" s="1198"/>
      <c r="C22" s="27" t="s">
        <v>175</v>
      </c>
      <c r="D22" s="28">
        <v>0.15</v>
      </c>
      <c r="E22" s="29" t="e">
        <f ca="1">IF($H$7="Africa",IF($F22&gt;AF$15,1,IF($F22&gt;AF$14,2,(IF($F22&gt;AF$13,3,4)))),IF($H$7="East &amp; South Asia",IF($F22&gt;AF$19,1,IF($F22&gt;AF$18,2,(IF($F22&gt;AF$17,3,4)))),IF($H$7="Eastern Europe &amp; Central Asia",IF($F22&gt;AF$23,1,IF($F22&gt;AF$22,2,(IF($F22&gt;AF$21,3,4)))),IF($H$7="Latin America &amp; Caribbean",IF($F22&gt;AF$27,1,IF($F22&gt;AF$26,2,(IF($F22&gt;AF$25,3,4)))),IF($H$7="Middle East &amp; North Africa",IF($F22&gt;AF$31,1,IF($F22&gt;AF$30,2,(IF($F22&gt;AF$29,3,4)))))))))/4</f>
        <v>#DIV/0!</v>
      </c>
      <c r="F22" s="25" t="e">
        <f ca="1">'Fin Output'!R185*100</f>
        <v>#DIV/0!</v>
      </c>
      <c r="G22" s="35" t="s">
        <v>153</v>
      </c>
      <c r="H22" s="27" t="s">
        <v>176</v>
      </c>
      <c r="I22" s="28">
        <v>0.1</v>
      </c>
      <c r="J22" s="29">
        <f>K22/5</f>
        <v>0.6</v>
      </c>
      <c r="K22" s="140">
        <v>3</v>
      </c>
      <c r="L22" s="7"/>
      <c r="M22" s="10"/>
      <c r="T22" s="1195"/>
      <c r="U22" s="57" t="s">
        <v>163</v>
      </c>
      <c r="V22" s="50">
        <v>22.869999999999997</v>
      </c>
      <c r="W22" s="50">
        <v>2.9249999999999998</v>
      </c>
      <c r="X22" s="50">
        <v>87.949999999999989</v>
      </c>
      <c r="Y22" s="50">
        <v>8.92</v>
      </c>
      <c r="Z22" s="50">
        <v>0.30499999999999999</v>
      </c>
      <c r="AA22" s="50">
        <v>2.7749999999999999</v>
      </c>
      <c r="AB22" s="50">
        <v>4</v>
      </c>
      <c r="AC22" s="50">
        <v>104.25999999999999</v>
      </c>
      <c r="AD22" s="50">
        <v>4</v>
      </c>
      <c r="AE22" s="50">
        <v>-36.403399610975207</v>
      </c>
      <c r="AF22" s="50">
        <v>2.0099999999999998</v>
      </c>
      <c r="AG22" s="50">
        <v>0.42</v>
      </c>
      <c r="AH22" s="50">
        <v>56.88485</v>
      </c>
      <c r="AI22" s="50">
        <v>166.79249999999999</v>
      </c>
      <c r="AJ22" s="50">
        <v>14.96</v>
      </c>
      <c r="AK22" s="50">
        <v>117.15</v>
      </c>
      <c r="AL22" s="50">
        <v>0.79235</v>
      </c>
      <c r="AM22" s="50">
        <v>5.4899999999999993</v>
      </c>
      <c r="AN22" s="50">
        <v>65.085000000000008</v>
      </c>
      <c r="AO22" s="50">
        <v>-51.713325867861151</v>
      </c>
      <c r="AP22" s="50">
        <v>43.059999999999995</v>
      </c>
      <c r="AQ22" s="50">
        <v>8.1</v>
      </c>
      <c r="AR22" s="50">
        <v>89.9</v>
      </c>
      <c r="AS22" s="116">
        <v>5</v>
      </c>
      <c r="BA22" s="8"/>
      <c r="BB22" s="8"/>
      <c r="BC22" s="8"/>
      <c r="BD22" s="8"/>
      <c r="BE22" s="8"/>
      <c r="BF22" s="8"/>
      <c r="BG22" s="8"/>
      <c r="BH22" s="8"/>
    </row>
    <row r="23" spans="1:60" ht="16.5" thickBot="1">
      <c r="A23" s="1177"/>
      <c r="B23" s="1198"/>
      <c r="C23" s="27" t="s">
        <v>95</v>
      </c>
      <c r="D23" s="28">
        <v>0.15</v>
      </c>
      <c r="E23" s="29" t="e">
        <f ca="1">IF($H$7="Africa",IF($F23&gt;AG$15,1,IF($F23&gt;AG$14,2,(IF($F23&gt;AG$13,3,4)))),IF($H$7="East &amp; South Asia",IF($F23&gt;AG$19,1,IF($F23&gt;AG$18,2,(IF($F23&gt;AG$17,3,4)))),IF($H$7="Eastern Europe &amp; Central Asia",IF($F23&gt;AG$23,1,IF($F23&gt;AG$22,2,(IF($F23&gt;AG$21,3,4)))),IF($H$7="Latin America &amp; Caribbean",IF($F23&gt;AG$27,1,IF($F23&gt;AG$26,2,(IF($F23&gt;AG$25,3,4)))),IF($H$7="Middle East &amp; North Africa",IF($F23&gt;AG$31,1,IF($F23&gt;AG$30,2,(IF($F23&gt;AG$29,3,4)))))))))/4</f>
        <v>#DIV/0!</v>
      </c>
      <c r="F23" s="25" t="e">
        <f ca="1">'Fin Output'!R191*100</f>
        <v>#DIV/0!</v>
      </c>
      <c r="G23" s="35" t="s">
        <v>153</v>
      </c>
      <c r="H23" s="63"/>
      <c r="I23" s="46"/>
      <c r="J23" s="47"/>
      <c r="K23" s="66"/>
      <c r="L23" s="7"/>
      <c r="M23" s="10"/>
      <c r="T23" s="1200"/>
      <c r="U23" s="57" t="s">
        <v>166</v>
      </c>
      <c r="V23" s="51">
        <v>40.93</v>
      </c>
      <c r="W23" s="51">
        <v>5.5600000000000005</v>
      </c>
      <c r="X23" s="51">
        <v>93.94</v>
      </c>
      <c r="Y23" s="51">
        <v>12.0025</v>
      </c>
      <c r="Z23" s="51">
        <v>3.6949999999999998</v>
      </c>
      <c r="AA23" s="51">
        <v>16.734999999999999</v>
      </c>
      <c r="AB23" s="51">
        <v>17.109999999999996</v>
      </c>
      <c r="AC23" s="50">
        <v>120.88000000000001</v>
      </c>
      <c r="AD23" s="50">
        <v>40.784999999999997</v>
      </c>
      <c r="AE23" s="50">
        <v>-20.502747208199768</v>
      </c>
      <c r="AF23" s="50">
        <v>4.05</v>
      </c>
      <c r="AG23" s="50">
        <v>1.3149999999999999</v>
      </c>
      <c r="AH23" s="50">
        <v>88.514925000000005</v>
      </c>
      <c r="AI23" s="50">
        <v>245.61664999999999</v>
      </c>
      <c r="AJ23" s="50">
        <v>21.38</v>
      </c>
      <c r="AK23" s="50">
        <v>136.23500000000001</v>
      </c>
      <c r="AL23" s="50">
        <v>1.294775</v>
      </c>
      <c r="AM23" s="50">
        <v>11.77</v>
      </c>
      <c r="AN23" s="50">
        <v>134.1825</v>
      </c>
      <c r="AO23" s="50">
        <v>-16.624581996860709</v>
      </c>
      <c r="AP23" s="50">
        <v>60.8125</v>
      </c>
      <c r="AQ23" s="50">
        <v>9.5</v>
      </c>
      <c r="AR23" s="50">
        <v>99.9</v>
      </c>
      <c r="AS23" s="116">
        <v>7.5</v>
      </c>
      <c r="BA23" s="8"/>
      <c r="BB23" s="8"/>
      <c r="BC23" s="8"/>
      <c r="BD23" s="8"/>
      <c r="BE23" s="8"/>
      <c r="BF23" s="8"/>
      <c r="BG23" s="8"/>
      <c r="BH23" s="8"/>
    </row>
    <row r="24" spans="1:60" ht="20.25" customHeight="1" thickBot="1">
      <c r="A24" s="1177"/>
      <c r="B24" s="1198"/>
      <c r="C24" s="27" t="s">
        <v>177</v>
      </c>
      <c r="D24" s="67">
        <v>7.4999999999999997E-2</v>
      </c>
      <c r="E24" s="29" t="e">
        <f ca="1">IF($H$7="Africa",IF($F24&gt;AI$15,4,IF($F24&gt;AI$14,3,(IF($F24&gt;AI$13,2,1)))),IF($H$7="East &amp; South Asia",IF($F24&gt;AI$19,4,IF($F24&gt;AI$18,3,(IF($F24&gt;AI$17,2,1)))),IF($H$7="Eastern Europe &amp; Central Asia",IF($F24&gt;AI$23,4,IF($F24&gt;AI$22,3,(IF($F24&gt;AI$21,2,1)))),IF($H$7="Latin America &amp; Caribbean",IF($F24&gt;AI$27,4,IF($F24&gt;AI$26,3,(IF($F24&gt;AI$25,2,1)))),IF($H$7="Middle East &amp; North Africa",IF($F24&gt;AI$31,4,IF($F24&gt;AI$30,3,(IF($F24&gt;AI$29,2,1)))))))))/4</f>
        <v>#DIV/0!</v>
      </c>
      <c r="F24" s="25" t="e">
        <f ca="1">'Hist &amp; Proj'!R119/'Hist &amp; Proj'!R115</f>
        <v>#DIV/0!</v>
      </c>
      <c r="G24" s="35" t="s">
        <v>156</v>
      </c>
      <c r="H24" s="45"/>
      <c r="I24" s="46"/>
      <c r="J24" s="47"/>
      <c r="K24" s="66"/>
      <c r="L24" s="7"/>
      <c r="M24" s="10"/>
      <c r="T24" s="36"/>
      <c r="U24" s="61"/>
      <c r="V24" s="62"/>
      <c r="W24" s="62"/>
      <c r="X24" s="62"/>
      <c r="Y24" s="62"/>
      <c r="Z24" s="62"/>
      <c r="AA24" s="62"/>
      <c r="AB24" s="62"/>
      <c r="AC24" s="115"/>
      <c r="AD24" s="115"/>
      <c r="AE24" s="115"/>
      <c r="AF24" s="115"/>
      <c r="AG24" s="115"/>
      <c r="AH24" s="115"/>
      <c r="AI24" s="115"/>
      <c r="AJ24" s="115"/>
      <c r="AK24" s="115"/>
      <c r="AL24" s="115"/>
      <c r="AM24" s="115"/>
      <c r="AN24" s="115"/>
      <c r="AO24" s="115"/>
      <c r="AP24" s="115"/>
      <c r="AQ24" s="115"/>
      <c r="AR24" s="115"/>
      <c r="AS24" s="117"/>
      <c r="BA24" s="8"/>
      <c r="BB24" s="8"/>
      <c r="BC24" s="8"/>
      <c r="BD24" s="8"/>
      <c r="BE24" s="8"/>
      <c r="BF24" s="8"/>
      <c r="BG24" s="8"/>
      <c r="BH24" s="8"/>
    </row>
    <row r="25" spans="1:60" ht="20.25" customHeight="1">
      <c r="A25" s="1177"/>
      <c r="B25" s="1198"/>
      <c r="C25" s="27" t="s">
        <v>178</v>
      </c>
      <c r="D25" s="67">
        <v>7.4999999999999997E-2</v>
      </c>
      <c r="E25" s="29" t="e">
        <f ca="1">IF($H$7="Africa",IF($F25&gt;AH$15,4,IF($F25&gt;AH$14,3,(IF($F25&gt;AH$13,2,1)))),IF($H$7="East &amp; South Asia",IF($F25&gt;AH$19,4,IF($F25&gt;AH$18,3,(IF($F25&gt;AH$17,2,1)))),IF($H$7="Eastern Europe &amp; Central Asia",IF($F25&gt;AH$23,4,IF($F25&gt;AH$22,3,(IF($F25&gt;AH$21,2,1)))),IF($H$7="Latin America &amp; Caribbean",IF($F25&gt;AH$27,4,IF($F25&gt;AH$26,3,(IF($F25&gt;AH$25,2,1)))),IF($H$7="Middle East &amp; North Africa",IF($F25&gt;AH$31,4,IF($F25&gt;AH$30,3,(IF($F25&gt;AH$29,2,1)))))))))/4</f>
        <v>#DIV/0!</v>
      </c>
      <c r="F25" s="25" t="e">
        <f ca="1">'Hist &amp; Proj'!R119/'Hist &amp; Proj'!R116</f>
        <v>#DIV/0!</v>
      </c>
      <c r="G25" s="35" t="s">
        <v>156</v>
      </c>
      <c r="H25" s="45"/>
      <c r="I25" s="46"/>
      <c r="J25" s="47"/>
      <c r="K25" s="66"/>
      <c r="L25" s="7"/>
      <c r="M25" s="10"/>
      <c r="T25" s="1194" t="s">
        <v>288</v>
      </c>
      <c r="U25" s="49" t="s">
        <v>161</v>
      </c>
      <c r="V25" s="51">
        <v>15.997499999999999</v>
      </c>
      <c r="W25" s="51">
        <v>1.1100000000000001</v>
      </c>
      <c r="X25" s="51">
        <v>72.474999999999994</v>
      </c>
      <c r="Y25" s="51">
        <v>4.68</v>
      </c>
      <c r="Z25" s="51">
        <v>-0.5675</v>
      </c>
      <c r="AA25" s="51">
        <v>-1.2550000000000001</v>
      </c>
      <c r="AB25" s="51">
        <v>-3.7150000000000003</v>
      </c>
      <c r="AC25" s="50">
        <v>96.419999999999987</v>
      </c>
      <c r="AD25" s="50">
        <v>25.252500000000001</v>
      </c>
      <c r="AE25" s="50">
        <v>4.6954177796713292</v>
      </c>
      <c r="AF25" s="50">
        <v>2.34</v>
      </c>
      <c r="AG25" s="50">
        <v>0.76</v>
      </c>
      <c r="AH25" s="50">
        <v>77.216075000000004</v>
      </c>
      <c r="AI25" s="50">
        <v>183.7826</v>
      </c>
      <c r="AJ25" s="50">
        <v>13.387500000000003</v>
      </c>
      <c r="AK25" s="50">
        <v>101.325</v>
      </c>
      <c r="AL25" s="50">
        <v>0.56272500000000003</v>
      </c>
      <c r="AM25" s="50">
        <v>5.8274999999999997</v>
      </c>
      <c r="AN25" s="50">
        <v>8.9275000000000002</v>
      </c>
      <c r="AO25" s="50">
        <v>-13.386549872845432</v>
      </c>
      <c r="AP25" s="50">
        <v>46.092500000000001</v>
      </c>
      <c r="AQ25" s="50">
        <v>3.2029239999999999</v>
      </c>
      <c r="AR25" s="50">
        <v>79.900000000000006</v>
      </c>
      <c r="AS25" s="116">
        <v>2.5</v>
      </c>
      <c r="BA25" s="8"/>
      <c r="BB25" s="8"/>
      <c r="BC25" s="8"/>
      <c r="BD25" s="8"/>
      <c r="BE25" s="8"/>
      <c r="BF25" s="8"/>
      <c r="BG25" s="8"/>
      <c r="BH25" s="8"/>
    </row>
    <row r="26" spans="1:60" ht="20.25" customHeight="1">
      <c r="A26" s="1214"/>
      <c r="B26" s="1198"/>
      <c r="C26" s="27" t="s">
        <v>179</v>
      </c>
      <c r="D26" s="28">
        <v>0.1</v>
      </c>
      <c r="E26" s="29" t="e">
        <f ca="1">IF($H$7="Africa",IF($F26&gt;AJ$15,1,IF($F26&gt;AJ$14,2,(IF($F26&gt;AJ$13,3,4)))),IF($H$7="East &amp; South Asia",IF($F26&gt;AJ$19,1,IF($F26&gt;AJ$18,2,(IF($F26&gt;AJ$17,3,4)))),IF($H$7="Eastern Europe &amp; Central Asia",IF($F26&gt;AJ$23,1,IF($F26&gt;AJ$22,2,(IF($F26&gt;AJ$21,3,4)))),IF($H$7="Latin America &amp; Caribbean",IF($F26&gt;AJ$27,1,IF($F26&gt;AJ$26,2,(IF($F26&gt;AJ$25,3,4)))),IF($H$7="Middle East &amp; North Africa",IF($F26&gt;AJ$31,1,IF($F26&gt;AJ$30,2,(IF($F26&gt;AJ$29,3,4)))))))))/4</f>
        <v>#DIV/0!</v>
      </c>
      <c r="F26" s="25" t="e">
        <f ca="1">'Fin Output'!R97*100</f>
        <v>#DIV/0!</v>
      </c>
      <c r="G26" s="35" t="s">
        <v>153</v>
      </c>
      <c r="H26" s="45"/>
      <c r="I26" s="46"/>
      <c r="J26" s="47"/>
      <c r="K26" s="66"/>
      <c r="L26" s="7"/>
      <c r="M26" s="10"/>
      <c r="T26" s="1195"/>
      <c r="U26" s="57" t="s">
        <v>163</v>
      </c>
      <c r="V26" s="50">
        <v>24.934999999999999</v>
      </c>
      <c r="W26" s="50">
        <v>2.855</v>
      </c>
      <c r="X26" s="50">
        <v>80.3</v>
      </c>
      <c r="Y26" s="50">
        <v>6.5950000000000006</v>
      </c>
      <c r="Z26" s="50">
        <v>1.8349999999999997</v>
      </c>
      <c r="AA26" s="50">
        <v>7.335</v>
      </c>
      <c r="AB26" s="50">
        <v>6.87</v>
      </c>
      <c r="AC26" s="50">
        <v>107.45</v>
      </c>
      <c r="AD26" s="50">
        <v>6.87</v>
      </c>
      <c r="AE26" s="50">
        <v>1.1724187955569398</v>
      </c>
      <c r="AF26" s="50">
        <v>4.1500000000000004</v>
      </c>
      <c r="AG26" s="50">
        <v>2.3199999999999998</v>
      </c>
      <c r="AH26" s="50">
        <v>106.75635</v>
      </c>
      <c r="AI26" s="50">
        <v>262</v>
      </c>
      <c r="AJ26" s="50">
        <v>22.34</v>
      </c>
      <c r="AK26" s="50">
        <v>112.07000000000001</v>
      </c>
      <c r="AL26" s="50">
        <v>0.93369999999999997</v>
      </c>
      <c r="AM26" s="50">
        <v>11</v>
      </c>
      <c r="AN26" s="50">
        <v>24.885000000000002</v>
      </c>
      <c r="AO26" s="50">
        <v>-16.384180790960457</v>
      </c>
      <c r="AP26" s="50">
        <v>59.63</v>
      </c>
      <c r="AQ26" s="50">
        <v>5.6695070000000003</v>
      </c>
      <c r="AR26" s="50">
        <v>89.9</v>
      </c>
      <c r="AS26" s="116">
        <v>5</v>
      </c>
      <c r="BA26" s="8"/>
      <c r="BB26" s="8"/>
      <c r="BC26" s="8"/>
      <c r="BD26" s="8"/>
      <c r="BE26" s="8"/>
      <c r="BF26" s="8"/>
      <c r="BG26" s="8"/>
      <c r="BH26" s="8"/>
    </row>
    <row r="27" spans="1:60" ht="20.25" customHeight="1" thickBot="1">
      <c r="A27" s="1214"/>
      <c r="B27" s="1198"/>
      <c r="C27" s="27" t="s">
        <v>289</v>
      </c>
      <c r="D27" s="28">
        <v>0.15</v>
      </c>
      <c r="E27" s="29" t="e">
        <f ca="1">IF($H$7="Africa",IF($F27&gt;AK$15,4,IF($F27&gt;AK$14,3,(IF($F27&gt;AK$13,2,1)))),IF($H$7="East &amp; South Asia",IF($F27&gt;AK$19,4,IF($F27&gt;AK$18,3,(IF($F27&gt;AK$17,2,1)))),IF($H$7="Eastern Europe &amp; Central Asia",IF($F27&gt;AK$23,4,IF($F27&gt;AK$22,3,(IF($F27&gt;AK$21,2,1)))),IF($H$7="Latin America &amp; Caribbean",IF($F27&gt;AK$27,4,IF($F27&gt;AK$26,3,(IF($F27&gt;AK$25,2,1)))),IF($H$7="Middle East &amp; North Africa",IF($F27&gt;AK$31,4,IF($F27&gt;AK$30,3,(IF($F27&gt;AK$29,2,1)))))))))/4</f>
        <v>#DIV/0!</v>
      </c>
      <c r="F27" s="25" t="e">
        <f ca="1">'Fin Output'!R93*100</f>
        <v>#DIV/0!</v>
      </c>
      <c r="G27" s="35" t="s">
        <v>153</v>
      </c>
      <c r="H27" s="45"/>
      <c r="I27" s="46"/>
      <c r="J27" s="47"/>
      <c r="K27" s="66"/>
      <c r="L27" s="7"/>
      <c r="M27" s="10"/>
      <c r="T27" s="1200"/>
      <c r="U27" s="57" t="s">
        <v>166</v>
      </c>
      <c r="V27" s="51">
        <v>46.265000000000001</v>
      </c>
      <c r="W27" s="51">
        <v>5.1624999999999996</v>
      </c>
      <c r="X27" s="51">
        <v>86.825000000000003</v>
      </c>
      <c r="Y27" s="51">
        <v>8.3625000000000007</v>
      </c>
      <c r="Z27" s="51">
        <v>4.6924999999999999</v>
      </c>
      <c r="AA27" s="51">
        <v>17.899999999999999</v>
      </c>
      <c r="AB27" s="51">
        <v>16.63</v>
      </c>
      <c r="AC27" s="50">
        <v>119.99</v>
      </c>
      <c r="AD27" s="50">
        <v>52.4375</v>
      </c>
      <c r="AE27" s="50">
        <v>-2.7994119101192205</v>
      </c>
      <c r="AF27" s="50">
        <v>7.7200000000000006</v>
      </c>
      <c r="AG27" s="50">
        <v>4.1074999999999999</v>
      </c>
      <c r="AH27" s="50">
        <v>152.16849999999999</v>
      </c>
      <c r="AI27" s="50">
        <v>373</v>
      </c>
      <c r="AJ27" s="50">
        <v>43.405000000000001</v>
      </c>
      <c r="AK27" s="50">
        <v>123.32999999999998</v>
      </c>
      <c r="AL27" s="50">
        <v>1.3849499999999999</v>
      </c>
      <c r="AM27" s="50">
        <v>16.962499999999999</v>
      </c>
      <c r="AN27" s="50">
        <v>53.664999999999999</v>
      </c>
      <c r="AO27" s="50">
        <v>8.1113458853714562</v>
      </c>
      <c r="AP27" s="50">
        <v>78.039999999999992</v>
      </c>
      <c r="AQ27" s="50">
        <v>7.795471</v>
      </c>
      <c r="AR27" s="50">
        <v>99.9</v>
      </c>
      <c r="AS27" s="116">
        <v>7.5</v>
      </c>
      <c r="BA27" s="8"/>
      <c r="BB27" s="8"/>
      <c r="BC27" s="8"/>
      <c r="BD27" s="8"/>
      <c r="BE27" s="8"/>
      <c r="BF27" s="8"/>
      <c r="BG27" s="8"/>
      <c r="BH27" s="8"/>
    </row>
    <row r="28" spans="1:60" ht="18" customHeight="1" thickBot="1">
      <c r="A28" s="1178"/>
      <c r="B28" s="1199"/>
      <c r="C28" s="52" t="s">
        <v>162</v>
      </c>
      <c r="D28" s="53">
        <f>SUM(D21:D27)</f>
        <v>0.8</v>
      </c>
      <c r="E28" s="54" t="e">
        <f ca="1">SUMPRODUCT(D21:D27,E21:E27)</f>
        <v>#DIV/0!</v>
      </c>
      <c r="F28" s="55"/>
      <c r="G28" s="55"/>
      <c r="H28" s="52" t="s">
        <v>162</v>
      </c>
      <c r="I28" s="53">
        <f>SUM(I21:I26)</f>
        <v>0.2</v>
      </c>
      <c r="J28" s="54">
        <f>I21*J21+I22*J22</f>
        <v>0.14000000000000001</v>
      </c>
      <c r="K28" s="55"/>
      <c r="L28" s="56">
        <f>D28+I28</f>
        <v>1</v>
      </c>
      <c r="M28" s="10"/>
      <c r="T28" s="36"/>
      <c r="U28" s="61"/>
      <c r="V28" s="62"/>
      <c r="W28" s="62"/>
      <c r="X28" s="62"/>
      <c r="Y28" s="62"/>
      <c r="Z28" s="62"/>
      <c r="AA28" s="62"/>
      <c r="AB28" s="62"/>
      <c r="AC28" s="115"/>
      <c r="AD28" s="115"/>
      <c r="AE28" s="115"/>
      <c r="AF28" s="115"/>
      <c r="AG28" s="115"/>
      <c r="AH28" s="115"/>
      <c r="AI28" s="115"/>
      <c r="AJ28" s="115"/>
      <c r="AK28" s="115"/>
      <c r="AL28" s="115"/>
      <c r="AM28" s="115"/>
      <c r="AN28" s="115"/>
      <c r="AO28" s="115"/>
      <c r="AP28" s="115"/>
      <c r="AQ28" s="115"/>
      <c r="AR28" s="115"/>
      <c r="AS28" s="117"/>
      <c r="BA28" s="8"/>
      <c r="BB28" s="8"/>
      <c r="BC28" s="8"/>
      <c r="BD28" s="8"/>
      <c r="BE28" s="8"/>
      <c r="BF28" s="8"/>
      <c r="BG28" s="8"/>
      <c r="BH28" s="8"/>
    </row>
    <row r="29" spans="1:60" ht="41.25" customHeight="1" thickTop="1">
      <c r="A29" s="1176" t="s">
        <v>180</v>
      </c>
      <c r="B29" s="1191">
        <v>0.1</v>
      </c>
      <c r="C29" s="27" t="s">
        <v>181</v>
      </c>
      <c r="D29" s="28">
        <v>0.25</v>
      </c>
      <c r="E29" s="29" t="e">
        <f ca="1">IF($H$7="Africa",IF($F29&gt;AL$15,4,IF($F29&gt;AL$14,3,(IF($F29&gt;AL$13,2,1)))),IF($H$7="East &amp; South Asia",IF($F29&gt;AL$19,4,IF($F29&gt;AL$18,3,(IF($F29&gt;AL$17,2,1)))),IF($H$7="Eastern Europe &amp; Central Asia",IF($F29&gt;AL$23,4,IF($F29&gt;AL$22,3,(IF($F29&gt;AL$21,2,1)))),IF($H$7="Latin America &amp; Caribbean",IF($F29&gt;AL$27,4,IF($F29&gt;AL$26,3,(IF($F29&gt;AL$25,2,1)))),IF($H$7="Middle East &amp; North Africa",IF($F29&gt;AL$31,4,IF($F29&gt;AL$30,3,(IF($F29&gt;AL$29,2,1)))))))))/4</f>
        <v>#DIV/0!</v>
      </c>
      <c r="F29" s="25" t="e">
        <f ca="1">'Fin Output'!R207</f>
        <v>#DIV/0!</v>
      </c>
      <c r="G29" s="35" t="s">
        <v>155</v>
      </c>
      <c r="H29" s="27" t="s">
        <v>294</v>
      </c>
      <c r="I29" s="28">
        <v>0.15</v>
      </c>
      <c r="J29" s="29">
        <f t="shared" ref="J29:J38" si="0">K29/5</f>
        <v>0.8</v>
      </c>
      <c r="K29" s="139">
        <v>4</v>
      </c>
      <c r="L29" s="7"/>
      <c r="M29" s="10"/>
      <c r="T29" s="1194" t="s">
        <v>182</v>
      </c>
      <c r="U29" s="49" t="s">
        <v>161</v>
      </c>
      <c r="V29" s="51">
        <v>23.025000000000002</v>
      </c>
      <c r="W29" s="51">
        <v>0.18</v>
      </c>
      <c r="X29" s="51">
        <v>58.347499999999997</v>
      </c>
      <c r="Y29" s="51">
        <v>0.76250000000000007</v>
      </c>
      <c r="Z29" s="51">
        <v>-2.0575000000000001</v>
      </c>
      <c r="AA29" s="51">
        <v>-1.5650000000000002</v>
      </c>
      <c r="AB29" s="51">
        <v>-26.919999999999998</v>
      </c>
      <c r="AC29" s="50">
        <v>78.825000000000003</v>
      </c>
      <c r="AD29" s="50">
        <v>23.462499999999999</v>
      </c>
      <c r="AE29" s="50">
        <v>-23.424106235904663</v>
      </c>
      <c r="AF29" s="50">
        <v>0.32500000000000001</v>
      </c>
      <c r="AG29" s="50">
        <v>0.03</v>
      </c>
      <c r="AH29" s="50">
        <v>62.794425000000004</v>
      </c>
      <c r="AI29" s="50">
        <v>142.79085000000001</v>
      </c>
      <c r="AJ29" s="50">
        <v>14.29</v>
      </c>
      <c r="AK29" s="50">
        <v>89.717500000000001</v>
      </c>
      <c r="AL29" s="50">
        <v>0.53792499999999999</v>
      </c>
      <c r="AM29" s="50">
        <v>6.839999999999999</v>
      </c>
      <c r="AN29" s="50">
        <v>11.805</v>
      </c>
      <c r="AO29" s="50">
        <v>30.282809024467738</v>
      </c>
      <c r="AP29" s="50">
        <v>40.464999999999996</v>
      </c>
      <c r="AQ29" s="50">
        <v>2.7150439999999998</v>
      </c>
      <c r="AR29" s="50">
        <v>79.900000000000006</v>
      </c>
      <c r="AS29" s="116">
        <v>2.5</v>
      </c>
      <c r="BA29" s="8"/>
      <c r="BB29" s="8"/>
      <c r="BC29" s="8"/>
      <c r="BD29" s="8"/>
      <c r="BE29" s="8"/>
      <c r="BF29" s="8"/>
      <c r="BG29" s="8"/>
      <c r="BH29" s="8"/>
    </row>
    <row r="30" spans="1:60" ht="34.5" customHeight="1">
      <c r="A30" s="1177"/>
      <c r="B30" s="1198"/>
      <c r="C30" s="27" t="s">
        <v>183</v>
      </c>
      <c r="D30" s="28">
        <v>0.1</v>
      </c>
      <c r="E30" s="29" t="e">
        <f ca="1">IF($H$7="Africa",IF($F30&lt;AM$13,4,IF($F30&lt;AM$14,3,(IF($F30&lt;AM$15,2,1)))),IF($H$7="East &amp; South Asia",IF($F30&lt;AM$17,4,IF($F30&lt;AM$18,3,(IF($F30&lt;AM$19,2,1)))),IF($H$7="Eastern Europe &amp; Central Asia",IF($F30&lt;AM$21,4,IF($F30&lt;AM$22,3,(IF($F30&lt;AM$23,2,1)))),IF($H$7="Latin America &amp; Caribbean",IF($F30&lt;AM$25,4,IF($F30&lt;AM$26,3,(IF($F30&lt;AM$27,2,1)))),IF($H$7="Middle East &amp; North Africa",IF($F30&lt;AM$29,4,IF($F30&lt;AM$30,3,(IF($F30&lt;AM$31,2,1)))))))))/4</f>
        <v>#DIV/0!</v>
      </c>
      <c r="F30" s="25" t="e">
        <f ca="1">'Hist &amp; Proj'!R18/'Hist &amp; Proj'!R25*100</f>
        <v>#DIV/0!</v>
      </c>
      <c r="G30" s="35" t="s">
        <v>153</v>
      </c>
      <c r="H30" s="27" t="s">
        <v>184</v>
      </c>
      <c r="I30" s="28">
        <v>0.15</v>
      </c>
      <c r="J30" s="29">
        <f t="shared" si="0"/>
        <v>0.6</v>
      </c>
      <c r="K30" s="140">
        <v>3</v>
      </c>
      <c r="L30" s="7"/>
      <c r="M30" s="10"/>
      <c r="T30" s="1195"/>
      <c r="U30" s="57" t="s">
        <v>163</v>
      </c>
      <c r="V30" s="50">
        <v>48.480000000000004</v>
      </c>
      <c r="W30" s="50">
        <v>0.91</v>
      </c>
      <c r="X30" s="50">
        <v>72.094999999999999</v>
      </c>
      <c r="Y30" s="50">
        <v>4.5</v>
      </c>
      <c r="Z30" s="50">
        <v>2.41</v>
      </c>
      <c r="AA30" s="50">
        <v>3.5350000000000001</v>
      </c>
      <c r="AB30" s="50">
        <v>6.8250000000000002</v>
      </c>
      <c r="AC30" s="50">
        <v>107.33500000000001</v>
      </c>
      <c r="AD30" s="50">
        <v>6.8250000000000002</v>
      </c>
      <c r="AE30" s="50">
        <v>-17.825457242327147</v>
      </c>
      <c r="AF30" s="50">
        <v>2.3800000000000003</v>
      </c>
      <c r="AG30" s="50">
        <v>0.89</v>
      </c>
      <c r="AH30" s="50">
        <v>118.40010000000001</v>
      </c>
      <c r="AI30" s="50">
        <v>211.14940000000001</v>
      </c>
      <c r="AJ30" s="50">
        <v>21.39</v>
      </c>
      <c r="AK30" s="50">
        <v>119.05000000000001</v>
      </c>
      <c r="AL30" s="50">
        <v>0.72529999999999994</v>
      </c>
      <c r="AM30" s="50">
        <v>19.624999999999996</v>
      </c>
      <c r="AN30" s="50">
        <v>15.455</v>
      </c>
      <c r="AO30" s="50">
        <v>-6.3979348689436115</v>
      </c>
      <c r="AP30" s="50">
        <v>65.355000000000004</v>
      </c>
      <c r="AQ30" s="50">
        <v>5.266256499999999</v>
      </c>
      <c r="AR30" s="50">
        <v>89.9</v>
      </c>
      <c r="AS30" s="116">
        <v>5</v>
      </c>
      <c r="BA30" s="8"/>
      <c r="BB30" s="8"/>
      <c r="BC30" s="8"/>
      <c r="BD30" s="8"/>
      <c r="BE30" s="8"/>
      <c r="BF30" s="8"/>
      <c r="BG30" s="8"/>
      <c r="BH30" s="8"/>
    </row>
    <row r="31" spans="1:60" ht="33.75" customHeight="1" thickBot="1">
      <c r="A31" s="1177"/>
      <c r="B31" s="1198"/>
      <c r="C31" s="45"/>
      <c r="D31" s="68"/>
      <c r="E31" s="66"/>
      <c r="F31" s="66"/>
      <c r="G31" s="66"/>
      <c r="H31" s="27" t="s">
        <v>185</v>
      </c>
      <c r="I31" s="28">
        <v>0.15</v>
      </c>
      <c r="J31" s="29">
        <f t="shared" si="0"/>
        <v>0.8</v>
      </c>
      <c r="K31" s="140">
        <v>4</v>
      </c>
      <c r="L31" s="7"/>
      <c r="M31" s="10"/>
      <c r="T31" s="1196"/>
      <c r="U31" s="69" t="s">
        <v>166</v>
      </c>
      <c r="V31" s="70">
        <v>78.160000000000011</v>
      </c>
      <c r="W31" s="70">
        <v>2.1500000000000004</v>
      </c>
      <c r="X31" s="70">
        <v>84.78</v>
      </c>
      <c r="Y31" s="70">
        <v>6.36</v>
      </c>
      <c r="Z31" s="70">
        <v>5.0975000000000001</v>
      </c>
      <c r="AA31" s="70">
        <v>11.08</v>
      </c>
      <c r="AB31" s="70">
        <v>19.3475</v>
      </c>
      <c r="AC31" s="70">
        <v>123.99499999999999</v>
      </c>
      <c r="AD31" s="70">
        <v>36.112499999999997</v>
      </c>
      <c r="AE31" s="70">
        <v>6.1659954760546309</v>
      </c>
      <c r="AF31" s="70">
        <v>5.19</v>
      </c>
      <c r="AG31" s="70">
        <v>4.21</v>
      </c>
      <c r="AH31" s="70">
        <v>164.37302500000001</v>
      </c>
      <c r="AI31" s="70">
        <v>280.33960000000002</v>
      </c>
      <c r="AJ31" s="70">
        <v>28.890000000000004</v>
      </c>
      <c r="AK31" s="70">
        <v>152.54</v>
      </c>
      <c r="AL31" s="70">
        <v>2.1041750000000001</v>
      </c>
      <c r="AM31" s="70">
        <v>32.107500000000002</v>
      </c>
      <c r="AN31" s="70">
        <v>51.8675</v>
      </c>
      <c r="AO31" s="70">
        <v>-18.014356399444264</v>
      </c>
      <c r="AP31" s="70">
        <v>90.397499999999994</v>
      </c>
      <c r="AQ31" s="70">
        <v>7.0747460000000002</v>
      </c>
      <c r="AR31" s="70">
        <v>99.9</v>
      </c>
      <c r="AS31" s="118">
        <v>7.5</v>
      </c>
      <c r="BA31" s="8"/>
      <c r="BB31" s="8"/>
      <c r="BC31" s="8"/>
      <c r="BD31" s="8"/>
      <c r="BE31" s="8"/>
      <c r="BF31" s="8"/>
      <c r="BG31" s="8"/>
      <c r="BH31" s="8"/>
    </row>
    <row r="32" spans="1:60" ht="22.5" customHeight="1" thickTop="1">
      <c r="A32" s="1177"/>
      <c r="B32" s="1198"/>
      <c r="C32" s="63"/>
      <c r="D32" s="71"/>
      <c r="E32" s="48"/>
      <c r="F32" s="48"/>
      <c r="G32" s="48"/>
      <c r="H32" s="27" t="s">
        <v>186</v>
      </c>
      <c r="I32" s="28">
        <v>0.1</v>
      </c>
      <c r="J32" s="29">
        <f t="shared" si="0"/>
        <v>0.8</v>
      </c>
      <c r="K32" s="140">
        <v>4</v>
      </c>
      <c r="L32" s="7"/>
      <c r="M32" s="10"/>
      <c r="BA32" s="8"/>
      <c r="BB32" s="8"/>
      <c r="BC32" s="8"/>
      <c r="BD32" s="8"/>
      <c r="BE32" s="8"/>
      <c r="BF32" s="8"/>
      <c r="BG32" s="8"/>
      <c r="BH32" s="8"/>
    </row>
    <row r="33" spans="1:60" ht="26.25" customHeight="1" thickBot="1">
      <c r="A33" s="1177"/>
      <c r="B33" s="1198"/>
      <c r="C33" s="72"/>
      <c r="D33" s="73"/>
      <c r="E33" s="74"/>
      <c r="F33" s="74" t="s">
        <v>925</v>
      </c>
      <c r="G33" s="74"/>
      <c r="H33" s="27" t="s">
        <v>187</v>
      </c>
      <c r="I33" s="28">
        <v>0.1</v>
      </c>
      <c r="J33" s="29">
        <f t="shared" si="0"/>
        <v>0.6</v>
      </c>
      <c r="K33" s="141">
        <v>3</v>
      </c>
      <c r="L33" s="7"/>
      <c r="M33" s="10"/>
      <c r="BA33" s="8"/>
      <c r="BB33" s="8"/>
      <c r="BC33" s="8"/>
      <c r="BD33" s="8"/>
      <c r="BE33" s="8"/>
      <c r="BF33" s="8"/>
      <c r="BG33" s="8"/>
      <c r="BH33" s="8"/>
    </row>
    <row r="34" spans="1:60" ht="16.5" customHeight="1" thickBot="1">
      <c r="A34" s="1178"/>
      <c r="B34" s="1199"/>
      <c r="C34" s="75" t="s">
        <v>162</v>
      </c>
      <c r="D34" s="53">
        <f>SUM(D29:D33)</f>
        <v>0.35</v>
      </c>
      <c r="E34" s="76" t="e">
        <f ca="1">SUMPRODUCT(D29:D30,E29:E30)</f>
        <v>#DIV/0!</v>
      </c>
      <c r="F34" s="77"/>
      <c r="G34" s="77"/>
      <c r="H34" s="75" t="s">
        <v>162</v>
      </c>
      <c r="I34" s="78">
        <f>SUM(I29:I33)</f>
        <v>0.64999999999999991</v>
      </c>
      <c r="J34" s="79">
        <f>I29*J29+I30*J30+I31*J31+I32*J32+I33*J33</f>
        <v>0.47</v>
      </c>
      <c r="K34" s="77"/>
      <c r="L34" s="56">
        <f>D34+I34</f>
        <v>0.99999999999999989</v>
      </c>
      <c r="M34" s="10"/>
      <c r="BA34" s="8"/>
      <c r="BB34" s="8"/>
      <c r="BC34" s="8"/>
      <c r="BD34" s="8"/>
      <c r="BE34" s="8"/>
      <c r="BF34" s="8"/>
      <c r="BG34" s="8"/>
      <c r="BH34" s="8"/>
    </row>
    <row r="35" spans="1:60" ht="20.25" customHeight="1" thickTop="1">
      <c r="A35" s="1176" t="s">
        <v>188</v>
      </c>
      <c r="B35" s="1191">
        <v>0.1</v>
      </c>
      <c r="C35" s="27" t="s">
        <v>311</v>
      </c>
      <c r="D35" s="28">
        <v>0.2</v>
      </c>
      <c r="E35" s="29" t="e">
        <f ca="1">IF($H$7="Africa",IF($F35&gt;AN$15,1,IF($F35&gt;AN$14,2,(IF($F35&gt;AN$13,3,4)))),IF($H$7="East &amp; South Asia",IF($F35&gt;AN$19,1,IF($F35&gt;AN$18,2,(IF($F35&gt;AN$17,3,4)))),IF($H$7="Eastern Europe &amp; Central Asia",IF($F35&gt;AN$23,1,IF($F35&gt;AN$22,2,(IF($F35&gt;AN$21,3,4)))),IF($H$7="Latin America &amp; Caribbean",IF($F35&gt;AN$27,1,IF($F35&gt;AN$26,2,(IF($F35&gt;AN$25,3,4)))),IF($H$7="Middle East &amp; North Africa",IF($F35&gt;AN$31,1,IF($F35&gt;AN$30,2,(IF($F35&gt;AN$29,3,4)))))))))/4</f>
        <v>#DIV/0!</v>
      </c>
      <c r="F35" s="25" t="e">
        <f ca="1">'Port &amp; Other'!E169*100</f>
        <v>#DIV/0!</v>
      </c>
      <c r="G35" s="35" t="s">
        <v>153</v>
      </c>
      <c r="H35" s="27" t="s">
        <v>189</v>
      </c>
      <c r="I35" s="28">
        <v>0.1</v>
      </c>
      <c r="J35" s="29">
        <f t="shared" si="0"/>
        <v>1</v>
      </c>
      <c r="K35" s="139">
        <v>5</v>
      </c>
      <c r="L35" s="7"/>
      <c r="M35" s="10"/>
      <c r="BA35" s="8"/>
      <c r="BB35" s="8"/>
      <c r="BC35" s="8"/>
      <c r="BD35" s="8"/>
      <c r="BE35" s="8"/>
      <c r="BF35" s="8"/>
      <c r="BG35" s="8"/>
      <c r="BH35" s="8"/>
    </row>
    <row r="36" spans="1:60" ht="20.25" customHeight="1">
      <c r="A36" s="1177"/>
      <c r="B36" s="1198"/>
      <c r="C36" s="27" t="s">
        <v>305</v>
      </c>
      <c r="D36" s="28">
        <v>0.15</v>
      </c>
      <c r="E36" s="29" t="e">
        <f ca="1">IF($H$7="Africa",IF($F36&gt;AO$15,4,IF($F36&gt;AO$14,3,(IF($F36&gt;AO$13,2,1)))),IF($H$7="East &amp; South Asia",IF($F36&gt;AO$19,4,IF($F36&gt;AO$18,3,(IF($F36&gt;AO$17,2,1)))),IF($H$7="Eastern Europe &amp; Central Asia",IF($F36&gt;AO$23,4,IF($F36&gt;AO$22,3,(IF($F36&gt;AO$21,2,1)))),IF($H$7="Latin America &amp; Caribbean",IF($F36&gt;AO$27,4,IF($F36&gt;AO$26,3,(IF($F36&gt;AO$25,2,1)))),IF($H$7="Middle East &amp; North Africa",IF($F36&gt;AO$31,4,IF($F36&gt;AO$30,3,(IF($F36&gt;AO$29,2,1)))))))))/4</f>
        <v>#DIV/0!</v>
      </c>
      <c r="F36" s="25" t="e">
        <f ca="1">(('Hist &amp; Proj'!R119/'Hist &amp; Proj'!E119)-1)*100</f>
        <v>#DIV/0!</v>
      </c>
      <c r="G36" s="35" t="s">
        <v>153</v>
      </c>
      <c r="H36" s="27" t="s">
        <v>190</v>
      </c>
      <c r="I36" s="28">
        <v>0.1</v>
      </c>
      <c r="J36" s="29">
        <f t="shared" si="0"/>
        <v>1</v>
      </c>
      <c r="K36" s="140">
        <v>5</v>
      </c>
      <c r="L36" s="7"/>
      <c r="M36" s="10"/>
      <c r="BA36" s="8"/>
      <c r="BB36" s="8"/>
      <c r="BC36" s="8"/>
      <c r="BD36" s="8"/>
      <c r="BE36" s="8"/>
      <c r="BF36" s="8"/>
      <c r="BG36" s="8"/>
      <c r="BH36" s="8"/>
    </row>
    <row r="37" spans="1:60" ht="31.5" customHeight="1">
      <c r="A37" s="1177"/>
      <c r="B37" s="1198"/>
      <c r="C37" s="27" t="s">
        <v>295</v>
      </c>
      <c r="D37" s="28">
        <v>0.1</v>
      </c>
      <c r="E37" s="29" t="e">
        <f>F37/100</f>
        <v>#DIV/0!</v>
      </c>
      <c r="F37" s="114" t="e">
        <f>'Port &amp; Other'!E29/'Port &amp; Other'!E34*100</f>
        <v>#DIV/0!</v>
      </c>
      <c r="G37" s="35" t="s">
        <v>153</v>
      </c>
      <c r="H37" s="27" t="s">
        <v>191</v>
      </c>
      <c r="I37" s="28">
        <v>0.1</v>
      </c>
      <c r="J37" s="29">
        <f t="shared" si="0"/>
        <v>1</v>
      </c>
      <c r="K37" s="140">
        <v>5</v>
      </c>
      <c r="L37" s="7"/>
      <c r="M37" s="10"/>
      <c r="BA37" s="8"/>
      <c r="BB37" s="8"/>
      <c r="BC37" s="8"/>
      <c r="BD37" s="8"/>
      <c r="BE37" s="8"/>
      <c r="BF37" s="8"/>
      <c r="BG37" s="8"/>
      <c r="BH37" s="8"/>
    </row>
    <row r="38" spans="1:60" ht="20.25" customHeight="1">
      <c r="A38" s="1177"/>
      <c r="B38" s="1198"/>
      <c r="C38" s="27" t="s">
        <v>192</v>
      </c>
      <c r="D38" s="28">
        <v>0.1</v>
      </c>
      <c r="E38" s="29" t="e">
        <f>IF($H$7="Africa",IF($F38&gt;AP$15,4,IF($F38&gt;AP$14,3,(IF($F38&gt;AP$13,2,1)))),IF($H$7="East &amp; South Asia",IF($F38&gt;AP$19,4,IF($F38&gt;AP$18,3,(IF($F38&gt;AP$17,2,1)))),IF($H$7="Eastern Europe &amp; Central Asia",IF($F38&gt;AP$23,4,IF($F38&gt;AP$22,3,(IF($F38&gt;AP$21,2,1)))),IF($H$7="Latin America &amp; Caribbean",IF($F38&gt;AP$27,4,IF($F38&gt;AP$26,3,(IF($F38&gt;AP$25,2,1)))),IF($H$7="Middle East &amp; North Africa",IF($F38&gt;AP$31,4,IF($F38&gt;AP$30,3,(IF($F38&gt;AP$29,2,1)))))))))/4</f>
        <v>#DIV/0!</v>
      </c>
      <c r="F38" s="25" t="e">
        <f>'Port &amp; Other'!D12/'Port &amp; Other'!D15*100</f>
        <v>#DIV/0!</v>
      </c>
      <c r="G38" s="35" t="s">
        <v>153</v>
      </c>
      <c r="H38" s="27" t="s">
        <v>301</v>
      </c>
      <c r="I38" s="28">
        <v>0.1</v>
      </c>
      <c r="J38" s="29">
        <f t="shared" si="0"/>
        <v>0.8</v>
      </c>
      <c r="K38" s="140">
        <v>4</v>
      </c>
      <c r="L38" s="7"/>
      <c r="M38" s="10"/>
      <c r="BA38" s="8"/>
      <c r="BB38" s="8"/>
      <c r="BC38" s="8"/>
      <c r="BD38" s="8"/>
      <c r="BE38" s="8"/>
      <c r="BF38" s="8"/>
      <c r="BG38" s="8"/>
      <c r="BH38" s="8"/>
    </row>
    <row r="39" spans="1:60" ht="20.25" customHeight="1" thickBot="1">
      <c r="A39" s="1177"/>
      <c r="B39" s="1198"/>
      <c r="C39" s="27" t="s">
        <v>193</v>
      </c>
      <c r="D39" s="28">
        <v>0.05</v>
      </c>
      <c r="E39" s="29" t="e">
        <f>F39/100</f>
        <v>#DIV/0!</v>
      </c>
      <c r="F39" s="25" t="e">
        <f>'Port &amp; Other'!E17/'Port &amp; Other'!E20*100</f>
        <v>#DIV/0!</v>
      </c>
      <c r="G39" s="35" t="s">
        <v>153</v>
      </c>
      <c r="H39" s="80"/>
      <c r="I39" s="81"/>
      <c r="J39" s="47"/>
      <c r="K39" s="66"/>
      <c r="L39" s="7"/>
      <c r="M39" s="10"/>
      <c r="BA39" s="8"/>
      <c r="BB39" s="8"/>
      <c r="BC39" s="8"/>
      <c r="BD39" s="8"/>
      <c r="BE39" s="8"/>
      <c r="BF39" s="8"/>
      <c r="BG39" s="8"/>
      <c r="BH39" s="8"/>
    </row>
    <row r="40" spans="1:60" ht="18" customHeight="1" thickBot="1">
      <c r="A40" s="1178"/>
      <c r="B40" s="1199"/>
      <c r="C40" s="75" t="s">
        <v>162</v>
      </c>
      <c r="D40" s="53">
        <f>SUM(D35:D39)</f>
        <v>0.6</v>
      </c>
      <c r="E40" s="76" t="e">
        <f ca="1">SUMPRODUCT(D35:D39,E35:E39)</f>
        <v>#DIV/0!</v>
      </c>
      <c r="F40" s="77"/>
      <c r="G40" s="77"/>
      <c r="H40" s="75" t="s">
        <v>162</v>
      </c>
      <c r="I40" s="78">
        <f>SUM(I35:I39)</f>
        <v>0.4</v>
      </c>
      <c r="J40" s="79">
        <f>I35*J35+I36*J36+I37*J37+I38*J38</f>
        <v>0.38000000000000006</v>
      </c>
      <c r="K40" s="138"/>
      <c r="L40" s="56">
        <f>D40+I40</f>
        <v>1</v>
      </c>
      <c r="M40" s="10"/>
      <c r="AO40" s="8">
        <v>24090</v>
      </c>
      <c r="AP40" s="8">
        <v>27025</v>
      </c>
      <c r="BA40" s="8"/>
      <c r="BB40" s="8"/>
      <c r="BC40" s="8"/>
      <c r="BD40" s="8"/>
      <c r="BE40" s="8"/>
      <c r="BF40" s="8"/>
      <c r="BG40" s="8"/>
      <c r="BH40" s="8"/>
    </row>
    <row r="41" spans="1:60" ht="36" customHeight="1" thickTop="1">
      <c r="A41" s="1176" t="s">
        <v>194</v>
      </c>
      <c r="B41" s="1191">
        <v>0.15</v>
      </c>
      <c r="C41" s="27" t="s">
        <v>195</v>
      </c>
      <c r="D41" s="28">
        <v>0.45</v>
      </c>
      <c r="E41" s="29">
        <f>1/10*E42+3/10*E43+3/10*E44+3/10*E45</f>
        <v>0.82499999999999996</v>
      </c>
      <c r="F41" s="66"/>
      <c r="G41" s="66"/>
      <c r="H41" s="27" t="s">
        <v>196</v>
      </c>
      <c r="I41" s="28">
        <v>0.15</v>
      </c>
      <c r="J41" s="137">
        <f t="shared" ref="J41:J56" si="1">K41/5</f>
        <v>0.8</v>
      </c>
      <c r="K41" s="139">
        <v>4</v>
      </c>
      <c r="L41" s="7"/>
      <c r="M41" s="10"/>
      <c r="AO41" s="8">
        <v>66530</v>
      </c>
      <c r="AP41" s="8">
        <v>66396</v>
      </c>
      <c r="BA41" s="8"/>
      <c r="BB41" s="8"/>
      <c r="BC41" s="8"/>
      <c r="BD41" s="8"/>
      <c r="BE41" s="8"/>
      <c r="BF41" s="8"/>
      <c r="BG41" s="8"/>
      <c r="BH41" s="8"/>
    </row>
    <row r="42" spans="1:60" ht="33.75" customHeight="1">
      <c r="A42" s="1189"/>
      <c r="B42" s="1192"/>
      <c r="C42" s="82" t="s">
        <v>283</v>
      </c>
      <c r="D42" s="28"/>
      <c r="E42" s="29">
        <f>IF($H$7="Africa",IF($F42&gt;AR$15,4,IF($F42&gt;AR$14,3,(IF($F42&gt;AR$13,2,1)))),IF($H$7="East &amp; South Asia",IF($F42&gt;AR$19,4,IF($F42&gt;AR$18,3,(IF($F42&gt;AR$17,2,1)))),IF($H$7="Eastern Europe &amp; Central Asia",IF($F42&gt;AR$23,4,IF($F42&gt;AR$22,3,(IF($F42&gt;AR$21,2,1)))),IF($H$7="Latin America &amp; Caribbean",IF($F42&gt;AR$27,4,IF($F42&gt;AR$26,3,(IF($F42&gt;AR$25,2,1)))),IF($H$7="Middle East &amp; North Africa",IF($F42&gt;AR$31,4,IF($F42&gt;AR$30,3,(IF($F42&gt;AR$29,2,1)))))))))/4</f>
        <v>0.75</v>
      </c>
      <c r="F42" s="135">
        <v>99</v>
      </c>
      <c r="G42" s="35" t="s">
        <v>153</v>
      </c>
      <c r="H42" s="27" t="s">
        <v>197</v>
      </c>
      <c r="I42" s="28">
        <v>0.1</v>
      </c>
      <c r="J42" s="137">
        <f t="shared" si="1"/>
        <v>1</v>
      </c>
      <c r="K42" s="140">
        <v>5</v>
      </c>
      <c r="L42" s="7"/>
      <c r="M42" s="10"/>
      <c r="AO42" s="8">
        <v>14896</v>
      </c>
      <c r="AP42" s="8">
        <v>14653</v>
      </c>
      <c r="BA42" s="8"/>
      <c r="BB42" s="8"/>
      <c r="BC42" s="8"/>
      <c r="BD42" s="8"/>
      <c r="BE42" s="8"/>
      <c r="BF42" s="8"/>
      <c r="BG42" s="8"/>
      <c r="BH42" s="8"/>
    </row>
    <row r="43" spans="1:60" ht="35.25" customHeight="1">
      <c r="A43" s="1189"/>
      <c r="B43" s="1192"/>
      <c r="C43" s="82" t="s">
        <v>198</v>
      </c>
      <c r="D43" s="28"/>
      <c r="E43" s="29">
        <f>IF($H$7="Africa",IF($F43&gt;AR$15,4,IF($F43&gt;AR$14,3,(IF($F43&gt;AR$13,2,1)))),IF($H$7="East &amp; South Asia",IF($F43&gt;AR$19,4,IF($F43&gt;AR$18,3,(IF($F43&gt;AR$17,2,1)))),IF($H$7="Eastern Europe &amp; Central Asia",IF($F43&gt;AR$23,4,IF($F43&gt;AR$22,3,(IF($F43&gt;AR$21,2,1)))),IF($H$7="Latin America &amp; Caribbean",IF($F43&gt;AR$27,4,IF($F43&gt;AR$26,3,(IF($F43&gt;AR$25,2,1)))),IF($H$7="Middle East &amp; North Africa",IF($F43&gt;AR$31,4,IF($F43&gt;AR$30,3,(IF($F43&gt;AR$29,2,1)))))))))/4</f>
        <v>0.5</v>
      </c>
      <c r="F43" s="135">
        <v>84</v>
      </c>
      <c r="G43" s="35" t="s">
        <v>153</v>
      </c>
      <c r="H43" s="27" t="s">
        <v>199</v>
      </c>
      <c r="I43" s="28">
        <v>0.05</v>
      </c>
      <c r="J43" s="137">
        <f t="shared" si="1"/>
        <v>1</v>
      </c>
      <c r="K43" s="140">
        <v>5</v>
      </c>
      <c r="L43" s="7"/>
      <c r="M43" s="10"/>
      <c r="AO43" s="8">
        <v>31089</v>
      </c>
      <c r="AP43" s="8">
        <v>26503</v>
      </c>
      <c r="BA43" s="8"/>
      <c r="BB43" s="8"/>
      <c r="BC43" s="8"/>
      <c r="BD43" s="8"/>
      <c r="BE43" s="8"/>
      <c r="BF43" s="8"/>
      <c r="BG43" s="8"/>
      <c r="BH43" s="8"/>
    </row>
    <row r="44" spans="1:60" ht="35.25" customHeight="1">
      <c r="A44" s="1189"/>
      <c r="B44" s="1192"/>
      <c r="C44" s="82" t="s">
        <v>284</v>
      </c>
      <c r="D44" s="28"/>
      <c r="E44" s="29">
        <f>IF($H$7="Africa",IF($F44&gt;AR$15,4,IF($F44&gt;AR$14,3,(IF($F44&gt;AR$13,2,1)))),IF($H$7="East &amp; South Asia",IF($F44&gt;AR$19,4,IF($F44&gt;AR$18,3,(IF($F44&gt;AR$17,2,1)))),IF($H$7="Eastern Europe &amp; Central Asia",IF($F44&gt;AR$23,4,IF($F44&gt;AR$22,3,(IF($F44&gt;AR$21,2,1)))),IF($H$7="Latin America &amp; Caribbean",IF($F44&gt;AR$27,4,IF($F44&gt;AR$26,3,(IF($F44&gt;AR$25,2,1)))),IF($H$7="Middle East &amp; North Africa",IF($F44&gt;AR$31,4,IF($F44&gt;AR$30,3,(IF($F44&gt;AR$29,2,1)))))))))/4</f>
        <v>1</v>
      </c>
      <c r="F44" s="135">
        <v>100</v>
      </c>
      <c r="G44" s="35" t="s">
        <v>153</v>
      </c>
      <c r="H44" s="27" t="s">
        <v>296</v>
      </c>
      <c r="I44" s="28">
        <v>0.15</v>
      </c>
      <c r="J44" s="137">
        <f t="shared" si="1"/>
        <v>1</v>
      </c>
      <c r="K44" s="140">
        <v>5</v>
      </c>
      <c r="L44" s="7"/>
      <c r="M44" s="10"/>
      <c r="AO44" s="8">
        <v>23501</v>
      </c>
      <c r="AP44" s="8">
        <v>41027</v>
      </c>
      <c r="BA44" s="8"/>
      <c r="BB44" s="8"/>
      <c r="BC44" s="8"/>
      <c r="BD44" s="8"/>
      <c r="BE44" s="8"/>
      <c r="BF44" s="8"/>
      <c r="BG44" s="8"/>
      <c r="BH44" s="8"/>
    </row>
    <row r="45" spans="1:60" ht="40.5" customHeight="1" thickBot="1">
      <c r="A45" s="1189"/>
      <c r="B45" s="1192"/>
      <c r="C45" s="82" t="s">
        <v>285</v>
      </c>
      <c r="D45" s="28"/>
      <c r="E45" s="29">
        <f>IF($H$7="Africa",IF($F45&gt;AR$15,4,IF($F45&gt;AR$14,3,(IF($F45&gt;AR$13,2,1)))),IF($H$7="East &amp; South Asia",IF($F45&gt;AR$19,4,IF($F45&gt;AR$18,3,(IF($F45&gt;AR$17,2,1)))),IF($H$7="Eastern Europe &amp; Central Asia",IF($F45&gt;AR$23,4,IF($F45&gt;AR$22,3,(IF($F45&gt;AR$21,2,1)))),IF($H$7="Latin America &amp; Caribbean",IF($F45&gt;AR$27,4,IF($F45&gt;AR$26,3,(IF($F45&gt;AR$25,2,1)))),IF($H$7="Middle East &amp; North Africa",IF($F45&gt;AR$31,4,IF($F45&gt;AR$30,3,(IF($F45&gt;AR$29,2,1)))))))))/4</f>
        <v>1</v>
      </c>
      <c r="F45" s="135">
        <v>100</v>
      </c>
      <c r="G45" s="35" t="s">
        <v>153</v>
      </c>
      <c r="H45" s="27" t="s">
        <v>200</v>
      </c>
      <c r="I45" s="28">
        <v>0.1</v>
      </c>
      <c r="J45" s="137">
        <f t="shared" si="1"/>
        <v>1</v>
      </c>
      <c r="K45" s="141">
        <v>5</v>
      </c>
      <c r="L45" s="7"/>
      <c r="M45" s="10"/>
      <c r="BA45" s="8"/>
      <c r="BB45" s="8"/>
      <c r="BC45" s="8"/>
      <c r="BD45" s="8"/>
      <c r="BE45" s="8"/>
      <c r="BF45" s="8"/>
      <c r="BG45" s="8"/>
      <c r="BH45" s="8"/>
    </row>
    <row r="46" spans="1:60" ht="18" customHeight="1" thickBot="1">
      <c r="A46" s="1190"/>
      <c r="B46" s="1193"/>
      <c r="C46" s="75" t="s">
        <v>162</v>
      </c>
      <c r="D46" s="53">
        <f>SUM(D41:D45)</f>
        <v>0.45</v>
      </c>
      <c r="E46" s="76">
        <f>D41*E41</f>
        <v>0.37124999999999997</v>
      </c>
      <c r="F46" s="77"/>
      <c r="G46" s="77"/>
      <c r="H46" s="75" t="s">
        <v>162</v>
      </c>
      <c r="I46" s="78">
        <f>SUM(I41:I45)</f>
        <v>0.54999999999999993</v>
      </c>
      <c r="J46" s="79">
        <f>I41*J41+I42*J42+I43*J43+I44*J44+I45*J45</f>
        <v>0.52</v>
      </c>
      <c r="K46" s="77"/>
      <c r="L46" s="56">
        <f>D46+I46</f>
        <v>1</v>
      </c>
      <c r="M46" s="10"/>
      <c r="BA46" s="8"/>
      <c r="BB46" s="8"/>
      <c r="BC46" s="8"/>
      <c r="BD46" s="8"/>
      <c r="BE46" s="8"/>
      <c r="BF46" s="8"/>
      <c r="BG46" s="8"/>
      <c r="BH46" s="8"/>
    </row>
    <row r="47" spans="1:60" ht="31.5" customHeight="1" thickTop="1">
      <c r="A47" s="1176" t="s">
        <v>201</v>
      </c>
      <c r="B47" s="1191">
        <v>0.1</v>
      </c>
      <c r="C47" s="27" t="s">
        <v>202</v>
      </c>
      <c r="D47" s="28">
        <v>0.45</v>
      </c>
      <c r="E47" s="29">
        <f>F47/4</f>
        <v>0</v>
      </c>
      <c r="F47" s="136">
        <v>0</v>
      </c>
      <c r="G47" s="35" t="s">
        <v>153</v>
      </c>
      <c r="H47" s="27" t="s">
        <v>290</v>
      </c>
      <c r="I47" s="28">
        <v>0.05</v>
      </c>
      <c r="J47" s="29">
        <f t="shared" si="1"/>
        <v>1</v>
      </c>
      <c r="K47" s="139">
        <v>5</v>
      </c>
      <c r="L47" s="7"/>
      <c r="M47" s="10"/>
      <c r="BA47" s="8"/>
      <c r="BB47" s="8"/>
      <c r="BC47" s="8"/>
      <c r="BD47" s="8"/>
      <c r="BE47" s="8"/>
      <c r="BF47" s="8"/>
      <c r="BG47" s="8"/>
      <c r="BH47" s="8"/>
    </row>
    <row r="48" spans="1:60" ht="20.25" customHeight="1">
      <c r="A48" s="1177"/>
      <c r="B48" s="1198"/>
      <c r="C48" s="45"/>
      <c r="D48" s="64"/>
      <c r="E48" s="83"/>
      <c r="F48" s="83"/>
      <c r="G48" s="83"/>
      <c r="H48" s="27" t="s">
        <v>291</v>
      </c>
      <c r="I48" s="28">
        <v>0.15</v>
      </c>
      <c r="J48" s="29">
        <f t="shared" si="1"/>
        <v>1</v>
      </c>
      <c r="K48" s="140">
        <v>5</v>
      </c>
      <c r="L48" s="7"/>
      <c r="M48" s="10"/>
      <c r="BA48" s="8"/>
      <c r="BB48" s="8"/>
      <c r="BC48" s="8"/>
      <c r="BD48" s="8"/>
      <c r="BE48" s="8"/>
      <c r="BF48" s="8"/>
      <c r="BG48" s="8"/>
      <c r="BH48" s="8"/>
    </row>
    <row r="49" spans="1:60" ht="22.5" customHeight="1">
      <c r="A49" s="1177"/>
      <c r="B49" s="1198"/>
      <c r="C49" s="45"/>
      <c r="D49" s="64"/>
      <c r="E49" s="66"/>
      <c r="F49" s="66"/>
      <c r="G49" s="66"/>
      <c r="H49" s="27" t="s">
        <v>203</v>
      </c>
      <c r="I49" s="28">
        <v>0.15</v>
      </c>
      <c r="J49" s="29">
        <f t="shared" si="1"/>
        <v>0.8</v>
      </c>
      <c r="K49" s="140">
        <v>4</v>
      </c>
      <c r="L49" s="7"/>
      <c r="M49" s="10"/>
      <c r="BA49" s="8"/>
      <c r="BB49" s="8"/>
      <c r="BC49" s="8"/>
      <c r="BD49" s="8"/>
      <c r="BE49" s="8"/>
      <c r="BF49" s="8"/>
      <c r="BG49" s="8"/>
      <c r="BH49" s="8"/>
    </row>
    <row r="50" spans="1:60" ht="20.25" customHeight="1">
      <c r="A50" s="1177"/>
      <c r="B50" s="1198"/>
      <c r="C50" s="45"/>
      <c r="D50" s="64"/>
      <c r="E50" s="66"/>
      <c r="F50" s="66"/>
      <c r="G50" s="66"/>
      <c r="H50" s="27" t="s">
        <v>204</v>
      </c>
      <c r="I50" s="28">
        <v>0.1</v>
      </c>
      <c r="J50" s="29">
        <f t="shared" si="1"/>
        <v>0.6</v>
      </c>
      <c r="K50" s="140">
        <v>3</v>
      </c>
      <c r="L50" s="7"/>
      <c r="M50" s="10"/>
      <c r="BA50" s="8"/>
      <c r="BB50" s="8"/>
      <c r="BC50" s="8"/>
      <c r="BD50" s="8"/>
      <c r="BE50" s="8"/>
      <c r="BF50" s="8"/>
      <c r="BG50" s="8"/>
      <c r="BH50" s="8"/>
    </row>
    <row r="51" spans="1:60" ht="35.25" customHeight="1" thickBot="1">
      <c r="A51" s="1177"/>
      <c r="B51" s="1198"/>
      <c r="C51" s="63"/>
      <c r="D51" s="64"/>
      <c r="E51" s="66"/>
      <c r="F51" s="66"/>
      <c r="G51" s="66"/>
      <c r="H51" s="27" t="s">
        <v>300</v>
      </c>
      <c r="I51" s="28">
        <v>0.1</v>
      </c>
      <c r="J51" s="29">
        <f t="shared" si="1"/>
        <v>0.8</v>
      </c>
      <c r="K51" s="141">
        <v>4</v>
      </c>
      <c r="L51" s="7"/>
      <c r="M51" s="10"/>
      <c r="BA51" s="8"/>
      <c r="BB51" s="8"/>
      <c r="BC51" s="8"/>
      <c r="BD51" s="8"/>
      <c r="BE51" s="8"/>
      <c r="BF51" s="8"/>
      <c r="BG51" s="8"/>
      <c r="BH51" s="8"/>
    </row>
    <row r="52" spans="1:60" ht="18" customHeight="1" thickBot="1">
      <c r="A52" s="1178"/>
      <c r="B52" s="1199"/>
      <c r="C52" s="75" t="s">
        <v>162</v>
      </c>
      <c r="D52" s="53">
        <f>SUM(D47:D51)</f>
        <v>0.45</v>
      </c>
      <c r="E52" s="84">
        <f>D47*E47</f>
        <v>0</v>
      </c>
      <c r="F52" s="77"/>
      <c r="G52" s="77"/>
      <c r="H52" s="75" t="s">
        <v>162</v>
      </c>
      <c r="I52" s="78">
        <f>SUM(I47:I51)</f>
        <v>0.54999999999999993</v>
      </c>
      <c r="J52" s="79">
        <f>I47*J47+I48*J48+I49*J49+I50*J50+I51*J51</f>
        <v>0.46</v>
      </c>
      <c r="K52" s="77"/>
      <c r="L52" s="56">
        <f>D52+I52</f>
        <v>1</v>
      </c>
      <c r="M52" s="10"/>
      <c r="BA52" s="8"/>
      <c r="BB52" s="8"/>
      <c r="BC52" s="8"/>
      <c r="BD52" s="8"/>
      <c r="BE52" s="8"/>
      <c r="BF52" s="8"/>
      <c r="BG52" s="8"/>
      <c r="BH52" s="8"/>
    </row>
    <row r="53" spans="1:60" ht="20.25" customHeight="1" thickTop="1">
      <c r="A53" s="1176" t="s">
        <v>205</v>
      </c>
      <c r="B53" s="1191">
        <v>0.1</v>
      </c>
      <c r="C53" s="27" t="s">
        <v>206</v>
      </c>
      <c r="D53" s="28">
        <v>0.15</v>
      </c>
      <c r="E53" s="29">
        <f>IF($H$7="Africa",IF($F53&gt;AQ$15,4,IF($F53&gt;AQ$14,3,(IF($F53&gt;AQ$13,2,1)))),IF($H$7="East &amp; South Asia",IF($F53&gt;AQ$19,4,IF($F53&gt;AQ$18,3,(IF($F53&gt;AQ$17,2,1)))),IF($H$7="Eastern Europe &amp; Central Asia",IF($F53&gt;AQ$23,4,IF($F53&gt;AQ$22,3,(IF($F53&gt;AQ$21,2,1)))),IF($H$7="Latin America &amp; Caribbean",IF($F53&gt;AQ$27,4,IF($F53&gt;AQ$26,3,(IF($F53&gt;AQ$25,2,1)))),IF($H$7="Middle East &amp; North Africa",IF($F53&gt;AQ$31,4,IF($F53&gt;AQ$30,3,(IF($F53&gt;AQ$29,2,1)))))))))/4</f>
        <v>0.5</v>
      </c>
      <c r="F53" s="135">
        <v>3.1</v>
      </c>
      <c r="G53" s="35" t="s">
        <v>153</v>
      </c>
      <c r="H53" s="27" t="s">
        <v>207</v>
      </c>
      <c r="I53" s="28">
        <v>0.1</v>
      </c>
      <c r="J53" s="29">
        <f t="shared" si="1"/>
        <v>0.6</v>
      </c>
      <c r="K53" s="139">
        <v>3</v>
      </c>
      <c r="L53" s="7"/>
      <c r="M53" s="10"/>
      <c r="BA53" s="8"/>
      <c r="BB53" s="8"/>
      <c r="BC53" s="8"/>
      <c r="BD53" s="8"/>
      <c r="BE53" s="8"/>
      <c r="BF53" s="8"/>
      <c r="BG53" s="8"/>
      <c r="BH53" s="8"/>
    </row>
    <row r="54" spans="1:60" ht="20.25" customHeight="1">
      <c r="A54" s="1177"/>
      <c r="B54" s="1198"/>
      <c r="C54" s="27" t="s">
        <v>292</v>
      </c>
      <c r="D54" s="28">
        <v>0.4</v>
      </c>
      <c r="E54" s="29">
        <f>AVERAGE(E55:E56)</f>
        <v>0.75</v>
      </c>
      <c r="F54" s="6"/>
      <c r="G54" s="35"/>
      <c r="H54" s="27" t="s">
        <v>208</v>
      </c>
      <c r="I54" s="28">
        <v>0.1</v>
      </c>
      <c r="J54" s="29">
        <f t="shared" si="1"/>
        <v>0.8</v>
      </c>
      <c r="K54" s="140">
        <v>4</v>
      </c>
      <c r="L54" s="7"/>
      <c r="M54" s="10"/>
      <c r="BA54" s="8"/>
      <c r="BB54" s="8"/>
      <c r="BC54" s="8"/>
      <c r="BD54" s="8"/>
      <c r="BE54" s="8"/>
      <c r="BF54" s="8"/>
      <c r="BG54" s="8"/>
      <c r="BH54" s="8"/>
    </row>
    <row r="55" spans="1:60" ht="20.25" customHeight="1">
      <c r="A55" s="1177"/>
      <c r="B55" s="1198"/>
      <c r="C55" s="82" t="s">
        <v>209</v>
      </c>
      <c r="D55" s="64"/>
      <c r="E55" s="29">
        <f>F55/4</f>
        <v>0.75</v>
      </c>
      <c r="F55" s="136">
        <v>3</v>
      </c>
      <c r="G55" s="35" t="s">
        <v>153</v>
      </c>
      <c r="H55" s="27" t="s">
        <v>210</v>
      </c>
      <c r="I55" s="28">
        <v>0.15</v>
      </c>
      <c r="J55" s="29">
        <f t="shared" si="1"/>
        <v>0.6</v>
      </c>
      <c r="K55" s="140">
        <v>3</v>
      </c>
      <c r="L55" s="7"/>
      <c r="M55" s="10"/>
      <c r="BA55" s="8"/>
      <c r="BB55" s="8"/>
      <c r="BC55" s="8"/>
      <c r="BD55" s="8"/>
      <c r="BE55" s="8"/>
      <c r="BF55" s="8"/>
      <c r="BG55" s="8"/>
      <c r="BH55" s="8"/>
    </row>
    <row r="56" spans="1:60" ht="20.25" customHeight="1" thickBot="1">
      <c r="A56" s="1177"/>
      <c r="B56" s="1198"/>
      <c r="C56" s="82" t="s">
        <v>211</v>
      </c>
      <c r="D56" s="64"/>
      <c r="E56" s="29">
        <f>F56/4</f>
        <v>0.75</v>
      </c>
      <c r="F56" s="136">
        <v>3</v>
      </c>
      <c r="G56" s="35" t="s">
        <v>153</v>
      </c>
      <c r="H56" s="27" t="s">
        <v>212</v>
      </c>
      <c r="I56" s="28">
        <v>0.1</v>
      </c>
      <c r="J56" s="29">
        <f t="shared" si="1"/>
        <v>0.4</v>
      </c>
      <c r="K56" s="140">
        <v>2</v>
      </c>
      <c r="L56" s="7"/>
      <c r="M56" s="10"/>
      <c r="BA56" s="8"/>
      <c r="BB56" s="8"/>
      <c r="BC56" s="8"/>
      <c r="BD56" s="8"/>
      <c r="BE56" s="8"/>
      <c r="BF56" s="8"/>
      <c r="BG56" s="8"/>
      <c r="BH56" s="8"/>
    </row>
    <row r="57" spans="1:60" ht="16.5" customHeight="1" thickBot="1">
      <c r="A57" s="1184"/>
      <c r="B57" s="1199"/>
      <c r="C57" s="75" t="s">
        <v>162</v>
      </c>
      <c r="D57" s="53">
        <f>SUM(D53:D56)</f>
        <v>0.55000000000000004</v>
      </c>
      <c r="E57" s="84">
        <f>D53*E53+D54*E54</f>
        <v>0.37500000000000006</v>
      </c>
      <c r="F57" s="77"/>
      <c r="G57" s="77"/>
      <c r="H57" s="75" t="s">
        <v>162</v>
      </c>
      <c r="I57" s="78">
        <f>SUM(I53:I56)</f>
        <v>0.44999999999999996</v>
      </c>
      <c r="J57" s="79">
        <f>I53*J53+I54*J54+I55*J55+I56*J56</f>
        <v>0.27</v>
      </c>
      <c r="K57" s="77"/>
      <c r="L57" s="56">
        <f>D57+I57</f>
        <v>1</v>
      </c>
      <c r="M57" s="10"/>
      <c r="BA57" s="8"/>
      <c r="BB57" s="8"/>
      <c r="BC57" s="8"/>
      <c r="BD57" s="8"/>
      <c r="BE57" s="8"/>
      <c r="BF57" s="8"/>
      <c r="BG57" s="8"/>
      <c r="BH57" s="8"/>
    </row>
    <row r="58" spans="1:60" ht="17.25" thickTop="1" thickBot="1">
      <c r="A58" s="85" t="s">
        <v>213</v>
      </c>
      <c r="B58" s="86">
        <f>SUM(B10:B56)</f>
        <v>0.99999999999999989</v>
      </c>
      <c r="C58" s="87" t="s">
        <v>214</v>
      </c>
      <c r="D58" s="88">
        <f>D14*B10+D20*B15+D28*B21+D34*B29+D40*B35+D46*B41+D52*B47+D57*B53</f>
        <v>0.57000000000000006</v>
      </c>
      <c r="E58" s="89"/>
      <c r="F58" s="89"/>
      <c r="G58" s="89"/>
      <c r="H58" s="87" t="s">
        <v>215</v>
      </c>
      <c r="I58" s="90">
        <f>I14*B10+I20*B15+I28*B21+I34*B29+I40*B35+I46*B41+I52*B47+I57*B53</f>
        <v>0.42999999999999994</v>
      </c>
      <c r="J58" s="91"/>
      <c r="K58" s="89"/>
      <c r="L58" s="56">
        <f>D58+I58</f>
        <v>1</v>
      </c>
      <c r="M58" s="10"/>
      <c r="BA58" s="8"/>
      <c r="BB58" s="8"/>
      <c r="BC58" s="8"/>
      <c r="BD58" s="8"/>
      <c r="BE58" s="8"/>
      <c r="BF58" s="8"/>
      <c r="BG58" s="8"/>
      <c r="BH58" s="8"/>
    </row>
    <row r="59" spans="1:60" ht="20.25" customHeight="1">
      <c r="A59" s="6"/>
      <c r="B59" s="6"/>
      <c r="C59" s="6"/>
      <c r="D59" s="6"/>
      <c r="E59" s="6"/>
      <c r="F59" s="6"/>
      <c r="G59" s="6"/>
      <c r="H59" s="6"/>
      <c r="I59" s="6"/>
      <c r="J59" s="6"/>
      <c r="K59" s="7"/>
      <c r="L59" s="6"/>
      <c r="M59" s="10"/>
      <c r="BA59" s="8"/>
      <c r="BB59" s="8"/>
      <c r="BC59" s="8"/>
      <c r="BD59" s="8"/>
      <c r="BE59" s="8"/>
      <c r="BF59" s="8"/>
      <c r="BG59" s="8"/>
      <c r="BH59" s="8"/>
    </row>
    <row r="60" spans="1:60" ht="15" customHeight="1">
      <c r="A60" s="1185" t="s">
        <v>216</v>
      </c>
      <c r="B60" s="1185"/>
      <c r="C60" s="1185"/>
      <c r="D60" s="1186"/>
      <c r="E60" s="6"/>
      <c r="F60" s="6"/>
      <c r="G60" s="6"/>
      <c r="H60" s="6"/>
      <c r="I60" s="6"/>
      <c r="J60" s="6"/>
      <c r="K60" s="7"/>
      <c r="L60" s="6"/>
      <c r="M60" s="6"/>
      <c r="BA60" s="8"/>
      <c r="BB60" s="8"/>
      <c r="BC60" s="8"/>
      <c r="BD60" s="8"/>
      <c r="BE60" s="8"/>
      <c r="BF60" s="8"/>
      <c r="BG60" s="8"/>
      <c r="BH60" s="8"/>
    </row>
    <row r="61" spans="1:60" ht="15" customHeight="1">
      <c r="A61" s="6"/>
      <c r="B61" s="92"/>
      <c r="C61" s="6"/>
      <c r="D61" s="6"/>
      <c r="E61" s="6"/>
      <c r="F61" s="6"/>
      <c r="G61" s="6"/>
      <c r="H61" s="6"/>
      <c r="I61" s="6"/>
      <c r="J61" s="6"/>
      <c r="K61" s="7"/>
      <c r="L61" s="6"/>
      <c r="M61" s="6"/>
    </row>
    <row r="62" spans="1:60" ht="24" customHeight="1" thickBot="1">
      <c r="A62" s="6"/>
      <c r="B62" s="6"/>
      <c r="C62" s="6"/>
      <c r="D62" s="6"/>
      <c r="E62" s="6"/>
      <c r="F62" s="6"/>
      <c r="G62" s="6"/>
      <c r="H62" s="6"/>
      <c r="I62" s="6"/>
      <c r="J62" s="6"/>
      <c r="K62" s="7"/>
      <c r="L62" s="6"/>
      <c r="M62" s="6"/>
      <c r="BA62" s="8"/>
      <c r="BB62" s="8"/>
      <c r="BC62" s="8"/>
      <c r="BD62" s="8"/>
      <c r="BE62" s="8"/>
      <c r="BF62" s="8"/>
      <c r="BG62" s="8"/>
      <c r="BH62" s="8"/>
    </row>
    <row r="63" spans="1:60" ht="22.5" customHeight="1" thickBot="1">
      <c r="A63" s="1187" t="s">
        <v>217</v>
      </c>
      <c r="B63" s="1187"/>
      <c r="C63" s="1187"/>
      <c r="D63" s="1187"/>
      <c r="E63" s="1187"/>
      <c r="F63" s="1187"/>
      <c r="G63" s="1187"/>
      <c r="H63" s="1187"/>
      <c r="I63" s="1187"/>
      <c r="J63" s="1187"/>
      <c r="K63" s="1187"/>
      <c r="L63" s="1188"/>
      <c r="M63" s="6"/>
      <c r="BA63" s="8"/>
      <c r="BB63" s="8"/>
      <c r="BC63" s="8"/>
      <c r="BD63" s="8"/>
      <c r="BE63" s="8"/>
      <c r="BF63" s="8"/>
      <c r="BG63" s="8"/>
      <c r="BH63" s="8"/>
    </row>
    <row r="64" spans="1:60" ht="28.5" customHeight="1">
      <c r="A64" s="142" t="s">
        <v>218</v>
      </c>
      <c r="B64" s="143"/>
      <c r="C64" s="144" t="s">
        <v>219</v>
      </c>
      <c r="D64" s="6"/>
      <c r="E64" s="144" t="s">
        <v>220</v>
      </c>
      <c r="F64" s="144" t="s">
        <v>221</v>
      </c>
      <c r="G64" s="144" t="s">
        <v>222</v>
      </c>
      <c r="H64" s="144" t="s">
        <v>223</v>
      </c>
      <c r="I64" s="6"/>
      <c r="J64" s="144" t="s">
        <v>224</v>
      </c>
      <c r="K64" s="144" t="s">
        <v>61</v>
      </c>
      <c r="L64" s="144" t="s">
        <v>60</v>
      </c>
      <c r="M64" s="6"/>
      <c r="BA64" s="8"/>
      <c r="BB64" s="8"/>
      <c r="BC64" s="8"/>
      <c r="BD64" s="8"/>
      <c r="BE64" s="8"/>
      <c r="BF64" s="8"/>
      <c r="BG64" s="8"/>
      <c r="BH64" s="8"/>
    </row>
    <row r="65" spans="1:60" ht="19.5" customHeight="1">
      <c r="A65" s="1179">
        <v>4</v>
      </c>
      <c r="B65" s="6"/>
      <c r="C65" s="94"/>
      <c r="D65" s="6"/>
      <c r="E65" s="94"/>
      <c r="F65" s="94"/>
      <c r="G65" s="94"/>
      <c r="H65" s="94"/>
      <c r="I65" s="6"/>
      <c r="J65" s="95" t="s">
        <v>225</v>
      </c>
      <c r="K65" s="95" t="s">
        <v>226</v>
      </c>
      <c r="L65" s="96" t="s">
        <v>226</v>
      </c>
      <c r="M65" s="6"/>
      <c r="BA65" s="8"/>
      <c r="BB65" s="8"/>
      <c r="BC65" s="8"/>
      <c r="BD65" s="8"/>
      <c r="BE65" s="8"/>
      <c r="BF65" s="8"/>
      <c r="BG65" s="8"/>
      <c r="BH65" s="8"/>
    </row>
    <row r="66" spans="1:60" ht="19.5" customHeight="1">
      <c r="A66" s="1180"/>
      <c r="B66" s="6"/>
      <c r="C66" s="94"/>
      <c r="D66" s="6"/>
      <c r="E66" s="94"/>
      <c r="F66" s="94"/>
      <c r="G66" s="94"/>
      <c r="H66" s="94"/>
      <c r="I66" s="6"/>
      <c r="J66" s="95" t="s">
        <v>227</v>
      </c>
      <c r="K66" s="95" t="s">
        <v>228</v>
      </c>
      <c r="L66" s="96" t="s">
        <v>228</v>
      </c>
      <c r="M66" s="6"/>
      <c r="BA66" s="8"/>
      <c r="BB66" s="8"/>
      <c r="BC66" s="8"/>
      <c r="BD66" s="8"/>
      <c r="BE66" s="8"/>
      <c r="BF66" s="8"/>
      <c r="BG66" s="8"/>
      <c r="BH66" s="8"/>
    </row>
    <row r="67" spans="1:60" ht="19.5" customHeight="1">
      <c r="A67" s="1180"/>
      <c r="B67" s="6"/>
      <c r="C67" s="94"/>
      <c r="D67" s="6"/>
      <c r="E67" s="94"/>
      <c r="F67" s="94"/>
      <c r="G67" s="94"/>
      <c r="H67" s="94"/>
      <c r="I67" s="6"/>
      <c r="J67" s="95" t="s">
        <v>229</v>
      </c>
      <c r="K67" s="95" t="s">
        <v>230</v>
      </c>
      <c r="L67" s="96" t="s">
        <v>230</v>
      </c>
      <c r="M67" s="6"/>
      <c r="BA67" s="8"/>
      <c r="BB67" s="8"/>
      <c r="BC67" s="8"/>
      <c r="BD67" s="8"/>
      <c r="BE67" s="8"/>
      <c r="BF67" s="8"/>
      <c r="BG67" s="8"/>
      <c r="BH67" s="8"/>
    </row>
    <row r="68" spans="1:60" ht="19.5" customHeight="1">
      <c r="A68" s="1180"/>
      <c r="B68" s="6"/>
      <c r="C68" s="94"/>
      <c r="D68" s="6"/>
      <c r="E68" s="94"/>
      <c r="F68" s="94"/>
      <c r="G68" s="94"/>
      <c r="H68" s="94"/>
      <c r="I68" s="6"/>
      <c r="J68" s="95" t="s">
        <v>231</v>
      </c>
      <c r="K68" s="95" t="s">
        <v>232</v>
      </c>
      <c r="L68" s="96" t="s">
        <v>232</v>
      </c>
      <c r="M68" s="6"/>
      <c r="BA68" s="8"/>
      <c r="BB68" s="8"/>
      <c r="BC68" s="8"/>
      <c r="BD68" s="8"/>
      <c r="BE68" s="8"/>
      <c r="BF68" s="8"/>
      <c r="BG68" s="8"/>
      <c r="BH68" s="8"/>
    </row>
    <row r="69" spans="1:60" ht="19.5" customHeight="1">
      <c r="A69" s="1180"/>
      <c r="B69" s="6"/>
      <c r="C69" s="94"/>
      <c r="D69" s="6"/>
      <c r="E69" s="94"/>
      <c r="F69" s="94"/>
      <c r="G69" s="94"/>
      <c r="H69" s="94"/>
      <c r="I69" s="6"/>
      <c r="J69" s="95" t="s">
        <v>233</v>
      </c>
      <c r="K69" s="95" t="s">
        <v>234</v>
      </c>
      <c r="L69" s="96" t="s">
        <v>234</v>
      </c>
      <c r="M69" s="6"/>
      <c r="BA69" s="8"/>
      <c r="BB69" s="8"/>
      <c r="BC69" s="8"/>
      <c r="BD69" s="8"/>
      <c r="BE69" s="8"/>
      <c r="BF69" s="8"/>
      <c r="BG69" s="8"/>
      <c r="BH69" s="8"/>
    </row>
    <row r="70" spans="1:60" ht="19.5" customHeight="1">
      <c r="A70" s="1180"/>
      <c r="B70" s="6"/>
      <c r="C70" s="94"/>
      <c r="D70" s="6"/>
      <c r="E70" s="94"/>
      <c r="F70" s="94"/>
      <c r="G70" s="94"/>
      <c r="H70" s="94"/>
      <c r="I70" s="6"/>
      <c r="J70" s="95" t="s">
        <v>235</v>
      </c>
      <c r="K70" s="95" t="s">
        <v>236</v>
      </c>
      <c r="L70" s="96" t="s">
        <v>236</v>
      </c>
      <c r="M70" s="6"/>
      <c r="BA70" s="8"/>
      <c r="BB70" s="8"/>
      <c r="BC70" s="8"/>
      <c r="BD70" s="8"/>
      <c r="BE70" s="8"/>
      <c r="BF70" s="8"/>
      <c r="BG70" s="8"/>
      <c r="BH70" s="8"/>
    </row>
    <row r="71" spans="1:60" ht="19.5" customHeight="1">
      <c r="A71" s="1180"/>
      <c r="B71" s="6"/>
      <c r="C71" s="95"/>
      <c r="D71" s="6"/>
      <c r="E71" s="95"/>
      <c r="F71" s="95" t="s">
        <v>237</v>
      </c>
      <c r="G71" s="94"/>
      <c r="H71" s="94"/>
      <c r="I71" s="6"/>
      <c r="J71" s="95" t="s">
        <v>238</v>
      </c>
      <c r="K71" s="95" t="s">
        <v>239</v>
      </c>
      <c r="L71" s="96" t="s">
        <v>239</v>
      </c>
      <c r="M71" s="6"/>
      <c r="BA71" s="8"/>
      <c r="BB71" s="8"/>
      <c r="BC71" s="8"/>
      <c r="BD71" s="8"/>
      <c r="BE71" s="8"/>
      <c r="BF71" s="8"/>
      <c r="BG71" s="8"/>
      <c r="BH71" s="8"/>
    </row>
    <row r="72" spans="1:60" ht="19.5" customHeight="1">
      <c r="A72" s="1180"/>
      <c r="B72" s="6"/>
      <c r="C72" s="95"/>
      <c r="D72" s="6"/>
      <c r="E72" s="95"/>
      <c r="F72" s="95" t="s">
        <v>240</v>
      </c>
      <c r="G72" s="95"/>
      <c r="H72" s="95"/>
      <c r="I72" s="6"/>
      <c r="J72" s="95" t="s">
        <v>241</v>
      </c>
      <c r="K72" s="95" t="s">
        <v>242</v>
      </c>
      <c r="L72" s="96" t="s">
        <v>242</v>
      </c>
      <c r="M72" s="6"/>
      <c r="BA72" s="8"/>
      <c r="BB72" s="8"/>
      <c r="BC72" s="8"/>
      <c r="BD72" s="8"/>
      <c r="BE72" s="8"/>
      <c r="BF72" s="8"/>
      <c r="BG72" s="8"/>
      <c r="BH72" s="8"/>
    </row>
    <row r="73" spans="1:60" ht="19.5" customHeight="1">
      <c r="A73" s="1180"/>
      <c r="B73" s="6"/>
      <c r="C73" s="95" t="s">
        <v>237</v>
      </c>
      <c r="D73" s="6"/>
      <c r="E73" s="95" t="s">
        <v>226</v>
      </c>
      <c r="F73" s="95" t="s">
        <v>243</v>
      </c>
      <c r="G73" s="95"/>
      <c r="H73" s="95" t="s">
        <v>234</v>
      </c>
      <c r="I73" s="6"/>
      <c r="J73" s="95" t="s">
        <v>244</v>
      </c>
      <c r="K73" s="95" t="s">
        <v>245</v>
      </c>
      <c r="L73" s="96" t="s">
        <v>245</v>
      </c>
      <c r="M73" s="6"/>
      <c r="BA73" s="8"/>
      <c r="BB73" s="8"/>
      <c r="BC73" s="8"/>
      <c r="BD73" s="8"/>
      <c r="BE73" s="8"/>
      <c r="BF73" s="8"/>
      <c r="BG73" s="8"/>
      <c r="BH73" s="8"/>
    </row>
    <row r="74" spans="1:60" ht="19.5" customHeight="1" thickBot="1">
      <c r="A74" s="1181"/>
      <c r="B74" s="6"/>
      <c r="C74" s="97" t="s">
        <v>240</v>
      </c>
      <c r="D74" s="6"/>
      <c r="E74" s="97" t="s">
        <v>230</v>
      </c>
      <c r="F74" s="97" t="s">
        <v>246</v>
      </c>
      <c r="G74" s="97"/>
      <c r="H74" s="97" t="s">
        <v>236</v>
      </c>
      <c r="I74" s="6"/>
      <c r="J74" s="97" t="s">
        <v>247</v>
      </c>
      <c r="K74" s="97" t="s">
        <v>248</v>
      </c>
      <c r="L74" s="98" t="s">
        <v>248</v>
      </c>
      <c r="M74" s="6"/>
      <c r="BA74" s="8"/>
      <c r="BB74" s="8"/>
      <c r="BC74" s="8"/>
      <c r="BD74" s="8"/>
      <c r="BE74" s="8"/>
      <c r="BF74" s="8"/>
      <c r="BG74" s="8"/>
      <c r="BH74" s="8"/>
    </row>
    <row r="75" spans="1:60" ht="19.5" customHeight="1">
      <c r="A75" s="1170">
        <v>3</v>
      </c>
      <c r="B75" s="6"/>
      <c r="C75" s="99" t="s">
        <v>243</v>
      </c>
      <c r="D75" s="6"/>
      <c r="E75" s="99" t="s">
        <v>236</v>
      </c>
      <c r="F75" s="99" t="s">
        <v>249</v>
      </c>
      <c r="G75" s="99"/>
      <c r="H75" s="99" t="s">
        <v>239</v>
      </c>
      <c r="I75" s="6"/>
      <c r="J75" s="99" t="s">
        <v>250</v>
      </c>
      <c r="K75" s="99" t="s">
        <v>251</v>
      </c>
      <c r="L75" s="100" t="s">
        <v>251</v>
      </c>
      <c r="M75" s="6"/>
      <c r="BA75" s="8"/>
      <c r="BB75" s="8"/>
      <c r="BC75" s="8"/>
      <c r="BD75" s="8"/>
      <c r="BE75" s="8"/>
      <c r="BF75" s="8"/>
      <c r="BG75" s="8"/>
      <c r="BH75" s="8"/>
    </row>
    <row r="76" spans="1:60" ht="19.5" customHeight="1">
      <c r="A76" s="1182"/>
      <c r="B76" s="6"/>
      <c r="C76" s="101" t="s">
        <v>246</v>
      </c>
      <c r="D76" s="6"/>
      <c r="E76" s="101" t="s">
        <v>245</v>
      </c>
      <c r="F76" s="101" t="s">
        <v>252</v>
      </c>
      <c r="G76" s="101" t="s">
        <v>253</v>
      </c>
      <c r="H76" s="101" t="s">
        <v>253</v>
      </c>
      <c r="I76" s="6"/>
      <c r="J76" s="101" t="s">
        <v>254</v>
      </c>
      <c r="K76" s="101" t="s">
        <v>255</v>
      </c>
      <c r="L76" s="102" t="s">
        <v>255</v>
      </c>
      <c r="M76" s="6"/>
      <c r="BA76" s="8"/>
      <c r="BB76" s="8"/>
      <c r="BC76" s="8"/>
      <c r="BD76" s="8"/>
      <c r="BE76" s="8"/>
      <c r="BF76" s="8"/>
      <c r="BG76" s="8"/>
      <c r="BH76" s="8"/>
    </row>
    <row r="77" spans="1:60" ht="19.5" customHeight="1" thickBot="1">
      <c r="A77" s="1183"/>
      <c r="B77" s="6"/>
      <c r="C77" s="103" t="s">
        <v>249</v>
      </c>
      <c r="D77" s="6"/>
      <c r="E77" s="103" t="s">
        <v>255</v>
      </c>
      <c r="F77" s="103" t="s">
        <v>256</v>
      </c>
      <c r="G77" s="103"/>
      <c r="H77" s="103" t="s">
        <v>257</v>
      </c>
      <c r="I77" s="6"/>
      <c r="J77" s="103" t="s">
        <v>258</v>
      </c>
      <c r="K77" s="103" t="s">
        <v>259</v>
      </c>
      <c r="L77" s="104" t="s">
        <v>259</v>
      </c>
      <c r="M77" s="6"/>
      <c r="BA77" s="8"/>
      <c r="BB77" s="8"/>
      <c r="BC77" s="8"/>
      <c r="BD77" s="8"/>
      <c r="BE77" s="8"/>
      <c r="BF77" s="8"/>
      <c r="BG77" s="8"/>
      <c r="BH77" s="8"/>
    </row>
    <row r="78" spans="1:60" ht="19.5" customHeight="1">
      <c r="A78" s="1173">
        <v>2</v>
      </c>
      <c r="B78" s="6"/>
      <c r="C78" s="105" t="s">
        <v>252</v>
      </c>
      <c r="D78" s="6"/>
      <c r="E78" s="105" t="s">
        <v>257</v>
      </c>
      <c r="F78" s="105" t="s">
        <v>260</v>
      </c>
      <c r="G78" s="105" t="s">
        <v>261</v>
      </c>
      <c r="H78" s="105" t="s">
        <v>262</v>
      </c>
      <c r="I78" s="6"/>
      <c r="J78" s="105" t="s">
        <v>263</v>
      </c>
      <c r="K78" s="105" t="s">
        <v>253</v>
      </c>
      <c r="L78" s="106" t="s">
        <v>253</v>
      </c>
      <c r="M78" s="6"/>
      <c r="BA78" s="8"/>
      <c r="BB78" s="8"/>
      <c r="BC78" s="8"/>
      <c r="BD78" s="8"/>
      <c r="BE78" s="8"/>
      <c r="BF78" s="8"/>
      <c r="BG78" s="8"/>
      <c r="BH78" s="8"/>
    </row>
    <row r="79" spans="1:60" ht="19.5" customHeight="1">
      <c r="A79" s="1174"/>
      <c r="B79" s="6"/>
      <c r="C79" s="95" t="s">
        <v>256</v>
      </c>
      <c r="D79" s="6"/>
      <c r="E79" s="95" t="s">
        <v>264</v>
      </c>
      <c r="F79" s="95" t="s">
        <v>265</v>
      </c>
      <c r="G79" s="95"/>
      <c r="H79" s="95" t="s">
        <v>266</v>
      </c>
      <c r="I79" s="6"/>
      <c r="J79" s="95" t="s">
        <v>267</v>
      </c>
      <c r="K79" s="95" t="s">
        <v>257</v>
      </c>
      <c r="L79" s="96" t="s">
        <v>257</v>
      </c>
      <c r="M79" s="6"/>
      <c r="BA79" s="8"/>
      <c r="BB79" s="8"/>
      <c r="BC79" s="8"/>
      <c r="BD79" s="8"/>
      <c r="BE79" s="8"/>
      <c r="BF79" s="8"/>
      <c r="BG79" s="8"/>
      <c r="BH79" s="8"/>
    </row>
    <row r="80" spans="1:60" ht="19.5" customHeight="1" thickBot="1">
      <c r="A80" s="1175"/>
      <c r="B80" s="6"/>
      <c r="C80" s="97" t="s">
        <v>260</v>
      </c>
      <c r="D80" s="6"/>
      <c r="E80" s="97" t="s">
        <v>268</v>
      </c>
      <c r="F80" s="97" t="s">
        <v>269</v>
      </c>
      <c r="G80" s="97"/>
      <c r="H80" s="97" t="s">
        <v>270</v>
      </c>
      <c r="I80" s="6"/>
      <c r="J80" s="97" t="s">
        <v>271</v>
      </c>
      <c r="K80" s="97" t="s">
        <v>262</v>
      </c>
      <c r="L80" s="98" t="s">
        <v>262</v>
      </c>
      <c r="M80" s="6"/>
      <c r="BA80" s="8"/>
      <c r="BB80" s="8"/>
      <c r="BC80" s="8"/>
      <c r="BD80" s="8"/>
      <c r="BE80" s="8"/>
      <c r="BF80" s="8"/>
      <c r="BG80" s="8"/>
      <c r="BH80" s="8"/>
    </row>
    <row r="81" spans="1:60" ht="19.5" customHeight="1">
      <c r="A81" s="1170">
        <v>1</v>
      </c>
      <c r="B81" s="6"/>
      <c r="C81" s="107" t="s">
        <v>265</v>
      </c>
      <c r="D81" s="6"/>
      <c r="E81" s="107" t="s">
        <v>270</v>
      </c>
      <c r="F81" s="107"/>
      <c r="G81" s="107"/>
      <c r="H81" s="107" t="s">
        <v>272</v>
      </c>
      <c r="I81" s="6"/>
      <c r="J81" s="107" t="s">
        <v>273</v>
      </c>
      <c r="K81" s="107" t="s">
        <v>274</v>
      </c>
      <c r="L81" s="108" t="s">
        <v>274</v>
      </c>
      <c r="M81" s="6"/>
      <c r="BA81" s="8"/>
      <c r="BB81" s="8"/>
      <c r="BC81" s="8"/>
      <c r="BD81" s="8"/>
      <c r="BE81" s="8"/>
      <c r="BF81" s="8"/>
      <c r="BG81" s="8"/>
      <c r="BH81" s="8"/>
    </row>
    <row r="82" spans="1:60" ht="19.5" customHeight="1">
      <c r="A82" s="1171"/>
      <c r="B82" s="6"/>
      <c r="C82" s="101" t="s">
        <v>269</v>
      </c>
      <c r="D82" s="6"/>
      <c r="E82" s="101" t="s">
        <v>275</v>
      </c>
      <c r="F82" s="101"/>
      <c r="G82" s="101"/>
      <c r="H82" s="101" t="s">
        <v>275</v>
      </c>
      <c r="I82" s="6"/>
      <c r="J82" s="101" t="s">
        <v>276</v>
      </c>
      <c r="K82" s="101" t="s">
        <v>264</v>
      </c>
      <c r="L82" s="102" t="s">
        <v>264</v>
      </c>
      <c r="M82" s="6"/>
      <c r="BA82" s="8"/>
      <c r="BB82" s="8"/>
      <c r="BC82" s="8"/>
      <c r="BD82" s="8"/>
      <c r="BE82" s="8"/>
      <c r="BF82" s="8"/>
      <c r="BG82" s="8"/>
      <c r="BH82" s="8"/>
    </row>
    <row r="83" spans="1:60" ht="19.5" customHeight="1">
      <c r="A83" s="1171"/>
      <c r="B83" s="6"/>
      <c r="C83" s="101"/>
      <c r="D83" s="6"/>
      <c r="E83" s="101"/>
      <c r="F83" s="101"/>
      <c r="G83" s="101"/>
      <c r="H83" s="101" t="s">
        <v>277</v>
      </c>
      <c r="I83" s="6"/>
      <c r="J83" s="101" t="s">
        <v>278</v>
      </c>
      <c r="K83" s="101" t="s">
        <v>279</v>
      </c>
      <c r="L83" s="102" t="s">
        <v>279</v>
      </c>
      <c r="M83" s="6"/>
      <c r="BA83" s="8"/>
      <c r="BB83" s="8"/>
      <c r="BC83" s="8"/>
      <c r="BD83" s="8"/>
      <c r="BE83" s="8"/>
      <c r="BF83" s="8"/>
      <c r="BG83" s="8"/>
      <c r="BH83" s="8"/>
    </row>
    <row r="84" spans="1:60" ht="19.5" customHeight="1">
      <c r="A84" s="1171"/>
      <c r="B84" s="6"/>
      <c r="C84" s="101"/>
      <c r="D84" s="6"/>
      <c r="E84" s="101"/>
      <c r="F84" s="101"/>
      <c r="G84" s="101"/>
      <c r="H84" s="101"/>
      <c r="I84" s="6"/>
      <c r="J84" s="101" t="s">
        <v>280</v>
      </c>
      <c r="K84" s="101"/>
      <c r="L84" s="102"/>
      <c r="M84" s="6"/>
      <c r="BA84" s="8"/>
      <c r="BB84" s="8"/>
      <c r="BC84" s="8"/>
      <c r="BD84" s="8"/>
      <c r="BE84" s="8"/>
      <c r="BF84" s="8"/>
      <c r="BG84" s="8"/>
      <c r="BH84" s="8"/>
    </row>
    <row r="85" spans="1:60" ht="19.5" customHeight="1" thickBot="1">
      <c r="A85" s="1172"/>
      <c r="B85" s="6"/>
      <c r="C85" s="103"/>
      <c r="D85" s="6"/>
      <c r="E85" s="103"/>
      <c r="F85" s="103"/>
      <c r="G85" s="103"/>
      <c r="H85" s="103"/>
      <c r="I85" s="6"/>
      <c r="J85" s="103" t="s">
        <v>270</v>
      </c>
      <c r="K85" s="103"/>
      <c r="L85" s="104"/>
      <c r="M85" s="6"/>
      <c r="BA85" s="8"/>
      <c r="BB85" s="8"/>
      <c r="BC85" s="8"/>
      <c r="BD85" s="8"/>
      <c r="BE85" s="8"/>
      <c r="BF85" s="8"/>
      <c r="BG85" s="8"/>
      <c r="BH85" s="8"/>
    </row>
    <row r="86" spans="1:60">
      <c r="A86" s="6"/>
      <c r="B86" s="6"/>
      <c r="C86" s="6"/>
      <c r="D86" s="6"/>
      <c r="E86" s="6"/>
      <c r="F86" s="6"/>
      <c r="G86" s="6"/>
      <c r="H86" s="6"/>
      <c r="I86" s="6"/>
      <c r="J86" s="6"/>
      <c r="K86" s="7"/>
      <c r="L86" s="6"/>
      <c r="M86" s="6"/>
    </row>
    <row r="87" spans="1:60" ht="15.75" thickBot="1">
      <c r="A87" s="6"/>
      <c r="B87" s="6"/>
      <c r="C87" s="6"/>
      <c r="D87" s="6"/>
      <c r="E87" s="6"/>
      <c r="F87" s="6"/>
      <c r="G87" s="6"/>
      <c r="H87" s="6"/>
      <c r="I87" s="6"/>
      <c r="J87" s="6"/>
      <c r="K87" s="7"/>
      <c r="L87" s="6"/>
      <c r="M87" s="6"/>
      <c r="BA87" s="8"/>
      <c r="BB87" s="8"/>
      <c r="BC87" s="8"/>
      <c r="BD87" s="8"/>
      <c r="BE87" s="8"/>
      <c r="BF87" s="8"/>
      <c r="BG87" s="8"/>
      <c r="BH87" s="8"/>
    </row>
    <row r="88" spans="1:60" ht="24.75" customHeight="1" thickBot="1">
      <c r="A88" s="1187" t="s">
        <v>281</v>
      </c>
      <c r="B88" s="1187"/>
      <c r="C88" s="1187"/>
      <c r="D88" s="1187"/>
      <c r="E88" s="1187"/>
      <c r="F88" s="1188"/>
      <c r="G88" s="6"/>
      <c r="H88" s="6"/>
      <c r="I88" s="6"/>
      <c r="J88" s="6"/>
      <c r="K88" s="7"/>
      <c r="L88" s="6"/>
      <c r="M88" s="6"/>
      <c r="BA88" s="8"/>
      <c r="BB88" s="8"/>
      <c r="BC88" s="8"/>
      <c r="BD88" s="8"/>
      <c r="BE88" s="8"/>
      <c r="BF88" s="8"/>
      <c r="BG88" s="8"/>
      <c r="BH88" s="8"/>
    </row>
    <row r="89" spans="1:60" ht="15.75">
      <c r="A89" s="142" t="s">
        <v>218</v>
      </c>
      <c r="B89" s="143"/>
      <c r="C89" s="144" t="s">
        <v>224</v>
      </c>
      <c r="D89" s="6"/>
      <c r="E89" s="144" t="s">
        <v>61</v>
      </c>
      <c r="F89" s="144" t="s">
        <v>60</v>
      </c>
      <c r="G89" s="6"/>
      <c r="H89" s="6"/>
      <c r="I89" s="6"/>
      <c r="J89" s="6"/>
      <c r="K89" s="7"/>
      <c r="L89" s="6"/>
      <c r="M89" s="6"/>
      <c r="BA89" s="8"/>
      <c r="BB89" s="8"/>
      <c r="BC89" s="8"/>
      <c r="BD89" s="8"/>
      <c r="BE89" s="8"/>
      <c r="BF89" s="8"/>
      <c r="BG89" s="8"/>
      <c r="BH89" s="8"/>
    </row>
    <row r="90" spans="1:60">
      <c r="A90" s="1179">
        <v>4</v>
      </c>
      <c r="B90" s="6"/>
      <c r="C90" s="95" t="s">
        <v>225</v>
      </c>
      <c r="D90" s="6"/>
      <c r="E90" s="95" t="s">
        <v>226</v>
      </c>
      <c r="F90" s="96" t="s">
        <v>226</v>
      </c>
      <c r="G90" s="6"/>
      <c r="H90" s="6"/>
      <c r="I90" s="6"/>
      <c r="J90" s="6"/>
      <c r="K90" s="7"/>
      <c r="L90" s="6"/>
      <c r="M90" s="6"/>
      <c r="BA90" s="8"/>
      <c r="BB90" s="8"/>
      <c r="BC90" s="8"/>
      <c r="BD90" s="8"/>
      <c r="BE90" s="8"/>
      <c r="BF90" s="8"/>
      <c r="BG90" s="8"/>
      <c r="BH90" s="8"/>
    </row>
    <row r="91" spans="1:60" ht="15" customHeight="1">
      <c r="A91" s="1180"/>
      <c r="B91" s="6"/>
      <c r="C91" s="95" t="s">
        <v>227</v>
      </c>
      <c r="D91" s="6"/>
      <c r="E91" s="95" t="s">
        <v>228</v>
      </c>
      <c r="F91" s="96" t="s">
        <v>228</v>
      </c>
      <c r="G91" s="6"/>
      <c r="H91" s="6"/>
      <c r="I91" s="6"/>
      <c r="J91" s="6"/>
      <c r="K91" s="7"/>
      <c r="L91" s="6"/>
      <c r="M91" s="6"/>
      <c r="BA91" s="8"/>
      <c r="BB91" s="8"/>
      <c r="BC91" s="8"/>
      <c r="BD91" s="8"/>
      <c r="BE91" s="8"/>
      <c r="BF91" s="8"/>
      <c r="BG91" s="8"/>
      <c r="BH91" s="8"/>
    </row>
    <row r="92" spans="1:60" ht="15" customHeight="1">
      <c r="A92" s="1180"/>
      <c r="B92" s="6"/>
      <c r="C92" s="95" t="s">
        <v>229</v>
      </c>
      <c r="D92" s="6"/>
      <c r="E92" s="95" t="s">
        <v>230</v>
      </c>
      <c r="F92" s="96" t="s">
        <v>230</v>
      </c>
      <c r="G92" s="6"/>
      <c r="H92" s="6"/>
      <c r="I92" s="6"/>
      <c r="J92" s="6"/>
      <c r="K92" s="7"/>
      <c r="L92" s="6"/>
      <c r="M92" s="6"/>
      <c r="BA92" s="8"/>
      <c r="BB92" s="8"/>
      <c r="BC92" s="8"/>
      <c r="BD92" s="8"/>
      <c r="BE92" s="8"/>
      <c r="BF92" s="8"/>
      <c r="BG92" s="8"/>
      <c r="BH92" s="8"/>
    </row>
    <row r="93" spans="1:60">
      <c r="A93" s="1180"/>
      <c r="B93" s="6"/>
      <c r="C93" s="95" t="s">
        <v>231</v>
      </c>
      <c r="D93" s="6"/>
      <c r="E93" s="95" t="s">
        <v>232</v>
      </c>
      <c r="F93" s="96" t="s">
        <v>232</v>
      </c>
      <c r="G93" s="6"/>
      <c r="H93" s="6"/>
      <c r="I93" s="6"/>
      <c r="J93" s="6"/>
      <c r="K93" s="7"/>
      <c r="L93" s="6"/>
      <c r="M93" s="6"/>
      <c r="BA93" s="8"/>
      <c r="BB93" s="8"/>
      <c r="BC93" s="8"/>
      <c r="BD93" s="8"/>
      <c r="BE93" s="8"/>
      <c r="BF93" s="8"/>
      <c r="BG93" s="8"/>
      <c r="BH93" s="8"/>
    </row>
    <row r="94" spans="1:60">
      <c r="A94" s="1180"/>
      <c r="B94" s="6"/>
      <c r="C94" s="95" t="s">
        <v>233</v>
      </c>
      <c r="D94" s="6"/>
      <c r="E94" s="95" t="s">
        <v>234</v>
      </c>
      <c r="F94" s="96" t="s">
        <v>234</v>
      </c>
      <c r="G94" s="6"/>
      <c r="H94" s="6"/>
      <c r="I94" s="6"/>
      <c r="J94" s="6"/>
      <c r="K94" s="7"/>
      <c r="L94" s="6"/>
      <c r="M94" s="6"/>
      <c r="BA94" s="8"/>
      <c r="BB94" s="8"/>
      <c r="BC94" s="8"/>
      <c r="BD94" s="8"/>
      <c r="BE94" s="8"/>
      <c r="BF94" s="8"/>
      <c r="BG94" s="8"/>
      <c r="BH94" s="8"/>
    </row>
    <row r="95" spans="1:60">
      <c r="A95" s="1180"/>
      <c r="B95" s="6"/>
      <c r="C95" s="95" t="s">
        <v>235</v>
      </c>
      <c r="D95" s="6"/>
      <c r="E95" s="95" t="s">
        <v>236</v>
      </c>
      <c r="F95" s="96" t="s">
        <v>236</v>
      </c>
      <c r="G95" s="6"/>
      <c r="H95" s="6"/>
      <c r="I95" s="6"/>
      <c r="J95" s="6"/>
      <c r="K95" s="7"/>
      <c r="L95" s="6"/>
      <c r="M95" s="6"/>
      <c r="BA95" s="8"/>
      <c r="BB95" s="8"/>
      <c r="BC95" s="8"/>
      <c r="BD95" s="8"/>
      <c r="BE95" s="8"/>
      <c r="BF95" s="8"/>
      <c r="BG95" s="8"/>
      <c r="BH95" s="8"/>
    </row>
    <row r="96" spans="1:60" ht="15" customHeight="1">
      <c r="A96" s="1180"/>
      <c r="B96" s="6"/>
      <c r="C96" s="95" t="s">
        <v>238</v>
      </c>
      <c r="D96" s="6"/>
      <c r="E96" s="95" t="s">
        <v>239</v>
      </c>
      <c r="F96" s="96" t="s">
        <v>239</v>
      </c>
      <c r="G96" s="6"/>
      <c r="H96" s="6"/>
      <c r="I96" s="6"/>
      <c r="J96" s="6"/>
      <c r="K96" s="7"/>
      <c r="L96" s="6"/>
      <c r="M96" s="6"/>
      <c r="BA96" s="8"/>
      <c r="BB96" s="8"/>
      <c r="BC96" s="8"/>
      <c r="BD96" s="8"/>
      <c r="BE96" s="8"/>
      <c r="BF96" s="8"/>
      <c r="BG96" s="8"/>
      <c r="BH96" s="8"/>
    </row>
    <row r="97" spans="1:60" ht="15" customHeight="1">
      <c r="A97" s="1180"/>
      <c r="B97" s="6"/>
      <c r="C97" s="95" t="s">
        <v>241</v>
      </c>
      <c r="D97" s="6"/>
      <c r="E97" s="95" t="s">
        <v>242</v>
      </c>
      <c r="F97" s="96" t="s">
        <v>242</v>
      </c>
      <c r="G97" s="6"/>
      <c r="H97" s="6"/>
      <c r="I97" s="6"/>
      <c r="J97" s="6"/>
      <c r="K97" s="7"/>
      <c r="L97" s="6"/>
      <c r="M97" s="6"/>
      <c r="BA97" s="8"/>
      <c r="BB97" s="8"/>
      <c r="BC97" s="8"/>
      <c r="BD97" s="8"/>
      <c r="BE97" s="8"/>
      <c r="BF97" s="8"/>
      <c r="BG97" s="8"/>
      <c r="BH97" s="8"/>
    </row>
    <row r="98" spans="1:60" ht="15" customHeight="1">
      <c r="A98" s="1180"/>
      <c r="B98" s="6"/>
      <c r="C98" s="95" t="s">
        <v>244</v>
      </c>
      <c r="D98" s="6"/>
      <c r="E98" s="95" t="s">
        <v>245</v>
      </c>
      <c r="F98" s="96" t="s">
        <v>245</v>
      </c>
      <c r="G98" s="6"/>
      <c r="H98" s="6"/>
      <c r="I98" s="6"/>
      <c r="J98" s="6"/>
      <c r="K98" s="7"/>
      <c r="L98" s="6"/>
      <c r="M98" s="6"/>
      <c r="BA98" s="8"/>
      <c r="BB98" s="8"/>
      <c r="BC98" s="8"/>
      <c r="BD98" s="8"/>
      <c r="BE98" s="8"/>
      <c r="BF98" s="8"/>
      <c r="BG98" s="8"/>
      <c r="BH98" s="8"/>
    </row>
    <row r="99" spans="1:60" ht="15.75" thickBot="1">
      <c r="A99" s="1181"/>
      <c r="B99" s="6"/>
      <c r="C99" s="97" t="s">
        <v>247</v>
      </c>
      <c r="D99" s="6"/>
      <c r="E99" s="97" t="s">
        <v>248</v>
      </c>
      <c r="F99" s="98" t="s">
        <v>248</v>
      </c>
      <c r="G99" s="6"/>
      <c r="H99" s="6"/>
      <c r="I99" s="6"/>
      <c r="J99" s="6"/>
      <c r="K99" s="7"/>
      <c r="L99" s="6"/>
      <c r="M99" s="6"/>
      <c r="BA99" s="8"/>
      <c r="BB99" s="8"/>
      <c r="BC99" s="8"/>
      <c r="BD99" s="8"/>
      <c r="BE99" s="8"/>
      <c r="BF99" s="8"/>
      <c r="BG99" s="8"/>
      <c r="BH99" s="8"/>
    </row>
    <row r="100" spans="1:60">
      <c r="A100" s="1170">
        <v>3</v>
      </c>
      <c r="B100" s="6"/>
      <c r="C100" s="107" t="s">
        <v>250</v>
      </c>
      <c r="D100" s="6"/>
      <c r="E100" s="107" t="s">
        <v>251</v>
      </c>
      <c r="F100" s="108" t="s">
        <v>251</v>
      </c>
      <c r="G100" s="6"/>
      <c r="H100" s="6"/>
      <c r="I100" s="6"/>
      <c r="J100" s="6"/>
      <c r="K100" s="7"/>
      <c r="L100" s="6"/>
      <c r="M100" s="6"/>
      <c r="BA100" s="8"/>
      <c r="BB100" s="8"/>
      <c r="BC100" s="8"/>
      <c r="BD100" s="8"/>
      <c r="BE100" s="8"/>
      <c r="BF100" s="8"/>
      <c r="BG100" s="8"/>
      <c r="BH100" s="8"/>
    </row>
    <row r="101" spans="1:60">
      <c r="A101" s="1182"/>
      <c r="B101" s="6"/>
      <c r="C101" s="101" t="s">
        <v>254</v>
      </c>
      <c r="D101" s="6"/>
      <c r="E101" s="101" t="s">
        <v>255</v>
      </c>
      <c r="F101" s="102" t="s">
        <v>255</v>
      </c>
      <c r="G101" s="6"/>
      <c r="H101" s="6"/>
      <c r="I101" s="6"/>
      <c r="J101" s="6"/>
      <c r="K101" s="7"/>
      <c r="L101" s="6"/>
      <c r="M101" s="6"/>
      <c r="BA101" s="8"/>
      <c r="BB101" s="8"/>
      <c r="BC101" s="8"/>
      <c r="BD101" s="8"/>
      <c r="BE101" s="8"/>
      <c r="BF101" s="8"/>
      <c r="BG101" s="8"/>
      <c r="BH101" s="8"/>
    </row>
    <row r="102" spans="1:60" ht="15.75" thickBot="1">
      <c r="A102" s="1183"/>
      <c r="B102" s="6"/>
      <c r="C102" s="103" t="s">
        <v>258</v>
      </c>
      <c r="D102" s="6"/>
      <c r="E102" s="103" t="s">
        <v>259</v>
      </c>
      <c r="F102" s="104" t="s">
        <v>259</v>
      </c>
      <c r="G102" s="6"/>
      <c r="H102" s="6"/>
      <c r="I102" s="6"/>
      <c r="J102" s="6"/>
      <c r="K102" s="7"/>
      <c r="L102" s="6"/>
      <c r="M102" s="6"/>
      <c r="BA102" s="8"/>
      <c r="BB102" s="8"/>
      <c r="BC102" s="8"/>
      <c r="BD102" s="8"/>
      <c r="BE102" s="8"/>
      <c r="BF102" s="8"/>
      <c r="BG102" s="8"/>
      <c r="BH102" s="8"/>
    </row>
    <row r="103" spans="1:60">
      <c r="A103" s="1173">
        <v>2</v>
      </c>
      <c r="B103" s="6"/>
      <c r="C103" s="109" t="s">
        <v>263</v>
      </c>
      <c r="D103" s="6"/>
      <c r="E103" s="109" t="s">
        <v>253</v>
      </c>
      <c r="F103" s="110" t="s">
        <v>253</v>
      </c>
      <c r="G103" s="6"/>
      <c r="H103" s="6"/>
      <c r="I103" s="6"/>
      <c r="J103" s="6"/>
      <c r="K103" s="7"/>
      <c r="L103" s="6"/>
      <c r="M103" s="6"/>
      <c r="BA103" s="8"/>
      <c r="BB103" s="8"/>
      <c r="BC103" s="8"/>
      <c r="BD103" s="8"/>
      <c r="BE103" s="8"/>
      <c r="BF103" s="8"/>
      <c r="BG103" s="8"/>
      <c r="BH103" s="8"/>
    </row>
    <row r="104" spans="1:60">
      <c r="A104" s="1174"/>
      <c r="B104" s="6"/>
      <c r="C104" s="95" t="s">
        <v>267</v>
      </c>
      <c r="D104" s="6"/>
      <c r="E104" s="95" t="s">
        <v>257</v>
      </c>
      <c r="F104" s="96" t="s">
        <v>257</v>
      </c>
      <c r="G104" s="6"/>
      <c r="H104" s="6"/>
      <c r="I104" s="6"/>
      <c r="J104" s="6"/>
      <c r="K104" s="7"/>
      <c r="L104" s="6"/>
      <c r="M104" s="6"/>
      <c r="BA104" s="8"/>
      <c r="BB104" s="8"/>
      <c r="BC104" s="8"/>
      <c r="BD104" s="8"/>
      <c r="BE104" s="8"/>
      <c r="BF104" s="8"/>
      <c r="BG104" s="8"/>
      <c r="BH104" s="8"/>
    </row>
    <row r="105" spans="1:60" ht="15.75" thickBot="1">
      <c r="A105" s="1175"/>
      <c r="B105" s="6"/>
      <c r="C105" s="97" t="s">
        <v>271</v>
      </c>
      <c r="D105" s="6"/>
      <c r="E105" s="97" t="s">
        <v>262</v>
      </c>
      <c r="F105" s="98" t="s">
        <v>262</v>
      </c>
      <c r="G105" s="6"/>
      <c r="H105" s="92"/>
      <c r="I105" s="6"/>
      <c r="J105" s="6"/>
      <c r="K105" s="7"/>
      <c r="L105" s="6"/>
      <c r="M105" s="6"/>
      <c r="BA105" s="8"/>
      <c r="BB105" s="8"/>
      <c r="BC105" s="8"/>
      <c r="BD105" s="8"/>
      <c r="BE105" s="8"/>
      <c r="BF105" s="8"/>
      <c r="BG105" s="8"/>
      <c r="BH105" s="8"/>
    </row>
    <row r="106" spans="1:60" ht="15" customHeight="1">
      <c r="A106" s="1170">
        <v>1</v>
      </c>
      <c r="B106" s="6"/>
      <c r="C106" s="107" t="s">
        <v>273</v>
      </c>
      <c r="D106" s="6"/>
      <c r="E106" s="107" t="s">
        <v>274</v>
      </c>
      <c r="F106" s="108" t="s">
        <v>274</v>
      </c>
      <c r="G106" s="6"/>
      <c r="H106" s="6"/>
      <c r="I106" s="6"/>
      <c r="J106" s="6"/>
      <c r="K106" s="7"/>
      <c r="L106" s="6"/>
      <c r="M106" s="6"/>
      <c r="BA106" s="8"/>
      <c r="BB106" s="8"/>
      <c r="BC106" s="8"/>
      <c r="BD106" s="8"/>
      <c r="BE106" s="8"/>
      <c r="BF106" s="8"/>
      <c r="BG106" s="8"/>
      <c r="BH106" s="8"/>
    </row>
    <row r="107" spans="1:60" ht="15" customHeight="1">
      <c r="A107" s="1171"/>
      <c r="B107" s="6"/>
      <c r="C107" s="101" t="s">
        <v>276</v>
      </c>
      <c r="D107" s="6"/>
      <c r="E107" s="101" t="s">
        <v>264</v>
      </c>
      <c r="F107" s="102" t="s">
        <v>264</v>
      </c>
      <c r="G107" s="6"/>
      <c r="H107" s="6"/>
      <c r="I107" s="6"/>
      <c r="J107" s="6"/>
      <c r="K107" s="7"/>
      <c r="L107" s="6"/>
      <c r="M107" s="6"/>
      <c r="BA107" s="8"/>
      <c r="BB107" s="8"/>
      <c r="BC107" s="8"/>
      <c r="BD107" s="8"/>
      <c r="BE107" s="8"/>
      <c r="BF107" s="8"/>
      <c r="BG107" s="8"/>
      <c r="BH107" s="8"/>
    </row>
    <row r="108" spans="1:60" ht="15" customHeight="1">
      <c r="A108" s="1171"/>
      <c r="B108" s="6"/>
      <c r="C108" s="101" t="s">
        <v>278</v>
      </c>
      <c r="D108" s="6"/>
      <c r="E108" s="101" t="s">
        <v>279</v>
      </c>
      <c r="F108" s="102" t="s">
        <v>279</v>
      </c>
      <c r="G108" s="6"/>
      <c r="H108" s="6"/>
      <c r="I108" s="6"/>
      <c r="J108" s="6"/>
      <c r="K108" s="7"/>
      <c r="L108" s="6"/>
      <c r="M108" s="6"/>
      <c r="BA108" s="8"/>
      <c r="BB108" s="8"/>
      <c r="BC108" s="8"/>
      <c r="BD108" s="8"/>
      <c r="BE108" s="8"/>
      <c r="BF108" s="8"/>
      <c r="BG108" s="8"/>
      <c r="BH108" s="8"/>
    </row>
    <row r="109" spans="1:60">
      <c r="A109" s="1171"/>
      <c r="B109" s="6"/>
      <c r="C109" s="101" t="s">
        <v>280</v>
      </c>
      <c r="D109" s="6"/>
      <c r="E109" s="101" t="s">
        <v>268</v>
      </c>
      <c r="F109" s="102" t="s">
        <v>268</v>
      </c>
      <c r="G109" s="6"/>
      <c r="H109" s="6"/>
      <c r="I109" s="6"/>
      <c r="J109" s="6"/>
      <c r="K109" s="7"/>
      <c r="L109" s="6"/>
      <c r="M109" s="6"/>
      <c r="BA109" s="8"/>
      <c r="BB109" s="8"/>
      <c r="BC109" s="8"/>
      <c r="BD109" s="8"/>
      <c r="BE109" s="8"/>
      <c r="BF109" s="8"/>
      <c r="BG109" s="8"/>
      <c r="BH109" s="8"/>
    </row>
    <row r="110" spans="1:60" ht="15.75" thickBot="1">
      <c r="A110" s="1172"/>
      <c r="B110" s="6"/>
      <c r="C110" s="103" t="s">
        <v>270</v>
      </c>
      <c r="D110" s="6"/>
      <c r="E110" s="103" t="s">
        <v>270</v>
      </c>
      <c r="F110" s="104"/>
      <c r="G110" s="6"/>
      <c r="H110" s="6"/>
      <c r="I110" s="6"/>
      <c r="J110" s="6"/>
      <c r="K110" s="7"/>
      <c r="L110" s="6"/>
      <c r="M110" s="6"/>
      <c r="BA110" s="8"/>
      <c r="BB110" s="8"/>
      <c r="BC110" s="8"/>
      <c r="BD110" s="8"/>
      <c r="BE110" s="8"/>
      <c r="BF110" s="8"/>
      <c r="BG110" s="8"/>
      <c r="BH110" s="8"/>
    </row>
    <row r="111" spans="1:60">
      <c r="A111" s="6"/>
      <c r="B111" s="6"/>
      <c r="C111" s="6"/>
      <c r="D111" s="6"/>
      <c r="E111" s="6"/>
      <c r="F111" s="6"/>
      <c r="G111" s="6"/>
      <c r="H111" s="6"/>
      <c r="I111" s="6"/>
      <c r="J111" s="6"/>
      <c r="K111" s="6"/>
      <c r="L111" s="6"/>
      <c r="M111" s="6"/>
    </row>
    <row r="112" spans="1:60">
      <c r="A112" s="6"/>
      <c r="B112" s="6"/>
      <c r="C112" s="6"/>
      <c r="D112" s="6"/>
      <c r="E112" s="6"/>
      <c r="F112" s="6"/>
      <c r="G112" s="6"/>
      <c r="H112" s="6"/>
      <c r="I112" s="6"/>
      <c r="J112" s="6"/>
      <c r="K112" s="6"/>
      <c r="L112" s="6"/>
      <c r="M112" s="6"/>
    </row>
    <row r="113" spans="53:60" ht="15" customHeight="1">
      <c r="BA113" s="8"/>
      <c r="BB113" s="8"/>
      <c r="BC113" s="8"/>
      <c r="BD113" s="8"/>
      <c r="BE113" s="8"/>
      <c r="BF113" s="8"/>
      <c r="BG113" s="8"/>
      <c r="BH113" s="8"/>
    </row>
    <row r="114" spans="53:60" ht="15" customHeight="1">
      <c r="BA114" s="8"/>
      <c r="BB114" s="8"/>
      <c r="BC114" s="8"/>
      <c r="BD114" s="8"/>
      <c r="BE114" s="8"/>
      <c r="BF114" s="8"/>
      <c r="BG114" s="8"/>
      <c r="BH114" s="8"/>
    </row>
    <row r="115" spans="53:60" ht="15" customHeight="1">
      <c r="BA115" s="8"/>
      <c r="BB115" s="8"/>
      <c r="BC115" s="8"/>
      <c r="BD115" s="8"/>
      <c r="BE115" s="8"/>
      <c r="BF115" s="8"/>
      <c r="BG115" s="8"/>
      <c r="BH115" s="8"/>
    </row>
    <row r="116" spans="53:60" ht="15" customHeight="1">
      <c r="BA116" s="8"/>
      <c r="BB116" s="8"/>
      <c r="BC116" s="8"/>
      <c r="BD116" s="8"/>
      <c r="BE116" s="8"/>
      <c r="BF116" s="8"/>
      <c r="BG116" s="8"/>
      <c r="BH116" s="8"/>
    </row>
    <row r="119" spans="53:60" ht="15" customHeight="1">
      <c r="BA119" s="8"/>
      <c r="BB119" s="8"/>
      <c r="BC119" s="8"/>
      <c r="BD119" s="8"/>
      <c r="BE119" s="8"/>
      <c r="BF119" s="8"/>
      <c r="BG119" s="8"/>
      <c r="BH119" s="8"/>
    </row>
    <row r="120" spans="53:60" ht="15" customHeight="1">
      <c r="BA120" s="8"/>
      <c r="BB120" s="8"/>
      <c r="BC120" s="8"/>
      <c r="BD120" s="8"/>
      <c r="BE120" s="8"/>
      <c r="BF120" s="8"/>
      <c r="BG120" s="8"/>
      <c r="BH120" s="8"/>
    </row>
    <row r="121" spans="53:60" ht="15" customHeight="1">
      <c r="BA121" s="8"/>
      <c r="BB121" s="8"/>
      <c r="BC121" s="8"/>
      <c r="BD121" s="8"/>
      <c r="BE121" s="8"/>
      <c r="BF121" s="8"/>
      <c r="BG121" s="8"/>
      <c r="BH121" s="8"/>
    </row>
    <row r="122" spans="53:60" ht="15" customHeight="1">
      <c r="BA122" s="8"/>
      <c r="BB122" s="8"/>
      <c r="BC122" s="8"/>
      <c r="BD122" s="8"/>
      <c r="BE122" s="8"/>
      <c r="BF122" s="8"/>
      <c r="BG122" s="8"/>
      <c r="BH122" s="8"/>
    </row>
    <row r="125" spans="53:60" outlineLevel="1">
      <c r="BA125" s="8"/>
      <c r="BB125" s="8"/>
      <c r="BC125" s="8"/>
      <c r="BD125" s="8"/>
      <c r="BE125" s="8"/>
      <c r="BF125" s="8"/>
      <c r="BG125" s="8"/>
      <c r="BH125" s="8"/>
    </row>
    <row r="126" spans="53:60" outlineLevel="1">
      <c r="BA126" s="8"/>
      <c r="BB126" s="8"/>
      <c r="BC126" s="8"/>
      <c r="BD126" s="8"/>
      <c r="BE126" s="8"/>
      <c r="BF126" s="8"/>
      <c r="BG126" s="8"/>
      <c r="BH126" s="8"/>
    </row>
    <row r="127" spans="53:60" outlineLevel="1">
      <c r="BA127" s="8"/>
      <c r="BB127" s="8"/>
      <c r="BC127" s="8"/>
      <c r="BD127" s="8"/>
      <c r="BE127" s="8"/>
      <c r="BF127" s="8"/>
      <c r="BG127" s="8"/>
      <c r="BH127" s="8"/>
    </row>
    <row r="128" spans="53:60" outlineLevel="1">
      <c r="BA128" s="8"/>
      <c r="BB128" s="8"/>
      <c r="BC128" s="8"/>
      <c r="BD128" s="8"/>
      <c r="BE128" s="8"/>
      <c r="BF128" s="8"/>
      <c r="BG128" s="8"/>
      <c r="BH128" s="8"/>
    </row>
    <row r="129" spans="53:60" outlineLevel="1">
      <c r="BA129" s="8"/>
      <c r="BB129" s="8"/>
      <c r="BC129" s="8"/>
      <c r="BD129" s="8"/>
      <c r="BE129" s="8"/>
      <c r="BF129" s="8"/>
      <c r="BG129" s="8"/>
      <c r="BH129" s="8"/>
    </row>
    <row r="130" spans="53:60">
      <c r="BA130" s="8"/>
      <c r="BB130" s="8"/>
      <c r="BC130" s="8"/>
      <c r="BD130" s="8"/>
      <c r="BE130" s="8"/>
      <c r="BF130" s="8"/>
      <c r="BG130" s="8"/>
      <c r="BH130" s="8"/>
    </row>
  </sheetData>
  <mergeCells count="36">
    <mergeCell ref="A10:A14"/>
    <mergeCell ref="A21:A28"/>
    <mergeCell ref="B53:B57"/>
    <mergeCell ref="B47:B52"/>
    <mergeCell ref="B21:B28"/>
    <mergeCell ref="B35:B40"/>
    <mergeCell ref="A47:A52"/>
    <mergeCell ref="A15:A20"/>
    <mergeCell ref="E5:F7"/>
    <mergeCell ref="B29:B34"/>
    <mergeCell ref="K5:K7"/>
    <mergeCell ref="C9:D9"/>
    <mergeCell ref="H9:I9"/>
    <mergeCell ref="T29:T31"/>
    <mergeCell ref="B10:B14"/>
    <mergeCell ref="T17:T19"/>
    <mergeCell ref="T13:T15"/>
    <mergeCell ref="T21:T23"/>
    <mergeCell ref="T25:T27"/>
    <mergeCell ref="B15:B20"/>
    <mergeCell ref="A106:A110"/>
    <mergeCell ref="A78:A80"/>
    <mergeCell ref="A29:A34"/>
    <mergeCell ref="A81:A85"/>
    <mergeCell ref="A65:A74"/>
    <mergeCell ref="A75:A77"/>
    <mergeCell ref="A53:A57"/>
    <mergeCell ref="A60:D60"/>
    <mergeCell ref="A90:A99"/>
    <mergeCell ref="A100:A102"/>
    <mergeCell ref="A103:A105"/>
    <mergeCell ref="A63:L63"/>
    <mergeCell ref="A88:F88"/>
    <mergeCell ref="A35:A40"/>
    <mergeCell ref="A41:A46"/>
    <mergeCell ref="B41:B46"/>
  </mergeCells>
  <phoneticPr fontId="19" type="noConversion"/>
  <conditionalFormatting sqref="L57:L58 L46 L40 L34 L28 L14">
    <cfRule type="cellIs" dxfId="11" priority="51" stopIfTrue="1" operator="equal">
      <formula>1</formula>
    </cfRule>
  </conditionalFormatting>
  <conditionalFormatting sqref="L20">
    <cfRule type="cellIs" dxfId="10" priority="49" stopIfTrue="1" operator="equal">
      <formula>1</formula>
    </cfRule>
    <cfRule type="cellIs" dxfId="9" priority="50" stopIfTrue="1" operator="equal">
      <formula>1</formula>
    </cfRule>
  </conditionalFormatting>
  <conditionalFormatting sqref="L52">
    <cfRule type="cellIs" dxfId="8" priority="47" stopIfTrue="1" operator="equal">
      <formula>1</formula>
    </cfRule>
    <cfRule type="cellIs" dxfId="7" priority="48" stopIfTrue="1" operator="equal">
      <formula>1</formula>
    </cfRule>
  </conditionalFormatting>
  <conditionalFormatting sqref="F55:F56 F47">
    <cfRule type="cellIs" dxfId="6" priority="45" stopIfTrue="1" operator="greaterThan">
      <formula>4</formula>
    </cfRule>
  </conditionalFormatting>
  <conditionalFormatting sqref="L20">
    <cfRule type="cellIs" dxfId="5" priority="4" stopIfTrue="1" operator="equal">
      <formula>1</formula>
    </cfRule>
  </conditionalFormatting>
  <conditionalFormatting sqref="L52">
    <cfRule type="cellIs" dxfId="4" priority="3" stopIfTrue="1" operator="equal">
      <formula>1</formula>
    </cfRule>
  </conditionalFormatting>
  <conditionalFormatting sqref="L52">
    <cfRule type="cellIs" dxfId="3" priority="2" stopIfTrue="1" operator="equal">
      <formula>1</formula>
    </cfRule>
  </conditionalFormatting>
  <conditionalFormatting sqref="L20">
    <cfRule type="cellIs" dxfId="2" priority="1" stopIfTrue="1" operator="equal">
      <formula>1</formula>
    </cfRule>
  </conditionalFormatting>
  <dataValidations count="1">
    <dataValidation type="list" allowBlank="1" showInputMessage="1" showErrorMessage="1" error="Please select a region" sqref="H7">
      <formula1>Region</formula1>
    </dataValidation>
  </dataValidations>
  <pageMargins left="0.7" right="0.7" top="0.75" bottom="0.75" header="0.3" footer="0.3"/>
  <pageSetup paperSize="9" scale="44" orientation="landscape" r:id="rId1"/>
  <rowBreaks count="2" manualBreakCount="2">
    <brk id="40" max="11" man="1"/>
    <brk id="62" max="11" man="1"/>
  </rowBreaks>
  <colBreaks count="1" manualBreakCount="1">
    <brk id="12" max="1048575" man="1"/>
  </colBreaks>
  <legacyDrawing r:id="rId2"/>
</worksheet>
</file>

<file path=xl/worksheets/sheet13.xml><?xml version="1.0" encoding="utf-8"?>
<worksheet xmlns="http://schemas.openxmlformats.org/spreadsheetml/2006/main" xmlns:r="http://schemas.openxmlformats.org/officeDocument/2006/relationships">
  <sheetPr codeName="Sheet17" enableFormatConditionsCalculation="0">
    <tabColor theme="9" tint="0.39997558519241921"/>
  </sheetPr>
  <dimension ref="A1:B124"/>
  <sheetViews>
    <sheetView zoomScale="85" zoomScaleNormal="85" workbookViewId="0">
      <selection activeCell="B5" sqref="B5"/>
    </sheetView>
  </sheetViews>
  <sheetFormatPr defaultRowHeight="15" outlineLevelRow="1"/>
  <cols>
    <col min="1" max="1" width="41.7109375" style="152" bestFit="1" customWidth="1"/>
    <col min="2" max="2" width="223.140625" style="152" bestFit="1" customWidth="1"/>
    <col min="3" max="16384" width="9.140625" style="152"/>
  </cols>
  <sheetData>
    <row r="1" spans="1:2" s="5" customFormat="1" ht="19.5">
      <c r="A1" s="125">
        <f>'Hist &amp; Proj'!A1</f>
        <v>0</v>
      </c>
    </row>
    <row r="2" spans="1:2" s="169" customFormat="1" ht="4.5" customHeight="1" thickBot="1">
      <c r="A2" s="482"/>
      <c r="B2" s="482"/>
    </row>
    <row r="3" spans="1:2" s="355" customFormat="1" ht="12.75"/>
    <row r="4" spans="1:2" s="355" customFormat="1" ht="19.5">
      <c r="A4" s="883" t="s">
        <v>934</v>
      </c>
    </row>
    <row r="5" spans="1:2" s="355" customFormat="1" ht="19.5">
      <c r="A5" s="359" t="s">
        <v>652</v>
      </c>
    </row>
    <row r="6" spans="1:2" s="126" customFormat="1" ht="12.75">
      <c r="B6" s="170"/>
    </row>
    <row r="7" spans="1:2">
      <c r="A7" s="525" t="s">
        <v>312</v>
      </c>
      <c r="B7" s="525" t="s">
        <v>313</v>
      </c>
    </row>
    <row r="8" spans="1:2">
      <c r="A8" s="152" t="s">
        <v>67</v>
      </c>
      <c r="B8" s="152" t="s">
        <v>314</v>
      </c>
    </row>
    <row r="9" spans="1:2">
      <c r="A9" s="152" t="s">
        <v>373</v>
      </c>
      <c r="B9" s="152" t="s">
        <v>374</v>
      </c>
    </row>
    <row r="10" spans="1:2">
      <c r="A10" s="152" t="s">
        <v>375</v>
      </c>
      <c r="B10" s="152" t="s">
        <v>376</v>
      </c>
    </row>
    <row r="11" spans="1:2">
      <c r="A11" s="152" t="s">
        <v>68</v>
      </c>
      <c r="B11" s="152" t="s">
        <v>315</v>
      </c>
    </row>
    <row r="12" spans="1:2">
      <c r="A12" s="152" t="s">
        <v>316</v>
      </c>
      <c r="B12" s="152" t="s">
        <v>362</v>
      </c>
    </row>
    <row r="13" spans="1:2">
      <c r="A13" s="152" t="s">
        <v>1</v>
      </c>
      <c r="B13" s="152" t="s">
        <v>317</v>
      </c>
    </row>
    <row r="14" spans="1:2">
      <c r="A14" s="152" t="s">
        <v>70</v>
      </c>
      <c r="B14" s="152" t="s">
        <v>318</v>
      </c>
    </row>
    <row r="15" spans="1:2">
      <c r="A15" s="152" t="s">
        <v>319</v>
      </c>
      <c r="B15" s="152" t="s">
        <v>320</v>
      </c>
    </row>
    <row r="16" spans="1:2">
      <c r="A16" s="152" t="s">
        <v>321</v>
      </c>
      <c r="B16" s="152" t="s">
        <v>322</v>
      </c>
    </row>
    <row r="17" spans="1:2">
      <c r="A17" s="153" t="s">
        <v>377</v>
      </c>
      <c r="B17" s="154" t="s">
        <v>378</v>
      </c>
    </row>
    <row r="18" spans="1:2">
      <c r="A18" s="153" t="s">
        <v>379</v>
      </c>
      <c r="B18" s="154" t="s">
        <v>380</v>
      </c>
    </row>
    <row r="19" spans="1:2">
      <c r="A19" s="153" t="s">
        <v>381</v>
      </c>
      <c r="B19" s="154" t="s">
        <v>382</v>
      </c>
    </row>
    <row r="20" spans="1:2">
      <c r="A20" s="152" t="s">
        <v>5</v>
      </c>
      <c r="B20" s="152" t="s">
        <v>323</v>
      </c>
    </row>
    <row r="21" spans="1:2">
      <c r="A21" s="152" t="s">
        <v>114</v>
      </c>
      <c r="B21" s="152" t="s">
        <v>324</v>
      </c>
    </row>
    <row r="22" spans="1:2">
      <c r="A22" s="152" t="s">
        <v>653</v>
      </c>
      <c r="B22" s="152" t="s">
        <v>325</v>
      </c>
    </row>
    <row r="23" spans="1:2">
      <c r="A23" s="152" t="s">
        <v>654</v>
      </c>
      <c r="B23" s="152" t="s">
        <v>326</v>
      </c>
    </row>
    <row r="25" spans="1:2" s="526" customFormat="1">
      <c r="A25" s="525" t="s">
        <v>327</v>
      </c>
    </row>
    <row r="26" spans="1:2">
      <c r="A26" s="152" t="s">
        <v>73</v>
      </c>
      <c r="B26" s="152" t="s">
        <v>328</v>
      </c>
    </row>
    <row r="27" spans="1:2">
      <c r="A27" s="152" t="s">
        <v>90</v>
      </c>
      <c r="B27" s="152" t="s">
        <v>329</v>
      </c>
    </row>
    <row r="28" spans="1:2">
      <c r="A28" s="152" t="s">
        <v>10</v>
      </c>
      <c r="B28" s="152" t="s">
        <v>330</v>
      </c>
    </row>
    <row r="29" spans="1:2">
      <c r="A29" s="152" t="s">
        <v>11</v>
      </c>
      <c r="B29" s="152" t="s">
        <v>331</v>
      </c>
    </row>
    <row r="30" spans="1:2">
      <c r="A30" s="152" t="s">
        <v>12</v>
      </c>
      <c r="B30" s="152" t="s">
        <v>332</v>
      </c>
    </row>
    <row r="31" spans="1:2">
      <c r="A31" s="152" t="s">
        <v>71</v>
      </c>
      <c r="B31" s="152" t="s">
        <v>333</v>
      </c>
    </row>
    <row r="32" spans="1:2">
      <c r="A32" s="152" t="s">
        <v>15</v>
      </c>
      <c r="B32" s="152" t="s">
        <v>334</v>
      </c>
    </row>
    <row r="33" spans="1:2">
      <c r="A33" s="152" t="s">
        <v>16</v>
      </c>
      <c r="B33" s="152" t="s">
        <v>335</v>
      </c>
    </row>
    <row r="34" spans="1:2">
      <c r="A34" s="152" t="s">
        <v>17</v>
      </c>
      <c r="B34" s="152" t="s">
        <v>336</v>
      </c>
    </row>
    <row r="35" spans="1:2">
      <c r="A35" s="152" t="s">
        <v>19</v>
      </c>
      <c r="B35" s="152" t="s">
        <v>337</v>
      </c>
    </row>
    <row r="37" spans="1:2" s="526" customFormat="1">
      <c r="A37" s="525" t="s">
        <v>338</v>
      </c>
    </row>
    <row r="38" spans="1:2">
      <c r="A38" s="152" t="s">
        <v>111</v>
      </c>
      <c r="B38" s="152" t="s">
        <v>913</v>
      </c>
    </row>
    <row r="39" spans="1:2">
      <c r="A39" s="152" t="s">
        <v>49</v>
      </c>
      <c r="B39" s="152" t="s">
        <v>339</v>
      </c>
    </row>
    <row r="40" spans="1:2">
      <c r="A40" s="152" t="s">
        <v>50</v>
      </c>
      <c r="B40" s="152" t="s">
        <v>340</v>
      </c>
    </row>
    <row r="41" spans="1:2">
      <c r="A41" s="152" t="s">
        <v>51</v>
      </c>
      <c r="B41" s="152" t="s">
        <v>341</v>
      </c>
    </row>
    <row r="42" spans="1:2">
      <c r="A42" s="152" t="s">
        <v>383</v>
      </c>
      <c r="B42" s="152" t="s">
        <v>384</v>
      </c>
    </row>
    <row r="43" spans="1:2">
      <c r="A43" s="152" t="s">
        <v>385</v>
      </c>
      <c r="B43" s="152" t="s">
        <v>386</v>
      </c>
    </row>
    <row r="44" spans="1:2">
      <c r="A44" s="152" t="s">
        <v>52</v>
      </c>
      <c r="B44" s="152" t="s">
        <v>342</v>
      </c>
    </row>
    <row r="45" spans="1:2">
      <c r="A45" s="152" t="s">
        <v>53</v>
      </c>
      <c r="B45" s="152" t="s">
        <v>343</v>
      </c>
    </row>
    <row r="46" spans="1:2">
      <c r="A46" s="152" t="s">
        <v>54</v>
      </c>
      <c r="B46" s="152" t="s">
        <v>344</v>
      </c>
    </row>
    <row r="47" spans="1:2">
      <c r="A47" s="152" t="s">
        <v>345</v>
      </c>
      <c r="B47" s="152" t="s">
        <v>346</v>
      </c>
    </row>
    <row r="48" spans="1:2">
      <c r="A48" s="152" t="s">
        <v>56</v>
      </c>
      <c r="B48" s="152" t="s">
        <v>347</v>
      </c>
    </row>
    <row r="49" spans="1:2">
      <c r="A49" s="152" t="s">
        <v>113</v>
      </c>
      <c r="B49" s="152" t="s">
        <v>348</v>
      </c>
    </row>
    <row r="50" spans="1:2">
      <c r="A50" s="152" t="s">
        <v>57</v>
      </c>
      <c r="B50" s="152" t="s">
        <v>349</v>
      </c>
    </row>
    <row r="51" spans="1:2">
      <c r="A51" s="152" t="s">
        <v>58</v>
      </c>
      <c r="B51" s="152" t="s">
        <v>350</v>
      </c>
    </row>
    <row r="52" spans="1:2">
      <c r="A52" s="152" t="s">
        <v>59</v>
      </c>
      <c r="B52" s="152" t="s">
        <v>351</v>
      </c>
    </row>
    <row r="54" spans="1:2" s="527" customFormat="1">
      <c r="A54" s="525" t="s">
        <v>121</v>
      </c>
      <c r="B54" s="526"/>
    </row>
    <row r="56" spans="1:2">
      <c r="A56" s="152" t="s">
        <v>387</v>
      </c>
      <c r="B56" s="152" t="s">
        <v>388</v>
      </c>
    </row>
    <row r="57" spans="1:2">
      <c r="A57" s="152" t="s">
        <v>389</v>
      </c>
      <c r="B57" s="152" t="s">
        <v>390</v>
      </c>
    </row>
    <row r="58" spans="1:2">
      <c r="A58" s="152" t="s">
        <v>391</v>
      </c>
      <c r="B58" s="152" t="s">
        <v>392</v>
      </c>
    </row>
    <row r="59" spans="1:2">
      <c r="A59" s="152" t="s">
        <v>393</v>
      </c>
      <c r="B59" s="152" t="s">
        <v>394</v>
      </c>
    </row>
    <row r="61" spans="1:2" s="526" customFormat="1">
      <c r="A61" s="525" t="s">
        <v>77</v>
      </c>
    </row>
    <row r="62" spans="1:2">
      <c r="A62" s="152" t="s">
        <v>89</v>
      </c>
      <c r="B62" s="152" t="s">
        <v>352</v>
      </c>
    </row>
    <row r="63" spans="1:2">
      <c r="A63" s="152" t="s">
        <v>165</v>
      </c>
      <c r="B63" s="152" t="s">
        <v>353</v>
      </c>
    </row>
    <row r="64" spans="1:2">
      <c r="A64" s="152" t="s">
        <v>167</v>
      </c>
      <c r="B64" s="152" t="s">
        <v>354</v>
      </c>
    </row>
    <row r="65" spans="1:2">
      <c r="A65" s="152" t="s">
        <v>63</v>
      </c>
      <c r="B65" s="152" t="s">
        <v>355</v>
      </c>
    </row>
    <row r="66" spans="1:2">
      <c r="A66" s="152" t="s">
        <v>76</v>
      </c>
      <c r="B66" s="152" t="s">
        <v>356</v>
      </c>
    </row>
    <row r="67" spans="1:2">
      <c r="A67" s="152" t="s">
        <v>157</v>
      </c>
      <c r="B67" s="152" t="s">
        <v>357</v>
      </c>
    </row>
    <row r="68" spans="1:2">
      <c r="A68" s="152" t="s">
        <v>181</v>
      </c>
      <c r="B68" s="155" t="s">
        <v>522</v>
      </c>
    </row>
    <row r="69" spans="1:2">
      <c r="A69" s="152" t="s">
        <v>64</v>
      </c>
      <c r="B69" s="152" t="s">
        <v>358</v>
      </c>
    </row>
    <row r="70" spans="1:2">
      <c r="A70" s="152" t="s">
        <v>359</v>
      </c>
      <c r="B70" s="156" t="s">
        <v>523</v>
      </c>
    </row>
    <row r="71" spans="1:2">
      <c r="A71" s="152" t="s">
        <v>65</v>
      </c>
      <c r="B71" s="157" t="s">
        <v>360</v>
      </c>
    </row>
    <row r="72" spans="1:2">
      <c r="A72" s="528"/>
      <c r="B72" s="528"/>
    </row>
    <row r="79" spans="1:2" outlineLevel="1">
      <c r="A79" s="152" t="s">
        <v>536</v>
      </c>
    </row>
    <row r="80" spans="1:2" outlineLevel="1">
      <c r="A80" s="152" t="s">
        <v>79</v>
      </c>
    </row>
    <row r="81" spans="1:1" outlineLevel="1">
      <c r="A81" s="152" t="s">
        <v>80</v>
      </c>
    </row>
    <row r="82" spans="1:1" outlineLevel="1">
      <c r="A82" s="152" t="s">
        <v>110</v>
      </c>
    </row>
    <row r="83" spans="1:1" outlineLevel="1">
      <c r="A83" s="152" t="s">
        <v>98</v>
      </c>
    </row>
    <row r="84" spans="1:1" outlineLevel="1">
      <c r="A84" s="152" t="s">
        <v>99</v>
      </c>
    </row>
    <row r="85" spans="1:1" outlineLevel="1">
      <c r="A85" s="152" t="s">
        <v>100</v>
      </c>
    </row>
    <row r="86" spans="1:1" outlineLevel="1">
      <c r="A86" s="152" t="s">
        <v>101</v>
      </c>
    </row>
    <row r="87" spans="1:1" outlineLevel="1">
      <c r="A87" s="152" t="s">
        <v>102</v>
      </c>
    </row>
    <row r="88" spans="1:1" outlineLevel="1">
      <c r="A88" s="152" t="s">
        <v>103</v>
      </c>
    </row>
    <row r="89" spans="1:1" outlineLevel="1">
      <c r="A89" s="152" t="s">
        <v>104</v>
      </c>
    </row>
    <row r="90" spans="1:1" outlineLevel="1">
      <c r="A90" s="152" t="s">
        <v>105</v>
      </c>
    </row>
    <row r="91" spans="1:1" outlineLevel="1">
      <c r="A91" s="152" t="s">
        <v>106</v>
      </c>
    </row>
    <row r="92" spans="1:1" outlineLevel="1">
      <c r="A92" s="152" t="s">
        <v>107</v>
      </c>
    </row>
    <row r="93" spans="1:1" outlineLevel="1">
      <c r="A93" s="152" t="s">
        <v>108</v>
      </c>
    </row>
    <row r="94" spans="1:1" outlineLevel="1">
      <c r="A94" s="152" t="s">
        <v>109</v>
      </c>
    </row>
    <row r="95" spans="1:1" outlineLevel="1">
      <c r="A95" s="152" t="s">
        <v>92</v>
      </c>
    </row>
    <row r="96" spans="1:1" outlineLevel="1">
      <c r="A96" s="152" t="s">
        <v>93</v>
      </c>
    </row>
    <row r="97" spans="1:1" outlineLevel="1">
      <c r="A97" s="152">
        <f>'Gen Info'!$B$50</f>
        <v>0</v>
      </c>
    </row>
    <row r="98" spans="1:1" outlineLevel="1">
      <c r="A98" s="152" t="str">
        <f>'Hist &amp; Proj'!A8</f>
        <v>USD</v>
      </c>
    </row>
    <row r="99" spans="1:1" outlineLevel="1">
      <c r="A99" s="152" t="s">
        <v>569</v>
      </c>
    </row>
    <row r="100" spans="1:1" outlineLevel="1">
      <c r="A100" s="152" t="str">
        <f ca="1">CONCATENATE("'",TEXT('Hist &amp; Proj'!$C$7,"yy")," - '",TEXT('Hist &amp; Proj'!$R$7,"yy")," CAGR/Avg.")</f>
        <v>'96 - '99 CAGR/Avg.</v>
      </c>
    </row>
    <row r="101" spans="1:1" outlineLevel="1">
      <c r="A101" s="152" t="s">
        <v>570</v>
      </c>
    </row>
    <row r="102" spans="1:1" outlineLevel="1">
      <c r="A102" s="152" t="s">
        <v>576</v>
      </c>
    </row>
    <row r="103" spans="1:1" outlineLevel="1">
      <c r="A103" s="152" t="s">
        <v>577</v>
      </c>
    </row>
    <row r="104" spans="1:1" outlineLevel="1">
      <c r="A104" s="152" t="s">
        <v>580</v>
      </c>
    </row>
    <row r="105" spans="1:1" outlineLevel="1">
      <c r="A105" s="152" t="s">
        <v>581</v>
      </c>
    </row>
    <row r="106" spans="1:1" outlineLevel="1">
      <c r="A106" s="152" t="s">
        <v>125</v>
      </c>
    </row>
    <row r="107" spans="1:1" outlineLevel="1">
      <c r="A107" s="152" t="s">
        <v>170</v>
      </c>
    </row>
    <row r="108" spans="1:1" outlineLevel="1">
      <c r="A108" s="152" t="s">
        <v>174</v>
      </c>
    </row>
    <row r="109" spans="1:1" outlineLevel="1">
      <c r="A109" s="152" t="s">
        <v>288</v>
      </c>
    </row>
    <row r="110" spans="1:1" outlineLevel="1">
      <c r="A110" s="152" t="s">
        <v>182</v>
      </c>
    </row>
    <row r="111" spans="1:1" outlineLevel="1">
      <c r="A111" s="152" t="s">
        <v>596</v>
      </c>
    </row>
    <row r="112" spans="1:1" outlineLevel="1">
      <c r="A112" s="152" t="s">
        <v>608</v>
      </c>
    </row>
    <row r="113" spans="1:1" outlineLevel="1">
      <c r="A113" s="152" t="s">
        <v>597</v>
      </c>
    </row>
    <row r="114" spans="1:1" outlineLevel="1">
      <c r="A114" s="152" t="s">
        <v>598</v>
      </c>
    </row>
    <row r="115" spans="1:1" outlineLevel="1">
      <c r="A115" s="152" t="s">
        <v>611</v>
      </c>
    </row>
    <row r="116" spans="1:1" outlineLevel="1">
      <c r="A116" s="152" t="s">
        <v>599</v>
      </c>
    </row>
    <row r="117" spans="1:1" outlineLevel="1">
      <c r="A117" s="152" t="s">
        <v>600</v>
      </c>
    </row>
    <row r="118" spans="1:1" outlineLevel="1">
      <c r="A118" s="152" t="s">
        <v>601</v>
      </c>
    </row>
    <row r="119" spans="1:1" outlineLevel="1">
      <c r="A119" s="152" t="s">
        <v>602</v>
      </c>
    </row>
    <row r="120" spans="1:1" outlineLevel="1">
      <c r="A120" s="152" t="s">
        <v>603</v>
      </c>
    </row>
    <row r="121" spans="1:1" outlineLevel="1">
      <c r="A121" s="152" t="s">
        <v>604</v>
      </c>
    </row>
    <row r="122" spans="1:1" outlineLevel="1">
      <c r="A122" s="152" t="s">
        <v>605</v>
      </c>
    </row>
    <row r="123" spans="1:1" outlineLevel="1">
      <c r="A123" s="152" t="s">
        <v>607</v>
      </c>
    </row>
    <row r="124" spans="1:1" outlineLevel="1">
      <c r="A124" s="152" t="s">
        <v>599</v>
      </c>
    </row>
  </sheetData>
  <phoneticPr fontId="46"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0">
    <tabColor theme="9" tint="0.39997558519241921"/>
    <pageSetUpPr fitToPage="1"/>
  </sheetPr>
  <dimension ref="A1:AZ123"/>
  <sheetViews>
    <sheetView showGridLines="0" zoomScale="85" zoomScaleNormal="85" workbookViewId="0">
      <pane xSplit="1" topLeftCell="B1" activePane="topRight" state="frozen"/>
      <selection pane="topRight"/>
    </sheetView>
  </sheetViews>
  <sheetFormatPr defaultRowHeight="12.75" outlineLevelRow="1" outlineLevelCol="2"/>
  <cols>
    <col min="1" max="1" width="38.5703125" style="126" customWidth="1"/>
    <col min="2" max="2" width="15" style="126" customWidth="1" outlineLevel="2"/>
    <col min="3" max="3" width="15" style="126" customWidth="1"/>
    <col min="4" max="5" width="16" style="126" customWidth="1"/>
    <col min="6" max="17" width="12.28515625" style="126" hidden="1" customWidth="1" outlineLevel="2"/>
    <col min="18" max="18" width="16" style="126" customWidth="1" collapsed="1"/>
    <col min="19" max="30" width="12.28515625" style="126" hidden="1" customWidth="1" outlineLevel="2"/>
    <col min="31" max="31" width="16" style="126" customWidth="1" collapsed="1"/>
    <col min="32" max="32" width="16" style="126" customWidth="1"/>
    <col min="33" max="33" width="3.5703125" style="126" customWidth="1"/>
    <col min="34" max="34" width="18" style="353" hidden="1" customWidth="1" outlineLevel="1"/>
    <col min="35" max="35" width="3.42578125" style="1" customWidth="1" collapsed="1"/>
    <col min="36" max="37" width="16" style="126" customWidth="1"/>
    <col min="38" max="38" width="16" style="354" customWidth="1"/>
    <col min="39" max="40" width="17.5703125" style="129" customWidth="1"/>
    <col min="41" max="41" width="3.42578125" style="129" customWidth="1"/>
    <col min="42" max="42" width="18" style="353" customWidth="1" outlineLevel="1"/>
    <col min="43" max="16384" width="9.140625" style="126"/>
  </cols>
  <sheetData>
    <row r="1" spans="1:52" ht="19.5">
      <c r="A1" s="125">
        <f>'Hist &amp; Proj'!A1</f>
        <v>0</v>
      </c>
    </row>
    <row r="2" spans="1:52" s="169" customFormat="1" ht="4.5" customHeight="1" thickBot="1">
      <c r="A2" s="482"/>
      <c r="B2" s="482"/>
      <c r="C2" s="482"/>
      <c r="D2" s="482"/>
      <c r="E2" s="482"/>
      <c r="F2" s="482"/>
      <c r="G2" s="482"/>
      <c r="H2" s="482"/>
      <c r="I2" s="482"/>
      <c r="J2" s="482"/>
      <c r="K2" s="482"/>
      <c r="L2" s="482"/>
      <c r="M2" s="482"/>
      <c r="N2" s="482"/>
      <c r="O2" s="482"/>
      <c r="P2" s="482"/>
      <c r="Q2" s="482"/>
      <c r="R2" s="482"/>
      <c r="S2" s="482"/>
      <c r="T2" s="482"/>
      <c r="U2" s="482"/>
      <c r="V2" s="482"/>
      <c r="W2" s="482"/>
      <c r="X2" s="482"/>
      <c r="Y2" s="482"/>
      <c r="Z2" s="482"/>
      <c r="AA2" s="482"/>
      <c r="AB2" s="482"/>
      <c r="AC2" s="482"/>
      <c r="AD2" s="482"/>
      <c r="AE2" s="482"/>
      <c r="AF2" s="482"/>
      <c r="AG2" s="482"/>
      <c r="AH2" s="482"/>
      <c r="AI2" s="482"/>
      <c r="AJ2" s="482"/>
      <c r="AK2" s="482"/>
      <c r="AL2" s="482"/>
      <c r="AM2" s="482"/>
      <c r="AN2" s="482"/>
      <c r="AO2" s="482"/>
      <c r="AP2" s="482"/>
      <c r="AQ2" s="159"/>
      <c r="AR2" s="159"/>
      <c r="AS2" s="159"/>
      <c r="AT2" s="159"/>
      <c r="AU2" s="159"/>
      <c r="AV2" s="159"/>
      <c r="AW2" s="159"/>
      <c r="AX2" s="159"/>
      <c r="AY2" s="159"/>
      <c r="AZ2" s="159"/>
    </row>
    <row r="3" spans="1:52" s="355" customFormat="1">
      <c r="AF3" s="126"/>
      <c r="AG3" s="126"/>
      <c r="AH3" s="356"/>
      <c r="AL3" s="357"/>
      <c r="AM3" s="357"/>
      <c r="AN3" s="357"/>
      <c r="AO3" s="357"/>
      <c r="AP3" s="357"/>
    </row>
    <row r="4" spans="1:52" s="355" customFormat="1" ht="19.5">
      <c r="A4" s="359" t="s">
        <v>583</v>
      </c>
      <c r="AF4" s="126"/>
      <c r="AG4" s="126"/>
      <c r="AH4" s="356"/>
      <c r="AL4" s="357"/>
      <c r="AM4" s="358"/>
      <c r="AN4" s="358"/>
      <c r="AO4" s="358"/>
      <c r="AP4" s="356"/>
    </row>
    <row r="5" spans="1:52">
      <c r="B5" s="170"/>
      <c r="C5" s="170"/>
      <c r="D5" s="170"/>
      <c r="E5" s="170"/>
      <c r="F5" s="170"/>
      <c r="G5" s="170"/>
      <c r="H5" s="170"/>
      <c r="I5" s="170"/>
      <c r="J5" s="170"/>
      <c r="K5" s="170"/>
      <c r="L5" s="170"/>
      <c r="M5" s="170"/>
      <c r="N5" s="170"/>
      <c r="O5" s="170"/>
      <c r="P5" s="170"/>
      <c r="Q5" s="170"/>
      <c r="R5" s="170"/>
      <c r="S5" s="211">
        <v>1</v>
      </c>
      <c r="T5" s="211">
        <f>S5+1</f>
        <v>2</v>
      </c>
      <c r="U5" s="211">
        <f t="shared" ref="U5:AD5" si="0">T5+1</f>
        <v>3</v>
      </c>
      <c r="V5" s="211">
        <f t="shared" si="0"/>
        <v>4</v>
      </c>
      <c r="W5" s="211">
        <f t="shared" si="0"/>
        <v>5</v>
      </c>
      <c r="X5" s="211">
        <f t="shared" si="0"/>
        <v>6</v>
      </c>
      <c r="Y5" s="211">
        <f t="shared" si="0"/>
        <v>7</v>
      </c>
      <c r="Z5" s="211">
        <f t="shared" si="0"/>
        <v>8</v>
      </c>
      <c r="AA5" s="211">
        <f t="shared" si="0"/>
        <v>9</v>
      </c>
      <c r="AB5" s="211">
        <f t="shared" si="0"/>
        <v>10</v>
      </c>
      <c r="AC5" s="211">
        <f t="shared" si="0"/>
        <v>11</v>
      </c>
      <c r="AD5" s="211">
        <f t="shared" si="0"/>
        <v>12</v>
      </c>
      <c r="AE5" s="170"/>
      <c r="AH5" s="334"/>
      <c r="AJ5" s="170"/>
      <c r="AK5" s="170"/>
      <c r="AL5" s="170"/>
      <c r="AM5" s="335"/>
      <c r="AN5" s="208"/>
      <c r="AO5" s="208"/>
      <c r="AP5" s="334"/>
      <c r="AQ5" s="129"/>
    </row>
    <row r="6" spans="1:52">
      <c r="A6" s="201"/>
      <c r="B6" s="336">
        <f>'Hist &amp; Proj'!B6</f>
        <v>0</v>
      </c>
      <c r="C6" s="336">
        <f>'Hist &amp; Proj'!C6</f>
        <v>0</v>
      </c>
      <c r="D6" s="336">
        <f>'Hist &amp; Proj'!D6</f>
        <v>0</v>
      </c>
      <c r="E6" s="336">
        <f>'Hist &amp; Proj'!E6</f>
        <v>0</v>
      </c>
      <c r="F6" s="336">
        <f ca="1">'Hist &amp; Proj'!F6</f>
        <v>0</v>
      </c>
      <c r="G6" s="336">
        <f ca="1">'Hist &amp; Proj'!G6</f>
        <v>0</v>
      </c>
      <c r="H6" s="336">
        <f ca="1">'Hist &amp; Proj'!H6</f>
        <v>0</v>
      </c>
      <c r="I6" s="336">
        <f ca="1">'Hist &amp; Proj'!I6</f>
        <v>0</v>
      </c>
      <c r="J6" s="336">
        <f ca="1">'Hist &amp; Proj'!J6</f>
        <v>0</v>
      </c>
      <c r="K6" s="336">
        <f ca="1">'Hist &amp; Proj'!K6</f>
        <v>0</v>
      </c>
      <c r="L6" s="336">
        <f ca="1">'Hist &amp; Proj'!L6</f>
        <v>0</v>
      </c>
      <c r="M6" s="336">
        <f ca="1">'Hist &amp; Proj'!M6</f>
        <v>0</v>
      </c>
      <c r="N6" s="336">
        <f ca="1">'Hist &amp; Proj'!N6</f>
        <v>0</v>
      </c>
      <c r="O6" s="336">
        <f ca="1">'Hist &amp; Proj'!O6</f>
        <v>0</v>
      </c>
      <c r="P6" s="336">
        <f ca="1">'Hist &amp; Proj'!P6</f>
        <v>0</v>
      </c>
      <c r="Q6" s="336">
        <f ca="1">'Hist &amp; Proj'!Q6</f>
        <v>0</v>
      </c>
      <c r="R6" s="336">
        <f>'Hist &amp; Proj'!R6</f>
        <v>0</v>
      </c>
      <c r="S6" s="336">
        <f ca="1">'Hist &amp; Proj'!S6</f>
        <v>0</v>
      </c>
      <c r="T6" s="336">
        <f ca="1">'Hist &amp; Proj'!T6</f>
        <v>0</v>
      </c>
      <c r="U6" s="336">
        <f ca="1">'Hist &amp; Proj'!U6</f>
        <v>0</v>
      </c>
      <c r="V6" s="336">
        <f ca="1">'Hist &amp; Proj'!V6</f>
        <v>0</v>
      </c>
      <c r="W6" s="336">
        <f ca="1">'Hist &amp; Proj'!W6</f>
        <v>0</v>
      </c>
      <c r="X6" s="336">
        <f ca="1">'Hist &amp; Proj'!X6</f>
        <v>0</v>
      </c>
      <c r="Y6" s="336">
        <f ca="1">'Hist &amp; Proj'!Y6</f>
        <v>0</v>
      </c>
      <c r="Z6" s="336">
        <f ca="1">'Hist &amp; Proj'!Z6</f>
        <v>0</v>
      </c>
      <c r="AA6" s="336">
        <f ca="1">'Hist &amp; Proj'!AA6</f>
        <v>0</v>
      </c>
      <c r="AB6" s="336">
        <f ca="1">'Hist &amp; Proj'!AB6</f>
        <v>0</v>
      </c>
      <c r="AC6" s="336">
        <f ca="1">'Hist &amp; Proj'!AC6</f>
        <v>0</v>
      </c>
      <c r="AD6" s="336">
        <f ca="1">'Hist &amp; Proj'!AD6</f>
        <v>0</v>
      </c>
      <c r="AE6" s="336">
        <f>'Hist &amp; Proj'!AE6</f>
        <v>0</v>
      </c>
      <c r="AH6" s="334"/>
      <c r="AK6" s="170"/>
      <c r="AL6" s="170"/>
      <c r="AM6" s="335"/>
      <c r="AN6" s="208"/>
      <c r="AO6" s="208"/>
      <c r="AP6" s="334"/>
      <c r="AQ6" s="129"/>
    </row>
    <row r="7" spans="1:52" s="170" customFormat="1">
      <c r="A7" s="360" t="str">
        <f>CONCATENATE('Hist &amp; Proj'!A12," (",Assump!$A$7,")")</f>
        <v>BALANCE SHEET ()</v>
      </c>
      <c r="B7" s="760">
        <f>'Hist &amp; Proj'!B$7</f>
        <v>692501</v>
      </c>
      <c r="C7" s="760">
        <f>'Hist &amp; Proj'!C$7</f>
        <v>692867</v>
      </c>
      <c r="D7" s="760">
        <f>'Hist &amp; Proj'!D$7</f>
        <v>693232</v>
      </c>
      <c r="E7" s="760">
        <f>'Hist &amp; Proj'!E$7</f>
        <v>693597</v>
      </c>
      <c r="F7" s="362">
        <f ca="1">'Hist &amp; Proj'!F$7</f>
        <v>693628</v>
      </c>
      <c r="G7" s="362">
        <f ca="1">'Hist &amp; Proj'!G$7</f>
        <v>693656</v>
      </c>
      <c r="H7" s="362">
        <f ca="1">'Hist &amp; Proj'!H$7</f>
        <v>693687</v>
      </c>
      <c r="I7" s="362">
        <f ca="1">'Hist &amp; Proj'!I$7</f>
        <v>693717</v>
      </c>
      <c r="J7" s="362">
        <f ca="1">'Hist &amp; Proj'!J$7</f>
        <v>693748</v>
      </c>
      <c r="K7" s="362">
        <f ca="1">'Hist &amp; Proj'!K$7</f>
        <v>693778</v>
      </c>
      <c r="L7" s="362">
        <f ca="1">'Hist &amp; Proj'!L$7</f>
        <v>693809</v>
      </c>
      <c r="M7" s="362">
        <f ca="1">'Hist &amp; Proj'!M$7</f>
        <v>693840</v>
      </c>
      <c r="N7" s="362">
        <f ca="1">'Hist &amp; Proj'!N$7</f>
        <v>693870</v>
      </c>
      <c r="O7" s="362">
        <f ca="1">'Hist &amp; Proj'!O$7</f>
        <v>693901</v>
      </c>
      <c r="P7" s="362">
        <f ca="1">'Hist &amp; Proj'!P$7</f>
        <v>693931</v>
      </c>
      <c r="Q7" s="362">
        <f ca="1">'Hist &amp; Proj'!Q$7</f>
        <v>693962</v>
      </c>
      <c r="R7" s="760">
        <f ca="1">'Hist &amp; Proj'!R$7</f>
        <v>693962</v>
      </c>
      <c r="S7" s="362">
        <f ca="1">'Hist &amp; Proj'!S$7</f>
        <v>31</v>
      </c>
      <c r="T7" s="362">
        <f ca="1">'Hist &amp; Proj'!T$7</f>
        <v>59</v>
      </c>
      <c r="U7" s="362">
        <f ca="1">'Hist &amp; Proj'!U$7</f>
        <v>91</v>
      </c>
      <c r="V7" s="362">
        <f ca="1">'Hist &amp; Proj'!V$7</f>
        <v>121</v>
      </c>
      <c r="W7" s="362">
        <f ca="1">'Hist &amp; Proj'!W$7</f>
        <v>152</v>
      </c>
      <c r="X7" s="362">
        <f ca="1">'Hist &amp; Proj'!X$7</f>
        <v>182</v>
      </c>
      <c r="Y7" s="362">
        <f ca="1">'Hist &amp; Proj'!Y$7</f>
        <v>213</v>
      </c>
      <c r="Z7" s="362">
        <f ca="1">'Hist &amp; Proj'!Z$7</f>
        <v>244</v>
      </c>
      <c r="AA7" s="362">
        <f ca="1">'Hist &amp; Proj'!AA$7</f>
        <v>274</v>
      </c>
      <c r="AB7" s="362">
        <f ca="1">'Hist &amp; Proj'!AB$7</f>
        <v>305</v>
      </c>
      <c r="AC7" s="362">
        <f ca="1">'Hist &amp; Proj'!AC$7</f>
        <v>335</v>
      </c>
      <c r="AD7" s="362">
        <f ca="1">'Hist &amp; Proj'!AD$7</f>
        <v>366</v>
      </c>
      <c r="AE7" s="362" t="e">
        <f ca="1">'Hist &amp; Proj'!AE$7</f>
        <v>#N/A</v>
      </c>
      <c r="AF7" s="126"/>
      <c r="AG7" s="126"/>
      <c r="AH7" s="363" t="str">
        <f ca="1">Definitions!$A$100</f>
        <v>'96 - '99 CAGR/Avg.</v>
      </c>
      <c r="AJ7" s="760">
        <f ca="1">'Hist &amp; Proj'!AH$7</f>
        <v>694327</v>
      </c>
      <c r="AK7" s="760">
        <f ca="1">'Hist &amp; Proj'!AI$7</f>
        <v>694692</v>
      </c>
      <c r="AL7" s="760">
        <f ca="1">'Hist &amp; Proj'!AJ$7</f>
        <v>695057</v>
      </c>
      <c r="AM7" s="760">
        <f ca="1">'Hist &amp; Proj'!AK$7</f>
        <v>695422</v>
      </c>
      <c r="AN7" s="760">
        <f ca="1">'Hist &amp; Proj'!AL$7</f>
        <v>695787</v>
      </c>
      <c r="AO7" s="208"/>
      <c r="AP7" s="363" t="str">
        <f ca="1">CONCATENATE("'",TEXT($AJ$7,"yy")," - '",TEXT($AN$7,"yy")," CAGR/Avg.")</f>
        <v>'00 - '04 CAGR/Avg.</v>
      </c>
    </row>
    <row r="8" spans="1:52" s="170" customFormat="1" outlineLevel="1">
      <c r="A8" s="360"/>
      <c r="B8" s="364" t="str">
        <f>'Hist &amp; Proj'!B$15</f>
        <v>Audited</v>
      </c>
      <c r="C8" s="364" t="str">
        <f>'Hist &amp; Proj'!C$15</f>
        <v>Audited</v>
      </c>
      <c r="D8" s="364" t="str">
        <f>'Hist &amp; Proj'!D$15</f>
        <v>Audited</v>
      </c>
      <c r="E8" s="364" t="str">
        <f>'Hist &amp; Proj'!E$15</f>
        <v>Audited</v>
      </c>
      <c r="F8" s="364" t="str">
        <f>'Hist &amp; Proj'!F$15</f>
        <v>Unaudited</v>
      </c>
      <c r="G8" s="364" t="str">
        <f>'Hist &amp; Proj'!G$15</f>
        <v>Unaudited</v>
      </c>
      <c r="H8" s="364" t="str">
        <f>'Hist &amp; Proj'!H$15</f>
        <v>Unaudited</v>
      </c>
      <c r="I8" s="364" t="str">
        <f>'Hist &amp; Proj'!I$15</f>
        <v>Unaudited</v>
      </c>
      <c r="J8" s="364" t="str">
        <f>'Hist &amp; Proj'!J$15</f>
        <v>Unaudited</v>
      </c>
      <c r="K8" s="364" t="str">
        <f>'Hist &amp; Proj'!K$15</f>
        <v>Unaudited</v>
      </c>
      <c r="L8" s="364" t="str">
        <f>'Hist &amp; Proj'!L$15</f>
        <v>Unaudited</v>
      </c>
      <c r="M8" s="364" t="str">
        <f>'Hist &amp; Proj'!M$15</f>
        <v>Unaudited</v>
      </c>
      <c r="N8" s="364" t="str">
        <f>'Hist &amp; Proj'!N$15</f>
        <v>Unaudited</v>
      </c>
      <c r="O8" s="364" t="str">
        <f>'Hist &amp; Proj'!O$15</f>
        <v>Unaudited</v>
      </c>
      <c r="P8" s="364" t="str">
        <f>'Hist &amp; Proj'!P$15</f>
        <v>Unaudited</v>
      </c>
      <c r="Q8" s="364" t="str">
        <f>'Hist &amp; Proj'!Q$15</f>
        <v>Unaudited</v>
      </c>
      <c r="R8" s="364" t="str">
        <f>'Hist &amp; Proj'!R$15</f>
        <v>Audited</v>
      </c>
      <c r="S8" s="364" t="str">
        <f>'Hist &amp; Proj'!S$15</f>
        <v>Unaudited</v>
      </c>
      <c r="T8" s="364" t="str">
        <f>'Hist &amp; Proj'!T$15</f>
        <v>Unaudited</v>
      </c>
      <c r="U8" s="364" t="str">
        <f>'Hist &amp; Proj'!U$15</f>
        <v>Unaudited</v>
      </c>
      <c r="V8" s="364" t="str">
        <f>'Hist &amp; Proj'!V$15</f>
        <v>Unaudited</v>
      </c>
      <c r="W8" s="364" t="str">
        <f>'Hist &amp; Proj'!W$15</f>
        <v>Unaudited</v>
      </c>
      <c r="X8" s="364" t="str">
        <f>'Hist &amp; Proj'!X$15</f>
        <v>Unaudited</v>
      </c>
      <c r="Y8" s="364" t="str">
        <f>'Hist &amp; Proj'!Y$15</f>
        <v>Unaudited</v>
      </c>
      <c r="Z8" s="364" t="str">
        <f>'Hist &amp; Proj'!Z$15</f>
        <v>Unaudited</v>
      </c>
      <c r="AA8" s="364" t="str">
        <f>'Hist &amp; Proj'!AA$15</f>
        <v>Unaudited</v>
      </c>
      <c r="AB8" s="364" t="str">
        <f>'Hist &amp; Proj'!AB$15</f>
        <v>Unaudited</v>
      </c>
      <c r="AC8" s="364" t="str">
        <f>'Hist &amp; Proj'!AC$15</f>
        <v>Unaudited</v>
      </c>
      <c r="AD8" s="364" t="str">
        <f>'Hist &amp; Proj'!AD$15</f>
        <v>Unaudited</v>
      </c>
      <c r="AE8" s="364" t="str">
        <f>'Hist &amp; Proj'!AE$15</f>
        <v>Unaudited</v>
      </c>
      <c r="AF8" s="126"/>
      <c r="AG8" s="126"/>
      <c r="AH8" s="365"/>
      <c r="AJ8" s="364" t="str">
        <f>'Hist &amp; Proj'!AH15</f>
        <v>Projection</v>
      </c>
      <c r="AK8" s="364" t="str">
        <f>'Hist &amp; Proj'!AI15</f>
        <v>Projection</v>
      </c>
      <c r="AL8" s="364" t="str">
        <f>'Hist &amp; Proj'!AJ15</f>
        <v>Projection</v>
      </c>
      <c r="AM8" s="364" t="str">
        <f>'Hist &amp; Proj'!AK15</f>
        <v>Projection</v>
      </c>
      <c r="AN8" s="364" t="str">
        <f>'Hist &amp; Proj'!AL15</f>
        <v>Projection</v>
      </c>
      <c r="AO8" s="208"/>
      <c r="AP8" s="365"/>
    </row>
    <row r="9" spans="1:52" outlineLevel="1">
      <c r="A9" s="172" t="str">
        <f>'Hist &amp; Proj'!A17</f>
        <v>ASSETS</v>
      </c>
      <c r="B9" s="172"/>
      <c r="C9" s="172"/>
      <c r="D9" s="172"/>
      <c r="E9" s="172"/>
      <c r="F9" s="172"/>
      <c r="G9" s="172"/>
      <c r="H9" s="172"/>
      <c r="I9" s="172"/>
      <c r="J9" s="172"/>
      <c r="K9" s="172"/>
      <c r="L9" s="172"/>
      <c r="M9" s="172"/>
      <c r="N9" s="172"/>
      <c r="O9" s="172"/>
      <c r="P9" s="172"/>
      <c r="Q9" s="172"/>
      <c r="R9" s="172"/>
      <c r="S9" s="172"/>
      <c r="T9" s="172"/>
      <c r="U9" s="172"/>
      <c r="V9" s="172"/>
      <c r="W9" s="172"/>
      <c r="X9" s="172"/>
      <c r="Y9" s="172"/>
      <c r="Z9" s="172"/>
      <c r="AA9" s="172"/>
      <c r="AB9" s="172"/>
      <c r="AC9" s="172"/>
      <c r="AD9" s="172"/>
      <c r="AE9" s="172"/>
      <c r="AH9" s="366"/>
      <c r="AJ9" s="172"/>
      <c r="AK9" s="172"/>
      <c r="AL9" s="172"/>
      <c r="AM9" s="172"/>
      <c r="AN9" s="172"/>
      <c r="AP9" s="366"/>
    </row>
    <row r="10" spans="1:52">
      <c r="A10" s="127" t="str">
        <f>'Hist &amp; Proj'!A18</f>
        <v>Cash &amp; ST Investments</v>
      </c>
      <c r="B10" s="179">
        <f>SUM(B11:B13)</f>
        <v>0</v>
      </c>
      <c r="C10" s="179">
        <f>SUM(C11:C13)</f>
        <v>0</v>
      </c>
      <c r="D10" s="179">
        <f t="shared" ref="D10:AE10" si="1">SUM(D11:D13)</f>
        <v>0</v>
      </c>
      <c r="E10" s="179">
        <f t="shared" si="1"/>
        <v>0</v>
      </c>
      <c r="F10" s="179">
        <f t="shared" ca="1" si="1"/>
        <v>0</v>
      </c>
      <c r="G10" s="179">
        <f t="shared" ca="1" si="1"/>
        <v>0</v>
      </c>
      <c r="H10" s="179">
        <f t="shared" ca="1" si="1"/>
        <v>0</v>
      </c>
      <c r="I10" s="179">
        <f t="shared" ca="1" si="1"/>
        <v>0</v>
      </c>
      <c r="J10" s="179">
        <f t="shared" ca="1" si="1"/>
        <v>0</v>
      </c>
      <c r="K10" s="179">
        <f t="shared" ca="1" si="1"/>
        <v>0</v>
      </c>
      <c r="L10" s="179">
        <f t="shared" ca="1" si="1"/>
        <v>0</v>
      </c>
      <c r="M10" s="179">
        <f t="shared" ca="1" si="1"/>
        <v>0</v>
      </c>
      <c r="N10" s="179">
        <f t="shared" ca="1" si="1"/>
        <v>0</v>
      </c>
      <c r="O10" s="179">
        <f t="shared" ca="1" si="1"/>
        <v>0</v>
      </c>
      <c r="P10" s="179">
        <f t="shared" ca="1" si="1"/>
        <v>0</v>
      </c>
      <c r="Q10" s="179">
        <f t="shared" ca="1" si="1"/>
        <v>0</v>
      </c>
      <c r="R10" s="179">
        <f t="shared" ca="1" si="1"/>
        <v>0</v>
      </c>
      <c r="S10" s="179">
        <f t="shared" ca="1" si="1"/>
        <v>0</v>
      </c>
      <c r="T10" s="179">
        <f t="shared" ca="1" si="1"/>
        <v>0</v>
      </c>
      <c r="U10" s="179">
        <f t="shared" ca="1" si="1"/>
        <v>0</v>
      </c>
      <c r="V10" s="179">
        <f t="shared" ca="1" si="1"/>
        <v>0</v>
      </c>
      <c r="W10" s="179">
        <f t="shared" ca="1" si="1"/>
        <v>0</v>
      </c>
      <c r="X10" s="179">
        <f t="shared" ca="1" si="1"/>
        <v>0</v>
      </c>
      <c r="Y10" s="179">
        <f t="shared" ca="1" si="1"/>
        <v>0</v>
      </c>
      <c r="Z10" s="179">
        <f t="shared" ca="1" si="1"/>
        <v>0</v>
      </c>
      <c r="AA10" s="179">
        <f t="shared" ca="1" si="1"/>
        <v>0</v>
      </c>
      <c r="AB10" s="179">
        <f t="shared" ca="1" si="1"/>
        <v>0</v>
      </c>
      <c r="AC10" s="179">
        <f t="shared" ca="1" si="1"/>
        <v>0</v>
      </c>
      <c r="AD10" s="179">
        <f t="shared" ca="1" si="1"/>
        <v>0</v>
      </c>
      <c r="AE10" s="179" t="e">
        <f t="shared" ca="1" si="1"/>
        <v>#N/A</v>
      </c>
      <c r="AH10" s="367" t="str">
        <f ca="1">IFERROR(RATE(3,0,-C10,R10),"NA")</f>
        <v>NA</v>
      </c>
      <c r="AJ10" s="179">
        <f>SUM(AJ11:AJ13)</f>
        <v>0</v>
      </c>
      <c r="AK10" s="179">
        <f>SUM(AK11:AK13)</f>
        <v>0</v>
      </c>
      <c r="AL10" s="179">
        <f>SUM(AL11:AL13)</f>
        <v>0</v>
      </c>
      <c r="AM10" s="179">
        <f>SUM(AM11:AM13)</f>
        <v>0</v>
      </c>
      <c r="AN10" s="179">
        <f>SUM(AN11:AN13)</f>
        <v>0</v>
      </c>
      <c r="AP10" s="367" t="str">
        <f>IFERROR(RATE(4,0,-AJ10,AN10),"NA")</f>
        <v>NA</v>
      </c>
    </row>
    <row r="11" spans="1:52" outlineLevel="1">
      <c r="A11" s="180" t="str">
        <f>'Hist &amp; Proj'!A19</f>
        <v xml:space="preserve">       Restricted Cash</v>
      </c>
      <c r="B11" s="179">
        <f>IF(OR(Assump!$A$7="USD",Assump!$A$7="EURO"),'Hist &amp; Proj'!B19/'Hist &amp; Proj'!B$8,'Hist &amp; Proj'!B19)</f>
        <v>0</v>
      </c>
      <c r="C11" s="179">
        <f>IF(OR(Assump!$A$7="USD",Assump!$A$7="EURO"),'Hist &amp; Proj'!C19/'Hist &amp; Proj'!C$8,'Hist &amp; Proj'!C19)</f>
        <v>0</v>
      </c>
      <c r="D11" s="179">
        <f>IF(OR(Assump!$A$7="USD",Assump!$A$7="EURO"),'Hist &amp; Proj'!D19/'Hist &amp; Proj'!D$8,'Hist &amp; Proj'!D19)</f>
        <v>0</v>
      </c>
      <c r="E11" s="179">
        <f>IF(OR(Assump!$A$7="USD",Assump!$A$7="EURO"),'Hist &amp; Proj'!E19/'Hist &amp; Proj'!E$8,'Hist &amp; Proj'!E19)</f>
        <v>0</v>
      </c>
      <c r="F11" s="179">
        <f ca="1">IF(OR(Assump!$A$7="USD",Assump!$A$7="EURO"),'Hist &amp; Proj'!F19/'Hist &amp; Proj'!F$8,'Hist &amp; Proj'!F19)</f>
        <v>0</v>
      </c>
      <c r="G11" s="179">
        <f ca="1">IF(OR(Assump!$A$7="USD",Assump!$A$7="EURO"),'Hist &amp; Proj'!G19/'Hist &amp; Proj'!G$8,'Hist &amp; Proj'!G19)</f>
        <v>0</v>
      </c>
      <c r="H11" s="179">
        <f ca="1">IF(OR(Assump!$A$7="USD",Assump!$A$7="EURO"),'Hist &amp; Proj'!H19/'Hist &amp; Proj'!H$8,'Hist &amp; Proj'!H19)</f>
        <v>0</v>
      </c>
      <c r="I11" s="179">
        <f ca="1">IF(OR(Assump!$A$7="USD",Assump!$A$7="EURO"),'Hist &amp; Proj'!I19/'Hist &amp; Proj'!I$8,'Hist &amp; Proj'!I19)</f>
        <v>0</v>
      </c>
      <c r="J11" s="179">
        <f ca="1">IF(OR(Assump!$A$7="USD",Assump!$A$7="EURO"),'Hist &amp; Proj'!J19/'Hist &amp; Proj'!J$8,'Hist &amp; Proj'!J19)</f>
        <v>0</v>
      </c>
      <c r="K11" s="179">
        <f ca="1">IF(OR(Assump!$A$7="USD",Assump!$A$7="EURO"),'Hist &amp; Proj'!K19/'Hist &amp; Proj'!K$8,'Hist &amp; Proj'!K19)</f>
        <v>0</v>
      </c>
      <c r="L11" s="179">
        <f ca="1">IF(OR(Assump!$A$7="USD",Assump!$A$7="EURO"),'Hist &amp; Proj'!L19/'Hist &amp; Proj'!L$8,'Hist &amp; Proj'!L19)</f>
        <v>0</v>
      </c>
      <c r="M11" s="179">
        <f ca="1">IF(OR(Assump!$A$7="USD",Assump!$A$7="EURO"),'Hist &amp; Proj'!M19/'Hist &amp; Proj'!M$8,'Hist &amp; Proj'!M19)</f>
        <v>0</v>
      </c>
      <c r="N11" s="179">
        <f ca="1">IF(OR(Assump!$A$7="USD",Assump!$A$7="EURO"),'Hist &amp; Proj'!N19/'Hist &amp; Proj'!N$8,'Hist &amp; Proj'!N19)</f>
        <v>0</v>
      </c>
      <c r="O11" s="179">
        <f ca="1">IF(OR(Assump!$A$7="USD",Assump!$A$7="EURO"),'Hist &amp; Proj'!O19/'Hist &amp; Proj'!O$8,'Hist &amp; Proj'!O19)</f>
        <v>0</v>
      </c>
      <c r="P11" s="179">
        <f ca="1">IF(OR(Assump!$A$7="USD",Assump!$A$7="EURO"),'Hist &amp; Proj'!P19/'Hist &amp; Proj'!P$8,'Hist &amp; Proj'!P19)</f>
        <v>0</v>
      </c>
      <c r="Q11" s="179">
        <f ca="1">IF(OR(Assump!$A$7="USD",Assump!$A$7="EURO"),'Hist &amp; Proj'!Q19/'Hist &amp; Proj'!Q$8,'Hist &amp; Proj'!Q19)</f>
        <v>0</v>
      </c>
      <c r="R11" s="179">
        <f ca="1">IF(OR(Assump!$A$7="USD",Assump!$A$7="EURO"),'Hist &amp; Proj'!R19/'Hist &amp; Proj'!R$8,'Hist &amp; Proj'!R19)</f>
        <v>0</v>
      </c>
      <c r="S11" s="179">
        <f ca="1">IF(OR(Assump!$A$7="USD",Assump!$A$7="EURO"),'Hist &amp; Proj'!S19/'Hist &amp; Proj'!S$8,'Hist &amp; Proj'!S19)</f>
        <v>0</v>
      </c>
      <c r="T11" s="179">
        <f ca="1">IF(OR(Assump!$A$7="USD",Assump!$A$7="EURO"),'Hist &amp; Proj'!T19/'Hist &amp; Proj'!T$8,'Hist &amp; Proj'!T19)</f>
        <v>0</v>
      </c>
      <c r="U11" s="179">
        <f ca="1">IF(OR(Assump!$A$7="USD",Assump!$A$7="EURO"),'Hist &amp; Proj'!U19/'Hist &amp; Proj'!U$8,'Hist &amp; Proj'!U19)</f>
        <v>0</v>
      </c>
      <c r="V11" s="179">
        <f ca="1">IF(OR(Assump!$A$7="USD",Assump!$A$7="EURO"),'Hist &amp; Proj'!V19/'Hist &amp; Proj'!V$8,'Hist &amp; Proj'!V19)</f>
        <v>0</v>
      </c>
      <c r="W11" s="179">
        <f ca="1">IF(OR(Assump!$A$7="USD",Assump!$A$7="EURO"),'Hist &amp; Proj'!W19/'Hist &amp; Proj'!W$8,'Hist &amp; Proj'!W19)</f>
        <v>0</v>
      </c>
      <c r="X11" s="179">
        <f ca="1">IF(OR(Assump!$A$7="USD",Assump!$A$7="EURO"),'Hist &amp; Proj'!X19/'Hist &amp; Proj'!X$8,'Hist &amp; Proj'!X19)</f>
        <v>0</v>
      </c>
      <c r="Y11" s="179">
        <f ca="1">IF(OR(Assump!$A$7="USD",Assump!$A$7="EURO"),'Hist &amp; Proj'!Y19/'Hist &amp; Proj'!Y$8,'Hist &amp; Proj'!Y19)</f>
        <v>0</v>
      </c>
      <c r="Z11" s="179">
        <f ca="1">IF(OR(Assump!$A$7="USD",Assump!$A$7="EURO"),'Hist &amp; Proj'!Z19/'Hist &amp; Proj'!Z$8,'Hist &amp; Proj'!Z19)</f>
        <v>0</v>
      </c>
      <c r="AA11" s="179">
        <f ca="1">IF(OR(Assump!$A$7="USD",Assump!$A$7="EURO"),'Hist &amp; Proj'!AA19/'Hist &amp; Proj'!AA$8,'Hist &amp; Proj'!AA19)</f>
        <v>0</v>
      </c>
      <c r="AB11" s="179">
        <f ca="1">IF(OR(Assump!$A$7="USD",Assump!$A$7="EURO"),'Hist &amp; Proj'!AB19/'Hist &amp; Proj'!AB$8,'Hist &amp; Proj'!AB19)</f>
        <v>0</v>
      </c>
      <c r="AC11" s="179">
        <f ca="1">IF(OR(Assump!$A$7="USD",Assump!$A$7="EURO"),'Hist &amp; Proj'!AC19/'Hist &amp; Proj'!AC$8,'Hist &amp; Proj'!AC19)</f>
        <v>0</v>
      </c>
      <c r="AD11" s="179">
        <f ca="1">IF(OR(Assump!$A$7="USD",Assump!$A$7="EURO"),'Hist &amp; Proj'!AD19/'Hist &amp; Proj'!AD$8,'Hist &amp; Proj'!AD19)</f>
        <v>0</v>
      </c>
      <c r="AE11" s="179" t="e">
        <f ca="1">IF(OR(Assump!$A$7="USD",Assump!$A$7="EURO"),'Hist &amp; Proj'!AE19/'Hist &amp; Proj'!AE$8,'Hist &amp; Proj'!AE19)</f>
        <v>#N/A</v>
      </c>
      <c r="AF11" s="179"/>
      <c r="AG11" s="179"/>
      <c r="AH11" s="367" t="str">
        <f ca="1">IFERROR(RATE(3,0,-C11,R11),"NA")</f>
        <v>NA</v>
      </c>
      <c r="AJ11" s="179">
        <f>IF(OR(Assump!$A$7="USD",Assump!$A$7="EURO"),'Hist &amp; Proj'!AH19/'Hist &amp; Proj'!AH$8,'Hist &amp; Proj'!AH19)</f>
        <v>0</v>
      </c>
      <c r="AK11" s="179">
        <f>IF(OR(Assump!$A$7="USD",Assump!$A$7="EURO"),'Hist &amp; Proj'!AI19/'Hist &amp; Proj'!AI$8,'Hist &amp; Proj'!AI19)</f>
        <v>0</v>
      </c>
      <c r="AL11" s="179">
        <f>IF(OR(Assump!$A$7="USD",Assump!$A$7="EURO"),'Hist &amp; Proj'!AJ19/'Hist &amp; Proj'!AJ$8,'Hist &amp; Proj'!AJ19)</f>
        <v>0</v>
      </c>
      <c r="AM11" s="179">
        <f>IF(OR(Assump!$A$7="USD",Assump!$A$7="EURO"),'Hist &amp; Proj'!AK19/'Hist &amp; Proj'!AK$8,'Hist &amp; Proj'!AK19)</f>
        <v>0</v>
      </c>
      <c r="AN11" s="179">
        <f>IF(OR(Assump!$A$7="USD",Assump!$A$7="EURO"),'Hist &amp; Proj'!AL19/'Hist &amp; Proj'!AL$8,'Hist &amp; Proj'!AL19)</f>
        <v>0</v>
      </c>
      <c r="AP11" s="367" t="str">
        <f>IFERROR(RATE(4,0,-AJ11,AN11),"NA")</f>
        <v>NA</v>
      </c>
    </row>
    <row r="12" spans="1:52" outlineLevel="1">
      <c r="A12" s="180" t="str">
        <f>'Hist &amp; Proj'!A20</f>
        <v xml:space="preserve">       Unrestricted Cash</v>
      </c>
      <c r="B12" s="179">
        <f>IF(OR(Assump!$A$7="USD",Assump!$A$7="EURO"),'Hist &amp; Proj'!B20/'Hist &amp; Proj'!B$8,'Hist &amp; Proj'!B20)</f>
        <v>0</v>
      </c>
      <c r="C12" s="179">
        <f>IF(OR(Assump!$A$7="USD",Assump!$A$7="EURO"),'Hist &amp; Proj'!C20/'Hist &amp; Proj'!C$8,'Hist &amp; Proj'!C20)</f>
        <v>0</v>
      </c>
      <c r="D12" s="179">
        <f>IF(OR(Assump!$A$7="USD",Assump!$A$7="EURO"),'Hist &amp; Proj'!D20/'Hist &amp; Proj'!D$8,'Hist &amp; Proj'!D20)</f>
        <v>0</v>
      </c>
      <c r="E12" s="179">
        <f>IF(OR(Assump!$A$7="USD",Assump!$A$7="EURO"),'Hist &amp; Proj'!E20/'Hist &amp; Proj'!E$8,'Hist &amp; Proj'!E20)</f>
        <v>0</v>
      </c>
      <c r="F12" s="179">
        <f ca="1">IF(OR(Assump!$A$7="USD",Assump!$A$7="EURO"),'Hist &amp; Proj'!F20/'Hist &amp; Proj'!F$8,'Hist &amp; Proj'!F20)</f>
        <v>0</v>
      </c>
      <c r="G12" s="179">
        <f ca="1">IF(OR(Assump!$A$7="USD",Assump!$A$7="EURO"),'Hist &amp; Proj'!G20/'Hist &amp; Proj'!G$8,'Hist &amp; Proj'!G20)</f>
        <v>0</v>
      </c>
      <c r="H12" s="179">
        <f ca="1">IF(OR(Assump!$A$7="USD",Assump!$A$7="EURO"),'Hist &amp; Proj'!H20/'Hist &amp; Proj'!H$8,'Hist &amp; Proj'!H20)</f>
        <v>0</v>
      </c>
      <c r="I12" s="179">
        <f ca="1">IF(OR(Assump!$A$7="USD",Assump!$A$7="EURO"),'Hist &amp; Proj'!I20/'Hist &amp; Proj'!I$8,'Hist &amp; Proj'!I20)</f>
        <v>0</v>
      </c>
      <c r="J12" s="179">
        <f ca="1">IF(OR(Assump!$A$7="USD",Assump!$A$7="EURO"),'Hist &amp; Proj'!J20/'Hist &amp; Proj'!J$8,'Hist &amp; Proj'!J20)</f>
        <v>0</v>
      </c>
      <c r="K12" s="179">
        <f ca="1">IF(OR(Assump!$A$7="USD",Assump!$A$7="EURO"),'Hist &amp; Proj'!K20/'Hist &amp; Proj'!K$8,'Hist &amp; Proj'!K20)</f>
        <v>0</v>
      </c>
      <c r="L12" s="179">
        <f ca="1">IF(OR(Assump!$A$7="USD",Assump!$A$7="EURO"),'Hist &amp; Proj'!L20/'Hist &amp; Proj'!L$8,'Hist &amp; Proj'!L20)</f>
        <v>0</v>
      </c>
      <c r="M12" s="179">
        <f ca="1">IF(OR(Assump!$A$7="USD",Assump!$A$7="EURO"),'Hist &amp; Proj'!M20/'Hist &amp; Proj'!M$8,'Hist &amp; Proj'!M20)</f>
        <v>0</v>
      </c>
      <c r="N12" s="179">
        <f ca="1">IF(OR(Assump!$A$7="USD",Assump!$A$7="EURO"),'Hist &amp; Proj'!N20/'Hist &amp; Proj'!N$8,'Hist &amp; Proj'!N20)</f>
        <v>0</v>
      </c>
      <c r="O12" s="179">
        <f ca="1">IF(OR(Assump!$A$7="USD",Assump!$A$7="EURO"),'Hist &amp; Proj'!O20/'Hist &amp; Proj'!O$8,'Hist &amp; Proj'!O20)</f>
        <v>0</v>
      </c>
      <c r="P12" s="179">
        <f ca="1">IF(OR(Assump!$A$7="USD",Assump!$A$7="EURO"),'Hist &amp; Proj'!P20/'Hist &amp; Proj'!P$8,'Hist &amp; Proj'!P20)</f>
        <v>0</v>
      </c>
      <c r="Q12" s="179">
        <f ca="1">IF(OR(Assump!$A$7="USD",Assump!$A$7="EURO"),'Hist &amp; Proj'!Q20/'Hist &amp; Proj'!Q$8,'Hist &amp; Proj'!Q20)</f>
        <v>0</v>
      </c>
      <c r="R12" s="179">
        <f ca="1">IF(OR(Assump!$A$7="USD",Assump!$A$7="EURO"),'Hist &amp; Proj'!R20/'Hist &amp; Proj'!R$8,'Hist &amp; Proj'!R20)</f>
        <v>0</v>
      </c>
      <c r="S12" s="179">
        <f ca="1">IF(OR(Assump!$A$7="USD",Assump!$A$7="EURO"),'Hist &amp; Proj'!S20/'Hist &amp; Proj'!S$8,'Hist &amp; Proj'!S20)</f>
        <v>0</v>
      </c>
      <c r="T12" s="179">
        <f ca="1">IF(OR(Assump!$A$7="USD",Assump!$A$7="EURO"),'Hist &amp; Proj'!T20/'Hist &amp; Proj'!T$8,'Hist &amp; Proj'!T20)</f>
        <v>0</v>
      </c>
      <c r="U12" s="179">
        <f ca="1">IF(OR(Assump!$A$7="USD",Assump!$A$7="EURO"),'Hist &amp; Proj'!U20/'Hist &amp; Proj'!U$8,'Hist &amp; Proj'!U20)</f>
        <v>0</v>
      </c>
      <c r="V12" s="179">
        <f ca="1">IF(OR(Assump!$A$7="USD",Assump!$A$7="EURO"),'Hist &amp; Proj'!V20/'Hist &amp; Proj'!V$8,'Hist &amp; Proj'!V20)</f>
        <v>0</v>
      </c>
      <c r="W12" s="179">
        <f ca="1">IF(OR(Assump!$A$7="USD",Assump!$A$7="EURO"),'Hist &amp; Proj'!W20/'Hist &amp; Proj'!W$8,'Hist &amp; Proj'!W20)</f>
        <v>0</v>
      </c>
      <c r="X12" s="179">
        <f ca="1">IF(OR(Assump!$A$7="USD",Assump!$A$7="EURO"),'Hist &amp; Proj'!X20/'Hist &amp; Proj'!X$8,'Hist &amp; Proj'!X20)</f>
        <v>0</v>
      </c>
      <c r="Y12" s="179">
        <f ca="1">IF(OR(Assump!$A$7="USD",Assump!$A$7="EURO"),'Hist &amp; Proj'!Y20/'Hist &amp; Proj'!Y$8,'Hist &amp; Proj'!Y20)</f>
        <v>0</v>
      </c>
      <c r="Z12" s="179">
        <f ca="1">IF(OR(Assump!$A$7="USD",Assump!$A$7="EURO"),'Hist &amp; Proj'!Z20/'Hist &amp; Proj'!Z$8,'Hist &amp; Proj'!Z20)</f>
        <v>0</v>
      </c>
      <c r="AA12" s="179">
        <f ca="1">IF(OR(Assump!$A$7="USD",Assump!$A$7="EURO"),'Hist &amp; Proj'!AA20/'Hist &amp; Proj'!AA$8,'Hist &amp; Proj'!AA20)</f>
        <v>0</v>
      </c>
      <c r="AB12" s="179">
        <f ca="1">IF(OR(Assump!$A$7="USD",Assump!$A$7="EURO"),'Hist &amp; Proj'!AB20/'Hist &amp; Proj'!AB$8,'Hist &amp; Proj'!AB20)</f>
        <v>0</v>
      </c>
      <c r="AC12" s="179">
        <f ca="1">IF(OR(Assump!$A$7="USD",Assump!$A$7="EURO"),'Hist &amp; Proj'!AC20/'Hist &amp; Proj'!AC$8,'Hist &amp; Proj'!AC20)</f>
        <v>0</v>
      </c>
      <c r="AD12" s="179">
        <f ca="1">IF(OR(Assump!$A$7="USD",Assump!$A$7="EURO"),'Hist &amp; Proj'!AD20/'Hist &amp; Proj'!AD$8,'Hist &amp; Proj'!AD20)</f>
        <v>0</v>
      </c>
      <c r="AE12" s="179" t="e">
        <f ca="1">IF(OR(Assump!$A$7="USD",Assump!$A$7="EURO"),'Hist &amp; Proj'!AE20/'Hist &amp; Proj'!AE$8,'Hist &amp; Proj'!AE20)</f>
        <v>#N/A</v>
      </c>
      <c r="AF12" s="179"/>
      <c r="AG12" s="179"/>
      <c r="AH12" s="367" t="str">
        <f ca="1">IFERROR(RATE(3,0,-C12,R12),"NA")</f>
        <v>NA</v>
      </c>
      <c r="AJ12" s="179">
        <f>IF(OR(Assump!$A$7="USD",Assump!$A$7="EURO"),'Hist &amp; Proj'!AH20/'Hist &amp; Proj'!AH$8,'Hist &amp; Proj'!AH20)</f>
        <v>0</v>
      </c>
      <c r="AK12" s="179">
        <f>IF(OR(Assump!$A$7="USD",Assump!$A$7="EURO"),'Hist &amp; Proj'!AI20/'Hist &amp; Proj'!AI$8,'Hist &amp; Proj'!AI20)</f>
        <v>0</v>
      </c>
      <c r="AL12" s="179">
        <f>IF(OR(Assump!$A$7="USD",Assump!$A$7="EURO"),'Hist &amp; Proj'!AJ20/'Hist &amp; Proj'!AJ$8,'Hist &amp; Proj'!AJ20)</f>
        <v>0</v>
      </c>
      <c r="AM12" s="179">
        <f>IF(OR(Assump!$A$7="USD",Assump!$A$7="EURO"),'Hist &amp; Proj'!AK20/'Hist &amp; Proj'!AK$8,'Hist &amp; Proj'!AK20)</f>
        <v>0</v>
      </c>
      <c r="AN12" s="179">
        <f>IF(OR(Assump!$A$7="USD",Assump!$A$7="EURO"),'Hist &amp; Proj'!AL20/'Hist &amp; Proj'!AL$8,'Hist &amp; Proj'!AL20)</f>
        <v>0</v>
      </c>
      <c r="AP12" s="367" t="str">
        <f>IFERROR(RATE(4,0,-AJ12,AN12),"NA")</f>
        <v>NA</v>
      </c>
    </row>
    <row r="13" spans="1:52" outlineLevel="1">
      <c r="A13" s="180" t="str">
        <f>'Hist &amp; Proj'!A21</f>
        <v xml:space="preserve">       Short Term Investments</v>
      </c>
      <c r="B13" s="179">
        <f>IF(OR(Assump!$A$7="USD",Assump!$A$7="EURO"),'Hist &amp; Proj'!B21/'Hist &amp; Proj'!B$8,'Hist &amp; Proj'!B21)</f>
        <v>0</v>
      </c>
      <c r="C13" s="179">
        <f>IF(OR(Assump!$A$7="USD",Assump!$A$7="EURO"),'Hist &amp; Proj'!C21/'Hist &amp; Proj'!C$8,'Hist &amp; Proj'!C21)</f>
        <v>0</v>
      </c>
      <c r="D13" s="179">
        <f>IF(OR(Assump!$A$7="USD",Assump!$A$7="EURO"),'Hist &amp; Proj'!D21/'Hist &amp; Proj'!D$8,'Hist &amp; Proj'!D21)</f>
        <v>0</v>
      </c>
      <c r="E13" s="179">
        <f>IF(OR(Assump!$A$7="USD",Assump!$A$7="EURO"),'Hist &amp; Proj'!E21/'Hist &amp; Proj'!E$8,'Hist &amp; Proj'!E21)</f>
        <v>0</v>
      </c>
      <c r="F13" s="179">
        <f ca="1">IF(OR(Assump!$A$7="USD",Assump!$A$7="EURO"),'Hist &amp; Proj'!F21/'Hist &amp; Proj'!F$8,'Hist &amp; Proj'!F21)</f>
        <v>0</v>
      </c>
      <c r="G13" s="179">
        <f ca="1">IF(OR(Assump!$A$7="USD",Assump!$A$7="EURO"),'Hist &amp; Proj'!G21/'Hist &amp; Proj'!G$8,'Hist &amp; Proj'!G21)</f>
        <v>0</v>
      </c>
      <c r="H13" s="179">
        <f ca="1">IF(OR(Assump!$A$7="USD",Assump!$A$7="EURO"),'Hist &amp; Proj'!H21/'Hist &amp; Proj'!H$8,'Hist &amp; Proj'!H21)</f>
        <v>0</v>
      </c>
      <c r="I13" s="179">
        <f ca="1">IF(OR(Assump!$A$7="USD",Assump!$A$7="EURO"),'Hist &amp; Proj'!I21/'Hist &amp; Proj'!I$8,'Hist &amp; Proj'!I21)</f>
        <v>0</v>
      </c>
      <c r="J13" s="179">
        <f ca="1">IF(OR(Assump!$A$7="USD",Assump!$A$7="EURO"),'Hist &amp; Proj'!J21/'Hist &amp; Proj'!J$8,'Hist &amp; Proj'!J21)</f>
        <v>0</v>
      </c>
      <c r="K13" s="179">
        <f ca="1">IF(OR(Assump!$A$7="USD",Assump!$A$7="EURO"),'Hist &amp; Proj'!K21/'Hist &amp; Proj'!K$8,'Hist &amp; Proj'!K21)</f>
        <v>0</v>
      </c>
      <c r="L13" s="179">
        <f ca="1">IF(OR(Assump!$A$7="USD",Assump!$A$7="EURO"),'Hist &amp; Proj'!L21/'Hist &amp; Proj'!L$8,'Hist &amp; Proj'!L21)</f>
        <v>0</v>
      </c>
      <c r="M13" s="179">
        <f ca="1">IF(OR(Assump!$A$7="USD",Assump!$A$7="EURO"),'Hist &amp; Proj'!M21/'Hist &amp; Proj'!M$8,'Hist &amp; Proj'!M21)</f>
        <v>0</v>
      </c>
      <c r="N13" s="179">
        <f ca="1">IF(OR(Assump!$A$7="USD",Assump!$A$7="EURO"),'Hist &amp; Proj'!N21/'Hist &amp; Proj'!N$8,'Hist &amp; Proj'!N21)</f>
        <v>0</v>
      </c>
      <c r="O13" s="179">
        <f ca="1">IF(OR(Assump!$A$7="USD",Assump!$A$7="EURO"),'Hist &amp; Proj'!O21/'Hist &amp; Proj'!O$8,'Hist &amp; Proj'!O21)</f>
        <v>0</v>
      </c>
      <c r="P13" s="179">
        <f ca="1">IF(OR(Assump!$A$7="USD",Assump!$A$7="EURO"),'Hist &amp; Proj'!P21/'Hist &amp; Proj'!P$8,'Hist &amp; Proj'!P21)</f>
        <v>0</v>
      </c>
      <c r="Q13" s="179">
        <f ca="1">IF(OR(Assump!$A$7="USD",Assump!$A$7="EURO"),'Hist &amp; Proj'!Q21/'Hist &amp; Proj'!Q$8,'Hist &amp; Proj'!Q21)</f>
        <v>0</v>
      </c>
      <c r="R13" s="179">
        <f ca="1">IF(OR(Assump!$A$7="USD",Assump!$A$7="EURO"),'Hist &amp; Proj'!R21/'Hist &amp; Proj'!R$8,'Hist &amp; Proj'!R21)</f>
        <v>0</v>
      </c>
      <c r="S13" s="179">
        <f ca="1">IF(OR(Assump!$A$7="USD",Assump!$A$7="EURO"),'Hist &amp; Proj'!S21/'Hist &amp; Proj'!S$8,'Hist &amp; Proj'!S21)</f>
        <v>0</v>
      </c>
      <c r="T13" s="179">
        <f ca="1">IF(OR(Assump!$A$7="USD",Assump!$A$7="EURO"),'Hist &amp; Proj'!T21/'Hist &amp; Proj'!T$8,'Hist &amp; Proj'!T21)</f>
        <v>0</v>
      </c>
      <c r="U13" s="179">
        <f ca="1">IF(OR(Assump!$A$7="USD",Assump!$A$7="EURO"),'Hist &amp; Proj'!U21/'Hist &amp; Proj'!U$8,'Hist &amp; Proj'!U21)</f>
        <v>0</v>
      </c>
      <c r="V13" s="179">
        <f ca="1">IF(OR(Assump!$A$7="USD",Assump!$A$7="EURO"),'Hist &amp; Proj'!V21/'Hist &amp; Proj'!V$8,'Hist &amp; Proj'!V21)</f>
        <v>0</v>
      </c>
      <c r="W13" s="179">
        <f ca="1">IF(OR(Assump!$A$7="USD",Assump!$A$7="EURO"),'Hist &amp; Proj'!W21/'Hist &amp; Proj'!W$8,'Hist &amp; Proj'!W21)</f>
        <v>0</v>
      </c>
      <c r="X13" s="179">
        <f ca="1">IF(OR(Assump!$A$7="USD",Assump!$A$7="EURO"),'Hist &amp; Proj'!X21/'Hist &amp; Proj'!X$8,'Hist &amp; Proj'!X21)</f>
        <v>0</v>
      </c>
      <c r="Y13" s="179">
        <f ca="1">IF(OR(Assump!$A$7="USD",Assump!$A$7="EURO"),'Hist &amp; Proj'!Y21/'Hist &amp; Proj'!Y$8,'Hist &amp; Proj'!Y21)</f>
        <v>0</v>
      </c>
      <c r="Z13" s="179">
        <f ca="1">IF(OR(Assump!$A$7="USD",Assump!$A$7="EURO"),'Hist &amp; Proj'!Z21/'Hist &amp; Proj'!Z$8,'Hist &amp; Proj'!Z21)</f>
        <v>0</v>
      </c>
      <c r="AA13" s="179">
        <f ca="1">IF(OR(Assump!$A$7="USD",Assump!$A$7="EURO"),'Hist &amp; Proj'!AA21/'Hist &amp; Proj'!AA$8,'Hist &amp; Proj'!AA21)</f>
        <v>0</v>
      </c>
      <c r="AB13" s="179">
        <f ca="1">IF(OR(Assump!$A$7="USD",Assump!$A$7="EURO"),'Hist &amp; Proj'!AB21/'Hist &amp; Proj'!AB$8,'Hist &amp; Proj'!AB21)</f>
        <v>0</v>
      </c>
      <c r="AC13" s="179">
        <f ca="1">IF(OR(Assump!$A$7="USD",Assump!$A$7="EURO"),'Hist &amp; Proj'!AC21/'Hist &amp; Proj'!AC$8,'Hist &amp; Proj'!AC21)</f>
        <v>0</v>
      </c>
      <c r="AD13" s="179">
        <f ca="1">IF(OR(Assump!$A$7="USD",Assump!$A$7="EURO"),'Hist &amp; Proj'!AD21/'Hist &amp; Proj'!AD$8,'Hist &amp; Proj'!AD21)</f>
        <v>0</v>
      </c>
      <c r="AE13" s="179" t="e">
        <f ca="1">IF(OR(Assump!$A$7="USD",Assump!$A$7="EURO"),'Hist &amp; Proj'!AE21/'Hist &amp; Proj'!AE$8,'Hist &amp; Proj'!AE21)</f>
        <v>#N/A</v>
      </c>
      <c r="AF13" s="179"/>
      <c r="AG13" s="179"/>
      <c r="AH13" s="367" t="str">
        <f ca="1">IFERROR(RATE(3,0,-C13,R13),"NA")</f>
        <v>NA</v>
      </c>
      <c r="AJ13" s="179">
        <f>IF(OR(Assump!$A$7="USD",Assump!$A$7="EURO"),'Hist &amp; Proj'!AH21/'Hist &amp; Proj'!AH$8,'Hist &amp; Proj'!AH21)</f>
        <v>0</v>
      </c>
      <c r="AK13" s="179">
        <f>IF(OR(Assump!$A$7="USD",Assump!$A$7="EURO"),'Hist &amp; Proj'!AI21/'Hist &amp; Proj'!AI$8,'Hist &amp; Proj'!AI21)</f>
        <v>0</v>
      </c>
      <c r="AL13" s="179">
        <f>IF(OR(Assump!$A$7="USD",Assump!$A$7="EURO"),'Hist &amp; Proj'!AJ21/'Hist &amp; Proj'!AJ$8,'Hist &amp; Proj'!AJ21)</f>
        <v>0</v>
      </c>
      <c r="AM13" s="179">
        <f>IF(OR(Assump!$A$7="USD",Assump!$A$7="EURO"),'Hist &amp; Proj'!AK21/'Hist &amp; Proj'!AK$8,'Hist &amp; Proj'!AK21)</f>
        <v>0</v>
      </c>
      <c r="AN13" s="179">
        <f>IF(OR(Assump!$A$7="USD",Assump!$A$7="EURO"),'Hist &amp; Proj'!AL21/'Hist &amp; Proj'!AL$8,'Hist &amp; Proj'!AL21)</f>
        <v>0</v>
      </c>
      <c r="AP13" s="367" t="str">
        <f>IFERROR(RATE(4,0,-AJ13,AN13),"NA")</f>
        <v>NA</v>
      </c>
    </row>
    <row r="14" spans="1:52" ht="5.25" customHeight="1">
      <c r="A14" s="181"/>
      <c r="B14" s="181"/>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78"/>
      <c r="AJ14" s="181"/>
      <c r="AK14" s="181"/>
      <c r="AL14" s="181"/>
      <c r="AM14" s="181"/>
      <c r="AN14" s="181"/>
      <c r="AP14" s="178"/>
    </row>
    <row r="15" spans="1:52">
      <c r="A15" s="131" t="str">
        <f>'Hist &amp; Proj'!A22</f>
        <v>Gross Loan Portfolio</v>
      </c>
      <c r="B15" s="179">
        <f>IF(OR(Assump!$A$7="USD",Assump!$A$7="EURO"),'Hist &amp; Proj'!B22/'Hist &amp; Proj'!B$8,'Hist &amp; Proj'!B22)</f>
        <v>0</v>
      </c>
      <c r="C15" s="179">
        <f>IF(OR(Assump!$A$7="USD",Assump!$A$7="EURO"),'Hist &amp; Proj'!C22/'Hist &amp; Proj'!C$8,'Hist &amp; Proj'!C22)</f>
        <v>0</v>
      </c>
      <c r="D15" s="179">
        <f>IF(OR(Assump!$A$7="USD",Assump!$A$7="EURO"),'Hist &amp; Proj'!D22/'Hist &amp; Proj'!D$8,'Hist &amp; Proj'!D22)</f>
        <v>0</v>
      </c>
      <c r="E15" s="179">
        <f>IF(OR(Assump!$A$7="USD",Assump!$A$7="EURO"),'Hist &amp; Proj'!E22/'Hist &amp; Proj'!E$8,'Hist &amp; Proj'!E22)</f>
        <v>0</v>
      </c>
      <c r="F15" s="179">
        <f ca="1">IF(OR(Assump!$A$7="USD",Assump!$A$7="EURO"),'Hist &amp; Proj'!F22/'Hist &amp; Proj'!F$8,'Hist &amp; Proj'!F22)</f>
        <v>0</v>
      </c>
      <c r="G15" s="179">
        <f ca="1">IF(OR(Assump!$A$7="USD",Assump!$A$7="EURO"),'Hist &amp; Proj'!G22/'Hist &amp; Proj'!G$8,'Hist &amp; Proj'!G22)</f>
        <v>0</v>
      </c>
      <c r="H15" s="179">
        <f ca="1">IF(OR(Assump!$A$7="USD",Assump!$A$7="EURO"),'Hist &amp; Proj'!H22/'Hist &amp; Proj'!H$8,'Hist &amp; Proj'!H22)</f>
        <v>0</v>
      </c>
      <c r="I15" s="179">
        <f ca="1">IF(OR(Assump!$A$7="USD",Assump!$A$7="EURO"),'Hist &amp; Proj'!I22/'Hist &amp; Proj'!I$8,'Hist &amp; Proj'!I22)</f>
        <v>0</v>
      </c>
      <c r="J15" s="179">
        <f ca="1">IF(OR(Assump!$A$7="USD",Assump!$A$7="EURO"),'Hist &amp; Proj'!J22/'Hist &amp; Proj'!J$8,'Hist &amp; Proj'!J22)</f>
        <v>0</v>
      </c>
      <c r="K15" s="179">
        <f ca="1">IF(OR(Assump!$A$7="USD",Assump!$A$7="EURO"),'Hist &amp; Proj'!K22/'Hist &amp; Proj'!K$8,'Hist &amp; Proj'!K22)</f>
        <v>0</v>
      </c>
      <c r="L15" s="179">
        <f ca="1">IF(OR(Assump!$A$7="USD",Assump!$A$7="EURO"),'Hist &amp; Proj'!L22/'Hist &amp; Proj'!L$8,'Hist &amp; Proj'!L22)</f>
        <v>0</v>
      </c>
      <c r="M15" s="179">
        <f ca="1">IF(OR(Assump!$A$7="USD",Assump!$A$7="EURO"),'Hist &amp; Proj'!M22/'Hist &amp; Proj'!M$8,'Hist &amp; Proj'!M22)</f>
        <v>0</v>
      </c>
      <c r="N15" s="179">
        <f ca="1">IF(OR(Assump!$A$7="USD",Assump!$A$7="EURO"),'Hist &amp; Proj'!N22/'Hist &amp; Proj'!N$8,'Hist &amp; Proj'!N22)</f>
        <v>0</v>
      </c>
      <c r="O15" s="179">
        <f ca="1">IF(OR(Assump!$A$7="USD",Assump!$A$7="EURO"),'Hist &amp; Proj'!O22/'Hist &amp; Proj'!O$8,'Hist &amp; Proj'!O22)</f>
        <v>0</v>
      </c>
      <c r="P15" s="179">
        <f ca="1">IF(OR(Assump!$A$7="USD",Assump!$A$7="EURO"),'Hist &amp; Proj'!P22/'Hist &amp; Proj'!P$8,'Hist &amp; Proj'!P22)</f>
        <v>0</v>
      </c>
      <c r="Q15" s="179">
        <f ca="1">IF(OR(Assump!$A$7="USD",Assump!$A$7="EURO"),'Hist &amp; Proj'!Q22/'Hist &amp; Proj'!Q$8,'Hist &amp; Proj'!Q22)</f>
        <v>0</v>
      </c>
      <c r="R15" s="179">
        <f ca="1">IF(OR(Assump!$A$7="USD",Assump!$A$7="EURO"),'Hist &amp; Proj'!R22/'Hist &amp; Proj'!R$8,'Hist &amp; Proj'!R22)</f>
        <v>0</v>
      </c>
      <c r="S15" s="179">
        <f ca="1">IF(OR(Assump!$A$7="USD",Assump!$A$7="EURO"),'Hist &amp; Proj'!S22/'Hist &amp; Proj'!S$8,'Hist &amp; Proj'!S22)</f>
        <v>0</v>
      </c>
      <c r="T15" s="179">
        <f ca="1">IF(OR(Assump!$A$7="USD",Assump!$A$7="EURO"),'Hist &amp; Proj'!T22/'Hist &amp; Proj'!T$8,'Hist &amp; Proj'!T22)</f>
        <v>0</v>
      </c>
      <c r="U15" s="179">
        <f ca="1">IF(OR(Assump!$A$7="USD",Assump!$A$7="EURO"),'Hist &amp; Proj'!U22/'Hist &amp; Proj'!U$8,'Hist &amp; Proj'!U22)</f>
        <v>0</v>
      </c>
      <c r="V15" s="179">
        <f ca="1">IF(OR(Assump!$A$7="USD",Assump!$A$7="EURO"),'Hist &amp; Proj'!V22/'Hist &amp; Proj'!V$8,'Hist &amp; Proj'!V22)</f>
        <v>0</v>
      </c>
      <c r="W15" s="179">
        <f ca="1">IF(OR(Assump!$A$7="USD",Assump!$A$7="EURO"),'Hist &amp; Proj'!W22/'Hist &amp; Proj'!W$8,'Hist &amp; Proj'!W22)</f>
        <v>0</v>
      </c>
      <c r="X15" s="179">
        <f ca="1">IF(OR(Assump!$A$7="USD",Assump!$A$7="EURO"),'Hist &amp; Proj'!X22/'Hist &amp; Proj'!X$8,'Hist &amp; Proj'!X22)</f>
        <v>0</v>
      </c>
      <c r="Y15" s="179">
        <f ca="1">IF(OR(Assump!$A$7="USD",Assump!$A$7="EURO"),'Hist &amp; Proj'!Y22/'Hist &amp; Proj'!Y$8,'Hist &amp; Proj'!Y22)</f>
        <v>0</v>
      </c>
      <c r="Z15" s="179">
        <f ca="1">IF(OR(Assump!$A$7="USD",Assump!$A$7="EURO"),'Hist &amp; Proj'!Z22/'Hist &amp; Proj'!Z$8,'Hist &amp; Proj'!Z22)</f>
        <v>0</v>
      </c>
      <c r="AA15" s="179">
        <f ca="1">IF(OR(Assump!$A$7="USD",Assump!$A$7="EURO"),'Hist &amp; Proj'!AA22/'Hist &amp; Proj'!AA$8,'Hist &amp; Proj'!AA22)</f>
        <v>0</v>
      </c>
      <c r="AB15" s="179">
        <f ca="1">IF(OR(Assump!$A$7="USD",Assump!$A$7="EURO"),'Hist &amp; Proj'!AB22/'Hist &amp; Proj'!AB$8,'Hist &amp; Proj'!AB22)</f>
        <v>0</v>
      </c>
      <c r="AC15" s="179">
        <f ca="1">IF(OR(Assump!$A$7="USD",Assump!$A$7="EURO"),'Hist &amp; Proj'!AC22/'Hist &amp; Proj'!AC$8,'Hist &amp; Proj'!AC22)</f>
        <v>0</v>
      </c>
      <c r="AD15" s="179">
        <f ca="1">IF(OR(Assump!$A$7="USD",Assump!$A$7="EURO"),'Hist &amp; Proj'!AD22/'Hist &amp; Proj'!AD$8,'Hist &amp; Proj'!AD22)</f>
        <v>0</v>
      </c>
      <c r="AE15" s="179" t="e">
        <f ca="1">IF(OR(Assump!$A$7="USD",Assump!$A$7="EURO"),'Hist &amp; Proj'!AE22/'Hist &amp; Proj'!AE$8,'Hist &amp; Proj'!AE22)</f>
        <v>#N/A</v>
      </c>
      <c r="AF15" s="179"/>
      <c r="AG15" s="179"/>
      <c r="AH15" s="367" t="str">
        <f ca="1">IFERROR(RATE(3,0,-C15,R15),"NA")</f>
        <v>NA</v>
      </c>
      <c r="AJ15" s="179">
        <f>IF(OR(Assump!$A$7="USD",Assump!$A$7="EURO"),'Hist &amp; Proj'!AH22/'Hist &amp; Proj'!AH$8,'Hist &amp; Proj'!AH22)</f>
        <v>0</v>
      </c>
      <c r="AK15" s="179">
        <f>IF(OR(Assump!$A$7="USD",Assump!$A$7="EURO"),'Hist &amp; Proj'!AI22/'Hist &amp; Proj'!AI$8,'Hist &amp; Proj'!AI22)</f>
        <v>0</v>
      </c>
      <c r="AL15" s="179">
        <f>IF(OR(Assump!$A$7="USD",Assump!$A$7="EURO"),'Hist &amp; Proj'!AJ22/'Hist &amp; Proj'!AJ$8,'Hist &amp; Proj'!AJ22)</f>
        <v>0</v>
      </c>
      <c r="AM15" s="179">
        <f>IF(OR(Assump!$A$7="USD",Assump!$A$7="EURO"),'Hist &amp; Proj'!AK22/'Hist &amp; Proj'!AK$8,'Hist &amp; Proj'!AK22)</f>
        <v>0</v>
      </c>
      <c r="AN15" s="179">
        <f>IF(OR(Assump!$A$7="USD",Assump!$A$7="EURO"),'Hist &amp; Proj'!AL22/'Hist &amp; Proj'!AL$8,'Hist &amp; Proj'!AL22)</f>
        <v>0</v>
      </c>
      <c r="AP15" s="367" t="str">
        <f>IFERROR(RATE(4,0,-AJ15,AN15),"NA")</f>
        <v>NA</v>
      </c>
    </row>
    <row r="16" spans="1:52">
      <c r="A16" s="182" t="str">
        <f>'Mgmt Backup'!A113</f>
        <v>Gross Loan Portfolio Growth (Y-o-Y)</v>
      </c>
      <c r="B16" s="183" t="str">
        <f t="shared" ref="B16:AE16" si="2">B113</f>
        <v>NA</v>
      </c>
      <c r="C16" s="183" t="e">
        <f t="shared" si="2"/>
        <v>#DIV/0!</v>
      </c>
      <c r="D16" s="183" t="e">
        <f t="shared" si="2"/>
        <v>#DIV/0!</v>
      </c>
      <c r="E16" s="183" t="e">
        <f t="shared" si="2"/>
        <v>#DIV/0!</v>
      </c>
      <c r="F16" s="183" t="str">
        <f t="shared" si="2"/>
        <v>NA</v>
      </c>
      <c r="G16" s="183" t="str">
        <f t="shared" si="2"/>
        <v>NA</v>
      </c>
      <c r="H16" s="183" t="str">
        <f t="shared" si="2"/>
        <v>NA</v>
      </c>
      <c r="I16" s="183" t="str">
        <f t="shared" si="2"/>
        <v>NA</v>
      </c>
      <c r="J16" s="183" t="str">
        <f t="shared" si="2"/>
        <v>NA</v>
      </c>
      <c r="K16" s="183" t="str">
        <f t="shared" si="2"/>
        <v>NA</v>
      </c>
      <c r="L16" s="183" t="str">
        <f t="shared" si="2"/>
        <v>NA</v>
      </c>
      <c r="M16" s="183" t="str">
        <f t="shared" si="2"/>
        <v>NA</v>
      </c>
      <c r="N16" s="183" t="str">
        <f t="shared" si="2"/>
        <v>NA</v>
      </c>
      <c r="O16" s="183" t="str">
        <f t="shared" si="2"/>
        <v>NA</v>
      </c>
      <c r="P16" s="183" t="str">
        <f t="shared" si="2"/>
        <v>NA</v>
      </c>
      <c r="Q16" s="183" t="str">
        <f t="shared" si="2"/>
        <v>NA</v>
      </c>
      <c r="R16" s="183" t="e">
        <f t="shared" ca="1" si="2"/>
        <v>#DIV/0!</v>
      </c>
      <c r="S16" s="183" t="e">
        <f t="shared" ca="1" si="2"/>
        <v>#DIV/0!</v>
      </c>
      <c r="T16" s="183" t="e">
        <f t="shared" ca="1" si="2"/>
        <v>#DIV/0!</v>
      </c>
      <c r="U16" s="183" t="e">
        <f t="shared" ca="1" si="2"/>
        <v>#DIV/0!</v>
      </c>
      <c r="V16" s="183" t="e">
        <f t="shared" ca="1" si="2"/>
        <v>#DIV/0!</v>
      </c>
      <c r="W16" s="183" t="e">
        <f t="shared" ca="1" si="2"/>
        <v>#DIV/0!</v>
      </c>
      <c r="X16" s="183" t="e">
        <f t="shared" ca="1" si="2"/>
        <v>#DIV/0!</v>
      </c>
      <c r="Y16" s="183" t="e">
        <f t="shared" ca="1" si="2"/>
        <v>#DIV/0!</v>
      </c>
      <c r="Z16" s="183" t="e">
        <f t="shared" ca="1" si="2"/>
        <v>#DIV/0!</v>
      </c>
      <c r="AA16" s="183" t="e">
        <f t="shared" ca="1" si="2"/>
        <v>#DIV/0!</v>
      </c>
      <c r="AB16" s="183" t="e">
        <f t="shared" ca="1" si="2"/>
        <v>#DIV/0!</v>
      </c>
      <c r="AC16" s="183" t="e">
        <f t="shared" ca="1" si="2"/>
        <v>#DIV/0!</v>
      </c>
      <c r="AD16" s="183" t="e">
        <f t="shared" ca="1" si="2"/>
        <v>#DIV/0!</v>
      </c>
      <c r="AE16" s="183" t="e">
        <f t="shared" ca="1" si="2"/>
        <v>#N/A</v>
      </c>
      <c r="AH16" s="368" t="str">
        <f>IFERROR(AVERAGE(C16:E16,R16),"NA")</f>
        <v>NA</v>
      </c>
      <c r="AJ16" s="183" t="e">
        <f ca="1">AJ113</f>
        <v>#DIV/0!</v>
      </c>
      <c r="AK16" s="183" t="e">
        <f>AK113</f>
        <v>#DIV/0!</v>
      </c>
      <c r="AL16" s="183" t="e">
        <f>AL113</f>
        <v>#DIV/0!</v>
      </c>
      <c r="AM16" s="183" t="e">
        <f>AM113</f>
        <v>#DIV/0!</v>
      </c>
      <c r="AN16" s="183" t="e">
        <f>AN113</f>
        <v>#DIV/0!</v>
      </c>
      <c r="AP16" s="368" t="str">
        <f ca="1">IFERROR(AVERAGE(AJ16:AN16),"NA")</f>
        <v>NA</v>
      </c>
    </row>
    <row r="17" spans="1:42">
      <c r="A17" s="131" t="str">
        <f>'Hist &amp; Proj'!A23</f>
        <v>(Loan Loss Reserves)</v>
      </c>
      <c r="B17" s="179">
        <f>IF(OR(Assump!$A$7="USD",Assump!$A$7="EURO"),'Hist &amp; Proj'!B23/'Hist &amp; Proj'!B$8,'Hist &amp; Proj'!B23)</f>
        <v>0</v>
      </c>
      <c r="C17" s="179">
        <f>IF(OR(Assump!$A$7="USD",Assump!$A$7="EURO"),'Hist &amp; Proj'!C23/'Hist &amp; Proj'!C$8,'Hist &amp; Proj'!C23)</f>
        <v>0</v>
      </c>
      <c r="D17" s="179">
        <f>IF(OR(Assump!$A$7="USD",Assump!$A$7="EURO"),'Hist &amp; Proj'!D23/'Hist &amp; Proj'!D$8,'Hist &amp; Proj'!D23)</f>
        <v>0</v>
      </c>
      <c r="E17" s="179">
        <f>IF(OR(Assump!$A$7="USD",Assump!$A$7="EURO"),'Hist &amp; Proj'!E23/'Hist &amp; Proj'!E$8,'Hist &amp; Proj'!E23)</f>
        <v>0</v>
      </c>
      <c r="F17" s="179">
        <f ca="1">IF(OR(Assump!$A$7="USD",Assump!$A$7="EURO"),'Hist &amp; Proj'!F23/'Hist &amp; Proj'!F$8,'Hist &amp; Proj'!F23)</f>
        <v>0</v>
      </c>
      <c r="G17" s="179">
        <f ca="1">IF(OR(Assump!$A$7="USD",Assump!$A$7="EURO"),'Hist &amp; Proj'!G23/'Hist &amp; Proj'!G$8,'Hist &amp; Proj'!G23)</f>
        <v>0</v>
      </c>
      <c r="H17" s="179">
        <f ca="1">IF(OR(Assump!$A$7="USD",Assump!$A$7="EURO"),'Hist &amp; Proj'!H23/'Hist &amp; Proj'!H$8,'Hist &amp; Proj'!H23)</f>
        <v>0</v>
      </c>
      <c r="I17" s="179">
        <f ca="1">IF(OR(Assump!$A$7="USD",Assump!$A$7="EURO"),'Hist &amp; Proj'!I23/'Hist &amp; Proj'!I$8,'Hist &amp; Proj'!I23)</f>
        <v>0</v>
      </c>
      <c r="J17" s="179">
        <f ca="1">IF(OR(Assump!$A$7="USD",Assump!$A$7="EURO"),'Hist &amp; Proj'!J23/'Hist &amp; Proj'!J$8,'Hist &amp; Proj'!J23)</f>
        <v>0</v>
      </c>
      <c r="K17" s="179">
        <f ca="1">IF(OR(Assump!$A$7="USD",Assump!$A$7="EURO"),'Hist &amp; Proj'!K23/'Hist &amp; Proj'!K$8,'Hist &amp; Proj'!K23)</f>
        <v>0</v>
      </c>
      <c r="L17" s="179">
        <f ca="1">IF(OR(Assump!$A$7="USD",Assump!$A$7="EURO"),'Hist &amp; Proj'!L23/'Hist &amp; Proj'!L$8,'Hist &amp; Proj'!L23)</f>
        <v>0</v>
      </c>
      <c r="M17" s="179">
        <f ca="1">IF(OR(Assump!$A$7="USD",Assump!$A$7="EURO"),'Hist &amp; Proj'!M23/'Hist &amp; Proj'!M$8,'Hist &amp; Proj'!M23)</f>
        <v>0</v>
      </c>
      <c r="N17" s="179">
        <f ca="1">IF(OR(Assump!$A$7="USD",Assump!$A$7="EURO"),'Hist &amp; Proj'!N23/'Hist &amp; Proj'!N$8,'Hist &amp; Proj'!N23)</f>
        <v>0</v>
      </c>
      <c r="O17" s="179">
        <f ca="1">IF(OR(Assump!$A$7="USD",Assump!$A$7="EURO"),'Hist &amp; Proj'!O23/'Hist &amp; Proj'!O$8,'Hist &amp; Proj'!O23)</f>
        <v>0</v>
      </c>
      <c r="P17" s="179">
        <f ca="1">IF(OR(Assump!$A$7="USD",Assump!$A$7="EURO"),'Hist &amp; Proj'!P23/'Hist &amp; Proj'!P$8,'Hist &amp; Proj'!P23)</f>
        <v>0</v>
      </c>
      <c r="Q17" s="179">
        <f ca="1">IF(OR(Assump!$A$7="USD",Assump!$A$7="EURO"),'Hist &amp; Proj'!Q23/'Hist &amp; Proj'!Q$8,'Hist &amp; Proj'!Q23)</f>
        <v>0</v>
      </c>
      <c r="R17" s="179">
        <f ca="1">IF(OR(Assump!$A$7="USD",Assump!$A$7="EURO"),'Hist &amp; Proj'!R23/'Hist &amp; Proj'!R$8,'Hist &amp; Proj'!R23)</f>
        <v>0</v>
      </c>
      <c r="S17" s="179">
        <f ca="1">IF(OR(Assump!$A$7="USD",Assump!$A$7="EURO"),'Hist &amp; Proj'!S23/'Hist &amp; Proj'!S$8,'Hist &amp; Proj'!S23)</f>
        <v>0</v>
      </c>
      <c r="T17" s="179">
        <f ca="1">IF(OR(Assump!$A$7="USD",Assump!$A$7="EURO"),'Hist &amp; Proj'!T23/'Hist &amp; Proj'!T$8,'Hist &amp; Proj'!T23)</f>
        <v>0</v>
      </c>
      <c r="U17" s="179">
        <f ca="1">IF(OR(Assump!$A$7="USD",Assump!$A$7="EURO"),'Hist &amp; Proj'!U23/'Hist &amp; Proj'!U$8,'Hist &amp; Proj'!U23)</f>
        <v>0</v>
      </c>
      <c r="V17" s="179">
        <f ca="1">IF(OR(Assump!$A$7="USD",Assump!$A$7="EURO"),'Hist &amp; Proj'!V23/'Hist &amp; Proj'!V$8,'Hist &amp; Proj'!V23)</f>
        <v>0</v>
      </c>
      <c r="W17" s="179">
        <f ca="1">IF(OR(Assump!$A$7="USD",Assump!$A$7="EURO"),'Hist &amp; Proj'!W23/'Hist &amp; Proj'!W$8,'Hist &amp; Proj'!W23)</f>
        <v>0</v>
      </c>
      <c r="X17" s="179">
        <f ca="1">IF(OR(Assump!$A$7="USD",Assump!$A$7="EURO"),'Hist &amp; Proj'!X23/'Hist &amp; Proj'!X$8,'Hist &amp; Proj'!X23)</f>
        <v>0</v>
      </c>
      <c r="Y17" s="179">
        <f ca="1">IF(OR(Assump!$A$7="USD",Assump!$A$7="EURO"),'Hist &amp; Proj'!Y23/'Hist &amp; Proj'!Y$8,'Hist &amp; Proj'!Y23)</f>
        <v>0</v>
      </c>
      <c r="Z17" s="179">
        <f ca="1">IF(OR(Assump!$A$7="USD",Assump!$A$7="EURO"),'Hist &amp; Proj'!Z23/'Hist &amp; Proj'!Z$8,'Hist &amp; Proj'!Z23)</f>
        <v>0</v>
      </c>
      <c r="AA17" s="179">
        <f ca="1">IF(OR(Assump!$A$7="USD",Assump!$A$7="EURO"),'Hist &amp; Proj'!AA23/'Hist &amp; Proj'!AA$8,'Hist &amp; Proj'!AA23)</f>
        <v>0</v>
      </c>
      <c r="AB17" s="179">
        <f ca="1">IF(OR(Assump!$A$7="USD",Assump!$A$7="EURO"),'Hist &amp; Proj'!AB23/'Hist &amp; Proj'!AB$8,'Hist &amp; Proj'!AB23)</f>
        <v>0</v>
      </c>
      <c r="AC17" s="179">
        <f ca="1">IF(OR(Assump!$A$7="USD",Assump!$A$7="EURO"),'Hist &amp; Proj'!AC23/'Hist &amp; Proj'!AC$8,'Hist &amp; Proj'!AC23)</f>
        <v>0</v>
      </c>
      <c r="AD17" s="179">
        <f ca="1">IF(OR(Assump!$A$7="USD",Assump!$A$7="EURO"),'Hist &amp; Proj'!AD23/'Hist &amp; Proj'!AD$8,'Hist &amp; Proj'!AD23)</f>
        <v>0</v>
      </c>
      <c r="AE17" s="179" t="e">
        <f ca="1">IF(OR(Assump!$A$7="USD",Assump!$A$7="EURO"),'Hist &amp; Proj'!AE23/'Hist &amp; Proj'!AE$8,'Hist &amp; Proj'!AE23)</f>
        <v>#N/A</v>
      </c>
      <c r="AH17" s="367" t="str">
        <f ca="1">IFERROR(RATE(3,0,-C17,R17),"NA")</f>
        <v>NA</v>
      </c>
      <c r="AJ17" s="179">
        <f>IF(OR(Assump!$A$7="USD",Assump!$A$7="EURO"),'Hist &amp; Proj'!AH23/'Hist &amp; Proj'!AH$8,'Hist &amp; Proj'!AH23)</f>
        <v>0</v>
      </c>
      <c r="AK17" s="179">
        <f>IF(OR(Assump!$A$7="USD",Assump!$A$7="EURO"),'Hist &amp; Proj'!AI23/'Hist &amp; Proj'!AI$8,'Hist &amp; Proj'!AI23)</f>
        <v>0</v>
      </c>
      <c r="AL17" s="179">
        <f>IF(OR(Assump!$A$7="USD",Assump!$A$7="EURO"),'Hist &amp; Proj'!AJ23/'Hist &amp; Proj'!AJ$8,'Hist &amp; Proj'!AJ23)</f>
        <v>0</v>
      </c>
      <c r="AM17" s="179">
        <f>IF(OR(Assump!$A$7="USD",Assump!$A$7="EURO"),'Hist &amp; Proj'!AK23/'Hist &amp; Proj'!AK$8,'Hist &amp; Proj'!AK23)</f>
        <v>0</v>
      </c>
      <c r="AN17" s="179">
        <f>IF(OR(Assump!$A$7="USD",Assump!$A$7="EURO"),'Hist &amp; Proj'!AL23/'Hist &amp; Proj'!AL$8,'Hist &amp; Proj'!AL23)</f>
        <v>0</v>
      </c>
      <c r="AP17" s="367" t="str">
        <f>IFERROR(RATE(4,0,-AJ17,AN17),"NA")</f>
        <v>NA</v>
      </c>
    </row>
    <row r="18" spans="1:42" s="355" customFormat="1">
      <c r="A18" s="175" t="s">
        <v>528</v>
      </c>
      <c r="B18" s="184">
        <f t="shared" ref="B18:AE18" si="3">SUM(B17,B15)</f>
        <v>0</v>
      </c>
      <c r="C18" s="184">
        <f t="shared" si="3"/>
        <v>0</v>
      </c>
      <c r="D18" s="184">
        <f t="shared" si="3"/>
        <v>0</v>
      </c>
      <c r="E18" s="184">
        <f t="shared" si="3"/>
        <v>0</v>
      </c>
      <c r="F18" s="184">
        <f t="shared" ca="1" si="3"/>
        <v>0</v>
      </c>
      <c r="G18" s="184">
        <f t="shared" ca="1" si="3"/>
        <v>0</v>
      </c>
      <c r="H18" s="184">
        <f t="shared" ca="1" si="3"/>
        <v>0</v>
      </c>
      <c r="I18" s="184">
        <f t="shared" ca="1" si="3"/>
        <v>0</v>
      </c>
      <c r="J18" s="184">
        <f t="shared" ca="1" si="3"/>
        <v>0</v>
      </c>
      <c r="K18" s="184">
        <f t="shared" ca="1" si="3"/>
        <v>0</v>
      </c>
      <c r="L18" s="184">
        <f t="shared" ca="1" si="3"/>
        <v>0</v>
      </c>
      <c r="M18" s="184">
        <f t="shared" ca="1" si="3"/>
        <v>0</v>
      </c>
      <c r="N18" s="184">
        <f t="shared" ca="1" si="3"/>
        <v>0</v>
      </c>
      <c r="O18" s="184">
        <f t="shared" ca="1" si="3"/>
        <v>0</v>
      </c>
      <c r="P18" s="184">
        <f t="shared" ca="1" si="3"/>
        <v>0</v>
      </c>
      <c r="Q18" s="184">
        <f t="shared" ca="1" si="3"/>
        <v>0</v>
      </c>
      <c r="R18" s="184">
        <f t="shared" ca="1" si="3"/>
        <v>0</v>
      </c>
      <c r="S18" s="184">
        <f t="shared" ca="1" si="3"/>
        <v>0</v>
      </c>
      <c r="T18" s="184">
        <f t="shared" ca="1" si="3"/>
        <v>0</v>
      </c>
      <c r="U18" s="184">
        <f t="shared" ca="1" si="3"/>
        <v>0</v>
      </c>
      <c r="V18" s="184">
        <f t="shared" ca="1" si="3"/>
        <v>0</v>
      </c>
      <c r="W18" s="184">
        <f t="shared" ca="1" si="3"/>
        <v>0</v>
      </c>
      <c r="X18" s="184">
        <f t="shared" ca="1" si="3"/>
        <v>0</v>
      </c>
      <c r="Y18" s="184">
        <f t="shared" ca="1" si="3"/>
        <v>0</v>
      </c>
      <c r="Z18" s="184">
        <f t="shared" ca="1" si="3"/>
        <v>0</v>
      </c>
      <c r="AA18" s="184">
        <f t="shared" ca="1" si="3"/>
        <v>0</v>
      </c>
      <c r="AB18" s="184">
        <f t="shared" ca="1" si="3"/>
        <v>0</v>
      </c>
      <c r="AC18" s="184">
        <f t="shared" ca="1" si="3"/>
        <v>0</v>
      </c>
      <c r="AD18" s="184">
        <f t="shared" ca="1" si="3"/>
        <v>0</v>
      </c>
      <c r="AE18" s="184" t="e">
        <f t="shared" ca="1" si="3"/>
        <v>#N/A</v>
      </c>
      <c r="AF18" s="126"/>
      <c r="AG18" s="126"/>
      <c r="AH18" s="369" t="str">
        <f ca="1">IFERROR(RATE(3,0,-C18,R18),"NA")</f>
        <v>NA</v>
      </c>
      <c r="AJ18" s="184">
        <f>SUM(AJ17,AJ15)</f>
        <v>0</v>
      </c>
      <c r="AK18" s="184">
        <f>SUM(AK17,AK15)</f>
        <v>0</v>
      </c>
      <c r="AL18" s="184">
        <f>SUM(AL17,AL15)</f>
        <v>0</v>
      </c>
      <c r="AM18" s="184">
        <f>SUM(AM17,AM15)</f>
        <v>0</v>
      </c>
      <c r="AN18" s="184">
        <f>SUM(AN17,AN15)</f>
        <v>0</v>
      </c>
      <c r="AO18" s="358"/>
      <c r="AP18" s="369" t="str">
        <f>IFERROR(RATE(4,0,-AJ18,AN18),"NA")</f>
        <v>NA</v>
      </c>
    </row>
    <row r="19" spans="1:42" ht="5.25" customHeight="1">
      <c r="A19" s="181"/>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H19" s="178"/>
      <c r="AJ19" s="181"/>
      <c r="AK19" s="181"/>
      <c r="AL19" s="181"/>
      <c r="AM19" s="181"/>
      <c r="AN19" s="181"/>
      <c r="AP19" s="178"/>
    </row>
    <row r="20" spans="1:42">
      <c r="A20" s="127" t="str">
        <f>'Hist &amp; Proj'!A24</f>
        <v>Other Assets</v>
      </c>
      <c r="B20" s="179">
        <f>IF(OR(Assump!$A$7="USD",Assump!$A$7="EURO"),'Hist &amp; Proj'!B24/'Hist &amp; Proj'!B$8,'Hist &amp; Proj'!B24)</f>
        <v>0</v>
      </c>
      <c r="C20" s="179">
        <f>IF(OR(Assump!$A$7="USD",Assump!$A$7="EURO"),'Hist &amp; Proj'!C24/'Hist &amp; Proj'!C$8,'Hist &amp; Proj'!C24)</f>
        <v>0</v>
      </c>
      <c r="D20" s="179">
        <f>IF(OR(Assump!$A$7="USD",Assump!$A$7="EURO"),'Hist &amp; Proj'!D24/'Hist &amp; Proj'!D$8,'Hist &amp; Proj'!D24)</f>
        <v>0</v>
      </c>
      <c r="E20" s="179">
        <f>IF(OR(Assump!$A$7="USD",Assump!$A$7="EURO"),'Hist &amp; Proj'!E24/'Hist &amp; Proj'!E$8,'Hist &amp; Proj'!E24)</f>
        <v>0</v>
      </c>
      <c r="F20" s="179">
        <f ca="1">IF(OR(Assump!$A$7="USD",Assump!$A$7="EURO"),'Hist &amp; Proj'!F24/'Hist &amp; Proj'!F$8,'Hist &amp; Proj'!F24)</f>
        <v>0</v>
      </c>
      <c r="G20" s="179">
        <f ca="1">IF(OR(Assump!$A$7="USD",Assump!$A$7="EURO"),'Hist &amp; Proj'!G24/'Hist &amp; Proj'!G$8,'Hist &amp; Proj'!G24)</f>
        <v>0</v>
      </c>
      <c r="H20" s="179">
        <f ca="1">IF(OR(Assump!$A$7="USD",Assump!$A$7="EURO"),'Hist &amp; Proj'!H24/'Hist &amp; Proj'!H$8,'Hist &amp; Proj'!H24)</f>
        <v>0</v>
      </c>
      <c r="I20" s="179">
        <f ca="1">IF(OR(Assump!$A$7="USD",Assump!$A$7="EURO"),'Hist &amp; Proj'!I24/'Hist &amp; Proj'!I$8,'Hist &amp; Proj'!I24)</f>
        <v>0</v>
      </c>
      <c r="J20" s="179">
        <f ca="1">IF(OR(Assump!$A$7="USD",Assump!$A$7="EURO"),'Hist &amp; Proj'!J24/'Hist &amp; Proj'!J$8,'Hist &amp; Proj'!J24)</f>
        <v>0</v>
      </c>
      <c r="K20" s="179">
        <f ca="1">IF(OR(Assump!$A$7="USD",Assump!$A$7="EURO"),'Hist &amp; Proj'!K24/'Hist &amp; Proj'!K$8,'Hist &amp; Proj'!K24)</f>
        <v>0</v>
      </c>
      <c r="L20" s="179">
        <f ca="1">IF(OR(Assump!$A$7="USD",Assump!$A$7="EURO"),'Hist &amp; Proj'!L24/'Hist &amp; Proj'!L$8,'Hist &amp; Proj'!L24)</f>
        <v>0</v>
      </c>
      <c r="M20" s="179">
        <f ca="1">IF(OR(Assump!$A$7="USD",Assump!$A$7="EURO"),'Hist &amp; Proj'!M24/'Hist &amp; Proj'!M$8,'Hist &amp; Proj'!M24)</f>
        <v>0</v>
      </c>
      <c r="N20" s="179">
        <f ca="1">IF(OR(Assump!$A$7="USD",Assump!$A$7="EURO"),'Hist &amp; Proj'!N24/'Hist &amp; Proj'!N$8,'Hist &amp; Proj'!N24)</f>
        <v>0</v>
      </c>
      <c r="O20" s="179">
        <f ca="1">IF(OR(Assump!$A$7="USD",Assump!$A$7="EURO"),'Hist &amp; Proj'!O24/'Hist &amp; Proj'!O$8,'Hist &amp; Proj'!O24)</f>
        <v>0</v>
      </c>
      <c r="P20" s="179">
        <f ca="1">IF(OR(Assump!$A$7="USD",Assump!$A$7="EURO"),'Hist &amp; Proj'!P24/'Hist &amp; Proj'!P$8,'Hist &amp; Proj'!P24)</f>
        <v>0</v>
      </c>
      <c r="Q20" s="179">
        <f ca="1">IF(OR(Assump!$A$7="USD",Assump!$A$7="EURO"),'Hist &amp; Proj'!Q24/'Hist &amp; Proj'!Q$8,'Hist &amp; Proj'!Q24)</f>
        <v>0</v>
      </c>
      <c r="R20" s="179">
        <f ca="1">IF(OR(Assump!$A$7="USD",Assump!$A$7="EURO"),'Hist &amp; Proj'!R24/'Hist &amp; Proj'!R$8,'Hist &amp; Proj'!R24)</f>
        <v>0</v>
      </c>
      <c r="S20" s="179">
        <f ca="1">IF(OR(Assump!$A$7="USD",Assump!$A$7="EURO"),'Hist &amp; Proj'!S24/'Hist &amp; Proj'!S$8,'Hist &amp; Proj'!S24)</f>
        <v>0</v>
      </c>
      <c r="T20" s="179">
        <f ca="1">IF(OR(Assump!$A$7="USD",Assump!$A$7="EURO"),'Hist &amp; Proj'!T24/'Hist &amp; Proj'!T$8,'Hist &amp; Proj'!T24)</f>
        <v>0</v>
      </c>
      <c r="U20" s="179">
        <f ca="1">IF(OR(Assump!$A$7="USD",Assump!$A$7="EURO"),'Hist &amp; Proj'!U24/'Hist &amp; Proj'!U$8,'Hist &amp; Proj'!U24)</f>
        <v>0</v>
      </c>
      <c r="V20" s="179">
        <f ca="1">IF(OR(Assump!$A$7="USD",Assump!$A$7="EURO"),'Hist &amp; Proj'!V24/'Hist &amp; Proj'!V$8,'Hist &amp; Proj'!V24)</f>
        <v>0</v>
      </c>
      <c r="W20" s="179">
        <f ca="1">IF(OR(Assump!$A$7="USD",Assump!$A$7="EURO"),'Hist &amp; Proj'!W24/'Hist &amp; Proj'!W$8,'Hist &amp; Proj'!W24)</f>
        <v>0</v>
      </c>
      <c r="X20" s="179">
        <f ca="1">IF(OR(Assump!$A$7="USD",Assump!$A$7="EURO"),'Hist &amp; Proj'!X24/'Hist &amp; Proj'!X$8,'Hist &amp; Proj'!X24)</f>
        <v>0</v>
      </c>
      <c r="Y20" s="179">
        <f ca="1">IF(OR(Assump!$A$7="USD",Assump!$A$7="EURO"),'Hist &amp; Proj'!Y24/'Hist &amp; Proj'!Y$8,'Hist &amp; Proj'!Y24)</f>
        <v>0</v>
      </c>
      <c r="Z20" s="179">
        <f ca="1">IF(OR(Assump!$A$7="USD",Assump!$A$7="EURO"),'Hist &amp; Proj'!Z24/'Hist &amp; Proj'!Z$8,'Hist &amp; Proj'!Z24)</f>
        <v>0</v>
      </c>
      <c r="AA20" s="179">
        <f ca="1">IF(OR(Assump!$A$7="USD",Assump!$A$7="EURO"),'Hist &amp; Proj'!AA24/'Hist &amp; Proj'!AA$8,'Hist &amp; Proj'!AA24)</f>
        <v>0</v>
      </c>
      <c r="AB20" s="179">
        <f ca="1">IF(OR(Assump!$A$7="USD",Assump!$A$7="EURO"),'Hist &amp; Proj'!AB24/'Hist &amp; Proj'!AB$8,'Hist &amp; Proj'!AB24)</f>
        <v>0</v>
      </c>
      <c r="AC20" s="179">
        <f ca="1">IF(OR(Assump!$A$7="USD",Assump!$A$7="EURO"),'Hist &amp; Proj'!AC24/'Hist &amp; Proj'!AC$8,'Hist &amp; Proj'!AC24)</f>
        <v>0</v>
      </c>
      <c r="AD20" s="179">
        <f ca="1">IF(OR(Assump!$A$7="USD",Assump!$A$7="EURO"),'Hist &amp; Proj'!AD24/'Hist &amp; Proj'!AD$8,'Hist &amp; Proj'!AD24)</f>
        <v>0</v>
      </c>
      <c r="AE20" s="179" t="e">
        <f ca="1">IF(OR(Assump!$A$7="USD",Assump!$A$7="EURO"),'Hist &amp; Proj'!AE24/'Hist &amp; Proj'!AE$8,'Hist &amp; Proj'!AE24)</f>
        <v>#N/A</v>
      </c>
      <c r="AH20" s="367" t="str">
        <f ca="1">IFERROR(RATE(3,0,-C20,R20),"NA")</f>
        <v>NA</v>
      </c>
      <c r="AJ20" s="179">
        <f>IF(OR(Assump!$A$7="USD",Assump!$A$7="EURO"),'Hist &amp; Proj'!AH24/'Hist &amp; Proj'!AH$8,'Hist &amp; Proj'!AH24)</f>
        <v>0</v>
      </c>
      <c r="AK20" s="179">
        <f>IF(OR(Assump!$A$7="USD",Assump!$A$7="EURO"),'Hist &amp; Proj'!AI24/'Hist &amp; Proj'!AI$8,'Hist &amp; Proj'!AI24)</f>
        <v>0</v>
      </c>
      <c r="AL20" s="179">
        <f>IF(OR(Assump!$A$7="USD",Assump!$A$7="EURO"),'Hist &amp; Proj'!AJ24/'Hist &amp; Proj'!AJ$8,'Hist &amp; Proj'!AJ24)</f>
        <v>0</v>
      </c>
      <c r="AM20" s="179">
        <f>IF(OR(Assump!$A$7="USD",Assump!$A$7="EURO"),'Hist &amp; Proj'!AK24/'Hist &amp; Proj'!AK$8,'Hist &amp; Proj'!AK24)</f>
        <v>0</v>
      </c>
      <c r="AN20" s="179">
        <f>IF(OR(Assump!$A$7="USD",Assump!$A$7="EURO"),'Hist &amp; Proj'!AL24/'Hist &amp; Proj'!AL$8,'Hist &amp; Proj'!AL24)</f>
        <v>0</v>
      </c>
      <c r="AP20" s="367" t="str">
        <f>IFERROR(RATE(4,0,-AJ20,AN20),"NA")</f>
        <v>NA</v>
      </c>
    </row>
    <row r="21" spans="1:42">
      <c r="A21" s="185" t="str">
        <f>'Hist &amp; Proj'!A25</f>
        <v>Total Assets</v>
      </c>
      <c r="B21" s="186">
        <f t="shared" ref="B21:AE21" si="4">SUM(B10,B18,B20)</f>
        <v>0</v>
      </c>
      <c r="C21" s="186">
        <f t="shared" si="4"/>
        <v>0</v>
      </c>
      <c r="D21" s="186">
        <f t="shared" si="4"/>
        <v>0</v>
      </c>
      <c r="E21" s="186">
        <f t="shared" si="4"/>
        <v>0</v>
      </c>
      <c r="F21" s="186">
        <f t="shared" ca="1" si="4"/>
        <v>0</v>
      </c>
      <c r="G21" s="186">
        <f t="shared" ca="1" si="4"/>
        <v>0</v>
      </c>
      <c r="H21" s="186">
        <f t="shared" ca="1" si="4"/>
        <v>0</v>
      </c>
      <c r="I21" s="186">
        <f t="shared" ca="1" si="4"/>
        <v>0</v>
      </c>
      <c r="J21" s="186">
        <f t="shared" ca="1" si="4"/>
        <v>0</v>
      </c>
      <c r="K21" s="186">
        <f t="shared" ca="1" si="4"/>
        <v>0</v>
      </c>
      <c r="L21" s="186">
        <f t="shared" ca="1" si="4"/>
        <v>0</v>
      </c>
      <c r="M21" s="186">
        <f t="shared" ca="1" si="4"/>
        <v>0</v>
      </c>
      <c r="N21" s="186">
        <f t="shared" ca="1" si="4"/>
        <v>0</v>
      </c>
      <c r="O21" s="186">
        <f t="shared" ca="1" si="4"/>
        <v>0</v>
      </c>
      <c r="P21" s="186">
        <f t="shared" ca="1" si="4"/>
        <v>0</v>
      </c>
      <c r="Q21" s="186">
        <f t="shared" ca="1" si="4"/>
        <v>0</v>
      </c>
      <c r="R21" s="186">
        <f t="shared" ca="1" si="4"/>
        <v>0</v>
      </c>
      <c r="S21" s="186">
        <f t="shared" ca="1" si="4"/>
        <v>0</v>
      </c>
      <c r="T21" s="186">
        <f t="shared" ca="1" si="4"/>
        <v>0</v>
      </c>
      <c r="U21" s="186">
        <f t="shared" ca="1" si="4"/>
        <v>0</v>
      </c>
      <c r="V21" s="186">
        <f t="shared" ca="1" si="4"/>
        <v>0</v>
      </c>
      <c r="W21" s="186">
        <f t="shared" ca="1" si="4"/>
        <v>0</v>
      </c>
      <c r="X21" s="186">
        <f t="shared" ca="1" si="4"/>
        <v>0</v>
      </c>
      <c r="Y21" s="186">
        <f t="shared" ca="1" si="4"/>
        <v>0</v>
      </c>
      <c r="Z21" s="186">
        <f t="shared" ca="1" si="4"/>
        <v>0</v>
      </c>
      <c r="AA21" s="186">
        <f t="shared" ca="1" si="4"/>
        <v>0</v>
      </c>
      <c r="AB21" s="186">
        <f t="shared" ca="1" si="4"/>
        <v>0</v>
      </c>
      <c r="AC21" s="186">
        <f t="shared" ca="1" si="4"/>
        <v>0</v>
      </c>
      <c r="AD21" s="186">
        <f t="shared" ca="1" si="4"/>
        <v>0</v>
      </c>
      <c r="AE21" s="186" t="e">
        <f t="shared" ca="1" si="4"/>
        <v>#N/A</v>
      </c>
      <c r="AH21" s="370" t="str">
        <f ca="1">IFERROR(RATE(3,0,-C21,R21),"NA")</f>
        <v>NA</v>
      </c>
      <c r="AJ21" s="186">
        <f>SUM(AJ10,AJ18,AJ20)</f>
        <v>0</v>
      </c>
      <c r="AK21" s="186">
        <f>SUM(AK10,AK18,AK20)</f>
        <v>0</v>
      </c>
      <c r="AL21" s="186">
        <f>SUM(AL10,AL18,AL20)</f>
        <v>0</v>
      </c>
      <c r="AM21" s="186">
        <f>SUM(AM10,AM18,AM20)</f>
        <v>0</v>
      </c>
      <c r="AN21" s="186">
        <f>SUM(AN10,AN18,AN20)</f>
        <v>0</v>
      </c>
      <c r="AP21" s="370" t="str">
        <f>IFERROR(RATE(4,0,-AJ21,AN21),"NA")</f>
        <v>NA</v>
      </c>
    </row>
    <row r="22" spans="1:42" ht="5.25" customHeight="1">
      <c r="A22" s="181"/>
      <c r="B22" s="181"/>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H22" s="178"/>
      <c r="AJ22" s="181"/>
      <c r="AK22" s="181"/>
      <c r="AL22" s="181"/>
      <c r="AM22" s="181"/>
      <c r="AN22" s="181"/>
      <c r="AP22" s="178"/>
    </row>
    <row r="23" spans="1:42" hidden="1" outlineLevel="1">
      <c r="A23" s="172" t="str">
        <f>'Hist &amp; Proj'!A27</f>
        <v>LIABILITIES</v>
      </c>
      <c r="B23" s="179"/>
      <c r="C23" s="179"/>
      <c r="D23" s="179"/>
      <c r="E23" s="179"/>
      <c r="F23" s="179"/>
      <c r="G23" s="179"/>
      <c r="H23" s="179"/>
      <c r="I23" s="179"/>
      <c r="J23" s="179"/>
      <c r="K23" s="179"/>
      <c r="L23" s="179"/>
      <c r="M23" s="179"/>
      <c r="N23" s="179"/>
      <c r="O23" s="179"/>
      <c r="P23" s="179"/>
      <c r="Q23" s="179"/>
      <c r="R23" s="179"/>
      <c r="S23" s="179"/>
      <c r="T23" s="179"/>
      <c r="U23" s="179"/>
      <c r="V23" s="179"/>
      <c r="W23" s="179"/>
      <c r="X23" s="179"/>
      <c r="Y23" s="179"/>
      <c r="Z23" s="179"/>
      <c r="AA23" s="179"/>
      <c r="AB23" s="179"/>
      <c r="AC23" s="179"/>
      <c r="AD23" s="179"/>
      <c r="AE23" s="179"/>
      <c r="AH23" s="367"/>
      <c r="AJ23" s="179"/>
      <c r="AK23" s="179"/>
      <c r="AL23" s="179"/>
      <c r="AM23" s="179"/>
      <c r="AN23" s="179"/>
      <c r="AP23" s="367"/>
    </row>
    <row r="24" spans="1:42" collapsed="1">
      <c r="A24" s="127" t="str">
        <f>'Hist &amp; Proj'!A28</f>
        <v>Savings Accounts</v>
      </c>
      <c r="B24" s="179">
        <f>IF(OR(Assump!$A$7="USD",Assump!$A$7="EURO"),'Hist &amp; Proj'!B28/'Hist &amp; Proj'!B$8,'Hist &amp; Proj'!B28)</f>
        <v>0</v>
      </c>
      <c r="C24" s="179">
        <f>IF(OR(Assump!$A$7="USD",Assump!$A$7="EURO"),'Hist &amp; Proj'!C28/'Hist &amp; Proj'!C$8,'Hist &amp; Proj'!C28)</f>
        <v>0</v>
      </c>
      <c r="D24" s="179">
        <f>IF(OR(Assump!$A$7="USD",Assump!$A$7="EURO"),'Hist &amp; Proj'!D28/'Hist &amp; Proj'!D$8,'Hist &amp; Proj'!D28)</f>
        <v>0</v>
      </c>
      <c r="E24" s="179">
        <f>IF(OR(Assump!$A$7="USD",Assump!$A$7="EURO"),'Hist &amp; Proj'!E28/'Hist &amp; Proj'!E$8,'Hist &amp; Proj'!E28)</f>
        <v>0</v>
      </c>
      <c r="F24" s="179">
        <f ca="1">IF(OR(Assump!$A$7="USD",Assump!$A$7="EURO"),'Hist &amp; Proj'!F28/'Hist &amp; Proj'!F$8,'Hist &amp; Proj'!F28)</f>
        <v>0</v>
      </c>
      <c r="G24" s="179">
        <f ca="1">IF(OR(Assump!$A$7="USD",Assump!$A$7="EURO"),'Hist &amp; Proj'!G28/'Hist &amp; Proj'!G$8,'Hist &amp; Proj'!G28)</f>
        <v>0</v>
      </c>
      <c r="H24" s="179">
        <f ca="1">IF(OR(Assump!$A$7="USD",Assump!$A$7="EURO"),'Hist &amp; Proj'!H28/'Hist &amp; Proj'!H$8,'Hist &amp; Proj'!H28)</f>
        <v>0</v>
      </c>
      <c r="I24" s="179">
        <f ca="1">IF(OR(Assump!$A$7="USD",Assump!$A$7="EURO"),'Hist &amp; Proj'!I28/'Hist &amp; Proj'!I$8,'Hist &amp; Proj'!I28)</f>
        <v>0</v>
      </c>
      <c r="J24" s="179">
        <f ca="1">IF(OR(Assump!$A$7="USD",Assump!$A$7="EURO"),'Hist &amp; Proj'!J28/'Hist &amp; Proj'!J$8,'Hist &amp; Proj'!J28)</f>
        <v>0</v>
      </c>
      <c r="K24" s="179">
        <f ca="1">IF(OR(Assump!$A$7="USD",Assump!$A$7="EURO"),'Hist &amp; Proj'!K28/'Hist &amp; Proj'!K$8,'Hist &amp; Proj'!K28)</f>
        <v>0</v>
      </c>
      <c r="L24" s="179">
        <f ca="1">IF(OR(Assump!$A$7="USD",Assump!$A$7="EURO"),'Hist &amp; Proj'!L28/'Hist &amp; Proj'!L$8,'Hist &amp; Proj'!L28)</f>
        <v>0</v>
      </c>
      <c r="M24" s="179">
        <f ca="1">IF(OR(Assump!$A$7="USD",Assump!$A$7="EURO"),'Hist &amp; Proj'!M28/'Hist &amp; Proj'!M$8,'Hist &amp; Proj'!M28)</f>
        <v>0</v>
      </c>
      <c r="N24" s="179">
        <f ca="1">IF(OR(Assump!$A$7="USD",Assump!$A$7="EURO"),'Hist &amp; Proj'!N28/'Hist &amp; Proj'!N$8,'Hist &amp; Proj'!N28)</f>
        <v>0</v>
      </c>
      <c r="O24" s="179">
        <f ca="1">IF(OR(Assump!$A$7="USD",Assump!$A$7="EURO"),'Hist &amp; Proj'!O28/'Hist &amp; Proj'!O$8,'Hist &amp; Proj'!O28)</f>
        <v>0</v>
      </c>
      <c r="P24" s="179">
        <f ca="1">IF(OR(Assump!$A$7="USD",Assump!$A$7="EURO"),'Hist &amp; Proj'!P28/'Hist &amp; Proj'!P$8,'Hist &amp; Proj'!P28)</f>
        <v>0</v>
      </c>
      <c r="Q24" s="179">
        <f ca="1">IF(OR(Assump!$A$7="USD",Assump!$A$7="EURO"),'Hist &amp; Proj'!Q28/'Hist &amp; Proj'!Q$8,'Hist &amp; Proj'!Q28)</f>
        <v>0</v>
      </c>
      <c r="R24" s="179">
        <f ca="1">IF(OR(Assump!$A$7="USD",Assump!$A$7="EURO"),'Hist &amp; Proj'!R28/'Hist &amp; Proj'!R$8,'Hist &amp; Proj'!R28)</f>
        <v>0</v>
      </c>
      <c r="S24" s="179">
        <f ca="1">IF(OR(Assump!$A$7="USD",Assump!$A$7="EURO"),'Hist &amp; Proj'!S28/'Hist &amp; Proj'!S$8,'Hist &amp; Proj'!S28)</f>
        <v>0</v>
      </c>
      <c r="T24" s="179">
        <f ca="1">IF(OR(Assump!$A$7="USD",Assump!$A$7="EURO"),'Hist &amp; Proj'!T28/'Hist &amp; Proj'!T$8,'Hist &amp; Proj'!T28)</f>
        <v>0</v>
      </c>
      <c r="U24" s="179">
        <f ca="1">IF(OR(Assump!$A$7="USD",Assump!$A$7="EURO"),'Hist &amp; Proj'!U28/'Hist &amp; Proj'!U$8,'Hist &amp; Proj'!U28)</f>
        <v>0</v>
      </c>
      <c r="V24" s="179">
        <f ca="1">IF(OR(Assump!$A$7="USD",Assump!$A$7="EURO"),'Hist &amp; Proj'!V28/'Hist &amp; Proj'!V$8,'Hist &amp; Proj'!V28)</f>
        <v>0</v>
      </c>
      <c r="W24" s="179">
        <f ca="1">IF(OR(Assump!$A$7="USD",Assump!$A$7="EURO"),'Hist &amp; Proj'!W28/'Hist &amp; Proj'!W$8,'Hist &amp; Proj'!W28)</f>
        <v>0</v>
      </c>
      <c r="X24" s="179">
        <f ca="1">IF(OR(Assump!$A$7="USD",Assump!$A$7="EURO"),'Hist &amp; Proj'!X28/'Hist &amp; Proj'!X$8,'Hist &amp; Proj'!X28)</f>
        <v>0</v>
      </c>
      <c r="Y24" s="179">
        <f ca="1">IF(OR(Assump!$A$7="USD",Assump!$A$7="EURO"),'Hist &amp; Proj'!Y28/'Hist &amp; Proj'!Y$8,'Hist &amp; Proj'!Y28)</f>
        <v>0</v>
      </c>
      <c r="Z24" s="179">
        <f ca="1">IF(OR(Assump!$A$7="USD",Assump!$A$7="EURO"),'Hist &amp; Proj'!Z28/'Hist &amp; Proj'!Z$8,'Hist &amp; Proj'!Z28)</f>
        <v>0</v>
      </c>
      <c r="AA24" s="179">
        <f ca="1">IF(OR(Assump!$A$7="USD",Assump!$A$7="EURO"),'Hist &amp; Proj'!AA28/'Hist &amp; Proj'!AA$8,'Hist &amp; Proj'!AA28)</f>
        <v>0</v>
      </c>
      <c r="AB24" s="179">
        <f ca="1">IF(OR(Assump!$A$7="USD",Assump!$A$7="EURO"),'Hist &amp; Proj'!AB28/'Hist &amp; Proj'!AB$8,'Hist &amp; Proj'!AB28)</f>
        <v>0</v>
      </c>
      <c r="AC24" s="179">
        <f ca="1">IF(OR(Assump!$A$7="USD",Assump!$A$7="EURO"),'Hist &amp; Proj'!AC28/'Hist &amp; Proj'!AC$8,'Hist &amp; Proj'!AC28)</f>
        <v>0</v>
      </c>
      <c r="AD24" s="179">
        <f ca="1">IF(OR(Assump!$A$7="USD",Assump!$A$7="EURO"),'Hist &amp; Proj'!AD28/'Hist &amp; Proj'!AD$8,'Hist &amp; Proj'!AD28)</f>
        <v>0</v>
      </c>
      <c r="AE24" s="179" t="e">
        <f ca="1">IF(OR(Assump!$A$7="USD",Assump!$A$7="EURO"),'Hist &amp; Proj'!AE28/'Hist &amp; Proj'!AE$8,'Hist &amp; Proj'!AE28)</f>
        <v>#N/A</v>
      </c>
      <c r="AF24" s="179"/>
      <c r="AH24" s="367" t="str">
        <f t="shared" ref="AH24:AH32" ca="1" si="5">IFERROR(RATE(3,0,-C24,R24),"NA")</f>
        <v>NA</v>
      </c>
      <c r="AJ24" s="179">
        <f>IF(OR(Assump!$A$7="USD",Assump!$A$7="EURO"),'Hist &amp; Proj'!AH28/'Hist &amp; Proj'!AH$8,'Hist &amp; Proj'!AH28)</f>
        <v>0</v>
      </c>
      <c r="AK24" s="179">
        <f>IF(OR(Assump!$A$7="USD",Assump!$A$7="EURO"),'Hist &amp; Proj'!AI28/'Hist &amp; Proj'!AI$8,'Hist &amp; Proj'!AI28)</f>
        <v>0</v>
      </c>
      <c r="AL24" s="179">
        <f>IF(OR(Assump!$A$7="USD",Assump!$A$7="EURO"),'Hist &amp; Proj'!AJ28/'Hist &amp; Proj'!AJ$8,'Hist &amp; Proj'!AJ28)</f>
        <v>0</v>
      </c>
      <c r="AM24" s="179">
        <f>IF(OR(Assump!$A$7="USD",Assump!$A$7="EURO"),'Hist &amp; Proj'!AK28/'Hist &amp; Proj'!AK$8,'Hist &amp; Proj'!AK28)</f>
        <v>0</v>
      </c>
      <c r="AN24" s="179">
        <f>IF(OR(Assump!$A$7="USD",Assump!$A$7="EURO"),'Hist &amp; Proj'!AL28/'Hist &amp; Proj'!AL$8,'Hist &amp; Proj'!AL28)</f>
        <v>0</v>
      </c>
      <c r="AP24" s="367" t="str">
        <f t="shared" ref="AP24:AP32" si="6">IFERROR(RATE(4,0,-AJ24,AN24),"NA")</f>
        <v>NA</v>
      </c>
    </row>
    <row r="25" spans="1:42">
      <c r="A25" s="127" t="str">
        <f>'Hist &amp; Proj'!A29</f>
        <v>Borrowings</v>
      </c>
      <c r="B25" s="179">
        <f>IF(OR(Assump!$A$7="USD",Assump!$A$7="EURO"),'Hist &amp; Proj'!B29/'Hist &amp; Proj'!B$8,'Hist &amp; Proj'!B29)</f>
        <v>0</v>
      </c>
      <c r="C25" s="179">
        <f>IF(OR(Assump!$A$7="USD",Assump!$A$7="EURO"),'Hist &amp; Proj'!C29/'Hist &amp; Proj'!C$8,'Hist &amp; Proj'!C29)</f>
        <v>0</v>
      </c>
      <c r="D25" s="179">
        <f>IF(OR(Assump!$A$7="USD",Assump!$A$7="EURO"),'Hist &amp; Proj'!D29/'Hist &amp; Proj'!D$8,'Hist &amp; Proj'!D29)</f>
        <v>0</v>
      </c>
      <c r="E25" s="179">
        <f>IF(OR(Assump!$A$7="USD",Assump!$A$7="EURO"),'Hist &amp; Proj'!E29/'Hist &amp; Proj'!E$8,'Hist &amp; Proj'!E29)</f>
        <v>0</v>
      </c>
      <c r="F25" s="179">
        <f ca="1">IF(OR(Assump!$A$7="USD",Assump!$A$7="EURO"),'Hist &amp; Proj'!F29/'Hist &amp; Proj'!F$8,'Hist &amp; Proj'!F29)</f>
        <v>0</v>
      </c>
      <c r="G25" s="179">
        <f ca="1">IF(OR(Assump!$A$7="USD",Assump!$A$7="EURO"),'Hist &amp; Proj'!G29/'Hist &amp; Proj'!G$8,'Hist &amp; Proj'!G29)</f>
        <v>0</v>
      </c>
      <c r="H25" s="179">
        <f ca="1">IF(OR(Assump!$A$7="USD",Assump!$A$7="EURO"),'Hist &amp; Proj'!H29/'Hist &amp; Proj'!H$8,'Hist &amp; Proj'!H29)</f>
        <v>0</v>
      </c>
      <c r="I25" s="179">
        <f ca="1">IF(OR(Assump!$A$7="USD",Assump!$A$7="EURO"),'Hist &amp; Proj'!I29/'Hist &amp; Proj'!I$8,'Hist &amp; Proj'!I29)</f>
        <v>0</v>
      </c>
      <c r="J25" s="179">
        <f ca="1">IF(OR(Assump!$A$7="USD",Assump!$A$7="EURO"),'Hist &amp; Proj'!J29/'Hist &amp; Proj'!J$8,'Hist &amp; Proj'!J29)</f>
        <v>0</v>
      </c>
      <c r="K25" s="179">
        <f ca="1">IF(OR(Assump!$A$7="USD",Assump!$A$7="EURO"),'Hist &amp; Proj'!K29/'Hist &amp; Proj'!K$8,'Hist &amp; Proj'!K29)</f>
        <v>0</v>
      </c>
      <c r="L25" s="179">
        <f ca="1">IF(OR(Assump!$A$7="USD",Assump!$A$7="EURO"),'Hist &amp; Proj'!L29/'Hist &amp; Proj'!L$8,'Hist &amp; Proj'!L29)</f>
        <v>0</v>
      </c>
      <c r="M25" s="179">
        <f ca="1">IF(OR(Assump!$A$7="USD",Assump!$A$7="EURO"),'Hist &amp; Proj'!M29/'Hist &amp; Proj'!M$8,'Hist &amp; Proj'!M29)</f>
        <v>0</v>
      </c>
      <c r="N25" s="179">
        <f ca="1">IF(OR(Assump!$A$7="USD",Assump!$A$7="EURO"),'Hist &amp; Proj'!N29/'Hist &amp; Proj'!N$8,'Hist &amp; Proj'!N29)</f>
        <v>0</v>
      </c>
      <c r="O25" s="179">
        <f ca="1">IF(OR(Assump!$A$7="USD",Assump!$A$7="EURO"),'Hist &amp; Proj'!O29/'Hist &amp; Proj'!O$8,'Hist &amp; Proj'!O29)</f>
        <v>0</v>
      </c>
      <c r="P25" s="179">
        <f ca="1">IF(OR(Assump!$A$7="USD",Assump!$A$7="EURO"),'Hist &amp; Proj'!P29/'Hist &amp; Proj'!P$8,'Hist &amp; Proj'!P29)</f>
        <v>0</v>
      </c>
      <c r="Q25" s="179">
        <f ca="1">IF(OR(Assump!$A$7="USD",Assump!$A$7="EURO"),'Hist &amp; Proj'!Q29/'Hist &amp; Proj'!Q$8,'Hist &amp; Proj'!Q29)</f>
        <v>0</v>
      </c>
      <c r="R25" s="179">
        <f ca="1">IF(OR(Assump!$A$7="USD",Assump!$A$7="EURO"),'Hist &amp; Proj'!R29/'Hist &amp; Proj'!R$8,'Hist &amp; Proj'!R29)</f>
        <v>0</v>
      </c>
      <c r="S25" s="179">
        <f ca="1">IF(OR(Assump!$A$7="USD",Assump!$A$7="EURO"),'Hist &amp; Proj'!S29/'Hist &amp; Proj'!S$8,'Hist &amp; Proj'!S29)</f>
        <v>0</v>
      </c>
      <c r="T25" s="179">
        <f ca="1">IF(OR(Assump!$A$7="USD",Assump!$A$7="EURO"),'Hist &amp; Proj'!T29/'Hist &amp; Proj'!T$8,'Hist &amp; Proj'!T29)</f>
        <v>0</v>
      </c>
      <c r="U25" s="179">
        <f ca="1">IF(OR(Assump!$A$7="USD",Assump!$A$7="EURO"),'Hist &amp; Proj'!U29/'Hist &amp; Proj'!U$8,'Hist &amp; Proj'!U29)</f>
        <v>0</v>
      </c>
      <c r="V25" s="179">
        <f ca="1">IF(OR(Assump!$A$7="USD",Assump!$A$7="EURO"),'Hist &amp; Proj'!V29/'Hist &amp; Proj'!V$8,'Hist &amp; Proj'!V29)</f>
        <v>0</v>
      </c>
      <c r="W25" s="179">
        <f ca="1">IF(OR(Assump!$A$7="USD",Assump!$A$7="EURO"),'Hist &amp; Proj'!W29/'Hist &amp; Proj'!W$8,'Hist &amp; Proj'!W29)</f>
        <v>0</v>
      </c>
      <c r="X25" s="179">
        <f ca="1">IF(OR(Assump!$A$7="USD",Assump!$A$7="EURO"),'Hist &amp; Proj'!X29/'Hist &amp; Proj'!X$8,'Hist &amp; Proj'!X29)</f>
        <v>0</v>
      </c>
      <c r="Y25" s="179">
        <f ca="1">IF(OR(Assump!$A$7="USD",Assump!$A$7="EURO"),'Hist &amp; Proj'!Y29/'Hist &amp; Proj'!Y$8,'Hist &amp; Proj'!Y29)</f>
        <v>0</v>
      </c>
      <c r="Z25" s="179">
        <f ca="1">IF(OR(Assump!$A$7="USD",Assump!$A$7="EURO"),'Hist &amp; Proj'!Z29/'Hist &amp; Proj'!Z$8,'Hist &amp; Proj'!Z29)</f>
        <v>0</v>
      </c>
      <c r="AA25" s="179">
        <f ca="1">IF(OR(Assump!$A$7="USD",Assump!$A$7="EURO"),'Hist &amp; Proj'!AA29/'Hist &amp; Proj'!AA$8,'Hist &amp; Proj'!AA29)</f>
        <v>0</v>
      </c>
      <c r="AB25" s="179">
        <f ca="1">IF(OR(Assump!$A$7="USD",Assump!$A$7="EURO"),'Hist &amp; Proj'!AB29/'Hist &amp; Proj'!AB$8,'Hist &amp; Proj'!AB29)</f>
        <v>0</v>
      </c>
      <c r="AC25" s="179">
        <f ca="1">IF(OR(Assump!$A$7="USD",Assump!$A$7="EURO"),'Hist &amp; Proj'!AC29/'Hist &amp; Proj'!AC$8,'Hist &amp; Proj'!AC29)</f>
        <v>0</v>
      </c>
      <c r="AD25" s="179">
        <f ca="1">IF(OR(Assump!$A$7="USD",Assump!$A$7="EURO"),'Hist &amp; Proj'!AD29/'Hist &amp; Proj'!AD$8,'Hist &amp; Proj'!AD29)</f>
        <v>0</v>
      </c>
      <c r="AE25" s="179" t="e">
        <f ca="1">IF(OR(Assump!$A$7="USD",Assump!$A$7="EURO"),'Hist &amp; Proj'!AE29/'Hist &amp; Proj'!AE$8,'Hist &amp; Proj'!AE29)</f>
        <v>#N/A</v>
      </c>
      <c r="AF25" s="179"/>
      <c r="AH25" s="367" t="str">
        <f t="shared" ca="1" si="5"/>
        <v>NA</v>
      </c>
      <c r="AJ25" s="179">
        <f>IF(OR(Assump!$A$7="USD",Assump!$A$7="EURO"),'Hist &amp; Proj'!AH29/'Hist &amp; Proj'!AH$8,'Hist &amp; Proj'!AH29)</f>
        <v>0</v>
      </c>
      <c r="AK25" s="179">
        <f>IF(OR(Assump!$A$7="USD",Assump!$A$7="EURO"),'Hist &amp; Proj'!AI29/'Hist &amp; Proj'!AI$8,'Hist &amp; Proj'!AI29)</f>
        <v>0</v>
      </c>
      <c r="AL25" s="179">
        <f>IF(OR(Assump!$A$7="USD",Assump!$A$7="EURO"),'Hist &amp; Proj'!AJ29/'Hist &amp; Proj'!AJ$8,'Hist &amp; Proj'!AJ29)</f>
        <v>0</v>
      </c>
      <c r="AM25" s="179">
        <f>IF(OR(Assump!$A$7="USD",Assump!$A$7="EURO"),'Hist &amp; Proj'!AK29/'Hist &amp; Proj'!AK$8,'Hist &amp; Proj'!AK29)</f>
        <v>0</v>
      </c>
      <c r="AN25" s="179">
        <f>IF(OR(Assump!$A$7="USD",Assump!$A$7="EURO"),'Hist &amp; Proj'!AL29/'Hist &amp; Proj'!AL$8,'Hist &amp; Proj'!AL29)</f>
        <v>0</v>
      </c>
      <c r="AP25" s="367" t="str">
        <f t="shared" si="6"/>
        <v>NA</v>
      </c>
    </row>
    <row r="26" spans="1:42" hidden="1" outlineLevel="1">
      <c r="A26" s="180" t="str">
        <f>'Hist &amp; Proj'!A30</f>
        <v xml:space="preserve">       Total Borrowings at Concessional Interest Rates</v>
      </c>
      <c r="B26" s="179">
        <f>IF(OR(Assump!$A$7="USD",Assump!$A$7="EURO"),'Hist &amp; Proj'!B30/'Hist &amp; Proj'!B$8,'Hist &amp; Proj'!B30)</f>
        <v>0</v>
      </c>
      <c r="C26" s="179">
        <f>IF(OR(Assump!$A$7="USD",Assump!$A$7="EURO"),'Hist &amp; Proj'!C30/'Hist &amp; Proj'!C$8,'Hist &amp; Proj'!C30)</f>
        <v>0</v>
      </c>
      <c r="D26" s="179">
        <f>IF(OR(Assump!$A$7="USD",Assump!$A$7="EURO"),'Hist &amp; Proj'!D30/'Hist &amp; Proj'!D$8,'Hist &amp; Proj'!D30)</f>
        <v>0</v>
      </c>
      <c r="E26" s="179">
        <f>IF(OR(Assump!$A$7="USD",Assump!$A$7="EURO"),'Hist &amp; Proj'!E30/'Hist &amp; Proj'!E$8,'Hist &amp; Proj'!E30)</f>
        <v>0</v>
      </c>
      <c r="F26" s="179">
        <f ca="1">IF(OR(Assump!$A$7="USD",Assump!$A$7="EURO"),'Hist &amp; Proj'!F30/'Hist &amp; Proj'!F$8,'Hist &amp; Proj'!F30)</f>
        <v>0</v>
      </c>
      <c r="G26" s="179">
        <f ca="1">IF(OR(Assump!$A$7="USD",Assump!$A$7="EURO"),'Hist &amp; Proj'!G30/'Hist &amp; Proj'!G$8,'Hist &amp; Proj'!G30)</f>
        <v>0</v>
      </c>
      <c r="H26" s="179">
        <f ca="1">IF(OR(Assump!$A$7="USD",Assump!$A$7="EURO"),'Hist &amp; Proj'!H30/'Hist &amp; Proj'!H$8,'Hist &amp; Proj'!H30)</f>
        <v>0</v>
      </c>
      <c r="I26" s="179">
        <f ca="1">IF(OR(Assump!$A$7="USD",Assump!$A$7="EURO"),'Hist &amp; Proj'!I30/'Hist &amp; Proj'!I$8,'Hist &amp; Proj'!I30)</f>
        <v>0</v>
      </c>
      <c r="J26" s="179">
        <f ca="1">IF(OR(Assump!$A$7="USD",Assump!$A$7="EURO"),'Hist &amp; Proj'!J30/'Hist &amp; Proj'!J$8,'Hist &amp; Proj'!J30)</f>
        <v>0</v>
      </c>
      <c r="K26" s="179">
        <f ca="1">IF(OR(Assump!$A$7="USD",Assump!$A$7="EURO"),'Hist &amp; Proj'!K30/'Hist &amp; Proj'!K$8,'Hist &amp; Proj'!K30)</f>
        <v>0</v>
      </c>
      <c r="L26" s="179">
        <f ca="1">IF(OR(Assump!$A$7="USD",Assump!$A$7="EURO"),'Hist &amp; Proj'!L30/'Hist &amp; Proj'!L$8,'Hist &amp; Proj'!L30)</f>
        <v>0</v>
      </c>
      <c r="M26" s="179">
        <f ca="1">IF(OR(Assump!$A$7="USD",Assump!$A$7="EURO"),'Hist &amp; Proj'!M30/'Hist &amp; Proj'!M$8,'Hist &amp; Proj'!M30)</f>
        <v>0</v>
      </c>
      <c r="N26" s="179">
        <f ca="1">IF(OR(Assump!$A$7="USD",Assump!$A$7="EURO"),'Hist &amp; Proj'!N30/'Hist &amp; Proj'!N$8,'Hist &amp; Proj'!N30)</f>
        <v>0</v>
      </c>
      <c r="O26" s="179">
        <f ca="1">IF(OR(Assump!$A$7="USD",Assump!$A$7="EURO"),'Hist &amp; Proj'!O30/'Hist &amp; Proj'!O$8,'Hist &amp; Proj'!O30)</f>
        <v>0</v>
      </c>
      <c r="P26" s="179">
        <f ca="1">IF(OR(Assump!$A$7="USD",Assump!$A$7="EURO"),'Hist &amp; Proj'!P30/'Hist &amp; Proj'!P$8,'Hist &amp; Proj'!P30)</f>
        <v>0</v>
      </c>
      <c r="Q26" s="179">
        <f ca="1">IF(OR(Assump!$A$7="USD",Assump!$A$7="EURO"),'Hist &amp; Proj'!Q30/'Hist &amp; Proj'!Q$8,'Hist &amp; Proj'!Q30)</f>
        <v>0</v>
      </c>
      <c r="R26" s="179">
        <f ca="1">IF(OR(Assump!$A$7="USD",Assump!$A$7="EURO"),'Hist &amp; Proj'!R30/'Hist &amp; Proj'!R$8,'Hist &amp; Proj'!R30)</f>
        <v>0</v>
      </c>
      <c r="S26" s="179">
        <f ca="1">IF(OR(Assump!$A$7="USD",Assump!$A$7="EURO"),'Hist &amp; Proj'!S30/'Hist &amp; Proj'!S$8,'Hist &amp; Proj'!S30)</f>
        <v>0</v>
      </c>
      <c r="T26" s="179">
        <f ca="1">IF(OR(Assump!$A$7="USD",Assump!$A$7="EURO"),'Hist &amp; Proj'!T30/'Hist &amp; Proj'!T$8,'Hist &amp; Proj'!T30)</f>
        <v>0</v>
      </c>
      <c r="U26" s="179">
        <f ca="1">IF(OR(Assump!$A$7="USD",Assump!$A$7="EURO"),'Hist &amp; Proj'!U30/'Hist &amp; Proj'!U$8,'Hist &amp; Proj'!U30)</f>
        <v>0</v>
      </c>
      <c r="V26" s="179">
        <f ca="1">IF(OR(Assump!$A$7="USD",Assump!$A$7="EURO"),'Hist &amp; Proj'!V30/'Hist &amp; Proj'!V$8,'Hist &amp; Proj'!V30)</f>
        <v>0</v>
      </c>
      <c r="W26" s="179">
        <f ca="1">IF(OR(Assump!$A$7="USD",Assump!$A$7="EURO"),'Hist &amp; Proj'!W30/'Hist &amp; Proj'!W$8,'Hist &amp; Proj'!W30)</f>
        <v>0</v>
      </c>
      <c r="X26" s="179">
        <f ca="1">IF(OR(Assump!$A$7="USD",Assump!$A$7="EURO"),'Hist &amp; Proj'!X30/'Hist &amp; Proj'!X$8,'Hist &amp; Proj'!X30)</f>
        <v>0</v>
      </c>
      <c r="Y26" s="179">
        <f ca="1">IF(OR(Assump!$A$7="USD",Assump!$A$7="EURO"),'Hist &amp; Proj'!Y30/'Hist &amp; Proj'!Y$8,'Hist &amp; Proj'!Y30)</f>
        <v>0</v>
      </c>
      <c r="Z26" s="179">
        <f ca="1">IF(OR(Assump!$A$7="USD",Assump!$A$7="EURO"),'Hist &amp; Proj'!Z30/'Hist &amp; Proj'!Z$8,'Hist &amp; Proj'!Z30)</f>
        <v>0</v>
      </c>
      <c r="AA26" s="179">
        <f ca="1">IF(OR(Assump!$A$7="USD",Assump!$A$7="EURO"),'Hist &amp; Proj'!AA30/'Hist &amp; Proj'!AA$8,'Hist &amp; Proj'!AA30)</f>
        <v>0</v>
      </c>
      <c r="AB26" s="179">
        <f ca="1">IF(OR(Assump!$A$7="USD",Assump!$A$7="EURO"),'Hist &amp; Proj'!AB30/'Hist &amp; Proj'!AB$8,'Hist &amp; Proj'!AB30)</f>
        <v>0</v>
      </c>
      <c r="AC26" s="179">
        <f ca="1">IF(OR(Assump!$A$7="USD",Assump!$A$7="EURO"),'Hist &amp; Proj'!AC30/'Hist &amp; Proj'!AC$8,'Hist &amp; Proj'!AC30)</f>
        <v>0</v>
      </c>
      <c r="AD26" s="179">
        <f ca="1">IF(OR(Assump!$A$7="USD",Assump!$A$7="EURO"),'Hist &amp; Proj'!AD30/'Hist &amp; Proj'!AD$8,'Hist &amp; Proj'!AD30)</f>
        <v>0</v>
      </c>
      <c r="AE26" s="179" t="e">
        <f ca="1">IF(OR(Assump!$A$7="USD",Assump!$A$7="EURO"),'Hist &amp; Proj'!AE30/'Hist &amp; Proj'!AE$8,'Hist &amp; Proj'!AE30)</f>
        <v>#N/A</v>
      </c>
      <c r="AF26" s="179"/>
      <c r="AH26" s="367" t="str">
        <f t="shared" ca="1" si="5"/>
        <v>NA</v>
      </c>
      <c r="AJ26" s="179">
        <f>IF(OR(Assump!$A$7="USD",Assump!$A$7="EURO"),'Hist &amp; Proj'!AH30/'Hist &amp; Proj'!AH$8,'Hist &amp; Proj'!AH30)</f>
        <v>0</v>
      </c>
      <c r="AK26" s="179">
        <f>IF(OR(Assump!$A$7="USD",Assump!$A$7="EURO"),'Hist &amp; Proj'!AI30/'Hist &amp; Proj'!AI$8,'Hist &amp; Proj'!AI30)</f>
        <v>0</v>
      </c>
      <c r="AL26" s="179">
        <f>IF(OR(Assump!$A$7="USD",Assump!$A$7="EURO"),'Hist &amp; Proj'!AJ30/'Hist &amp; Proj'!AJ$8,'Hist &amp; Proj'!AJ30)</f>
        <v>0</v>
      </c>
      <c r="AM26" s="179">
        <f>IF(OR(Assump!$A$7="USD",Assump!$A$7="EURO"),'Hist &amp; Proj'!AK30/'Hist &amp; Proj'!AK$8,'Hist &amp; Proj'!AK30)</f>
        <v>0</v>
      </c>
      <c r="AN26" s="179">
        <f>IF(OR(Assump!$A$7="USD",Assump!$A$7="EURO"),'Hist &amp; Proj'!AL30/'Hist &amp; Proj'!AL$8,'Hist &amp; Proj'!AL30)</f>
        <v>0</v>
      </c>
      <c r="AP26" s="367" t="str">
        <f t="shared" si="6"/>
        <v>NA</v>
      </c>
    </row>
    <row r="27" spans="1:42" hidden="1" outlineLevel="1">
      <c r="A27" s="180" t="str">
        <f>'Hist &amp; Proj'!A31</f>
        <v xml:space="preserve">       Total Borrowings at Commercial Interest Rates</v>
      </c>
      <c r="B27" s="179">
        <f>IF(OR(Assump!$A$7="USD",Assump!$A$7="EURO"),'Hist &amp; Proj'!B31/'Hist &amp; Proj'!B$8,'Hist &amp; Proj'!B31)</f>
        <v>0</v>
      </c>
      <c r="C27" s="179">
        <f>IF(OR(Assump!$A$7="USD",Assump!$A$7="EURO"),'Hist &amp; Proj'!C31/'Hist &amp; Proj'!C$8,'Hist &amp; Proj'!C31)</f>
        <v>0</v>
      </c>
      <c r="D27" s="179">
        <f>IF(OR(Assump!$A$7="USD",Assump!$A$7="EURO"),'Hist &amp; Proj'!D31/'Hist &amp; Proj'!D$8,'Hist &amp; Proj'!D31)</f>
        <v>0</v>
      </c>
      <c r="E27" s="179">
        <f>IF(OR(Assump!$A$7="USD",Assump!$A$7="EURO"),'Hist &amp; Proj'!E31/'Hist &amp; Proj'!E$8,'Hist &amp; Proj'!E31)</f>
        <v>0</v>
      </c>
      <c r="F27" s="179">
        <f ca="1">IF(OR(Assump!$A$7="USD",Assump!$A$7="EURO"),'Hist &amp; Proj'!F31/'Hist &amp; Proj'!F$8,'Hist &amp; Proj'!F31)</f>
        <v>0</v>
      </c>
      <c r="G27" s="179">
        <f ca="1">IF(OR(Assump!$A$7="USD",Assump!$A$7="EURO"),'Hist &amp; Proj'!G31/'Hist &amp; Proj'!G$8,'Hist &amp; Proj'!G31)</f>
        <v>0</v>
      </c>
      <c r="H27" s="179">
        <f ca="1">IF(OR(Assump!$A$7="USD",Assump!$A$7="EURO"),'Hist &amp; Proj'!H31/'Hist &amp; Proj'!H$8,'Hist &amp; Proj'!H31)</f>
        <v>0</v>
      </c>
      <c r="I27" s="179">
        <f ca="1">IF(OR(Assump!$A$7="USD",Assump!$A$7="EURO"),'Hist &amp; Proj'!I31/'Hist &amp; Proj'!I$8,'Hist &amp; Proj'!I31)</f>
        <v>0</v>
      </c>
      <c r="J27" s="179">
        <f ca="1">IF(OR(Assump!$A$7="USD",Assump!$A$7="EURO"),'Hist &amp; Proj'!J31/'Hist &amp; Proj'!J$8,'Hist &amp; Proj'!J31)</f>
        <v>0</v>
      </c>
      <c r="K27" s="179">
        <f ca="1">IF(OR(Assump!$A$7="USD",Assump!$A$7="EURO"),'Hist &amp; Proj'!K31/'Hist &amp; Proj'!K$8,'Hist &amp; Proj'!K31)</f>
        <v>0</v>
      </c>
      <c r="L27" s="179">
        <f ca="1">IF(OR(Assump!$A$7="USD",Assump!$A$7="EURO"),'Hist &amp; Proj'!L31/'Hist &amp; Proj'!L$8,'Hist &amp; Proj'!L31)</f>
        <v>0</v>
      </c>
      <c r="M27" s="179">
        <f ca="1">IF(OR(Assump!$A$7="USD",Assump!$A$7="EURO"),'Hist &amp; Proj'!M31/'Hist &amp; Proj'!M$8,'Hist &amp; Proj'!M31)</f>
        <v>0</v>
      </c>
      <c r="N27" s="179">
        <f ca="1">IF(OR(Assump!$A$7="USD",Assump!$A$7="EURO"),'Hist &amp; Proj'!N31/'Hist &amp; Proj'!N$8,'Hist &amp; Proj'!N31)</f>
        <v>0</v>
      </c>
      <c r="O27" s="179">
        <f ca="1">IF(OR(Assump!$A$7="USD",Assump!$A$7="EURO"),'Hist &amp; Proj'!O31/'Hist &amp; Proj'!O$8,'Hist &amp; Proj'!O31)</f>
        <v>0</v>
      </c>
      <c r="P27" s="179">
        <f ca="1">IF(OR(Assump!$A$7="USD",Assump!$A$7="EURO"),'Hist &amp; Proj'!P31/'Hist &amp; Proj'!P$8,'Hist &amp; Proj'!P31)</f>
        <v>0</v>
      </c>
      <c r="Q27" s="179">
        <f ca="1">IF(OR(Assump!$A$7="USD",Assump!$A$7="EURO"),'Hist &amp; Proj'!Q31/'Hist &amp; Proj'!Q$8,'Hist &amp; Proj'!Q31)</f>
        <v>0</v>
      </c>
      <c r="R27" s="179">
        <f ca="1">IF(OR(Assump!$A$7="USD",Assump!$A$7="EURO"),'Hist &amp; Proj'!R31/'Hist &amp; Proj'!R$8,'Hist &amp; Proj'!R31)</f>
        <v>0</v>
      </c>
      <c r="S27" s="179">
        <f ca="1">IF(OR(Assump!$A$7="USD",Assump!$A$7="EURO"),'Hist &amp; Proj'!S31/'Hist &amp; Proj'!S$8,'Hist &amp; Proj'!S31)</f>
        <v>0</v>
      </c>
      <c r="T27" s="179">
        <f ca="1">IF(OR(Assump!$A$7="USD",Assump!$A$7="EURO"),'Hist &amp; Proj'!T31/'Hist &amp; Proj'!T$8,'Hist &amp; Proj'!T31)</f>
        <v>0</v>
      </c>
      <c r="U27" s="179">
        <f ca="1">IF(OR(Assump!$A$7="USD",Assump!$A$7="EURO"),'Hist &amp; Proj'!U31/'Hist &amp; Proj'!U$8,'Hist &amp; Proj'!U31)</f>
        <v>0</v>
      </c>
      <c r="V27" s="179">
        <f ca="1">IF(OR(Assump!$A$7="USD",Assump!$A$7="EURO"),'Hist &amp; Proj'!V31/'Hist &amp; Proj'!V$8,'Hist &amp; Proj'!V31)</f>
        <v>0</v>
      </c>
      <c r="W27" s="179">
        <f ca="1">IF(OR(Assump!$A$7="USD",Assump!$A$7="EURO"),'Hist &amp; Proj'!W31/'Hist &amp; Proj'!W$8,'Hist &amp; Proj'!W31)</f>
        <v>0</v>
      </c>
      <c r="X27" s="179">
        <f ca="1">IF(OR(Assump!$A$7="USD",Assump!$A$7="EURO"),'Hist &amp; Proj'!X31/'Hist &amp; Proj'!X$8,'Hist &amp; Proj'!X31)</f>
        <v>0</v>
      </c>
      <c r="Y27" s="179">
        <f ca="1">IF(OR(Assump!$A$7="USD",Assump!$A$7="EURO"),'Hist &amp; Proj'!Y31/'Hist &amp; Proj'!Y$8,'Hist &amp; Proj'!Y31)</f>
        <v>0</v>
      </c>
      <c r="Z27" s="179">
        <f ca="1">IF(OR(Assump!$A$7="USD",Assump!$A$7="EURO"),'Hist &amp; Proj'!Z31/'Hist &amp; Proj'!Z$8,'Hist &amp; Proj'!Z31)</f>
        <v>0</v>
      </c>
      <c r="AA27" s="179">
        <f ca="1">IF(OR(Assump!$A$7="USD",Assump!$A$7="EURO"),'Hist &amp; Proj'!AA31/'Hist &amp; Proj'!AA$8,'Hist &amp; Proj'!AA31)</f>
        <v>0</v>
      </c>
      <c r="AB27" s="179">
        <f ca="1">IF(OR(Assump!$A$7="USD",Assump!$A$7="EURO"),'Hist &amp; Proj'!AB31/'Hist &amp; Proj'!AB$8,'Hist &amp; Proj'!AB31)</f>
        <v>0</v>
      </c>
      <c r="AC27" s="179">
        <f ca="1">IF(OR(Assump!$A$7="USD",Assump!$A$7="EURO"),'Hist &amp; Proj'!AC31/'Hist &amp; Proj'!AC$8,'Hist &amp; Proj'!AC31)</f>
        <v>0</v>
      </c>
      <c r="AD27" s="179">
        <f ca="1">IF(OR(Assump!$A$7="USD",Assump!$A$7="EURO"),'Hist &amp; Proj'!AD31/'Hist &amp; Proj'!AD$8,'Hist &amp; Proj'!AD31)</f>
        <v>0</v>
      </c>
      <c r="AE27" s="179" t="e">
        <f ca="1">IF(OR(Assump!$A$7="USD",Assump!$A$7="EURO"),'Hist &amp; Proj'!AE31/'Hist &amp; Proj'!AE$8,'Hist &amp; Proj'!AE31)</f>
        <v>#N/A</v>
      </c>
      <c r="AF27" s="179"/>
      <c r="AH27" s="367" t="str">
        <f t="shared" ca="1" si="5"/>
        <v>NA</v>
      </c>
      <c r="AJ27" s="179">
        <f>IF(OR(Assump!$A$7="USD",Assump!$A$7="EURO"),'Hist &amp; Proj'!AH31/'Hist &amp; Proj'!AH$8,'Hist &amp; Proj'!AH31)</f>
        <v>0</v>
      </c>
      <c r="AK27" s="179">
        <f>IF(OR(Assump!$A$7="USD",Assump!$A$7="EURO"),'Hist &amp; Proj'!AI31/'Hist &amp; Proj'!AI$8,'Hist &amp; Proj'!AI31)</f>
        <v>0</v>
      </c>
      <c r="AL27" s="179">
        <f>IF(OR(Assump!$A$7="USD",Assump!$A$7="EURO"),'Hist &amp; Proj'!AJ31/'Hist &amp; Proj'!AJ$8,'Hist &amp; Proj'!AJ31)</f>
        <v>0</v>
      </c>
      <c r="AM27" s="179">
        <f>IF(OR(Assump!$A$7="USD",Assump!$A$7="EURO"),'Hist &amp; Proj'!AK31/'Hist &amp; Proj'!AK$8,'Hist &amp; Proj'!AK31)</f>
        <v>0</v>
      </c>
      <c r="AN27" s="179">
        <f>IF(OR(Assump!$A$7="USD",Assump!$A$7="EURO"),'Hist &amp; Proj'!AL31/'Hist &amp; Proj'!AL$8,'Hist &amp; Proj'!AL31)</f>
        <v>0</v>
      </c>
      <c r="AP27" s="367" t="str">
        <f t="shared" si="6"/>
        <v>NA</v>
      </c>
    </row>
    <row r="28" spans="1:42" hidden="1" outlineLevel="1">
      <c r="A28" s="371" t="str">
        <f>'Hist &amp; Proj'!A32</f>
        <v xml:space="preserve">       Senior Secured Debt</v>
      </c>
      <c r="B28" s="179">
        <f>IF(OR(Assump!$A$7="USD",Assump!$A$7="EURO"),'Hist &amp; Proj'!B32/'Hist &amp; Proj'!B$8,'Hist &amp; Proj'!B32)</f>
        <v>0</v>
      </c>
      <c r="C28" s="179">
        <f>IF(OR(Assump!$A$7="USD",Assump!$A$7="EURO"),'Hist &amp; Proj'!C32/'Hist &amp; Proj'!C$8,'Hist &amp; Proj'!C32)</f>
        <v>0</v>
      </c>
      <c r="D28" s="179">
        <f>IF(OR(Assump!$A$7="USD",Assump!$A$7="EURO"),'Hist &amp; Proj'!D32/'Hist &amp; Proj'!D$8,'Hist &amp; Proj'!D32)</f>
        <v>0</v>
      </c>
      <c r="E28" s="179">
        <f>IF(OR(Assump!$A$7="USD",Assump!$A$7="EURO"),'Hist &amp; Proj'!E32/'Hist &amp; Proj'!E$8,'Hist &amp; Proj'!E32)</f>
        <v>0</v>
      </c>
      <c r="F28" s="179">
        <f ca="1">IF(OR(Assump!$A$7="USD",Assump!$A$7="EURO"),'Hist &amp; Proj'!F32/'Hist &amp; Proj'!F$8,'Hist &amp; Proj'!F32)</f>
        <v>0</v>
      </c>
      <c r="G28" s="179">
        <f ca="1">IF(OR(Assump!$A$7="USD",Assump!$A$7="EURO"),'Hist &amp; Proj'!G32/'Hist &amp; Proj'!G$8,'Hist &amp; Proj'!G32)</f>
        <v>0</v>
      </c>
      <c r="H28" s="179">
        <f ca="1">IF(OR(Assump!$A$7="USD",Assump!$A$7="EURO"),'Hist &amp; Proj'!H32/'Hist &amp; Proj'!H$8,'Hist &amp; Proj'!H32)</f>
        <v>0</v>
      </c>
      <c r="I28" s="179">
        <f ca="1">IF(OR(Assump!$A$7="USD",Assump!$A$7="EURO"),'Hist &amp; Proj'!I32/'Hist &amp; Proj'!I$8,'Hist &amp; Proj'!I32)</f>
        <v>0</v>
      </c>
      <c r="J28" s="179">
        <f ca="1">IF(OR(Assump!$A$7="USD",Assump!$A$7="EURO"),'Hist &amp; Proj'!J32/'Hist &amp; Proj'!J$8,'Hist &amp; Proj'!J32)</f>
        <v>0</v>
      </c>
      <c r="K28" s="179">
        <f ca="1">IF(OR(Assump!$A$7="USD",Assump!$A$7="EURO"),'Hist &amp; Proj'!K32/'Hist &amp; Proj'!K$8,'Hist &amp; Proj'!K32)</f>
        <v>0</v>
      </c>
      <c r="L28" s="179">
        <f ca="1">IF(OR(Assump!$A$7="USD",Assump!$A$7="EURO"),'Hist &amp; Proj'!L32/'Hist &amp; Proj'!L$8,'Hist &amp; Proj'!L32)</f>
        <v>0</v>
      </c>
      <c r="M28" s="179">
        <f ca="1">IF(OR(Assump!$A$7="USD",Assump!$A$7="EURO"),'Hist &amp; Proj'!M32/'Hist &amp; Proj'!M$8,'Hist &amp; Proj'!M32)</f>
        <v>0</v>
      </c>
      <c r="N28" s="179">
        <f ca="1">IF(OR(Assump!$A$7="USD",Assump!$A$7="EURO"),'Hist &amp; Proj'!N32/'Hist &amp; Proj'!N$8,'Hist &amp; Proj'!N32)</f>
        <v>0</v>
      </c>
      <c r="O28" s="179">
        <f ca="1">IF(OR(Assump!$A$7="USD",Assump!$A$7="EURO"),'Hist &amp; Proj'!O32/'Hist &amp; Proj'!O$8,'Hist &amp; Proj'!O32)</f>
        <v>0</v>
      </c>
      <c r="P28" s="179">
        <f ca="1">IF(OR(Assump!$A$7="USD",Assump!$A$7="EURO"),'Hist &amp; Proj'!P32/'Hist &amp; Proj'!P$8,'Hist &amp; Proj'!P32)</f>
        <v>0</v>
      </c>
      <c r="Q28" s="179">
        <f ca="1">IF(OR(Assump!$A$7="USD",Assump!$A$7="EURO"),'Hist &amp; Proj'!Q32/'Hist &amp; Proj'!Q$8,'Hist &amp; Proj'!Q32)</f>
        <v>0</v>
      </c>
      <c r="R28" s="179">
        <f ca="1">IF(OR(Assump!$A$7="USD",Assump!$A$7="EURO"),'Hist &amp; Proj'!R32/'Hist &amp; Proj'!R$8,'Hist &amp; Proj'!R32)</f>
        <v>0</v>
      </c>
      <c r="S28" s="179">
        <f ca="1">IF(OR(Assump!$A$7="USD",Assump!$A$7="EURO"),'Hist &amp; Proj'!S32/'Hist &amp; Proj'!S$8,'Hist &amp; Proj'!S32)</f>
        <v>0</v>
      </c>
      <c r="T28" s="179">
        <f ca="1">IF(OR(Assump!$A$7="USD",Assump!$A$7="EURO"),'Hist &amp; Proj'!T32/'Hist &amp; Proj'!T$8,'Hist &amp; Proj'!T32)</f>
        <v>0</v>
      </c>
      <c r="U28" s="179">
        <f ca="1">IF(OR(Assump!$A$7="USD",Assump!$A$7="EURO"),'Hist &amp; Proj'!U32/'Hist &amp; Proj'!U$8,'Hist &amp; Proj'!U32)</f>
        <v>0</v>
      </c>
      <c r="V28" s="179">
        <f ca="1">IF(OR(Assump!$A$7="USD",Assump!$A$7="EURO"),'Hist &amp; Proj'!V32/'Hist &amp; Proj'!V$8,'Hist &amp; Proj'!V32)</f>
        <v>0</v>
      </c>
      <c r="W28" s="179">
        <f ca="1">IF(OR(Assump!$A$7="USD",Assump!$A$7="EURO"),'Hist &amp; Proj'!W32/'Hist &amp; Proj'!W$8,'Hist &amp; Proj'!W32)</f>
        <v>0</v>
      </c>
      <c r="X28" s="179">
        <f ca="1">IF(OR(Assump!$A$7="USD",Assump!$A$7="EURO"),'Hist &amp; Proj'!X32/'Hist &amp; Proj'!X$8,'Hist &amp; Proj'!X32)</f>
        <v>0</v>
      </c>
      <c r="Y28" s="179">
        <f ca="1">IF(OR(Assump!$A$7="USD",Assump!$A$7="EURO"),'Hist &amp; Proj'!Y32/'Hist &amp; Proj'!Y$8,'Hist &amp; Proj'!Y32)</f>
        <v>0</v>
      </c>
      <c r="Z28" s="179">
        <f ca="1">IF(OR(Assump!$A$7="USD",Assump!$A$7="EURO"),'Hist &amp; Proj'!Z32/'Hist &amp; Proj'!Z$8,'Hist &amp; Proj'!Z32)</f>
        <v>0</v>
      </c>
      <c r="AA28" s="179">
        <f ca="1">IF(OR(Assump!$A$7="USD",Assump!$A$7="EURO"),'Hist &amp; Proj'!AA32/'Hist &amp; Proj'!AA$8,'Hist &amp; Proj'!AA32)</f>
        <v>0</v>
      </c>
      <c r="AB28" s="179">
        <f ca="1">IF(OR(Assump!$A$7="USD",Assump!$A$7="EURO"),'Hist &amp; Proj'!AB32/'Hist &amp; Proj'!AB$8,'Hist &amp; Proj'!AB32)</f>
        <v>0</v>
      </c>
      <c r="AC28" s="179">
        <f ca="1">IF(OR(Assump!$A$7="USD",Assump!$A$7="EURO"),'Hist &amp; Proj'!AC32/'Hist &amp; Proj'!AC$8,'Hist &amp; Proj'!AC32)</f>
        <v>0</v>
      </c>
      <c r="AD28" s="179">
        <f ca="1">IF(OR(Assump!$A$7="USD",Assump!$A$7="EURO"),'Hist &amp; Proj'!AD32/'Hist &amp; Proj'!AD$8,'Hist &amp; Proj'!AD32)</f>
        <v>0</v>
      </c>
      <c r="AE28" s="179" t="e">
        <f ca="1">IF(OR(Assump!$A$7="USD",Assump!$A$7="EURO"),'Hist &amp; Proj'!AE32/'Hist &amp; Proj'!AE$8,'Hist &amp; Proj'!AE32)</f>
        <v>#N/A</v>
      </c>
      <c r="AF28" s="179"/>
      <c r="AH28" s="367" t="str">
        <f t="shared" ca="1" si="5"/>
        <v>NA</v>
      </c>
      <c r="AJ28" s="179">
        <f>IF(OR(Assump!$A$7="USD",Assump!$A$7="EURO"),'Hist &amp; Proj'!AH32/'Hist &amp; Proj'!AH$8,'Hist &amp; Proj'!AH32)</f>
        <v>0</v>
      </c>
      <c r="AK28" s="179">
        <f>IF(OR(Assump!$A$7="USD",Assump!$A$7="EURO"),'Hist &amp; Proj'!AI32/'Hist &amp; Proj'!AI$8,'Hist &amp; Proj'!AI32)</f>
        <v>0</v>
      </c>
      <c r="AL28" s="179">
        <f>IF(OR(Assump!$A$7="USD",Assump!$A$7="EURO"),'Hist &amp; Proj'!AJ32/'Hist &amp; Proj'!AJ$8,'Hist &amp; Proj'!AJ32)</f>
        <v>0</v>
      </c>
      <c r="AM28" s="179">
        <f>IF(OR(Assump!$A$7="USD",Assump!$A$7="EURO"),'Hist &amp; Proj'!AK32/'Hist &amp; Proj'!AK$8,'Hist &amp; Proj'!AK32)</f>
        <v>0</v>
      </c>
      <c r="AN28" s="179">
        <f>IF(OR(Assump!$A$7="USD",Assump!$A$7="EURO"),'Hist &amp; Proj'!AL32/'Hist &amp; Proj'!AL$8,'Hist &amp; Proj'!AL32)</f>
        <v>0</v>
      </c>
      <c r="AP28" s="367" t="str">
        <f t="shared" si="6"/>
        <v>NA</v>
      </c>
    </row>
    <row r="29" spans="1:42" hidden="1" outlineLevel="1">
      <c r="A29" s="371" t="str">
        <f>'Hist &amp; Proj'!A33</f>
        <v xml:space="preserve">       Senior Unsecured Debt</v>
      </c>
      <c r="B29" s="179">
        <f>IF(OR(Assump!$A$7="USD",Assump!$A$7="EURO"),'Hist &amp; Proj'!B33/'Hist &amp; Proj'!B$8,'Hist &amp; Proj'!B33)</f>
        <v>0</v>
      </c>
      <c r="C29" s="179">
        <f>IF(OR(Assump!$A$7="USD",Assump!$A$7="EURO"),'Hist &amp; Proj'!C33/'Hist &amp; Proj'!C$8,'Hist &amp; Proj'!C33)</f>
        <v>0</v>
      </c>
      <c r="D29" s="179">
        <f>IF(OR(Assump!$A$7="USD",Assump!$A$7="EURO"),'Hist &amp; Proj'!D33/'Hist &amp; Proj'!D$8,'Hist &amp; Proj'!D33)</f>
        <v>0</v>
      </c>
      <c r="E29" s="179">
        <f>IF(OR(Assump!$A$7="USD",Assump!$A$7="EURO"),'Hist &amp; Proj'!E33/'Hist &amp; Proj'!E$8,'Hist &amp; Proj'!E33)</f>
        <v>0</v>
      </c>
      <c r="F29" s="179">
        <f ca="1">IF(OR(Assump!$A$7="USD",Assump!$A$7="EURO"),'Hist &amp; Proj'!F33/'Hist &amp; Proj'!F$8,'Hist &amp; Proj'!F33)</f>
        <v>0</v>
      </c>
      <c r="G29" s="179">
        <f ca="1">IF(OR(Assump!$A$7="USD",Assump!$A$7="EURO"),'Hist &amp; Proj'!G33/'Hist &amp; Proj'!G$8,'Hist &amp; Proj'!G33)</f>
        <v>0</v>
      </c>
      <c r="H29" s="179">
        <f ca="1">IF(OR(Assump!$A$7="USD",Assump!$A$7="EURO"),'Hist &amp; Proj'!H33/'Hist &amp; Proj'!H$8,'Hist &amp; Proj'!H33)</f>
        <v>0</v>
      </c>
      <c r="I29" s="179">
        <f ca="1">IF(OR(Assump!$A$7="USD",Assump!$A$7="EURO"),'Hist &amp; Proj'!I33/'Hist &amp; Proj'!I$8,'Hist &amp; Proj'!I33)</f>
        <v>0</v>
      </c>
      <c r="J29" s="179">
        <f ca="1">IF(OR(Assump!$A$7="USD",Assump!$A$7="EURO"),'Hist &amp; Proj'!J33/'Hist &amp; Proj'!J$8,'Hist &amp; Proj'!J33)</f>
        <v>0</v>
      </c>
      <c r="K29" s="179">
        <f ca="1">IF(OR(Assump!$A$7="USD",Assump!$A$7="EURO"),'Hist &amp; Proj'!K33/'Hist &amp; Proj'!K$8,'Hist &amp; Proj'!K33)</f>
        <v>0</v>
      </c>
      <c r="L29" s="179">
        <f ca="1">IF(OR(Assump!$A$7="USD",Assump!$A$7="EURO"),'Hist &amp; Proj'!L33/'Hist &amp; Proj'!L$8,'Hist &amp; Proj'!L33)</f>
        <v>0</v>
      </c>
      <c r="M29" s="179">
        <f ca="1">IF(OR(Assump!$A$7="USD",Assump!$A$7="EURO"),'Hist &amp; Proj'!M33/'Hist &amp; Proj'!M$8,'Hist &amp; Proj'!M33)</f>
        <v>0</v>
      </c>
      <c r="N29" s="179">
        <f ca="1">IF(OR(Assump!$A$7="USD",Assump!$A$7="EURO"),'Hist &amp; Proj'!N33/'Hist &amp; Proj'!N$8,'Hist &amp; Proj'!N33)</f>
        <v>0</v>
      </c>
      <c r="O29" s="179">
        <f ca="1">IF(OR(Assump!$A$7="USD",Assump!$A$7="EURO"),'Hist &amp; Proj'!O33/'Hist &amp; Proj'!O$8,'Hist &amp; Proj'!O33)</f>
        <v>0</v>
      </c>
      <c r="P29" s="179">
        <f ca="1">IF(OR(Assump!$A$7="USD",Assump!$A$7="EURO"),'Hist &amp; Proj'!P33/'Hist &amp; Proj'!P$8,'Hist &amp; Proj'!P33)</f>
        <v>0</v>
      </c>
      <c r="Q29" s="179">
        <f ca="1">IF(OR(Assump!$A$7="USD",Assump!$A$7="EURO"),'Hist &amp; Proj'!Q33/'Hist &amp; Proj'!Q$8,'Hist &amp; Proj'!Q33)</f>
        <v>0</v>
      </c>
      <c r="R29" s="179">
        <f ca="1">IF(OR(Assump!$A$7="USD",Assump!$A$7="EURO"),'Hist &amp; Proj'!R33/'Hist &amp; Proj'!R$8,'Hist &amp; Proj'!R33)</f>
        <v>0</v>
      </c>
      <c r="S29" s="179">
        <f ca="1">IF(OR(Assump!$A$7="USD",Assump!$A$7="EURO"),'Hist &amp; Proj'!S33/'Hist &amp; Proj'!S$8,'Hist &amp; Proj'!S33)</f>
        <v>0</v>
      </c>
      <c r="T29" s="179">
        <f ca="1">IF(OR(Assump!$A$7="USD",Assump!$A$7="EURO"),'Hist &amp; Proj'!T33/'Hist &amp; Proj'!T$8,'Hist &amp; Proj'!T33)</f>
        <v>0</v>
      </c>
      <c r="U29" s="179">
        <f ca="1">IF(OR(Assump!$A$7="USD",Assump!$A$7="EURO"),'Hist &amp; Proj'!U33/'Hist &amp; Proj'!U$8,'Hist &amp; Proj'!U33)</f>
        <v>0</v>
      </c>
      <c r="V29" s="179">
        <f ca="1">IF(OR(Assump!$A$7="USD",Assump!$A$7="EURO"),'Hist &amp; Proj'!V33/'Hist &amp; Proj'!V$8,'Hist &amp; Proj'!V33)</f>
        <v>0</v>
      </c>
      <c r="W29" s="179">
        <f ca="1">IF(OR(Assump!$A$7="USD",Assump!$A$7="EURO"),'Hist &amp; Proj'!W33/'Hist &amp; Proj'!W$8,'Hist &amp; Proj'!W33)</f>
        <v>0</v>
      </c>
      <c r="X29" s="179">
        <f ca="1">IF(OR(Assump!$A$7="USD",Assump!$A$7="EURO"),'Hist &amp; Proj'!X33/'Hist &amp; Proj'!X$8,'Hist &amp; Proj'!X33)</f>
        <v>0</v>
      </c>
      <c r="Y29" s="179">
        <f ca="1">IF(OR(Assump!$A$7="USD",Assump!$A$7="EURO"),'Hist &amp; Proj'!Y33/'Hist &amp; Proj'!Y$8,'Hist &amp; Proj'!Y33)</f>
        <v>0</v>
      </c>
      <c r="Z29" s="179">
        <f ca="1">IF(OR(Assump!$A$7="USD",Assump!$A$7="EURO"),'Hist &amp; Proj'!Z33/'Hist &amp; Proj'!Z$8,'Hist &amp; Proj'!Z33)</f>
        <v>0</v>
      </c>
      <c r="AA29" s="179">
        <f ca="1">IF(OR(Assump!$A$7="USD",Assump!$A$7="EURO"),'Hist &amp; Proj'!AA33/'Hist &amp; Proj'!AA$8,'Hist &amp; Proj'!AA33)</f>
        <v>0</v>
      </c>
      <c r="AB29" s="179">
        <f ca="1">IF(OR(Assump!$A$7="USD",Assump!$A$7="EURO"),'Hist &amp; Proj'!AB33/'Hist &amp; Proj'!AB$8,'Hist &amp; Proj'!AB33)</f>
        <v>0</v>
      </c>
      <c r="AC29" s="179">
        <f ca="1">IF(OR(Assump!$A$7="USD",Assump!$A$7="EURO"),'Hist &amp; Proj'!AC33/'Hist &amp; Proj'!AC$8,'Hist &amp; Proj'!AC33)</f>
        <v>0</v>
      </c>
      <c r="AD29" s="179">
        <f ca="1">IF(OR(Assump!$A$7="USD",Assump!$A$7="EURO"),'Hist &amp; Proj'!AD33/'Hist &amp; Proj'!AD$8,'Hist &amp; Proj'!AD33)</f>
        <v>0</v>
      </c>
      <c r="AE29" s="179" t="e">
        <f ca="1">IF(OR(Assump!$A$7="USD",Assump!$A$7="EURO"),'Hist &amp; Proj'!AE33/'Hist &amp; Proj'!AE$8,'Hist &amp; Proj'!AE33)</f>
        <v>#N/A</v>
      </c>
      <c r="AF29" s="179"/>
      <c r="AH29" s="367" t="str">
        <f t="shared" ca="1" si="5"/>
        <v>NA</v>
      </c>
      <c r="AJ29" s="179">
        <f>IF(OR(Assump!$A$7="USD",Assump!$A$7="EURO"),'Hist &amp; Proj'!AH33/'Hist &amp; Proj'!AH$8,'Hist &amp; Proj'!AH33)</f>
        <v>0</v>
      </c>
      <c r="AK29" s="179">
        <f>IF(OR(Assump!$A$7="USD",Assump!$A$7="EURO"),'Hist &amp; Proj'!AI33/'Hist &amp; Proj'!AI$8,'Hist &amp; Proj'!AI33)</f>
        <v>0</v>
      </c>
      <c r="AL29" s="179">
        <f>IF(OR(Assump!$A$7="USD",Assump!$A$7="EURO"),'Hist &amp; Proj'!AJ33/'Hist &amp; Proj'!AJ$8,'Hist &amp; Proj'!AJ33)</f>
        <v>0</v>
      </c>
      <c r="AM29" s="179">
        <f>IF(OR(Assump!$A$7="USD",Assump!$A$7="EURO"),'Hist &amp; Proj'!AK33/'Hist &amp; Proj'!AK$8,'Hist &amp; Proj'!AK33)</f>
        <v>0</v>
      </c>
      <c r="AN29" s="179">
        <f>IF(OR(Assump!$A$7="USD",Assump!$A$7="EURO"),'Hist &amp; Proj'!AL33/'Hist &amp; Proj'!AL$8,'Hist &amp; Proj'!AL33)</f>
        <v>0</v>
      </c>
      <c r="AP29" s="367" t="str">
        <f t="shared" si="6"/>
        <v>NA</v>
      </c>
    </row>
    <row r="30" spans="1:42" hidden="1" outlineLevel="1">
      <c r="A30" s="371" t="str">
        <f>'Hist &amp; Proj'!A34</f>
        <v xml:space="preserve">       Subordinated Debt</v>
      </c>
      <c r="B30" s="179">
        <f>IF(OR(Assump!$A$7="USD",Assump!$A$7="EURO"),'Hist &amp; Proj'!B34/'Hist &amp; Proj'!B$8,'Hist &amp; Proj'!B34)</f>
        <v>0</v>
      </c>
      <c r="C30" s="179">
        <f>IF(OR(Assump!$A$7="USD",Assump!$A$7="EURO"),'Hist &amp; Proj'!C34/'Hist &amp; Proj'!C$8,'Hist &amp; Proj'!C34)</f>
        <v>0</v>
      </c>
      <c r="D30" s="179">
        <f>IF(OR(Assump!$A$7="USD",Assump!$A$7="EURO"),'Hist &amp; Proj'!D34/'Hist &amp; Proj'!D$8,'Hist &amp; Proj'!D34)</f>
        <v>0</v>
      </c>
      <c r="E30" s="179">
        <f>IF(OR(Assump!$A$7="USD",Assump!$A$7="EURO"),'Hist &amp; Proj'!E34/'Hist &amp; Proj'!E$8,'Hist &amp; Proj'!E34)</f>
        <v>0</v>
      </c>
      <c r="F30" s="179">
        <f ca="1">IF(OR(Assump!$A$7="USD",Assump!$A$7="EURO"),'Hist &amp; Proj'!F34/'Hist &amp; Proj'!F$8,'Hist &amp; Proj'!F34)</f>
        <v>0</v>
      </c>
      <c r="G30" s="179">
        <f ca="1">IF(OR(Assump!$A$7="USD",Assump!$A$7="EURO"),'Hist &amp; Proj'!G34/'Hist &amp; Proj'!G$8,'Hist &amp; Proj'!G34)</f>
        <v>0</v>
      </c>
      <c r="H30" s="179">
        <f ca="1">IF(OR(Assump!$A$7="USD",Assump!$A$7="EURO"),'Hist &amp; Proj'!H34/'Hist &amp; Proj'!H$8,'Hist &amp; Proj'!H34)</f>
        <v>0</v>
      </c>
      <c r="I30" s="179">
        <f ca="1">IF(OR(Assump!$A$7="USD",Assump!$A$7="EURO"),'Hist &amp; Proj'!I34/'Hist &amp; Proj'!I$8,'Hist &amp; Proj'!I34)</f>
        <v>0</v>
      </c>
      <c r="J30" s="179">
        <f ca="1">IF(OR(Assump!$A$7="USD",Assump!$A$7="EURO"),'Hist &amp; Proj'!J34/'Hist &amp; Proj'!J$8,'Hist &amp; Proj'!J34)</f>
        <v>0</v>
      </c>
      <c r="K30" s="179">
        <f ca="1">IF(OR(Assump!$A$7="USD",Assump!$A$7="EURO"),'Hist &amp; Proj'!K34/'Hist &amp; Proj'!K$8,'Hist &amp; Proj'!K34)</f>
        <v>0</v>
      </c>
      <c r="L30" s="179">
        <f ca="1">IF(OR(Assump!$A$7="USD",Assump!$A$7="EURO"),'Hist &amp; Proj'!L34/'Hist &amp; Proj'!L$8,'Hist &amp; Proj'!L34)</f>
        <v>0</v>
      </c>
      <c r="M30" s="179">
        <f ca="1">IF(OR(Assump!$A$7="USD",Assump!$A$7="EURO"),'Hist &amp; Proj'!M34/'Hist &amp; Proj'!M$8,'Hist &amp; Proj'!M34)</f>
        <v>0</v>
      </c>
      <c r="N30" s="179">
        <f ca="1">IF(OR(Assump!$A$7="USD",Assump!$A$7="EURO"),'Hist &amp; Proj'!N34/'Hist &amp; Proj'!N$8,'Hist &amp; Proj'!N34)</f>
        <v>0</v>
      </c>
      <c r="O30" s="179">
        <f ca="1">IF(OR(Assump!$A$7="USD",Assump!$A$7="EURO"),'Hist &amp; Proj'!O34/'Hist &amp; Proj'!O$8,'Hist &amp; Proj'!O34)</f>
        <v>0</v>
      </c>
      <c r="P30" s="179">
        <f ca="1">IF(OR(Assump!$A$7="USD",Assump!$A$7="EURO"),'Hist &amp; Proj'!P34/'Hist &amp; Proj'!P$8,'Hist &amp; Proj'!P34)</f>
        <v>0</v>
      </c>
      <c r="Q30" s="179">
        <f ca="1">IF(OR(Assump!$A$7="USD",Assump!$A$7="EURO"),'Hist &amp; Proj'!Q34/'Hist &amp; Proj'!Q$8,'Hist &amp; Proj'!Q34)</f>
        <v>0</v>
      </c>
      <c r="R30" s="179">
        <f ca="1">IF(OR(Assump!$A$7="USD",Assump!$A$7="EURO"),'Hist &amp; Proj'!R34/'Hist &amp; Proj'!R$8,'Hist &amp; Proj'!R34)</f>
        <v>0</v>
      </c>
      <c r="S30" s="179">
        <f ca="1">IF(OR(Assump!$A$7="USD",Assump!$A$7="EURO"),'Hist &amp; Proj'!S34/'Hist &amp; Proj'!S$8,'Hist &amp; Proj'!S34)</f>
        <v>0</v>
      </c>
      <c r="T30" s="179">
        <f ca="1">IF(OR(Assump!$A$7="USD",Assump!$A$7="EURO"),'Hist &amp; Proj'!T34/'Hist &amp; Proj'!T$8,'Hist &amp; Proj'!T34)</f>
        <v>0</v>
      </c>
      <c r="U30" s="179">
        <f ca="1">IF(OR(Assump!$A$7="USD",Assump!$A$7="EURO"),'Hist &amp; Proj'!U34/'Hist &amp; Proj'!U$8,'Hist &amp; Proj'!U34)</f>
        <v>0</v>
      </c>
      <c r="V30" s="179">
        <f ca="1">IF(OR(Assump!$A$7="USD",Assump!$A$7="EURO"),'Hist &amp; Proj'!V34/'Hist &amp; Proj'!V$8,'Hist &amp; Proj'!V34)</f>
        <v>0</v>
      </c>
      <c r="W30" s="179">
        <f ca="1">IF(OR(Assump!$A$7="USD",Assump!$A$7="EURO"),'Hist &amp; Proj'!W34/'Hist &amp; Proj'!W$8,'Hist &amp; Proj'!W34)</f>
        <v>0</v>
      </c>
      <c r="X30" s="179">
        <f ca="1">IF(OR(Assump!$A$7="USD",Assump!$A$7="EURO"),'Hist &amp; Proj'!X34/'Hist &amp; Proj'!X$8,'Hist &amp; Proj'!X34)</f>
        <v>0</v>
      </c>
      <c r="Y30" s="179">
        <f ca="1">IF(OR(Assump!$A$7="USD",Assump!$A$7="EURO"),'Hist &amp; Proj'!Y34/'Hist &amp; Proj'!Y$8,'Hist &amp; Proj'!Y34)</f>
        <v>0</v>
      </c>
      <c r="Z30" s="179">
        <f ca="1">IF(OR(Assump!$A$7="USD",Assump!$A$7="EURO"),'Hist &amp; Proj'!Z34/'Hist &amp; Proj'!Z$8,'Hist &amp; Proj'!Z34)</f>
        <v>0</v>
      </c>
      <c r="AA30" s="179">
        <f ca="1">IF(OR(Assump!$A$7="USD",Assump!$A$7="EURO"),'Hist &amp; Proj'!AA34/'Hist &amp; Proj'!AA$8,'Hist &amp; Proj'!AA34)</f>
        <v>0</v>
      </c>
      <c r="AB30" s="179">
        <f ca="1">IF(OR(Assump!$A$7="USD",Assump!$A$7="EURO"),'Hist &amp; Proj'!AB34/'Hist &amp; Proj'!AB$8,'Hist &amp; Proj'!AB34)</f>
        <v>0</v>
      </c>
      <c r="AC30" s="179">
        <f ca="1">IF(OR(Assump!$A$7="USD",Assump!$A$7="EURO"),'Hist &amp; Proj'!AC34/'Hist &amp; Proj'!AC$8,'Hist &amp; Proj'!AC34)</f>
        <v>0</v>
      </c>
      <c r="AD30" s="179">
        <f ca="1">IF(OR(Assump!$A$7="USD",Assump!$A$7="EURO"),'Hist &amp; Proj'!AD34/'Hist &amp; Proj'!AD$8,'Hist &amp; Proj'!AD34)</f>
        <v>0</v>
      </c>
      <c r="AE30" s="179" t="e">
        <f ca="1">IF(OR(Assump!$A$7="USD",Assump!$A$7="EURO"),'Hist &amp; Proj'!AE34/'Hist &amp; Proj'!AE$8,'Hist &amp; Proj'!AE34)</f>
        <v>#N/A</v>
      </c>
      <c r="AF30" s="179"/>
      <c r="AH30" s="367" t="str">
        <f t="shared" ca="1" si="5"/>
        <v>NA</v>
      </c>
      <c r="AJ30" s="179">
        <f>IF(OR(Assump!$A$7="USD",Assump!$A$7="EURO"),'Hist &amp; Proj'!AH34/'Hist &amp; Proj'!AH$8,'Hist &amp; Proj'!AH34)</f>
        <v>0</v>
      </c>
      <c r="AK30" s="179">
        <f>IF(OR(Assump!$A$7="USD",Assump!$A$7="EURO"),'Hist &amp; Proj'!AI34/'Hist &amp; Proj'!AI$8,'Hist &amp; Proj'!AI34)</f>
        <v>0</v>
      </c>
      <c r="AL30" s="179">
        <f>IF(OR(Assump!$A$7="USD",Assump!$A$7="EURO"),'Hist &amp; Proj'!AJ34/'Hist &amp; Proj'!AJ$8,'Hist &amp; Proj'!AJ34)</f>
        <v>0</v>
      </c>
      <c r="AM30" s="179">
        <f>IF(OR(Assump!$A$7="USD",Assump!$A$7="EURO"),'Hist &amp; Proj'!AK34/'Hist &amp; Proj'!AK$8,'Hist &amp; Proj'!AK34)</f>
        <v>0</v>
      </c>
      <c r="AN30" s="179">
        <f>IF(OR(Assump!$A$7="USD",Assump!$A$7="EURO"),'Hist &amp; Proj'!AL34/'Hist &amp; Proj'!AL$8,'Hist &amp; Proj'!AL34)</f>
        <v>0</v>
      </c>
      <c r="AP30" s="367" t="str">
        <f t="shared" si="6"/>
        <v>NA</v>
      </c>
    </row>
    <row r="31" spans="1:42" collapsed="1">
      <c r="A31" s="127" t="str">
        <f>'Hist &amp; Proj'!A35</f>
        <v>Other Liabilities</v>
      </c>
      <c r="B31" s="179">
        <f>IF(OR(Assump!$A$7="USD",Assump!$A$7="EURO"),'Hist &amp; Proj'!B35/'Hist &amp; Proj'!B$8,'Hist &amp; Proj'!B35)</f>
        <v>0</v>
      </c>
      <c r="C31" s="179">
        <f>IF(OR(Assump!$A$7="USD",Assump!$A$7="EURO"),'Hist &amp; Proj'!C35/'Hist &amp; Proj'!C$8,'Hist &amp; Proj'!C35)</f>
        <v>0</v>
      </c>
      <c r="D31" s="179">
        <f>IF(OR(Assump!$A$7="USD",Assump!$A$7="EURO"),'Hist &amp; Proj'!D35/'Hist &amp; Proj'!D$8,'Hist &amp; Proj'!D35)</f>
        <v>0</v>
      </c>
      <c r="E31" s="179">
        <f>IF(OR(Assump!$A$7="USD",Assump!$A$7="EURO"),'Hist &amp; Proj'!E35/'Hist &amp; Proj'!E$8,'Hist &amp; Proj'!E35)</f>
        <v>0</v>
      </c>
      <c r="F31" s="179">
        <f ca="1">IF(OR(Assump!$A$7="USD",Assump!$A$7="EURO"),'Hist &amp; Proj'!F35/'Hist &amp; Proj'!F$8,'Hist &amp; Proj'!F35)</f>
        <v>0</v>
      </c>
      <c r="G31" s="179">
        <f ca="1">IF(OR(Assump!$A$7="USD",Assump!$A$7="EURO"),'Hist &amp; Proj'!G35/'Hist &amp; Proj'!G$8,'Hist &amp; Proj'!G35)</f>
        <v>0</v>
      </c>
      <c r="H31" s="179">
        <f ca="1">IF(OR(Assump!$A$7="USD",Assump!$A$7="EURO"),'Hist &amp; Proj'!H35/'Hist &amp; Proj'!H$8,'Hist &amp; Proj'!H35)</f>
        <v>0</v>
      </c>
      <c r="I31" s="179">
        <f ca="1">IF(OR(Assump!$A$7="USD",Assump!$A$7="EURO"),'Hist &amp; Proj'!I35/'Hist &amp; Proj'!I$8,'Hist &amp; Proj'!I35)</f>
        <v>0</v>
      </c>
      <c r="J31" s="179">
        <f ca="1">IF(OR(Assump!$A$7="USD",Assump!$A$7="EURO"),'Hist &amp; Proj'!J35/'Hist &amp; Proj'!J$8,'Hist &amp; Proj'!J35)</f>
        <v>0</v>
      </c>
      <c r="K31" s="179">
        <f ca="1">IF(OR(Assump!$A$7="USD",Assump!$A$7="EURO"),'Hist &amp; Proj'!K35/'Hist &amp; Proj'!K$8,'Hist &amp; Proj'!K35)</f>
        <v>0</v>
      </c>
      <c r="L31" s="179">
        <f ca="1">IF(OR(Assump!$A$7="USD",Assump!$A$7="EURO"),'Hist &amp; Proj'!L35/'Hist &amp; Proj'!L$8,'Hist &amp; Proj'!L35)</f>
        <v>0</v>
      </c>
      <c r="M31" s="179">
        <f ca="1">IF(OR(Assump!$A$7="USD",Assump!$A$7="EURO"),'Hist &amp; Proj'!M35/'Hist &amp; Proj'!M$8,'Hist &amp; Proj'!M35)</f>
        <v>0</v>
      </c>
      <c r="N31" s="179">
        <f ca="1">IF(OR(Assump!$A$7="USD",Assump!$A$7="EURO"),'Hist &amp; Proj'!N35/'Hist &amp; Proj'!N$8,'Hist &amp; Proj'!N35)</f>
        <v>0</v>
      </c>
      <c r="O31" s="179">
        <f ca="1">IF(OR(Assump!$A$7="USD",Assump!$A$7="EURO"),'Hist &amp; Proj'!O35/'Hist &amp; Proj'!O$8,'Hist &amp; Proj'!O35)</f>
        <v>0</v>
      </c>
      <c r="P31" s="179">
        <f ca="1">IF(OR(Assump!$A$7="USD",Assump!$A$7="EURO"),'Hist &amp; Proj'!P35/'Hist &amp; Proj'!P$8,'Hist &amp; Proj'!P35)</f>
        <v>0</v>
      </c>
      <c r="Q31" s="179">
        <f ca="1">IF(OR(Assump!$A$7="USD",Assump!$A$7="EURO"),'Hist &amp; Proj'!Q35/'Hist &amp; Proj'!Q$8,'Hist &amp; Proj'!Q35)</f>
        <v>0</v>
      </c>
      <c r="R31" s="179">
        <f ca="1">IF(OR(Assump!$A$7="USD",Assump!$A$7="EURO"),'Hist &amp; Proj'!R35/'Hist &amp; Proj'!R$8,'Hist &amp; Proj'!R35)</f>
        <v>0</v>
      </c>
      <c r="S31" s="179">
        <f ca="1">IF(OR(Assump!$A$7="USD",Assump!$A$7="EURO"),'Hist &amp; Proj'!S35/'Hist &amp; Proj'!S$8,'Hist &amp; Proj'!S35)</f>
        <v>0</v>
      </c>
      <c r="T31" s="179">
        <f ca="1">IF(OR(Assump!$A$7="USD",Assump!$A$7="EURO"),'Hist &amp; Proj'!T35/'Hist &amp; Proj'!T$8,'Hist &amp; Proj'!T35)</f>
        <v>0</v>
      </c>
      <c r="U31" s="179">
        <f ca="1">IF(OR(Assump!$A$7="USD",Assump!$A$7="EURO"),'Hist &amp; Proj'!U35/'Hist &amp; Proj'!U$8,'Hist &amp; Proj'!U35)</f>
        <v>0</v>
      </c>
      <c r="V31" s="179">
        <f ca="1">IF(OR(Assump!$A$7="USD",Assump!$A$7="EURO"),'Hist &amp; Proj'!V35/'Hist &amp; Proj'!V$8,'Hist &amp; Proj'!V35)</f>
        <v>0</v>
      </c>
      <c r="W31" s="179">
        <f ca="1">IF(OR(Assump!$A$7="USD",Assump!$A$7="EURO"),'Hist &amp; Proj'!W35/'Hist &amp; Proj'!W$8,'Hist &amp; Proj'!W35)</f>
        <v>0</v>
      </c>
      <c r="X31" s="179">
        <f ca="1">IF(OR(Assump!$A$7="USD",Assump!$A$7="EURO"),'Hist &amp; Proj'!X35/'Hist &amp; Proj'!X$8,'Hist &amp; Proj'!X35)</f>
        <v>0</v>
      </c>
      <c r="Y31" s="179">
        <f ca="1">IF(OR(Assump!$A$7="USD",Assump!$A$7="EURO"),'Hist &amp; Proj'!Y35/'Hist &amp; Proj'!Y$8,'Hist &amp; Proj'!Y35)</f>
        <v>0</v>
      </c>
      <c r="Z31" s="179">
        <f ca="1">IF(OR(Assump!$A$7="USD",Assump!$A$7="EURO"),'Hist &amp; Proj'!Z35/'Hist &amp; Proj'!Z$8,'Hist &amp; Proj'!Z35)</f>
        <v>0</v>
      </c>
      <c r="AA31" s="179">
        <f ca="1">IF(OR(Assump!$A$7="USD",Assump!$A$7="EURO"),'Hist &amp; Proj'!AA35/'Hist &amp; Proj'!AA$8,'Hist &amp; Proj'!AA35)</f>
        <v>0</v>
      </c>
      <c r="AB31" s="179">
        <f ca="1">IF(OR(Assump!$A$7="USD",Assump!$A$7="EURO"),'Hist &amp; Proj'!AB35/'Hist &amp; Proj'!AB$8,'Hist &amp; Proj'!AB35)</f>
        <v>0</v>
      </c>
      <c r="AC31" s="179">
        <f ca="1">IF(OR(Assump!$A$7="USD",Assump!$A$7="EURO"),'Hist &amp; Proj'!AC35/'Hist &amp; Proj'!AC$8,'Hist &amp; Proj'!AC35)</f>
        <v>0</v>
      </c>
      <c r="AD31" s="179">
        <f ca="1">IF(OR(Assump!$A$7="USD",Assump!$A$7="EURO"),'Hist &amp; Proj'!AD35/'Hist &amp; Proj'!AD$8,'Hist &amp; Proj'!AD35)</f>
        <v>0</v>
      </c>
      <c r="AE31" s="179" t="e">
        <f ca="1">IF(OR(Assump!$A$7="USD",Assump!$A$7="EURO"),'Hist &amp; Proj'!AE35/'Hist &amp; Proj'!AE$8,'Hist &amp; Proj'!AE35)</f>
        <v>#N/A</v>
      </c>
      <c r="AF31" s="179"/>
      <c r="AH31" s="367" t="str">
        <f t="shared" ca="1" si="5"/>
        <v>NA</v>
      </c>
      <c r="AJ31" s="179">
        <f>IF(OR(Assump!$A$7="USD",Assump!$A$7="EURO"),'Hist &amp; Proj'!AH35/'Hist &amp; Proj'!AH$8,'Hist &amp; Proj'!AH35)</f>
        <v>0</v>
      </c>
      <c r="AK31" s="179">
        <f>IF(OR(Assump!$A$7="USD",Assump!$A$7="EURO"),'Hist &amp; Proj'!AI35/'Hist &amp; Proj'!AI$8,'Hist &amp; Proj'!AI35)</f>
        <v>0</v>
      </c>
      <c r="AL31" s="179">
        <f>IF(OR(Assump!$A$7="USD",Assump!$A$7="EURO"),'Hist &amp; Proj'!AJ35/'Hist &amp; Proj'!AJ$8,'Hist &amp; Proj'!AJ35)</f>
        <v>0</v>
      </c>
      <c r="AM31" s="179">
        <f>IF(OR(Assump!$A$7="USD",Assump!$A$7="EURO"),'Hist &amp; Proj'!AK35/'Hist &amp; Proj'!AK$8,'Hist &amp; Proj'!AK35)</f>
        <v>0</v>
      </c>
      <c r="AN31" s="179">
        <f>IF(OR(Assump!$A$7="USD",Assump!$A$7="EURO"),'Hist &amp; Proj'!AL35/'Hist &amp; Proj'!AL$8,'Hist &amp; Proj'!AL35)</f>
        <v>0</v>
      </c>
      <c r="AP31" s="367" t="str">
        <f t="shared" si="6"/>
        <v>NA</v>
      </c>
    </row>
    <row r="32" spans="1:42">
      <c r="A32" s="172" t="str">
        <f>'Hist &amp; Proj'!A36</f>
        <v>Total Liabilities</v>
      </c>
      <c r="B32" s="184">
        <f t="shared" ref="B32:AE32" si="7">SUM(B24:B25,B31)</f>
        <v>0</v>
      </c>
      <c r="C32" s="184">
        <f t="shared" si="7"/>
        <v>0</v>
      </c>
      <c r="D32" s="184">
        <f t="shared" si="7"/>
        <v>0</v>
      </c>
      <c r="E32" s="184">
        <f t="shared" si="7"/>
        <v>0</v>
      </c>
      <c r="F32" s="184">
        <f t="shared" ca="1" si="7"/>
        <v>0</v>
      </c>
      <c r="G32" s="184">
        <f t="shared" ca="1" si="7"/>
        <v>0</v>
      </c>
      <c r="H32" s="184">
        <f t="shared" ca="1" si="7"/>
        <v>0</v>
      </c>
      <c r="I32" s="184">
        <f t="shared" ca="1" si="7"/>
        <v>0</v>
      </c>
      <c r="J32" s="184">
        <f t="shared" ca="1" si="7"/>
        <v>0</v>
      </c>
      <c r="K32" s="184">
        <f t="shared" ca="1" si="7"/>
        <v>0</v>
      </c>
      <c r="L32" s="184">
        <f t="shared" ca="1" si="7"/>
        <v>0</v>
      </c>
      <c r="M32" s="184">
        <f t="shared" ca="1" si="7"/>
        <v>0</v>
      </c>
      <c r="N32" s="184">
        <f t="shared" ca="1" si="7"/>
        <v>0</v>
      </c>
      <c r="O32" s="184">
        <f t="shared" ca="1" si="7"/>
        <v>0</v>
      </c>
      <c r="P32" s="184">
        <f t="shared" ca="1" si="7"/>
        <v>0</v>
      </c>
      <c r="Q32" s="184">
        <f t="shared" ca="1" si="7"/>
        <v>0</v>
      </c>
      <c r="R32" s="184">
        <f t="shared" ca="1" si="7"/>
        <v>0</v>
      </c>
      <c r="S32" s="184">
        <f t="shared" ca="1" si="7"/>
        <v>0</v>
      </c>
      <c r="T32" s="184">
        <f t="shared" ca="1" si="7"/>
        <v>0</v>
      </c>
      <c r="U32" s="184">
        <f t="shared" ca="1" si="7"/>
        <v>0</v>
      </c>
      <c r="V32" s="184">
        <f t="shared" ca="1" si="7"/>
        <v>0</v>
      </c>
      <c r="W32" s="184">
        <f t="shared" ca="1" si="7"/>
        <v>0</v>
      </c>
      <c r="X32" s="184">
        <f t="shared" ca="1" si="7"/>
        <v>0</v>
      </c>
      <c r="Y32" s="184">
        <f t="shared" ca="1" si="7"/>
        <v>0</v>
      </c>
      <c r="Z32" s="184">
        <f t="shared" ca="1" si="7"/>
        <v>0</v>
      </c>
      <c r="AA32" s="184">
        <f t="shared" ca="1" si="7"/>
        <v>0</v>
      </c>
      <c r="AB32" s="184">
        <f t="shared" ca="1" si="7"/>
        <v>0</v>
      </c>
      <c r="AC32" s="184">
        <f t="shared" ca="1" si="7"/>
        <v>0</v>
      </c>
      <c r="AD32" s="184">
        <f t="shared" ca="1" si="7"/>
        <v>0</v>
      </c>
      <c r="AE32" s="184" t="e">
        <f t="shared" ca="1" si="7"/>
        <v>#N/A</v>
      </c>
      <c r="AH32" s="369" t="str">
        <f t="shared" ca="1" si="5"/>
        <v>NA</v>
      </c>
      <c r="AJ32" s="184">
        <f>SUM(AJ24:AJ25,AJ31)</f>
        <v>0</v>
      </c>
      <c r="AK32" s="184">
        <f>SUM(AK24:AK25,AK31)</f>
        <v>0</v>
      </c>
      <c r="AL32" s="184">
        <f>SUM(AL24:AL25,AL31)</f>
        <v>0</v>
      </c>
      <c r="AM32" s="184">
        <f>SUM(AM24:AM25,AM31)</f>
        <v>0</v>
      </c>
      <c r="AN32" s="184">
        <f>SUM(AN24:AN25,AN31)</f>
        <v>0</v>
      </c>
      <c r="AP32" s="369" t="str">
        <f t="shared" si="6"/>
        <v>NA</v>
      </c>
    </row>
    <row r="33" spans="1:42" ht="5.25" customHeight="1">
      <c r="A33" s="181"/>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c r="AE33" s="181"/>
      <c r="AH33" s="178"/>
      <c r="AJ33" s="181"/>
      <c r="AK33" s="181"/>
      <c r="AL33" s="181"/>
      <c r="AM33" s="181"/>
      <c r="AN33" s="181"/>
      <c r="AP33" s="178"/>
    </row>
    <row r="34" spans="1:42" outlineLevel="1">
      <c r="A34" s="172"/>
      <c r="B34" s="179"/>
      <c r="C34" s="179"/>
      <c r="D34" s="179"/>
      <c r="E34" s="179"/>
      <c r="F34" s="179"/>
      <c r="G34" s="179"/>
      <c r="H34" s="179"/>
      <c r="I34" s="179"/>
      <c r="J34" s="179"/>
      <c r="K34" s="179"/>
      <c r="L34" s="179"/>
      <c r="M34" s="179"/>
      <c r="N34" s="179"/>
      <c r="O34" s="179"/>
      <c r="P34" s="179"/>
      <c r="Q34" s="179"/>
      <c r="R34" s="179"/>
      <c r="S34" s="179"/>
      <c r="T34" s="179"/>
      <c r="U34" s="179"/>
      <c r="V34" s="179"/>
      <c r="W34" s="179"/>
      <c r="X34" s="179"/>
      <c r="Y34" s="179"/>
      <c r="Z34" s="179"/>
      <c r="AA34" s="179"/>
      <c r="AB34" s="179"/>
      <c r="AC34" s="179"/>
      <c r="AD34" s="179"/>
      <c r="AE34" s="179"/>
      <c r="AH34" s="367"/>
      <c r="AJ34" s="179"/>
      <c r="AK34" s="179"/>
      <c r="AL34" s="179"/>
      <c r="AM34" s="179"/>
      <c r="AN34" s="179"/>
      <c r="AP34" s="367"/>
    </row>
    <row r="35" spans="1:42" s="170" customFormat="1" outlineLevel="1">
      <c r="A35" s="519" t="str">
        <f>'Hist &amp; Proj'!A39</f>
        <v xml:space="preserve">   Donated Equity and paid-in-capital </v>
      </c>
      <c r="B35" s="179">
        <f>IF(OR(Assump!$A$7="USD",Assump!$A$7="EURO"),'Hist &amp; Proj'!B39/'Hist &amp; Proj'!B$8,'Hist &amp; Proj'!B39)</f>
        <v>0</v>
      </c>
      <c r="C35" s="179">
        <f>IF(OR(Assump!$A$7="USD",Assump!$A$7="EURO"),'Hist &amp; Proj'!C39/'Hist &amp; Proj'!C$8,'Hist &amp; Proj'!C39)</f>
        <v>0</v>
      </c>
      <c r="D35" s="179">
        <f>IF(OR(Assump!$A$7="USD",Assump!$A$7="EURO"),'Hist &amp; Proj'!D39/'Hist &amp; Proj'!D$8,'Hist &amp; Proj'!D39)</f>
        <v>0</v>
      </c>
      <c r="E35" s="179">
        <f>IF(OR(Assump!$A$7="USD",Assump!$A$7="EURO"),'Hist &amp; Proj'!E39/'Hist &amp; Proj'!E$8,'Hist &amp; Proj'!E39)</f>
        <v>0</v>
      </c>
      <c r="F35" s="179">
        <f ca="1">IF(OR(Assump!$A$7="USD",Assump!$A$7="EURO"),'Hist &amp; Proj'!F39/'Hist &amp; Proj'!F$8,'Hist &amp; Proj'!F39)</f>
        <v>0</v>
      </c>
      <c r="G35" s="179">
        <f ca="1">IF(OR(Assump!$A$7="USD",Assump!$A$7="EURO"),'Hist &amp; Proj'!G39/'Hist &amp; Proj'!G$8,'Hist &amp; Proj'!G39)</f>
        <v>0</v>
      </c>
      <c r="H35" s="179">
        <f ca="1">IF(OR(Assump!$A$7="USD",Assump!$A$7="EURO"),'Hist &amp; Proj'!H39/'Hist &amp; Proj'!H$8,'Hist &amp; Proj'!H39)</f>
        <v>0</v>
      </c>
      <c r="I35" s="179">
        <f ca="1">IF(OR(Assump!$A$7="USD",Assump!$A$7="EURO"),'Hist &amp; Proj'!I39/'Hist &amp; Proj'!I$8,'Hist &amp; Proj'!I39)</f>
        <v>0</v>
      </c>
      <c r="J35" s="179">
        <f ca="1">IF(OR(Assump!$A$7="USD",Assump!$A$7="EURO"),'Hist &amp; Proj'!J39/'Hist &amp; Proj'!J$8,'Hist &amp; Proj'!J39)</f>
        <v>0</v>
      </c>
      <c r="K35" s="179">
        <f ca="1">IF(OR(Assump!$A$7="USD",Assump!$A$7="EURO"),'Hist &amp; Proj'!K39/'Hist &amp; Proj'!K$8,'Hist &amp; Proj'!K39)</f>
        <v>0</v>
      </c>
      <c r="L35" s="179">
        <f ca="1">IF(OR(Assump!$A$7="USD",Assump!$A$7="EURO"),'Hist &amp; Proj'!L39/'Hist &amp; Proj'!L$8,'Hist &amp; Proj'!L39)</f>
        <v>0</v>
      </c>
      <c r="M35" s="179">
        <f ca="1">IF(OR(Assump!$A$7="USD",Assump!$A$7="EURO"),'Hist &amp; Proj'!M39/'Hist &amp; Proj'!M$8,'Hist &amp; Proj'!M39)</f>
        <v>0</v>
      </c>
      <c r="N35" s="179">
        <f ca="1">IF(OR(Assump!$A$7="USD",Assump!$A$7="EURO"),'Hist &amp; Proj'!N39/'Hist &amp; Proj'!N$8,'Hist &amp; Proj'!N39)</f>
        <v>0</v>
      </c>
      <c r="O35" s="179">
        <f ca="1">IF(OR(Assump!$A$7="USD",Assump!$A$7="EURO"),'Hist &amp; Proj'!O39/'Hist &amp; Proj'!O$8,'Hist &amp; Proj'!O39)</f>
        <v>0</v>
      </c>
      <c r="P35" s="179">
        <f ca="1">IF(OR(Assump!$A$7="USD",Assump!$A$7="EURO"),'Hist &amp; Proj'!P39/'Hist &amp; Proj'!P$8,'Hist &amp; Proj'!P39)</f>
        <v>0</v>
      </c>
      <c r="Q35" s="179">
        <f ca="1">IF(OR(Assump!$A$7="USD",Assump!$A$7="EURO"),'Hist &amp; Proj'!Q39/'Hist &amp; Proj'!Q$8,'Hist &amp; Proj'!Q39)</f>
        <v>0</v>
      </c>
      <c r="R35" s="179">
        <f ca="1">IF(OR(Assump!$A$7="USD",Assump!$A$7="EURO"),'Hist &amp; Proj'!R39/'Hist &amp; Proj'!R$8,'Hist &amp; Proj'!R39)</f>
        <v>0</v>
      </c>
      <c r="S35" s="179">
        <f ca="1">IF(OR(Assump!$A$7="USD",Assump!$A$7="EURO"),'Hist &amp; Proj'!S39/'Hist &amp; Proj'!S$8,'Hist &amp; Proj'!S39)</f>
        <v>0</v>
      </c>
      <c r="T35" s="179">
        <f ca="1">IF(OR(Assump!$A$7="USD",Assump!$A$7="EURO"),'Hist &amp; Proj'!T39/'Hist &amp; Proj'!T$8,'Hist &amp; Proj'!T39)</f>
        <v>0</v>
      </c>
      <c r="U35" s="179">
        <f ca="1">IF(OR(Assump!$A$7="USD",Assump!$A$7="EURO"),'Hist &amp; Proj'!U39/'Hist &amp; Proj'!U$8,'Hist &amp; Proj'!U39)</f>
        <v>0</v>
      </c>
      <c r="V35" s="179">
        <f ca="1">IF(OR(Assump!$A$7="USD",Assump!$A$7="EURO"),'Hist &amp; Proj'!V39/'Hist &amp; Proj'!V$8,'Hist &amp; Proj'!V39)</f>
        <v>0</v>
      </c>
      <c r="W35" s="179">
        <f ca="1">IF(OR(Assump!$A$7="USD",Assump!$A$7="EURO"),'Hist &amp; Proj'!W39/'Hist &amp; Proj'!W$8,'Hist &amp; Proj'!W39)</f>
        <v>0</v>
      </c>
      <c r="X35" s="179">
        <f ca="1">IF(OR(Assump!$A$7="USD",Assump!$A$7="EURO"),'Hist &amp; Proj'!X39/'Hist &amp; Proj'!X$8,'Hist &amp; Proj'!X39)</f>
        <v>0</v>
      </c>
      <c r="Y35" s="179">
        <f ca="1">IF(OR(Assump!$A$7="USD",Assump!$A$7="EURO"),'Hist &amp; Proj'!Y39/'Hist &amp; Proj'!Y$8,'Hist &amp; Proj'!Y39)</f>
        <v>0</v>
      </c>
      <c r="Z35" s="179">
        <f ca="1">IF(OR(Assump!$A$7="USD",Assump!$A$7="EURO"),'Hist &amp; Proj'!Z39/'Hist &amp; Proj'!Z$8,'Hist &amp; Proj'!Z39)</f>
        <v>0</v>
      </c>
      <c r="AA35" s="179">
        <f ca="1">IF(OR(Assump!$A$7="USD",Assump!$A$7="EURO"),'Hist &amp; Proj'!AA39/'Hist &amp; Proj'!AA$8,'Hist &amp; Proj'!AA39)</f>
        <v>0</v>
      </c>
      <c r="AB35" s="179">
        <f ca="1">IF(OR(Assump!$A$7="USD",Assump!$A$7="EURO"),'Hist &amp; Proj'!AB39/'Hist &amp; Proj'!AB$8,'Hist &amp; Proj'!AB39)</f>
        <v>0</v>
      </c>
      <c r="AC35" s="179">
        <f ca="1">IF(OR(Assump!$A$7="USD",Assump!$A$7="EURO"),'Hist &amp; Proj'!AC39/'Hist &amp; Proj'!AC$8,'Hist &amp; Proj'!AC39)</f>
        <v>0</v>
      </c>
      <c r="AD35" s="179">
        <f ca="1">IF(OR(Assump!$A$7="USD",Assump!$A$7="EURO"),'Hist &amp; Proj'!AD39/'Hist &amp; Proj'!AD$8,'Hist &amp; Proj'!AD39)</f>
        <v>0</v>
      </c>
      <c r="AE35" s="179" t="e">
        <f ca="1">IF(OR(Assump!$A$7="USD",Assump!$A$7="EURO"),'Hist &amp; Proj'!AE39/'Hist &amp; Proj'!AE$8,'Hist &amp; Proj'!AE39)</f>
        <v>#N/A</v>
      </c>
      <c r="AF35" s="179"/>
      <c r="AG35" s="126"/>
      <c r="AH35" s="367" t="str">
        <f ca="1">IFERROR(RATE(3,0,-C35,R35),"NA")</f>
        <v>NA</v>
      </c>
      <c r="AI35" s="3"/>
      <c r="AJ35" s="179">
        <f>IF(OR(Assump!$A$7="USD",Assump!$A$7="EURO"),'Hist &amp; Proj'!AH39/'Hist &amp; Proj'!AH$8,'Hist &amp; Proj'!AH39)</f>
        <v>0</v>
      </c>
      <c r="AK35" s="179">
        <f>IF(OR(Assump!$A$7="USD",Assump!$A$7="EURO"),'Hist &amp; Proj'!AI39/'Hist &amp; Proj'!AI$8,'Hist &amp; Proj'!AI39)</f>
        <v>0</v>
      </c>
      <c r="AL35" s="179">
        <f>IF(OR(Assump!$A$7="USD",Assump!$A$7="EURO"),'Hist &amp; Proj'!AJ39/'Hist &amp; Proj'!AJ$8,'Hist &amp; Proj'!AJ39)</f>
        <v>0</v>
      </c>
      <c r="AM35" s="179">
        <f>IF(OR(Assump!$A$7="USD",Assump!$A$7="EURO"),'Hist &amp; Proj'!AK39/'Hist &amp; Proj'!AK$8,'Hist &amp; Proj'!AK39)</f>
        <v>0</v>
      </c>
      <c r="AN35" s="179">
        <f>IF(OR(Assump!$A$7="USD",Assump!$A$7="EURO"),'Hist &amp; Proj'!AL39/'Hist &amp; Proj'!AL$8,'Hist &amp; Proj'!AL39)</f>
        <v>0</v>
      </c>
      <c r="AO35" s="208"/>
      <c r="AP35" s="367" t="str">
        <f>IFERROR(RATE(4,0,-AJ35,AN35),"NA")</f>
        <v>NA</v>
      </c>
    </row>
    <row r="36" spans="1:42" s="170" customFormat="1" outlineLevel="1" collapsed="1">
      <c r="A36" s="519" t="str">
        <f>'Hist &amp; Proj'!A40</f>
        <v xml:space="preserve">   Retained Earnings, Reserves &amp; Other</v>
      </c>
      <c r="B36" s="179">
        <f>IF(OR(Assump!$A$7="USD",Assump!$A$7="EURO"),'Hist &amp; Proj'!B40/'Hist &amp; Proj'!B$8,'Hist &amp; Proj'!B40)</f>
        <v>0</v>
      </c>
      <c r="C36" s="179">
        <f>IF(OR(Assump!$A$7="USD",Assump!$A$7="EURO"),'Hist &amp; Proj'!C40/'Hist &amp; Proj'!C$8,'Hist &amp; Proj'!C40)</f>
        <v>0</v>
      </c>
      <c r="D36" s="179">
        <f>IF(OR(Assump!$A$7="USD",Assump!$A$7="EURO"),'Hist &amp; Proj'!D40/'Hist &amp; Proj'!D$8,'Hist &amp; Proj'!D40)</f>
        <v>0</v>
      </c>
      <c r="E36" s="179">
        <f>IF(OR(Assump!$A$7="USD",Assump!$A$7="EURO"),'Hist &amp; Proj'!E40/'Hist &amp; Proj'!E$8,'Hist &amp; Proj'!E40)</f>
        <v>0</v>
      </c>
      <c r="F36" s="179">
        <f ca="1">IF(OR(Assump!$A$7="USD",Assump!$A$7="EURO"),'Hist &amp; Proj'!F40/'Hist &amp; Proj'!F$8,'Hist &amp; Proj'!F40)</f>
        <v>0</v>
      </c>
      <c r="G36" s="179">
        <f ca="1">IF(OR(Assump!$A$7="USD",Assump!$A$7="EURO"),'Hist &amp; Proj'!G40/'Hist &amp; Proj'!G$8,'Hist &amp; Proj'!G40)</f>
        <v>0</v>
      </c>
      <c r="H36" s="179">
        <f ca="1">IF(OR(Assump!$A$7="USD",Assump!$A$7="EURO"),'Hist &amp; Proj'!H40/'Hist &amp; Proj'!H$8,'Hist &amp; Proj'!H40)</f>
        <v>0</v>
      </c>
      <c r="I36" s="179">
        <f ca="1">IF(OR(Assump!$A$7="USD",Assump!$A$7="EURO"),'Hist &amp; Proj'!I40/'Hist &amp; Proj'!I$8,'Hist &amp; Proj'!I40)</f>
        <v>0</v>
      </c>
      <c r="J36" s="179">
        <f ca="1">IF(OR(Assump!$A$7="USD",Assump!$A$7="EURO"),'Hist &amp; Proj'!J40/'Hist &amp; Proj'!J$8,'Hist &amp; Proj'!J40)</f>
        <v>0</v>
      </c>
      <c r="K36" s="179">
        <f ca="1">IF(OR(Assump!$A$7="USD",Assump!$A$7="EURO"),'Hist &amp; Proj'!K40/'Hist &amp; Proj'!K$8,'Hist &amp; Proj'!K40)</f>
        <v>0</v>
      </c>
      <c r="L36" s="179">
        <f ca="1">IF(OR(Assump!$A$7="USD",Assump!$A$7="EURO"),'Hist &amp; Proj'!L40/'Hist &amp; Proj'!L$8,'Hist &amp; Proj'!L40)</f>
        <v>0</v>
      </c>
      <c r="M36" s="179">
        <f ca="1">IF(OR(Assump!$A$7="USD",Assump!$A$7="EURO"),'Hist &amp; Proj'!M40/'Hist &amp; Proj'!M$8,'Hist &amp; Proj'!M40)</f>
        <v>0</v>
      </c>
      <c r="N36" s="179">
        <f ca="1">IF(OR(Assump!$A$7="USD",Assump!$A$7="EURO"),'Hist &amp; Proj'!N40/'Hist &amp; Proj'!N$8,'Hist &amp; Proj'!N40)</f>
        <v>0</v>
      </c>
      <c r="O36" s="179">
        <f ca="1">IF(OR(Assump!$A$7="USD",Assump!$A$7="EURO"),'Hist &amp; Proj'!O40/'Hist &amp; Proj'!O$8,'Hist &amp; Proj'!O40)</f>
        <v>0</v>
      </c>
      <c r="P36" s="179">
        <f ca="1">IF(OR(Assump!$A$7="USD",Assump!$A$7="EURO"),'Hist &amp; Proj'!P40/'Hist &amp; Proj'!P$8,'Hist &amp; Proj'!P40)</f>
        <v>0</v>
      </c>
      <c r="Q36" s="179">
        <f ca="1">IF(OR(Assump!$A$7="USD",Assump!$A$7="EURO"),'Hist &amp; Proj'!Q40/'Hist &amp; Proj'!Q$8,'Hist &amp; Proj'!Q40)</f>
        <v>0</v>
      </c>
      <c r="R36" s="179">
        <f ca="1">IF(OR(Assump!$A$7="USD",Assump!$A$7="EURO"),'Hist &amp; Proj'!R40/'Hist &amp; Proj'!R$8,'Hist &amp; Proj'!R40)</f>
        <v>0</v>
      </c>
      <c r="S36" s="179">
        <f ca="1">IF(OR(Assump!$A$7="USD",Assump!$A$7="EURO"),'Hist &amp; Proj'!S40/'Hist &amp; Proj'!S$8,'Hist &amp; Proj'!S40)</f>
        <v>0</v>
      </c>
      <c r="T36" s="179">
        <f ca="1">IF(OR(Assump!$A$7="USD",Assump!$A$7="EURO"),'Hist &amp; Proj'!T40/'Hist &amp; Proj'!T$8,'Hist &amp; Proj'!T40)</f>
        <v>0</v>
      </c>
      <c r="U36" s="179">
        <f ca="1">IF(OR(Assump!$A$7="USD",Assump!$A$7="EURO"),'Hist &amp; Proj'!U40/'Hist &amp; Proj'!U$8,'Hist &amp; Proj'!U40)</f>
        <v>0</v>
      </c>
      <c r="V36" s="179">
        <f ca="1">IF(OR(Assump!$A$7="USD",Assump!$A$7="EURO"),'Hist &amp; Proj'!V40/'Hist &amp; Proj'!V$8,'Hist &amp; Proj'!V40)</f>
        <v>0</v>
      </c>
      <c r="W36" s="179">
        <f ca="1">IF(OR(Assump!$A$7="USD",Assump!$A$7="EURO"),'Hist &amp; Proj'!W40/'Hist &amp; Proj'!W$8,'Hist &amp; Proj'!W40)</f>
        <v>0</v>
      </c>
      <c r="X36" s="179">
        <f ca="1">IF(OR(Assump!$A$7="USD",Assump!$A$7="EURO"),'Hist &amp; Proj'!X40/'Hist &amp; Proj'!X$8,'Hist &amp; Proj'!X40)</f>
        <v>0</v>
      </c>
      <c r="Y36" s="179">
        <f ca="1">IF(OR(Assump!$A$7="USD",Assump!$A$7="EURO"),'Hist &amp; Proj'!Y40/'Hist &amp; Proj'!Y$8,'Hist &amp; Proj'!Y40)</f>
        <v>0</v>
      </c>
      <c r="Z36" s="179">
        <f ca="1">IF(OR(Assump!$A$7="USD",Assump!$A$7="EURO"),'Hist &amp; Proj'!Z40/'Hist &amp; Proj'!Z$8,'Hist &amp; Proj'!Z40)</f>
        <v>0</v>
      </c>
      <c r="AA36" s="179">
        <f ca="1">IF(OR(Assump!$A$7="USD",Assump!$A$7="EURO"),'Hist &amp; Proj'!AA40/'Hist &amp; Proj'!AA$8,'Hist &amp; Proj'!AA40)</f>
        <v>0</v>
      </c>
      <c r="AB36" s="179">
        <f ca="1">IF(OR(Assump!$A$7="USD",Assump!$A$7="EURO"),'Hist &amp; Proj'!AB40/'Hist &amp; Proj'!AB$8,'Hist &amp; Proj'!AB40)</f>
        <v>0</v>
      </c>
      <c r="AC36" s="179">
        <f ca="1">IF(OR(Assump!$A$7="USD",Assump!$A$7="EURO"),'Hist &amp; Proj'!AC40/'Hist &amp; Proj'!AC$8,'Hist &amp; Proj'!AC40)</f>
        <v>0</v>
      </c>
      <c r="AD36" s="179">
        <f ca="1">IF(OR(Assump!$A$7="USD",Assump!$A$7="EURO"),'Hist &amp; Proj'!AD40/'Hist &amp; Proj'!AD$8,'Hist &amp; Proj'!AD40)</f>
        <v>0</v>
      </c>
      <c r="AE36" s="179" t="e">
        <f ca="1">IF(OR(Assump!$A$7="USD",Assump!$A$7="EURO"),'Hist &amp; Proj'!AE40/'Hist &amp; Proj'!AE$8,'Hist &amp; Proj'!AE40)</f>
        <v>#N/A</v>
      </c>
      <c r="AF36" s="179"/>
      <c r="AG36" s="126"/>
      <c r="AH36" s="367" t="str">
        <f ca="1">IFERROR(RATE(3,0,-C36,R36),"NA")</f>
        <v>NA</v>
      </c>
      <c r="AI36" s="3"/>
      <c r="AJ36" s="179">
        <f>IF(OR(Assump!$A$7="USD",Assump!$A$7="EURO"),'Hist &amp; Proj'!AH40/'Hist &amp; Proj'!AH$8,'Hist &amp; Proj'!AH40)</f>
        <v>0</v>
      </c>
      <c r="AK36" s="179">
        <f>IF(OR(Assump!$A$7="USD",Assump!$A$7="EURO"),'Hist &amp; Proj'!AI40/'Hist &amp; Proj'!AI$8,'Hist &amp; Proj'!AI40)</f>
        <v>0</v>
      </c>
      <c r="AL36" s="179">
        <f>IF(OR(Assump!$A$7="USD",Assump!$A$7="EURO"),'Hist &amp; Proj'!AJ40/'Hist &amp; Proj'!AJ$8,'Hist &amp; Proj'!AJ40)</f>
        <v>0</v>
      </c>
      <c r="AM36" s="179">
        <f>IF(OR(Assump!$A$7="USD",Assump!$A$7="EURO"),'Hist &amp; Proj'!AK40/'Hist &amp; Proj'!AK$8,'Hist &amp; Proj'!AK40)</f>
        <v>0</v>
      </c>
      <c r="AN36" s="179">
        <f>IF(OR(Assump!$A$7="USD",Assump!$A$7="EURO"),'Hist &amp; Proj'!AL40/'Hist &amp; Proj'!AL$8,'Hist &amp; Proj'!AL40)</f>
        <v>0</v>
      </c>
      <c r="AO36" s="208"/>
      <c r="AP36" s="367" t="str">
        <f>IFERROR(RATE(4,0,-AJ36,AN36),"NA")</f>
        <v>NA</v>
      </c>
    </row>
    <row r="37" spans="1:42">
      <c r="A37" s="172" t="str">
        <f>'Hist &amp; Proj'!A41</f>
        <v>Total Equity</v>
      </c>
      <c r="B37" s="181">
        <f>IF(OR(Assump!$A$7="USD",Assump!$A$7="EURO"),'Hist &amp; Proj'!B41/'Hist &amp; Proj'!B$8,'Hist &amp; Proj'!B41)</f>
        <v>0</v>
      </c>
      <c r="C37" s="181">
        <f>IF(OR(Assump!$A$7="USD",Assump!$A$7="EURO"),'Hist &amp; Proj'!C41/'Hist &amp; Proj'!C$8,'Hist &amp; Proj'!C41)</f>
        <v>0</v>
      </c>
      <c r="D37" s="181">
        <f>IF(OR(Assump!$A$7="USD",Assump!$A$7="EURO"),'Hist &amp; Proj'!D41/'Hist &amp; Proj'!D$8,'Hist &amp; Proj'!D41)</f>
        <v>0</v>
      </c>
      <c r="E37" s="181">
        <f>IF(OR(Assump!$A$7="USD",Assump!$A$7="EURO"),'Hist &amp; Proj'!E41/'Hist &amp; Proj'!E$8,'Hist &amp; Proj'!E41)</f>
        <v>0</v>
      </c>
      <c r="F37" s="181">
        <f ca="1">IF(OR(Assump!$A$7="USD",Assump!$A$7="EURO"),'Hist &amp; Proj'!F41/'Hist &amp; Proj'!F$8,'Hist &amp; Proj'!F41)</f>
        <v>0</v>
      </c>
      <c r="G37" s="181">
        <f ca="1">IF(OR(Assump!$A$7="USD",Assump!$A$7="EURO"),'Hist &amp; Proj'!G41/'Hist &amp; Proj'!G$8,'Hist &amp; Proj'!G41)</f>
        <v>0</v>
      </c>
      <c r="H37" s="181">
        <f ca="1">IF(OR(Assump!$A$7="USD",Assump!$A$7="EURO"),'Hist &amp; Proj'!H41/'Hist &amp; Proj'!H$8,'Hist &amp; Proj'!H41)</f>
        <v>0</v>
      </c>
      <c r="I37" s="181">
        <f ca="1">IF(OR(Assump!$A$7="USD",Assump!$A$7="EURO"),'Hist &amp; Proj'!I41/'Hist &amp; Proj'!I$8,'Hist &amp; Proj'!I41)</f>
        <v>0</v>
      </c>
      <c r="J37" s="181">
        <f ca="1">IF(OR(Assump!$A$7="USD",Assump!$A$7="EURO"),'Hist &amp; Proj'!J41/'Hist &amp; Proj'!J$8,'Hist &amp; Proj'!J41)</f>
        <v>0</v>
      </c>
      <c r="K37" s="181">
        <f ca="1">IF(OR(Assump!$A$7="USD",Assump!$A$7="EURO"),'Hist &amp; Proj'!K41/'Hist &amp; Proj'!K$8,'Hist &amp; Proj'!K41)</f>
        <v>0</v>
      </c>
      <c r="L37" s="181">
        <f ca="1">IF(OR(Assump!$A$7="USD",Assump!$A$7="EURO"),'Hist &amp; Proj'!L41/'Hist &amp; Proj'!L$8,'Hist &amp; Proj'!L41)</f>
        <v>0</v>
      </c>
      <c r="M37" s="181">
        <f ca="1">IF(OR(Assump!$A$7="USD",Assump!$A$7="EURO"),'Hist &amp; Proj'!M41/'Hist &amp; Proj'!M$8,'Hist &amp; Proj'!M41)</f>
        <v>0</v>
      </c>
      <c r="N37" s="181">
        <f ca="1">IF(OR(Assump!$A$7="USD",Assump!$A$7="EURO"),'Hist &amp; Proj'!N41/'Hist &amp; Proj'!N$8,'Hist &amp; Proj'!N41)</f>
        <v>0</v>
      </c>
      <c r="O37" s="181">
        <f ca="1">IF(OR(Assump!$A$7="USD",Assump!$A$7="EURO"),'Hist &amp; Proj'!O41/'Hist &amp; Proj'!O$8,'Hist &amp; Proj'!O41)</f>
        <v>0</v>
      </c>
      <c r="P37" s="181">
        <f ca="1">IF(OR(Assump!$A$7="USD",Assump!$A$7="EURO"),'Hist &amp; Proj'!P41/'Hist &amp; Proj'!P$8,'Hist &amp; Proj'!P41)</f>
        <v>0</v>
      </c>
      <c r="Q37" s="181">
        <f ca="1">IF(OR(Assump!$A$7="USD",Assump!$A$7="EURO"),'Hist &amp; Proj'!Q41/'Hist &amp; Proj'!Q$8,'Hist &amp; Proj'!Q41)</f>
        <v>0</v>
      </c>
      <c r="R37" s="181">
        <f ca="1">IF(OR(Assump!$A$7="USD",Assump!$A$7="EURO"),'Hist &amp; Proj'!R41/'Hist &amp; Proj'!R$8,'Hist &amp; Proj'!R41)</f>
        <v>0</v>
      </c>
      <c r="S37" s="181">
        <f ca="1">IF(OR(Assump!$A$7="USD",Assump!$A$7="EURO"),'Hist &amp; Proj'!S41/'Hist &amp; Proj'!S$8,'Hist &amp; Proj'!S41)</f>
        <v>0</v>
      </c>
      <c r="T37" s="181">
        <f ca="1">IF(OR(Assump!$A$7="USD",Assump!$A$7="EURO"),'Hist &amp; Proj'!T41/'Hist &amp; Proj'!T$8,'Hist &amp; Proj'!T41)</f>
        <v>0</v>
      </c>
      <c r="U37" s="181">
        <f ca="1">IF(OR(Assump!$A$7="USD",Assump!$A$7="EURO"),'Hist &amp; Proj'!U41/'Hist &amp; Proj'!U$8,'Hist &amp; Proj'!U41)</f>
        <v>0</v>
      </c>
      <c r="V37" s="181">
        <f ca="1">IF(OR(Assump!$A$7="USD",Assump!$A$7="EURO"),'Hist &amp; Proj'!V41/'Hist &amp; Proj'!V$8,'Hist &amp; Proj'!V41)</f>
        <v>0</v>
      </c>
      <c r="W37" s="181">
        <f ca="1">IF(OR(Assump!$A$7="USD",Assump!$A$7="EURO"),'Hist &amp; Proj'!W41/'Hist &amp; Proj'!W$8,'Hist &amp; Proj'!W41)</f>
        <v>0</v>
      </c>
      <c r="X37" s="181">
        <f ca="1">IF(OR(Assump!$A$7="USD",Assump!$A$7="EURO"),'Hist &amp; Proj'!X41/'Hist &amp; Proj'!X$8,'Hist &amp; Proj'!X41)</f>
        <v>0</v>
      </c>
      <c r="Y37" s="181">
        <f ca="1">IF(OR(Assump!$A$7="USD",Assump!$A$7="EURO"),'Hist &amp; Proj'!Y41/'Hist &amp; Proj'!Y$8,'Hist &amp; Proj'!Y41)</f>
        <v>0</v>
      </c>
      <c r="Z37" s="181">
        <f ca="1">IF(OR(Assump!$A$7="USD",Assump!$A$7="EURO"),'Hist &amp; Proj'!Z41/'Hist &amp; Proj'!Z$8,'Hist &amp; Proj'!Z41)</f>
        <v>0</v>
      </c>
      <c r="AA37" s="181">
        <f ca="1">IF(OR(Assump!$A$7="USD",Assump!$A$7="EURO"),'Hist &amp; Proj'!AA41/'Hist &amp; Proj'!AA$8,'Hist &amp; Proj'!AA41)</f>
        <v>0</v>
      </c>
      <c r="AB37" s="181">
        <f ca="1">IF(OR(Assump!$A$7="USD",Assump!$A$7="EURO"),'Hist &amp; Proj'!AB41/'Hist &amp; Proj'!AB$8,'Hist &amp; Proj'!AB41)</f>
        <v>0</v>
      </c>
      <c r="AC37" s="181">
        <f ca="1">IF(OR(Assump!$A$7="USD",Assump!$A$7="EURO"),'Hist &amp; Proj'!AC41/'Hist &amp; Proj'!AC$8,'Hist &amp; Proj'!AC41)</f>
        <v>0</v>
      </c>
      <c r="AD37" s="181">
        <f ca="1">IF(OR(Assump!$A$7="USD",Assump!$A$7="EURO"),'Hist &amp; Proj'!AD41/'Hist &amp; Proj'!AD$8,'Hist &amp; Proj'!AD41)</f>
        <v>0</v>
      </c>
      <c r="AE37" s="181" t="e">
        <f ca="1">IF(OR(Assump!$A$7="USD",Assump!$A$7="EURO"),'Hist &amp; Proj'!AE41/'Hist &amp; Proj'!AE$8,'Hist &amp; Proj'!AE41)</f>
        <v>#N/A</v>
      </c>
      <c r="AH37" s="178" t="str">
        <f ca="1">IFERROR(RATE(3,0,-C37,R37),"NA")</f>
        <v>NA</v>
      </c>
      <c r="AJ37" s="181">
        <f>IF(OR(Assump!$A$7="USD",Assump!$A$7="EURO"),'Hist &amp; Proj'!AH41/'Hist &amp; Proj'!AH$8,'Hist &amp; Proj'!AH41)</f>
        <v>0</v>
      </c>
      <c r="AK37" s="181">
        <f>IF(OR(Assump!$A$7="USD",Assump!$A$7="EURO"),'Hist &amp; Proj'!AI41/'Hist &amp; Proj'!AI$8,'Hist &amp; Proj'!AI41)</f>
        <v>0</v>
      </c>
      <c r="AL37" s="181">
        <f>IF(OR(Assump!$A$7="USD",Assump!$A$7="EURO"),'Hist &amp; Proj'!AJ41/'Hist &amp; Proj'!AJ$8,'Hist &amp; Proj'!AJ41)</f>
        <v>0</v>
      </c>
      <c r="AM37" s="181">
        <f>IF(OR(Assump!$A$7="USD",Assump!$A$7="EURO"),'Hist &amp; Proj'!AK41/'Hist &amp; Proj'!AK$8,'Hist &amp; Proj'!AK41)</f>
        <v>0</v>
      </c>
      <c r="AN37" s="181">
        <f>IF(OR(Assump!$A$7="USD",Assump!$A$7="EURO"),'Hist &amp; Proj'!AL41/'Hist &amp; Proj'!AL$8,'Hist &amp; Proj'!AL41)</f>
        <v>0</v>
      </c>
      <c r="AP37" s="178" t="str">
        <f>IFERROR(RATE(4,0,-AJ37,AN37),"NA")</f>
        <v>NA</v>
      </c>
    </row>
    <row r="38" spans="1:42" ht="5.2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81"/>
      <c r="AH38" s="178"/>
      <c r="AJ38" s="181"/>
      <c r="AK38" s="181"/>
      <c r="AL38" s="181"/>
      <c r="AM38" s="181"/>
      <c r="AN38" s="181"/>
      <c r="AP38" s="178"/>
    </row>
    <row r="39" spans="1:42">
      <c r="A39" s="185" t="str">
        <f>'Hist &amp; Proj'!A43</f>
        <v>LIABILITIES + EQUITY</v>
      </c>
      <c r="B39" s="186">
        <f t="shared" ref="B39:AE39" si="8">B32+B37</f>
        <v>0</v>
      </c>
      <c r="C39" s="186">
        <f t="shared" si="8"/>
        <v>0</v>
      </c>
      <c r="D39" s="186">
        <f t="shared" si="8"/>
        <v>0</v>
      </c>
      <c r="E39" s="186">
        <f t="shared" si="8"/>
        <v>0</v>
      </c>
      <c r="F39" s="186">
        <f t="shared" ca="1" si="8"/>
        <v>0</v>
      </c>
      <c r="G39" s="186">
        <f t="shared" ca="1" si="8"/>
        <v>0</v>
      </c>
      <c r="H39" s="186">
        <f t="shared" ca="1" si="8"/>
        <v>0</v>
      </c>
      <c r="I39" s="186">
        <f t="shared" ca="1" si="8"/>
        <v>0</v>
      </c>
      <c r="J39" s="186">
        <f t="shared" ca="1" si="8"/>
        <v>0</v>
      </c>
      <c r="K39" s="186">
        <f t="shared" ca="1" si="8"/>
        <v>0</v>
      </c>
      <c r="L39" s="186">
        <f t="shared" ca="1" si="8"/>
        <v>0</v>
      </c>
      <c r="M39" s="186">
        <f t="shared" ca="1" si="8"/>
        <v>0</v>
      </c>
      <c r="N39" s="186">
        <f t="shared" ca="1" si="8"/>
        <v>0</v>
      </c>
      <c r="O39" s="186">
        <f t="shared" ca="1" si="8"/>
        <v>0</v>
      </c>
      <c r="P39" s="186">
        <f t="shared" ca="1" si="8"/>
        <v>0</v>
      </c>
      <c r="Q39" s="186">
        <f t="shared" ca="1" si="8"/>
        <v>0</v>
      </c>
      <c r="R39" s="186">
        <f t="shared" ca="1" si="8"/>
        <v>0</v>
      </c>
      <c r="S39" s="186">
        <f t="shared" ca="1" si="8"/>
        <v>0</v>
      </c>
      <c r="T39" s="186">
        <f t="shared" ca="1" si="8"/>
        <v>0</v>
      </c>
      <c r="U39" s="186">
        <f t="shared" ca="1" si="8"/>
        <v>0</v>
      </c>
      <c r="V39" s="186">
        <f t="shared" ca="1" si="8"/>
        <v>0</v>
      </c>
      <c r="W39" s="186">
        <f t="shared" ca="1" si="8"/>
        <v>0</v>
      </c>
      <c r="X39" s="186">
        <f t="shared" ca="1" si="8"/>
        <v>0</v>
      </c>
      <c r="Y39" s="186">
        <f t="shared" ca="1" si="8"/>
        <v>0</v>
      </c>
      <c r="Z39" s="186">
        <f t="shared" ca="1" si="8"/>
        <v>0</v>
      </c>
      <c r="AA39" s="186">
        <f t="shared" ca="1" si="8"/>
        <v>0</v>
      </c>
      <c r="AB39" s="186">
        <f t="shared" ca="1" si="8"/>
        <v>0</v>
      </c>
      <c r="AC39" s="186">
        <f t="shared" ca="1" si="8"/>
        <v>0</v>
      </c>
      <c r="AD39" s="186">
        <f t="shared" ca="1" si="8"/>
        <v>0</v>
      </c>
      <c r="AE39" s="186" t="e">
        <f t="shared" ca="1" si="8"/>
        <v>#N/A</v>
      </c>
      <c r="AH39" s="370" t="str">
        <f ca="1">IFERROR(RATE(3,0,-C39,R39),"NA")</f>
        <v>NA</v>
      </c>
      <c r="AJ39" s="186">
        <f>AJ32+AJ37</f>
        <v>0</v>
      </c>
      <c r="AK39" s="186">
        <f>AK32+AK37</f>
        <v>0</v>
      </c>
      <c r="AL39" s="186">
        <f>AL32+AL37</f>
        <v>0</v>
      </c>
      <c r="AM39" s="186">
        <f>AM32+AM37</f>
        <v>0</v>
      </c>
      <c r="AN39" s="186">
        <f>AN32+AN37</f>
        <v>0</v>
      </c>
      <c r="AP39" s="370" t="str">
        <f>IFERROR(RATE(4,0,-AJ39,AN39),"NA")</f>
        <v>NA</v>
      </c>
    </row>
    <row r="40" spans="1:42">
      <c r="A40" s="372"/>
      <c r="B40" s="372"/>
      <c r="C40" s="372"/>
      <c r="D40" s="372"/>
      <c r="E40" s="372"/>
      <c r="F40" s="372"/>
      <c r="G40" s="372"/>
      <c r="H40" s="372"/>
      <c r="I40" s="372"/>
      <c r="J40" s="372"/>
      <c r="K40" s="372"/>
      <c r="L40" s="372"/>
      <c r="M40" s="372"/>
      <c r="N40" s="372"/>
      <c r="O40" s="372"/>
      <c r="P40" s="372"/>
      <c r="Q40" s="372"/>
      <c r="R40" s="372"/>
      <c r="S40" s="372"/>
      <c r="T40" s="372"/>
      <c r="U40" s="372"/>
      <c r="V40" s="372"/>
      <c r="W40" s="372"/>
      <c r="X40" s="372"/>
      <c r="Y40" s="372"/>
      <c r="Z40" s="372"/>
      <c r="AA40" s="372"/>
      <c r="AB40" s="372"/>
      <c r="AC40" s="372"/>
      <c r="AD40" s="372"/>
      <c r="AE40" s="372"/>
      <c r="AH40" s="373"/>
      <c r="AJ40" s="372"/>
      <c r="AK40" s="372"/>
      <c r="AL40" s="374"/>
      <c r="AM40" s="375"/>
      <c r="AN40" s="375"/>
      <c r="AP40" s="373"/>
    </row>
    <row r="41" spans="1:42">
      <c r="A41" s="170"/>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c r="AE41" s="170"/>
      <c r="AH41" s="334"/>
      <c r="AJ41" s="170"/>
      <c r="AK41" s="170"/>
      <c r="AL41" s="335"/>
      <c r="AM41" s="208"/>
      <c r="AN41" s="208"/>
      <c r="AP41" s="334"/>
    </row>
    <row r="42" spans="1:42">
      <c r="A42" s="360" t="str">
        <f>CONCATENATE('Hist &amp; Proj'!A46," (",Assump!$A$7,")")</f>
        <v>INCOME STATEMENT ()</v>
      </c>
      <c r="B42" s="760">
        <f>B$7</f>
        <v>692501</v>
      </c>
      <c r="C42" s="760">
        <f t="shared" ref="C42:AD42" si="9">C$7</f>
        <v>692867</v>
      </c>
      <c r="D42" s="760">
        <f t="shared" si="9"/>
        <v>693232</v>
      </c>
      <c r="E42" s="760">
        <f t="shared" si="9"/>
        <v>693597</v>
      </c>
      <c r="F42" s="362">
        <f t="shared" ca="1" si="9"/>
        <v>693628</v>
      </c>
      <c r="G42" s="362">
        <f t="shared" ca="1" si="9"/>
        <v>693656</v>
      </c>
      <c r="H42" s="362">
        <f t="shared" ca="1" si="9"/>
        <v>693687</v>
      </c>
      <c r="I42" s="362">
        <f t="shared" ca="1" si="9"/>
        <v>693717</v>
      </c>
      <c r="J42" s="362">
        <f t="shared" ca="1" si="9"/>
        <v>693748</v>
      </c>
      <c r="K42" s="362">
        <f t="shared" ca="1" si="9"/>
        <v>693778</v>
      </c>
      <c r="L42" s="362">
        <f t="shared" ca="1" si="9"/>
        <v>693809</v>
      </c>
      <c r="M42" s="362">
        <f t="shared" ca="1" si="9"/>
        <v>693840</v>
      </c>
      <c r="N42" s="362">
        <f t="shared" ca="1" si="9"/>
        <v>693870</v>
      </c>
      <c r="O42" s="362">
        <f t="shared" ca="1" si="9"/>
        <v>693901</v>
      </c>
      <c r="P42" s="362">
        <f t="shared" ca="1" si="9"/>
        <v>693931</v>
      </c>
      <c r="Q42" s="362">
        <f t="shared" ca="1" si="9"/>
        <v>693962</v>
      </c>
      <c r="R42" s="760">
        <f t="shared" ca="1" si="9"/>
        <v>693962</v>
      </c>
      <c r="S42" s="362">
        <f t="shared" ca="1" si="9"/>
        <v>31</v>
      </c>
      <c r="T42" s="362">
        <f t="shared" ca="1" si="9"/>
        <v>59</v>
      </c>
      <c r="U42" s="362">
        <f t="shared" ca="1" si="9"/>
        <v>91</v>
      </c>
      <c r="V42" s="362">
        <f t="shared" ca="1" si="9"/>
        <v>121</v>
      </c>
      <c r="W42" s="362">
        <f t="shared" ca="1" si="9"/>
        <v>152</v>
      </c>
      <c r="X42" s="362">
        <f t="shared" ca="1" si="9"/>
        <v>182</v>
      </c>
      <c r="Y42" s="362">
        <f t="shared" ca="1" si="9"/>
        <v>213</v>
      </c>
      <c r="Z42" s="362">
        <f t="shared" ca="1" si="9"/>
        <v>244</v>
      </c>
      <c r="AA42" s="362">
        <f t="shared" ca="1" si="9"/>
        <v>274</v>
      </c>
      <c r="AB42" s="362">
        <f t="shared" ca="1" si="9"/>
        <v>305</v>
      </c>
      <c r="AC42" s="362">
        <f t="shared" ca="1" si="9"/>
        <v>335</v>
      </c>
      <c r="AD42" s="362">
        <f t="shared" ca="1" si="9"/>
        <v>366</v>
      </c>
      <c r="AE42" s="364" t="e">
        <f ca="1">CONCATENATE("YTD ",TEXT(AE$7,"mmm-YY"))</f>
        <v>#N/A</v>
      </c>
      <c r="AF42" s="376" t="e">
        <f ca="1">CONCATENATE("LTM ",TEXT(AE$7,"mmm-YY"))</f>
        <v>#N/A</v>
      </c>
      <c r="AH42" s="365" t="str">
        <f ca="1">AH$7</f>
        <v>'96 - '99 CAGR/Avg.</v>
      </c>
      <c r="AJ42" s="760">
        <f ca="1">AJ$7</f>
        <v>694327</v>
      </c>
      <c r="AK42" s="760">
        <f ca="1">AK$7</f>
        <v>694692</v>
      </c>
      <c r="AL42" s="760">
        <f ca="1">AL$7</f>
        <v>695057</v>
      </c>
      <c r="AM42" s="760">
        <f ca="1">AM$7</f>
        <v>695422</v>
      </c>
      <c r="AN42" s="760">
        <f ca="1">AN$7</f>
        <v>695787</v>
      </c>
      <c r="AP42" s="365" t="str">
        <f ca="1">AP$7</f>
        <v>'00 - '04 CAGR/Avg.</v>
      </c>
    </row>
    <row r="43" spans="1:42" hidden="1" outlineLevel="1">
      <c r="A43" s="377"/>
      <c r="B43" s="378" t="str">
        <f>B$8</f>
        <v>Audited</v>
      </c>
      <c r="C43" s="378" t="str">
        <f t="shared" ref="C43:AE43" si="10">C$8</f>
        <v>Audited</v>
      </c>
      <c r="D43" s="378" t="str">
        <f t="shared" si="10"/>
        <v>Audited</v>
      </c>
      <c r="E43" s="378" t="str">
        <f t="shared" si="10"/>
        <v>Audited</v>
      </c>
      <c r="F43" s="378" t="str">
        <f t="shared" si="10"/>
        <v>Unaudited</v>
      </c>
      <c r="G43" s="378" t="str">
        <f t="shared" si="10"/>
        <v>Unaudited</v>
      </c>
      <c r="H43" s="378" t="str">
        <f t="shared" si="10"/>
        <v>Unaudited</v>
      </c>
      <c r="I43" s="378" t="str">
        <f t="shared" si="10"/>
        <v>Unaudited</v>
      </c>
      <c r="J43" s="378" t="str">
        <f t="shared" si="10"/>
        <v>Unaudited</v>
      </c>
      <c r="K43" s="378" t="str">
        <f t="shared" si="10"/>
        <v>Unaudited</v>
      </c>
      <c r="L43" s="378" t="str">
        <f t="shared" si="10"/>
        <v>Unaudited</v>
      </c>
      <c r="M43" s="378" t="str">
        <f t="shared" si="10"/>
        <v>Unaudited</v>
      </c>
      <c r="N43" s="378" t="str">
        <f t="shared" si="10"/>
        <v>Unaudited</v>
      </c>
      <c r="O43" s="378" t="str">
        <f t="shared" si="10"/>
        <v>Unaudited</v>
      </c>
      <c r="P43" s="378" t="str">
        <f t="shared" si="10"/>
        <v>Unaudited</v>
      </c>
      <c r="Q43" s="378" t="str">
        <f t="shared" si="10"/>
        <v>Unaudited</v>
      </c>
      <c r="R43" s="378" t="str">
        <f t="shared" si="10"/>
        <v>Audited</v>
      </c>
      <c r="S43" s="378" t="str">
        <f t="shared" si="10"/>
        <v>Unaudited</v>
      </c>
      <c r="T43" s="378" t="str">
        <f t="shared" si="10"/>
        <v>Unaudited</v>
      </c>
      <c r="U43" s="378" t="str">
        <f t="shared" si="10"/>
        <v>Unaudited</v>
      </c>
      <c r="V43" s="378" t="str">
        <f t="shared" si="10"/>
        <v>Unaudited</v>
      </c>
      <c r="W43" s="378" t="str">
        <f t="shared" si="10"/>
        <v>Unaudited</v>
      </c>
      <c r="X43" s="378" t="str">
        <f t="shared" si="10"/>
        <v>Unaudited</v>
      </c>
      <c r="Y43" s="378" t="str">
        <f t="shared" si="10"/>
        <v>Unaudited</v>
      </c>
      <c r="Z43" s="378" t="str">
        <f t="shared" si="10"/>
        <v>Unaudited</v>
      </c>
      <c r="AA43" s="378" t="str">
        <f t="shared" si="10"/>
        <v>Unaudited</v>
      </c>
      <c r="AB43" s="378" t="str">
        <f t="shared" si="10"/>
        <v>Unaudited</v>
      </c>
      <c r="AC43" s="378" t="str">
        <f t="shared" si="10"/>
        <v>Unaudited</v>
      </c>
      <c r="AD43" s="378" t="str">
        <f t="shared" si="10"/>
        <v>Unaudited</v>
      </c>
      <c r="AE43" s="378" t="str">
        <f t="shared" si="10"/>
        <v>Unaudited</v>
      </c>
      <c r="AF43" s="378" t="str">
        <f>AE43</f>
        <v>Unaudited</v>
      </c>
      <c r="AH43" s="379"/>
      <c r="AJ43" s="380" t="s">
        <v>307</v>
      </c>
      <c r="AK43" s="380" t="s">
        <v>307</v>
      </c>
      <c r="AL43" s="380" t="s">
        <v>307</v>
      </c>
      <c r="AM43" s="380" t="s">
        <v>307</v>
      </c>
      <c r="AN43" s="380" t="s">
        <v>307</v>
      </c>
      <c r="AP43" s="379"/>
    </row>
    <row r="44" spans="1:42" collapsed="1">
      <c r="A44" s="127" t="str">
        <f>'Hist &amp; Proj'!A51</f>
        <v xml:space="preserve">Financial Revenue </v>
      </c>
      <c r="B44" s="179">
        <f>IF(OR(Assump!$A$7="USD",Assump!$A$7="EURO"),'Hist &amp; Proj'!B51/'Hist &amp; Proj'!B$8,'Hist &amp; Proj'!B51)</f>
        <v>0</v>
      </c>
      <c r="C44" s="179">
        <f>IF(OR(Assump!$A$7="USD",Assump!$A$7="EURO"),'Hist &amp; Proj'!C51/'Hist &amp; Proj'!C$9,'Hist &amp; Proj'!C51)</f>
        <v>0</v>
      </c>
      <c r="D44" s="179">
        <f>IF(OR(Assump!$A$7="USD",Assump!$A$7="EURO"),'Hist &amp; Proj'!D51/'Hist &amp; Proj'!D$9,'Hist &amp; Proj'!D51)</f>
        <v>0</v>
      </c>
      <c r="E44" s="179">
        <f>IF(OR(Assump!$A$7="USD",Assump!$A$7="EURO"),'Hist &amp; Proj'!E51/'Hist &amp; Proj'!E$9,'Hist &amp; Proj'!E51)</f>
        <v>0</v>
      </c>
      <c r="F44" s="179">
        <f ca="1">IF(OR(Assump!$A$7="USD",Assump!$A$7="EURO"),'Hist &amp; Proj'!F51/'Hist &amp; Proj'!F$10,'Hist &amp; Proj'!F51)</f>
        <v>0</v>
      </c>
      <c r="G44" s="179">
        <f ca="1">IF(OR(Assump!$A$7="USD",Assump!$A$7="EURO"),'Hist &amp; Proj'!G51/'Hist &amp; Proj'!G$10,'Hist &amp; Proj'!G51)</f>
        <v>0</v>
      </c>
      <c r="H44" s="179">
        <f ca="1">IF(OR(Assump!$A$7="USD",Assump!$A$7="EURO"),'Hist &amp; Proj'!H51/'Hist &amp; Proj'!H$10,'Hist &amp; Proj'!H51)</f>
        <v>0</v>
      </c>
      <c r="I44" s="179">
        <f ca="1">IF(OR(Assump!$A$7="USD",Assump!$A$7="EURO"),'Hist &amp; Proj'!I51/'Hist &amp; Proj'!I$10,'Hist &amp; Proj'!I51)</f>
        <v>0</v>
      </c>
      <c r="J44" s="179">
        <f ca="1">IF(OR(Assump!$A$7="USD",Assump!$A$7="EURO"),'Hist &amp; Proj'!J51/'Hist &amp; Proj'!J$10,'Hist &amp; Proj'!J51)</f>
        <v>0</v>
      </c>
      <c r="K44" s="179">
        <f ca="1">IF(OR(Assump!$A$7="USD",Assump!$A$7="EURO"),'Hist &amp; Proj'!K51/'Hist &amp; Proj'!K$10,'Hist &amp; Proj'!K51)</f>
        <v>0</v>
      </c>
      <c r="L44" s="179">
        <f ca="1">IF(OR(Assump!$A$7="USD",Assump!$A$7="EURO"),'Hist &amp; Proj'!L51/'Hist &amp; Proj'!L$10,'Hist &amp; Proj'!L51)</f>
        <v>0</v>
      </c>
      <c r="M44" s="179">
        <f ca="1">IF(OR(Assump!$A$7="USD",Assump!$A$7="EURO"),'Hist &amp; Proj'!M51/'Hist &amp; Proj'!M$10,'Hist &amp; Proj'!M51)</f>
        <v>0</v>
      </c>
      <c r="N44" s="179">
        <f ca="1">IF(OR(Assump!$A$7="USD",Assump!$A$7="EURO"),'Hist &amp; Proj'!N51/'Hist &amp; Proj'!N$10,'Hist &amp; Proj'!N51)</f>
        <v>0</v>
      </c>
      <c r="O44" s="179">
        <f ca="1">IF(OR(Assump!$A$7="USD",Assump!$A$7="EURO"),'Hist &amp; Proj'!O51/'Hist &amp; Proj'!O$10,'Hist &amp; Proj'!O51)</f>
        <v>0</v>
      </c>
      <c r="P44" s="179">
        <f ca="1">IF(OR(Assump!$A$7="USD",Assump!$A$7="EURO"),'Hist &amp; Proj'!P51/'Hist &amp; Proj'!P$10,'Hist &amp; Proj'!P51)</f>
        <v>0</v>
      </c>
      <c r="Q44" s="179">
        <f ca="1">IF(OR(Assump!$A$7="USD",Assump!$A$7="EURO"),'Hist &amp; Proj'!Q51/'Hist &amp; Proj'!Q$10,'Hist &amp; Proj'!Q51)</f>
        <v>0</v>
      </c>
      <c r="R44" s="179">
        <f ca="1">IF(OR(Assump!$A$7="USD",Assump!$A$7="EURO"),'Hist &amp; Proj'!R51/'Hist &amp; Proj'!R$10,'Hist &amp; Proj'!R51)</f>
        <v>0</v>
      </c>
      <c r="S44" s="179">
        <f ca="1">IF(OR(Assump!$A$7="USD",Assump!$A$7="EURO"),'Hist &amp; Proj'!S51/'Hist &amp; Proj'!S$10,'Hist &amp; Proj'!S51)</f>
        <v>0</v>
      </c>
      <c r="T44" s="179">
        <f ca="1">IF(OR(Assump!$A$7="USD",Assump!$A$7="EURO"),'Hist &amp; Proj'!T51/'Hist &amp; Proj'!T$10,'Hist &amp; Proj'!T51)</f>
        <v>0</v>
      </c>
      <c r="U44" s="179">
        <f ca="1">IF(OR(Assump!$A$7="USD",Assump!$A$7="EURO"),'Hist &amp; Proj'!U51/'Hist &amp; Proj'!U$10,'Hist &amp; Proj'!U51)</f>
        <v>0</v>
      </c>
      <c r="V44" s="179">
        <f ca="1">IF(OR(Assump!$A$7="USD",Assump!$A$7="EURO"),'Hist &amp; Proj'!V51/'Hist &amp; Proj'!V$10,'Hist &amp; Proj'!V51)</f>
        <v>0</v>
      </c>
      <c r="W44" s="179">
        <f ca="1">IF(OR(Assump!$A$7="USD",Assump!$A$7="EURO"),'Hist &amp; Proj'!W51/'Hist &amp; Proj'!W$10,'Hist &amp; Proj'!W51)</f>
        <v>0</v>
      </c>
      <c r="X44" s="179">
        <f ca="1">IF(OR(Assump!$A$7="USD",Assump!$A$7="EURO"),'Hist &amp; Proj'!X51/'Hist &amp; Proj'!X$10,'Hist &amp; Proj'!X51)</f>
        <v>0</v>
      </c>
      <c r="Y44" s="179">
        <f ca="1">IF(OR(Assump!$A$7="USD",Assump!$A$7="EURO"),'Hist &amp; Proj'!Y51/'Hist &amp; Proj'!Y$10,'Hist &amp; Proj'!Y51)</f>
        <v>0</v>
      </c>
      <c r="Z44" s="179">
        <f ca="1">IF(OR(Assump!$A$7="USD",Assump!$A$7="EURO"),'Hist &amp; Proj'!Z51/'Hist &amp; Proj'!Z$10,'Hist &amp; Proj'!Z51)</f>
        <v>0</v>
      </c>
      <c r="AA44" s="179">
        <f ca="1">IF(OR(Assump!$A$7="USD",Assump!$A$7="EURO"),'Hist &amp; Proj'!AA51/'Hist &amp; Proj'!AA$10,'Hist &amp; Proj'!AA51)</f>
        <v>0</v>
      </c>
      <c r="AB44" s="179">
        <f ca="1">IF(OR(Assump!$A$7="USD",Assump!$A$7="EURO"),'Hist &amp; Proj'!AB51/'Hist &amp; Proj'!AB$10,'Hist &amp; Proj'!AB51)</f>
        <v>0</v>
      </c>
      <c r="AC44" s="179">
        <f ca="1">IF(OR(Assump!$A$7="USD",Assump!$A$7="EURO"),'Hist &amp; Proj'!AC51/'Hist &amp; Proj'!AC$10,'Hist &amp; Proj'!AC51)</f>
        <v>0</v>
      </c>
      <c r="AD44" s="179">
        <f ca="1">IF(OR(Assump!$A$7="USD",Assump!$A$7="EURO"),'Hist &amp; Proj'!AD51/'Hist &amp; Proj'!AD$10,'Hist &amp; Proj'!AD51)</f>
        <v>0</v>
      </c>
      <c r="AE44" s="179" t="e">
        <f ca="1">IF(OR(Assump!$A$7="USD",Assump!$A$7="EURO"),'Hist &amp; Proj'!AE51/'Hist &amp; Proj'!AE$10,'Hist &amp; Proj'!AE51)</f>
        <v>#N/A</v>
      </c>
      <c r="AF44" s="179" t="e">
        <f ca="1">IF(OR(Assump!$A$7="USD",Assump!$A$7="EURO"),'Hist &amp; Proj'!AF51/'Hist &amp; Proj'!AE$9,'Hist &amp; Proj'!AF51)</f>
        <v>#N/A</v>
      </c>
      <c r="AH44" s="367" t="str">
        <f ca="1">IFERROR(RATE(3,0,-C44,R44),"NA")</f>
        <v>NA</v>
      </c>
      <c r="AJ44" s="179">
        <f>IF(OR(Assump!$A$7="USD",Assump!$A$7="EURO"),'Hist &amp; Proj'!AH51/'Hist &amp; Proj'!AH$8,'Hist &amp; Proj'!AH51)</f>
        <v>0</v>
      </c>
      <c r="AK44" s="179">
        <f>IF(OR(Assump!$A$7="USD",Assump!$A$7="EURO"),'Hist &amp; Proj'!AI51/'Hist &amp; Proj'!AI$8,'Hist &amp; Proj'!AI51)</f>
        <v>0</v>
      </c>
      <c r="AL44" s="179">
        <f>IF(OR(Assump!$A$7="USD",Assump!$A$7="EURO"),'Hist &amp; Proj'!AJ51/'Hist &amp; Proj'!AJ$8,'Hist &amp; Proj'!AJ51)</f>
        <v>0</v>
      </c>
      <c r="AM44" s="179">
        <f>IF(OR(Assump!$A$7="USD",Assump!$A$7="EURO"),'Hist &amp; Proj'!AK51/'Hist &amp; Proj'!AK$8,'Hist &amp; Proj'!AK51)</f>
        <v>0</v>
      </c>
      <c r="AN44" s="179">
        <f>IF(OR(Assump!$A$7="USD",Assump!$A$7="EURO"),'Hist &amp; Proj'!AL51/'Hist &amp; Proj'!AL$8,'Hist &amp; Proj'!AL51)</f>
        <v>0</v>
      </c>
      <c r="AP44" s="367" t="str">
        <f>IFERROR(RATE(4,0,-AJ44,AN44),"NA")</f>
        <v>NA</v>
      </c>
    </row>
    <row r="45" spans="1:42">
      <c r="A45" s="127" t="str">
        <f>'Hist &amp; Proj'!A52</f>
        <v>Financial Expenses</v>
      </c>
      <c r="B45" s="179">
        <f>IF(OR(Assump!$A$7="USD",Assump!$A$7="EURO"),'Hist &amp; Proj'!B52/'Hist &amp; Proj'!B$8,'Hist &amp; Proj'!B52)</f>
        <v>0</v>
      </c>
      <c r="C45" s="179">
        <f>IF(OR(Assump!$A$7="USD",Assump!$A$7="EURO"),'Hist &amp; Proj'!C52/'Hist &amp; Proj'!C$9,'Hist &amp; Proj'!C52)</f>
        <v>0</v>
      </c>
      <c r="D45" s="179">
        <f>IF(OR(Assump!$A$7="USD",Assump!$A$7="EURO"),'Hist &amp; Proj'!D52/'Hist &amp; Proj'!D$9,'Hist &amp; Proj'!D52)</f>
        <v>0</v>
      </c>
      <c r="E45" s="179">
        <f>IF(OR(Assump!$A$7="USD",Assump!$A$7="EURO"),'Hist &amp; Proj'!E52/'Hist &amp; Proj'!E$9,'Hist &amp; Proj'!E52)</f>
        <v>0</v>
      </c>
      <c r="F45" s="179">
        <f ca="1">IF(OR(Assump!$A$7="USD",Assump!$A$7="EURO"),'Hist &amp; Proj'!F52/'Hist &amp; Proj'!F$10,'Hist &amp; Proj'!F52)</f>
        <v>0</v>
      </c>
      <c r="G45" s="179">
        <f ca="1">IF(OR(Assump!$A$7="USD",Assump!$A$7="EURO"),'Hist &amp; Proj'!G52/'Hist &amp; Proj'!G$10,'Hist &amp; Proj'!G52)</f>
        <v>0</v>
      </c>
      <c r="H45" s="179">
        <f ca="1">IF(OR(Assump!$A$7="USD",Assump!$A$7="EURO"),'Hist &amp; Proj'!H52/'Hist &amp; Proj'!H$10,'Hist &amp; Proj'!H52)</f>
        <v>0</v>
      </c>
      <c r="I45" s="179">
        <f ca="1">IF(OR(Assump!$A$7="USD",Assump!$A$7="EURO"),'Hist &amp; Proj'!I52/'Hist &amp; Proj'!I$10,'Hist &amp; Proj'!I52)</f>
        <v>0</v>
      </c>
      <c r="J45" s="179">
        <f ca="1">IF(OR(Assump!$A$7="USD",Assump!$A$7="EURO"),'Hist &amp; Proj'!J52/'Hist &amp; Proj'!J$10,'Hist &amp; Proj'!J52)</f>
        <v>0</v>
      </c>
      <c r="K45" s="179">
        <f ca="1">IF(OR(Assump!$A$7="USD",Assump!$A$7="EURO"),'Hist &amp; Proj'!K52/'Hist &amp; Proj'!K$10,'Hist &amp; Proj'!K52)</f>
        <v>0</v>
      </c>
      <c r="L45" s="179">
        <f ca="1">IF(OR(Assump!$A$7="USD",Assump!$A$7="EURO"),'Hist &amp; Proj'!L52/'Hist &amp; Proj'!L$10,'Hist &amp; Proj'!L52)</f>
        <v>0</v>
      </c>
      <c r="M45" s="179">
        <f ca="1">IF(OR(Assump!$A$7="USD",Assump!$A$7="EURO"),'Hist &amp; Proj'!M52/'Hist &amp; Proj'!M$10,'Hist &amp; Proj'!M52)</f>
        <v>0</v>
      </c>
      <c r="N45" s="179">
        <f ca="1">IF(OR(Assump!$A$7="USD",Assump!$A$7="EURO"),'Hist &amp; Proj'!N52/'Hist &amp; Proj'!N$10,'Hist &amp; Proj'!N52)</f>
        <v>0</v>
      </c>
      <c r="O45" s="179">
        <f ca="1">IF(OR(Assump!$A$7="USD",Assump!$A$7="EURO"),'Hist &amp; Proj'!O52/'Hist &amp; Proj'!O$10,'Hist &amp; Proj'!O52)</f>
        <v>0</v>
      </c>
      <c r="P45" s="179">
        <f ca="1">IF(OR(Assump!$A$7="USD",Assump!$A$7="EURO"),'Hist &amp; Proj'!P52/'Hist &amp; Proj'!P$10,'Hist &amp; Proj'!P52)</f>
        <v>0</v>
      </c>
      <c r="Q45" s="179">
        <f ca="1">IF(OR(Assump!$A$7="USD",Assump!$A$7="EURO"),'Hist &amp; Proj'!Q52/'Hist &amp; Proj'!Q$10,'Hist &amp; Proj'!Q52)</f>
        <v>0</v>
      </c>
      <c r="R45" s="179">
        <f ca="1">IF(OR(Assump!$A$7="USD",Assump!$A$7="EURO"),'Hist &amp; Proj'!R52/'Hist &amp; Proj'!R$10,'Hist &amp; Proj'!R52)</f>
        <v>0</v>
      </c>
      <c r="S45" s="179">
        <f ca="1">IF(OR(Assump!$A$7="USD",Assump!$A$7="EURO"),'Hist &amp; Proj'!S52/'Hist &amp; Proj'!S$10,'Hist &amp; Proj'!S52)</f>
        <v>0</v>
      </c>
      <c r="T45" s="179">
        <f ca="1">IF(OR(Assump!$A$7="USD",Assump!$A$7="EURO"),'Hist &amp; Proj'!T52/'Hist &amp; Proj'!T$10,'Hist &amp; Proj'!T52)</f>
        <v>0</v>
      </c>
      <c r="U45" s="179">
        <f ca="1">IF(OR(Assump!$A$7="USD",Assump!$A$7="EURO"),'Hist &amp; Proj'!U52/'Hist &amp; Proj'!U$10,'Hist &amp; Proj'!U52)</f>
        <v>0</v>
      </c>
      <c r="V45" s="179">
        <f ca="1">IF(OR(Assump!$A$7="USD",Assump!$A$7="EURO"),'Hist &amp; Proj'!V52/'Hist &amp; Proj'!V$10,'Hist &amp; Proj'!V52)</f>
        <v>0</v>
      </c>
      <c r="W45" s="179">
        <f ca="1">IF(OR(Assump!$A$7="USD",Assump!$A$7="EURO"),'Hist &amp; Proj'!W52/'Hist &amp; Proj'!W$10,'Hist &amp; Proj'!W52)</f>
        <v>0</v>
      </c>
      <c r="X45" s="179">
        <f ca="1">IF(OR(Assump!$A$7="USD",Assump!$A$7="EURO"),'Hist &amp; Proj'!X52/'Hist &amp; Proj'!X$10,'Hist &amp; Proj'!X52)</f>
        <v>0</v>
      </c>
      <c r="Y45" s="179">
        <f ca="1">IF(OR(Assump!$A$7="USD",Assump!$A$7="EURO"),'Hist &amp; Proj'!Y52/'Hist &amp; Proj'!Y$10,'Hist &amp; Proj'!Y52)</f>
        <v>0</v>
      </c>
      <c r="Z45" s="179">
        <f ca="1">IF(OR(Assump!$A$7="USD",Assump!$A$7="EURO"),'Hist &amp; Proj'!Z52/'Hist &amp; Proj'!Z$10,'Hist &amp; Proj'!Z52)</f>
        <v>0</v>
      </c>
      <c r="AA45" s="179">
        <f ca="1">IF(OR(Assump!$A$7="USD",Assump!$A$7="EURO"),'Hist &amp; Proj'!AA52/'Hist &amp; Proj'!AA$10,'Hist &amp; Proj'!AA52)</f>
        <v>0</v>
      </c>
      <c r="AB45" s="179">
        <f ca="1">IF(OR(Assump!$A$7="USD",Assump!$A$7="EURO"),'Hist &amp; Proj'!AB52/'Hist &amp; Proj'!AB$10,'Hist &amp; Proj'!AB52)</f>
        <v>0</v>
      </c>
      <c r="AC45" s="179">
        <f ca="1">IF(OR(Assump!$A$7="USD",Assump!$A$7="EURO"),'Hist &amp; Proj'!AC52/'Hist &amp; Proj'!AC$10,'Hist &amp; Proj'!AC52)</f>
        <v>0</v>
      </c>
      <c r="AD45" s="179">
        <f ca="1">IF(OR(Assump!$A$7="USD",Assump!$A$7="EURO"),'Hist &amp; Proj'!AD52/'Hist &amp; Proj'!AD$10,'Hist &amp; Proj'!AD52)</f>
        <v>0</v>
      </c>
      <c r="AE45" s="179" t="e">
        <f ca="1">IF(OR(Assump!$A$7="USD",Assump!$A$7="EURO"),'Hist &amp; Proj'!AE52/'Hist &amp; Proj'!AE$10,'Hist &amp; Proj'!AE52)</f>
        <v>#N/A</v>
      </c>
      <c r="AF45" s="179" t="e">
        <f ca="1">IF(OR(Assump!$A$7="USD",Assump!$A$7="EURO"),'Hist &amp; Proj'!AF52/'Hist &amp; Proj'!AE$9,'Hist &amp; Proj'!AF52)</f>
        <v>#N/A</v>
      </c>
      <c r="AH45" s="367" t="str">
        <f ca="1">IFERROR(RATE(3,0,-C45,R45),"NA")</f>
        <v>NA</v>
      </c>
      <c r="AJ45" s="179">
        <f>IF(OR(Assump!$A$7="USD",Assump!$A$7="EURO"),'Hist &amp; Proj'!AH52/'Hist &amp; Proj'!AH$8,'Hist &amp; Proj'!AH52)</f>
        <v>0</v>
      </c>
      <c r="AK45" s="179">
        <f>IF(OR(Assump!$A$7="USD",Assump!$A$7="EURO"),'Hist &amp; Proj'!AI52/'Hist &amp; Proj'!AI$8,'Hist &amp; Proj'!AI52)</f>
        <v>0</v>
      </c>
      <c r="AL45" s="179">
        <f>IF(OR(Assump!$A$7="USD",Assump!$A$7="EURO"),'Hist &amp; Proj'!AJ52/'Hist &amp; Proj'!AJ$8,'Hist &amp; Proj'!AJ52)</f>
        <v>0</v>
      </c>
      <c r="AM45" s="179">
        <f>IF(OR(Assump!$A$7="USD",Assump!$A$7="EURO"),'Hist &amp; Proj'!AK52/'Hist &amp; Proj'!AK$8,'Hist &amp; Proj'!AK52)</f>
        <v>0</v>
      </c>
      <c r="AN45" s="179">
        <f>IF(OR(Assump!$A$7="USD",Assump!$A$7="EURO"),'Hist &amp; Proj'!AL52/'Hist &amp; Proj'!AL$8,'Hist &amp; Proj'!AL52)</f>
        <v>0</v>
      </c>
      <c r="AP45" s="367" t="str">
        <f>IFERROR(RATE(4,0,-AJ45,AN45),"NA")</f>
        <v>NA</v>
      </c>
    </row>
    <row r="46" spans="1:42" outlineLevel="1">
      <c r="A46" s="131" t="str">
        <f>'Hist &amp; Proj'!A53</f>
        <v>Net Monetary/Inflation Adjustments</v>
      </c>
      <c r="B46" s="179">
        <f>IF(OR(Assump!$A$7="USD",Assump!$A$7="EURO"),'Hist &amp; Proj'!B53/'Hist &amp; Proj'!B$8,'Hist &amp; Proj'!B53)</f>
        <v>0</v>
      </c>
      <c r="C46" s="179">
        <f>IF(OR(Assump!$A$7="USD",Assump!$A$7="EURO"),'Hist &amp; Proj'!C53/'Hist &amp; Proj'!C$9,'Hist &amp; Proj'!C53)</f>
        <v>0</v>
      </c>
      <c r="D46" s="179">
        <f>IF(OR(Assump!$A$7="USD",Assump!$A$7="EURO"),'Hist &amp; Proj'!D53/'Hist &amp; Proj'!D$9,'Hist &amp; Proj'!D53)</f>
        <v>0</v>
      </c>
      <c r="E46" s="179">
        <f>IF(OR(Assump!$A$7="USD",Assump!$A$7="EURO"),'Hist &amp; Proj'!E53/'Hist &amp; Proj'!E$9,'Hist &amp; Proj'!E53)</f>
        <v>0</v>
      </c>
      <c r="F46" s="179">
        <f ca="1">IF(OR(Assump!$A$7="USD",Assump!$A$7="EURO"),'Hist &amp; Proj'!F53/'Hist &amp; Proj'!F$10,'Hist &amp; Proj'!F53)</f>
        <v>0</v>
      </c>
      <c r="G46" s="179">
        <f ca="1">IF(OR(Assump!$A$7="USD",Assump!$A$7="EURO"),'Hist &amp; Proj'!G53/'Hist &amp; Proj'!G$10,'Hist &amp; Proj'!G53)</f>
        <v>0</v>
      </c>
      <c r="H46" s="179">
        <f ca="1">IF(OR(Assump!$A$7="USD",Assump!$A$7="EURO"),'Hist &amp; Proj'!H53/'Hist &amp; Proj'!H$10,'Hist &amp; Proj'!H53)</f>
        <v>0</v>
      </c>
      <c r="I46" s="179">
        <f ca="1">IF(OR(Assump!$A$7="USD",Assump!$A$7="EURO"),'Hist &amp; Proj'!I53/'Hist &amp; Proj'!I$10,'Hist &amp; Proj'!I53)</f>
        <v>0</v>
      </c>
      <c r="J46" s="179">
        <f ca="1">IF(OR(Assump!$A$7="USD",Assump!$A$7="EURO"),'Hist &amp; Proj'!J53/'Hist &amp; Proj'!J$10,'Hist &amp; Proj'!J53)</f>
        <v>0</v>
      </c>
      <c r="K46" s="179">
        <f ca="1">IF(OR(Assump!$A$7="USD",Assump!$A$7="EURO"),'Hist &amp; Proj'!K53/'Hist &amp; Proj'!K$10,'Hist &amp; Proj'!K53)</f>
        <v>0</v>
      </c>
      <c r="L46" s="179">
        <f ca="1">IF(OR(Assump!$A$7="USD",Assump!$A$7="EURO"),'Hist &amp; Proj'!L53/'Hist &amp; Proj'!L$10,'Hist &amp; Proj'!L53)</f>
        <v>0</v>
      </c>
      <c r="M46" s="179">
        <f ca="1">IF(OR(Assump!$A$7="USD",Assump!$A$7="EURO"),'Hist &amp; Proj'!M53/'Hist &amp; Proj'!M$10,'Hist &amp; Proj'!M53)</f>
        <v>0</v>
      </c>
      <c r="N46" s="179">
        <f ca="1">IF(OR(Assump!$A$7="USD",Assump!$A$7="EURO"),'Hist &amp; Proj'!N53/'Hist &amp; Proj'!N$10,'Hist &amp; Proj'!N53)</f>
        <v>0</v>
      </c>
      <c r="O46" s="179">
        <f ca="1">IF(OR(Assump!$A$7="USD",Assump!$A$7="EURO"),'Hist &amp; Proj'!O53/'Hist &amp; Proj'!O$10,'Hist &amp; Proj'!O53)</f>
        <v>0</v>
      </c>
      <c r="P46" s="179">
        <f ca="1">IF(OR(Assump!$A$7="USD",Assump!$A$7="EURO"),'Hist &amp; Proj'!P53/'Hist &amp; Proj'!P$10,'Hist &amp; Proj'!P53)</f>
        <v>0</v>
      </c>
      <c r="Q46" s="179">
        <f ca="1">IF(OR(Assump!$A$7="USD",Assump!$A$7="EURO"),'Hist &amp; Proj'!Q53/'Hist &amp; Proj'!Q$10,'Hist &amp; Proj'!Q53)</f>
        <v>0</v>
      </c>
      <c r="R46" s="179">
        <f ca="1">IF(OR(Assump!$A$7="USD",Assump!$A$7="EURO"),'Hist &amp; Proj'!R53/'Hist &amp; Proj'!R$10,'Hist &amp; Proj'!R53)</f>
        <v>0</v>
      </c>
      <c r="S46" s="179">
        <f ca="1">IF(OR(Assump!$A$7="USD",Assump!$A$7="EURO"),'Hist &amp; Proj'!S53/'Hist &amp; Proj'!S$10,'Hist &amp; Proj'!S53)</f>
        <v>0</v>
      </c>
      <c r="T46" s="179">
        <f ca="1">IF(OR(Assump!$A$7="USD",Assump!$A$7="EURO"),'Hist &amp; Proj'!T53/'Hist &amp; Proj'!T$10,'Hist &amp; Proj'!T53)</f>
        <v>0</v>
      </c>
      <c r="U46" s="179">
        <f ca="1">IF(OR(Assump!$A$7="USD",Assump!$A$7="EURO"),'Hist &amp; Proj'!U53/'Hist &amp; Proj'!U$10,'Hist &amp; Proj'!U53)</f>
        <v>0</v>
      </c>
      <c r="V46" s="179">
        <f ca="1">IF(OR(Assump!$A$7="USD",Assump!$A$7="EURO"),'Hist &amp; Proj'!V53/'Hist &amp; Proj'!V$10,'Hist &amp; Proj'!V53)</f>
        <v>0</v>
      </c>
      <c r="W46" s="179">
        <f ca="1">IF(OR(Assump!$A$7="USD",Assump!$A$7="EURO"),'Hist &amp; Proj'!W53/'Hist &amp; Proj'!W$10,'Hist &amp; Proj'!W53)</f>
        <v>0</v>
      </c>
      <c r="X46" s="179">
        <f ca="1">IF(OR(Assump!$A$7="USD",Assump!$A$7="EURO"),'Hist &amp; Proj'!X53/'Hist &amp; Proj'!X$10,'Hist &amp; Proj'!X53)</f>
        <v>0</v>
      </c>
      <c r="Y46" s="179">
        <f ca="1">IF(OR(Assump!$A$7="USD",Assump!$A$7="EURO"),'Hist &amp; Proj'!Y53/'Hist &amp; Proj'!Y$10,'Hist &amp; Proj'!Y53)</f>
        <v>0</v>
      </c>
      <c r="Z46" s="179">
        <f ca="1">IF(OR(Assump!$A$7="USD",Assump!$A$7="EURO"),'Hist &amp; Proj'!Z53/'Hist &amp; Proj'!Z$10,'Hist &amp; Proj'!Z53)</f>
        <v>0</v>
      </c>
      <c r="AA46" s="179">
        <f ca="1">IF(OR(Assump!$A$7="USD",Assump!$A$7="EURO"),'Hist &amp; Proj'!AA53/'Hist &amp; Proj'!AA$10,'Hist &amp; Proj'!AA53)</f>
        <v>0</v>
      </c>
      <c r="AB46" s="179">
        <f ca="1">IF(OR(Assump!$A$7="USD",Assump!$A$7="EURO"),'Hist &amp; Proj'!AB53/'Hist &amp; Proj'!AB$10,'Hist &amp; Proj'!AB53)</f>
        <v>0</v>
      </c>
      <c r="AC46" s="179">
        <f ca="1">IF(OR(Assump!$A$7="USD",Assump!$A$7="EURO"),'Hist &amp; Proj'!AC53/'Hist &amp; Proj'!AC$10,'Hist &amp; Proj'!AC53)</f>
        <v>0</v>
      </c>
      <c r="AD46" s="179">
        <f ca="1">IF(OR(Assump!$A$7="USD",Assump!$A$7="EURO"),'Hist &amp; Proj'!AD53/'Hist &amp; Proj'!AD$10,'Hist &amp; Proj'!AD53)</f>
        <v>0</v>
      </c>
      <c r="AE46" s="179" t="e">
        <f ca="1">IF(OR(Assump!$A$7="USD",Assump!$A$7="EURO"),'Hist &amp; Proj'!AE53/'Hist &amp; Proj'!AE$10,'Hist &amp; Proj'!AE53)</f>
        <v>#N/A</v>
      </c>
      <c r="AF46" s="179" t="e">
        <f ca="1">IF(OR(Assump!$A$7="USD",Assump!$A$7="EURO"),'Hist &amp; Proj'!AF53/'Hist &amp; Proj'!AE$9,'Hist &amp; Proj'!AF53)</f>
        <v>#N/A</v>
      </c>
      <c r="AH46" s="367" t="str">
        <f ca="1">IFERROR(RATE(3,0,-C46,R46),"NA")</f>
        <v>NA</v>
      </c>
      <c r="AJ46" s="179">
        <f>IF(OR(Assump!$A$7="USD",Assump!$A$7="EURO"),'Hist &amp; Proj'!AH53/'Hist &amp; Proj'!AH$8,'Hist &amp; Proj'!AH53)</f>
        <v>0</v>
      </c>
      <c r="AK46" s="179">
        <f>IF(OR(Assump!$A$7="USD",Assump!$A$7="EURO"),'Hist &amp; Proj'!AI53/'Hist &amp; Proj'!AI$8,'Hist &amp; Proj'!AI53)</f>
        <v>0</v>
      </c>
      <c r="AL46" s="179">
        <f>IF(OR(Assump!$A$7="USD",Assump!$A$7="EURO"),'Hist &amp; Proj'!AJ53/'Hist &amp; Proj'!AJ$8,'Hist &amp; Proj'!AJ53)</f>
        <v>0</v>
      </c>
      <c r="AM46" s="179">
        <f>IF(OR(Assump!$A$7="USD",Assump!$A$7="EURO"),'Hist &amp; Proj'!AK53/'Hist &amp; Proj'!AK$8,'Hist &amp; Proj'!AK53)</f>
        <v>0</v>
      </c>
      <c r="AN46" s="179">
        <f>IF(OR(Assump!$A$7="USD",Assump!$A$7="EURO"),'Hist &amp; Proj'!AL53/'Hist &amp; Proj'!AL$8,'Hist &amp; Proj'!AL53)</f>
        <v>0</v>
      </c>
      <c r="AP46" s="367" t="str">
        <f>IFERROR(RATE(4,0,-AJ46,AN46),"NA")</f>
        <v>NA</v>
      </c>
    </row>
    <row r="47" spans="1:42">
      <c r="A47" s="187" t="str">
        <f>'Hist &amp; Proj'!A54</f>
        <v>Loan Loss Provision Expense</v>
      </c>
      <c r="B47" s="179">
        <f>IF(OR(Assump!$A$7="USD",Assump!$A$7="EURO"),'Hist &amp; Proj'!B54/'Hist &amp; Proj'!B$8,'Hist &amp; Proj'!B54)</f>
        <v>0</v>
      </c>
      <c r="C47" s="179">
        <f>IF(OR(Assump!$A$7="USD",Assump!$A$7="EURO"),'Hist &amp; Proj'!C54/'Hist &amp; Proj'!C$9,'Hist &amp; Proj'!C54)</f>
        <v>0</v>
      </c>
      <c r="D47" s="179">
        <f>IF(OR(Assump!$A$7="USD",Assump!$A$7="EURO"),'Hist &amp; Proj'!D54/'Hist &amp; Proj'!D$9,'Hist &amp; Proj'!D54)</f>
        <v>0</v>
      </c>
      <c r="E47" s="179">
        <f>IF(OR(Assump!$A$7="USD",Assump!$A$7="EURO"),'Hist &amp; Proj'!E54/'Hist &amp; Proj'!E$9,'Hist &amp; Proj'!E54)</f>
        <v>0</v>
      </c>
      <c r="F47" s="179">
        <f ca="1">IF(OR(Assump!$A$7="USD",Assump!$A$7="EURO"),'Hist &amp; Proj'!F54/'Hist &amp; Proj'!F$10,'Hist &amp; Proj'!F54)</f>
        <v>0</v>
      </c>
      <c r="G47" s="179">
        <f ca="1">IF(OR(Assump!$A$7="USD",Assump!$A$7="EURO"),'Hist &amp; Proj'!G54/'Hist &amp; Proj'!G$10,'Hist &amp; Proj'!G54)</f>
        <v>0</v>
      </c>
      <c r="H47" s="179">
        <f ca="1">IF(OR(Assump!$A$7="USD",Assump!$A$7="EURO"),'Hist &amp; Proj'!H54/'Hist &amp; Proj'!H$10,'Hist &amp; Proj'!H54)</f>
        <v>0</v>
      </c>
      <c r="I47" s="179">
        <f ca="1">IF(OR(Assump!$A$7="USD",Assump!$A$7="EURO"),'Hist &amp; Proj'!I54/'Hist &amp; Proj'!I$10,'Hist &amp; Proj'!I54)</f>
        <v>0</v>
      </c>
      <c r="J47" s="179">
        <f ca="1">IF(OR(Assump!$A$7="USD",Assump!$A$7="EURO"),'Hist &amp; Proj'!J54/'Hist &amp; Proj'!J$10,'Hist &amp; Proj'!J54)</f>
        <v>0</v>
      </c>
      <c r="K47" s="179">
        <f ca="1">IF(OR(Assump!$A$7="USD",Assump!$A$7="EURO"),'Hist &amp; Proj'!K54/'Hist &amp; Proj'!K$10,'Hist &amp; Proj'!K54)</f>
        <v>0</v>
      </c>
      <c r="L47" s="179">
        <f ca="1">IF(OR(Assump!$A$7="USD",Assump!$A$7="EURO"),'Hist &amp; Proj'!L54/'Hist &amp; Proj'!L$10,'Hist &amp; Proj'!L54)</f>
        <v>0</v>
      </c>
      <c r="M47" s="179">
        <f ca="1">IF(OR(Assump!$A$7="USD",Assump!$A$7="EURO"),'Hist &amp; Proj'!M54/'Hist &amp; Proj'!M$10,'Hist &amp; Proj'!M54)</f>
        <v>0</v>
      </c>
      <c r="N47" s="179">
        <f ca="1">IF(OR(Assump!$A$7="USD",Assump!$A$7="EURO"),'Hist &amp; Proj'!N54/'Hist &amp; Proj'!N$10,'Hist &amp; Proj'!N54)</f>
        <v>0</v>
      </c>
      <c r="O47" s="179">
        <f ca="1">IF(OR(Assump!$A$7="USD",Assump!$A$7="EURO"),'Hist &amp; Proj'!O54/'Hist &amp; Proj'!O$10,'Hist &amp; Proj'!O54)</f>
        <v>0</v>
      </c>
      <c r="P47" s="179">
        <f ca="1">IF(OR(Assump!$A$7="USD",Assump!$A$7="EURO"),'Hist &amp; Proj'!P54/'Hist &amp; Proj'!P$10,'Hist &amp; Proj'!P54)</f>
        <v>0</v>
      </c>
      <c r="Q47" s="179">
        <f ca="1">IF(OR(Assump!$A$7="USD",Assump!$A$7="EURO"),'Hist &amp; Proj'!Q54/'Hist &amp; Proj'!Q$10,'Hist &amp; Proj'!Q54)</f>
        <v>0</v>
      </c>
      <c r="R47" s="179">
        <f ca="1">IF(OR(Assump!$A$7="USD",Assump!$A$7="EURO"),'Hist &amp; Proj'!R54/'Hist &amp; Proj'!R$10,'Hist &amp; Proj'!R54)</f>
        <v>0</v>
      </c>
      <c r="S47" s="179">
        <f ca="1">IF(OR(Assump!$A$7="USD",Assump!$A$7="EURO"),'Hist &amp; Proj'!S54/'Hist &amp; Proj'!S$10,'Hist &amp; Proj'!S54)</f>
        <v>0</v>
      </c>
      <c r="T47" s="179">
        <f ca="1">IF(OR(Assump!$A$7="USD",Assump!$A$7="EURO"),'Hist &amp; Proj'!T54/'Hist &amp; Proj'!T$10,'Hist &amp; Proj'!T54)</f>
        <v>0</v>
      </c>
      <c r="U47" s="179">
        <f ca="1">IF(OR(Assump!$A$7="USD",Assump!$A$7="EURO"),'Hist &amp; Proj'!U54/'Hist &amp; Proj'!U$10,'Hist &amp; Proj'!U54)</f>
        <v>0</v>
      </c>
      <c r="V47" s="179">
        <f ca="1">IF(OR(Assump!$A$7="USD",Assump!$A$7="EURO"),'Hist &amp; Proj'!V54/'Hist &amp; Proj'!V$10,'Hist &amp; Proj'!V54)</f>
        <v>0</v>
      </c>
      <c r="W47" s="179">
        <f ca="1">IF(OR(Assump!$A$7="USD",Assump!$A$7="EURO"),'Hist &amp; Proj'!W54/'Hist &amp; Proj'!W$10,'Hist &amp; Proj'!W54)</f>
        <v>0</v>
      </c>
      <c r="X47" s="179">
        <f ca="1">IF(OR(Assump!$A$7="USD",Assump!$A$7="EURO"),'Hist &amp; Proj'!X54/'Hist &amp; Proj'!X$10,'Hist &amp; Proj'!X54)</f>
        <v>0</v>
      </c>
      <c r="Y47" s="179">
        <f ca="1">IF(OR(Assump!$A$7="USD",Assump!$A$7="EURO"),'Hist &amp; Proj'!Y54/'Hist &amp; Proj'!Y$10,'Hist &amp; Proj'!Y54)</f>
        <v>0</v>
      </c>
      <c r="Z47" s="179">
        <f ca="1">IF(OR(Assump!$A$7="USD",Assump!$A$7="EURO"),'Hist &amp; Proj'!Z54/'Hist &amp; Proj'!Z$10,'Hist &amp; Proj'!Z54)</f>
        <v>0</v>
      </c>
      <c r="AA47" s="179">
        <f ca="1">IF(OR(Assump!$A$7="USD",Assump!$A$7="EURO"),'Hist &amp; Proj'!AA54/'Hist &amp; Proj'!AA$10,'Hist &amp; Proj'!AA54)</f>
        <v>0</v>
      </c>
      <c r="AB47" s="179">
        <f ca="1">IF(OR(Assump!$A$7="USD",Assump!$A$7="EURO"),'Hist &amp; Proj'!AB54/'Hist &amp; Proj'!AB$10,'Hist &amp; Proj'!AB54)</f>
        <v>0</v>
      </c>
      <c r="AC47" s="179">
        <f ca="1">IF(OR(Assump!$A$7="USD",Assump!$A$7="EURO"),'Hist &amp; Proj'!AC54/'Hist &amp; Proj'!AC$10,'Hist &amp; Proj'!AC54)</f>
        <v>0</v>
      </c>
      <c r="AD47" s="179">
        <f ca="1">IF(OR(Assump!$A$7="USD",Assump!$A$7="EURO"),'Hist &amp; Proj'!AD54/'Hist &amp; Proj'!AD$10,'Hist &amp; Proj'!AD54)</f>
        <v>0</v>
      </c>
      <c r="AE47" s="179" t="e">
        <f ca="1">IF(OR(Assump!$A$7="USD",Assump!$A$7="EURO"),'Hist &amp; Proj'!AE54/'Hist &amp; Proj'!AE$10,'Hist &amp; Proj'!AE54)</f>
        <v>#N/A</v>
      </c>
      <c r="AF47" s="179" t="e">
        <f ca="1">IF(OR(Assump!$A$7="USD",Assump!$A$7="EURO"),'Hist &amp; Proj'!AF54/'Hist &amp; Proj'!AE$9,'Hist &amp; Proj'!AF54)</f>
        <v>#N/A</v>
      </c>
      <c r="AH47" s="367" t="str">
        <f ca="1">IFERROR(RATE(3,0,-C47,R47),"NA")</f>
        <v>NA</v>
      </c>
      <c r="AJ47" s="179">
        <f>IF(OR(Assump!$A$7="USD",Assump!$A$7="EURO"),'Hist &amp; Proj'!AH54/'Hist &amp; Proj'!AH$8,'Hist &amp; Proj'!AH54)</f>
        <v>0</v>
      </c>
      <c r="AK47" s="179">
        <f>IF(OR(Assump!$A$7="USD",Assump!$A$7="EURO"),'Hist &amp; Proj'!AI54/'Hist &amp; Proj'!AI$8,'Hist &amp; Proj'!AI54)</f>
        <v>0</v>
      </c>
      <c r="AL47" s="179">
        <f>IF(OR(Assump!$A$7="USD",Assump!$A$7="EURO"),'Hist &amp; Proj'!AJ54/'Hist &amp; Proj'!AJ$8,'Hist &amp; Proj'!AJ54)</f>
        <v>0</v>
      </c>
      <c r="AM47" s="179">
        <f>IF(OR(Assump!$A$7="USD",Assump!$A$7="EURO"),'Hist &amp; Proj'!AK54/'Hist &amp; Proj'!AK$8,'Hist &amp; Proj'!AK54)</f>
        <v>0</v>
      </c>
      <c r="AN47" s="179">
        <f>IF(OR(Assump!$A$7="USD",Assump!$A$7="EURO"),'Hist &amp; Proj'!AL54/'Hist &amp; Proj'!AL$8,'Hist &amp; Proj'!AL54)</f>
        <v>0</v>
      </c>
      <c r="AP47" s="367" t="str">
        <f>IFERROR(RATE(4,0,-AJ47,AN47),"NA")</f>
        <v>NA</v>
      </c>
    </row>
    <row r="48" spans="1:42" s="382" customFormat="1">
      <c r="A48" s="188" t="str">
        <f>'Hist &amp; Proj'!A55</f>
        <v>Net Financial Income</v>
      </c>
      <c r="B48" s="189">
        <f t="shared" ref="B48:J48" si="11">SUM(B44:B47)</f>
        <v>0</v>
      </c>
      <c r="C48" s="189">
        <f t="shared" si="11"/>
        <v>0</v>
      </c>
      <c r="D48" s="189">
        <f t="shared" si="11"/>
        <v>0</v>
      </c>
      <c r="E48" s="189">
        <f t="shared" si="11"/>
        <v>0</v>
      </c>
      <c r="F48" s="189">
        <f t="shared" ca="1" si="11"/>
        <v>0</v>
      </c>
      <c r="G48" s="189">
        <f t="shared" ca="1" si="11"/>
        <v>0</v>
      </c>
      <c r="H48" s="189">
        <f t="shared" ca="1" si="11"/>
        <v>0</v>
      </c>
      <c r="I48" s="189">
        <f t="shared" ca="1" si="11"/>
        <v>0</v>
      </c>
      <c r="J48" s="189">
        <f t="shared" ca="1" si="11"/>
        <v>0</v>
      </c>
      <c r="K48" s="189">
        <f t="shared" ref="K48:Q48" ca="1" si="12">SUM(K44:K47)</f>
        <v>0</v>
      </c>
      <c r="L48" s="189">
        <f t="shared" ca="1" si="12"/>
        <v>0</v>
      </c>
      <c r="M48" s="189">
        <f t="shared" ca="1" si="12"/>
        <v>0</v>
      </c>
      <c r="N48" s="189">
        <f t="shared" ca="1" si="12"/>
        <v>0</v>
      </c>
      <c r="O48" s="189">
        <f t="shared" ca="1" si="12"/>
        <v>0</v>
      </c>
      <c r="P48" s="189">
        <f t="shared" ca="1" si="12"/>
        <v>0</v>
      </c>
      <c r="Q48" s="189">
        <f t="shared" ca="1" si="12"/>
        <v>0</v>
      </c>
      <c r="R48" s="189">
        <f t="shared" ref="R48:AD48" ca="1" si="13">SUM(R44:R47)</f>
        <v>0</v>
      </c>
      <c r="S48" s="189">
        <f t="shared" ca="1" si="13"/>
        <v>0</v>
      </c>
      <c r="T48" s="189">
        <f t="shared" ca="1" si="13"/>
        <v>0</v>
      </c>
      <c r="U48" s="189">
        <f t="shared" ca="1" si="13"/>
        <v>0</v>
      </c>
      <c r="V48" s="189">
        <f t="shared" ca="1" si="13"/>
        <v>0</v>
      </c>
      <c r="W48" s="189">
        <f t="shared" ca="1" si="13"/>
        <v>0</v>
      </c>
      <c r="X48" s="189">
        <f t="shared" ca="1" si="13"/>
        <v>0</v>
      </c>
      <c r="Y48" s="189">
        <f t="shared" ca="1" si="13"/>
        <v>0</v>
      </c>
      <c r="Z48" s="189">
        <f t="shared" ca="1" si="13"/>
        <v>0</v>
      </c>
      <c r="AA48" s="189">
        <f t="shared" ca="1" si="13"/>
        <v>0</v>
      </c>
      <c r="AB48" s="189">
        <f t="shared" ca="1" si="13"/>
        <v>0</v>
      </c>
      <c r="AC48" s="189">
        <f t="shared" ca="1" si="13"/>
        <v>0</v>
      </c>
      <c r="AD48" s="189">
        <f t="shared" ca="1" si="13"/>
        <v>0</v>
      </c>
      <c r="AE48" s="189" t="e">
        <f ca="1">SUM(AE44:AE47)</f>
        <v>#N/A</v>
      </c>
      <c r="AF48" s="189" t="e">
        <f ca="1">SUM(AF44:AF47)</f>
        <v>#N/A</v>
      </c>
      <c r="AG48" s="126"/>
      <c r="AH48" s="381" t="str">
        <f ca="1">IFERROR(RATE(3,0,-C48,R48),"NA")</f>
        <v>NA</v>
      </c>
      <c r="AJ48" s="189">
        <f>SUM(AJ44:AJ47)</f>
        <v>0</v>
      </c>
      <c r="AK48" s="189">
        <f>SUM(AK44:AK47)</f>
        <v>0</v>
      </c>
      <c r="AL48" s="189">
        <f>SUM(AL44:AL47)</f>
        <v>0</v>
      </c>
      <c r="AM48" s="189">
        <f>SUM(AM44:AM47)</f>
        <v>0</v>
      </c>
      <c r="AN48" s="189">
        <f>SUM(AN44:AN47)</f>
        <v>0</v>
      </c>
      <c r="AO48" s="383"/>
      <c r="AP48" s="381" t="str">
        <f>IFERROR(RATE(4,0,-AJ48,AN48),"NA")</f>
        <v>NA</v>
      </c>
    </row>
    <row r="49" spans="1:42">
      <c r="A49" s="182" t="str">
        <f>'Hist &amp; Proj'!A56</f>
        <v>Net Financial Margin (%)</v>
      </c>
      <c r="B49" s="183" t="str">
        <f t="shared" ref="B49:J49" si="14">IF(B48=0,"",IF(B44=0,"",+B48/B44))</f>
        <v/>
      </c>
      <c r="C49" s="183" t="str">
        <f t="shared" si="14"/>
        <v/>
      </c>
      <c r="D49" s="183" t="str">
        <f t="shared" si="14"/>
        <v/>
      </c>
      <c r="E49" s="183" t="str">
        <f t="shared" si="14"/>
        <v/>
      </c>
      <c r="F49" s="183" t="str">
        <f t="shared" ca="1" si="14"/>
        <v/>
      </c>
      <c r="G49" s="183" t="str">
        <f t="shared" ca="1" si="14"/>
        <v/>
      </c>
      <c r="H49" s="183" t="str">
        <f t="shared" ca="1" si="14"/>
        <v/>
      </c>
      <c r="I49" s="183" t="str">
        <f t="shared" ca="1" si="14"/>
        <v/>
      </c>
      <c r="J49" s="183" t="str">
        <f t="shared" ca="1" si="14"/>
        <v/>
      </c>
      <c r="K49" s="183" t="str">
        <f t="shared" ref="K49:Q49" ca="1" si="15">IF(K48=0,"",IF(K44=0,"",+K48/K44))</f>
        <v/>
      </c>
      <c r="L49" s="183" t="str">
        <f t="shared" ca="1" si="15"/>
        <v/>
      </c>
      <c r="M49" s="183" t="str">
        <f t="shared" ca="1" si="15"/>
        <v/>
      </c>
      <c r="N49" s="183" t="str">
        <f t="shared" ca="1" si="15"/>
        <v/>
      </c>
      <c r="O49" s="183" t="str">
        <f t="shared" ca="1" si="15"/>
        <v/>
      </c>
      <c r="P49" s="183" t="str">
        <f t="shared" ca="1" si="15"/>
        <v/>
      </c>
      <c r="Q49" s="183" t="str">
        <f t="shared" ca="1" si="15"/>
        <v/>
      </c>
      <c r="R49" s="183" t="str">
        <f t="shared" ref="R49:AD49" ca="1" si="16">IF(R48=0,"",IF(R44=0,"",+R48/R44))</f>
        <v/>
      </c>
      <c r="S49" s="183" t="str">
        <f t="shared" ca="1" si="16"/>
        <v/>
      </c>
      <c r="T49" s="183" t="str">
        <f t="shared" ca="1" si="16"/>
        <v/>
      </c>
      <c r="U49" s="183" t="str">
        <f t="shared" ca="1" si="16"/>
        <v/>
      </c>
      <c r="V49" s="183" t="str">
        <f t="shared" ca="1" si="16"/>
        <v/>
      </c>
      <c r="W49" s="183" t="str">
        <f t="shared" ca="1" si="16"/>
        <v/>
      </c>
      <c r="X49" s="183" t="str">
        <f t="shared" ca="1" si="16"/>
        <v/>
      </c>
      <c r="Y49" s="183" t="str">
        <f t="shared" ca="1" si="16"/>
        <v/>
      </c>
      <c r="Z49" s="183" t="str">
        <f t="shared" ca="1" si="16"/>
        <v/>
      </c>
      <c r="AA49" s="183" t="str">
        <f t="shared" ca="1" si="16"/>
        <v/>
      </c>
      <c r="AB49" s="183" t="str">
        <f t="shared" ca="1" si="16"/>
        <v/>
      </c>
      <c r="AC49" s="183" t="str">
        <f t="shared" ca="1" si="16"/>
        <v/>
      </c>
      <c r="AD49" s="183" t="str">
        <f t="shared" ca="1" si="16"/>
        <v/>
      </c>
      <c r="AE49" s="183" t="e">
        <f ca="1">IF(AE48=0,"",IF(AE44=0,"",+AE48/AE44))</f>
        <v>#N/A</v>
      </c>
      <c r="AF49" s="183" t="e">
        <f ca="1">IF(AF48=0,"",IF(AF44=0,"",+AF48/AF44))</f>
        <v>#N/A</v>
      </c>
      <c r="AH49" s="368" t="str">
        <f ca="1">IFERROR(AVERAGE(C49:E49,R49),"NA")</f>
        <v>NA</v>
      </c>
      <c r="AJ49" s="183" t="str">
        <f>IF(AJ48=0,"",IF(AJ44=0,"",+AJ48/AJ44))</f>
        <v/>
      </c>
      <c r="AK49" s="183" t="str">
        <f>IF(AK48=0,"",IF(AK44=0,"",+AK48/AK44))</f>
        <v/>
      </c>
      <c r="AL49" s="183" t="str">
        <f>IF(AL48=0,"",IF(AL44=0,"",+AL48/AL44))</f>
        <v/>
      </c>
      <c r="AM49" s="183" t="str">
        <f>IF(AM48=0,"",IF(AM44=0,"",+AM48/AM44))</f>
        <v/>
      </c>
      <c r="AN49" s="183" t="str">
        <f>IF(AN48=0,"",IF(AN44=0,"",+AN48/AN44))</f>
        <v/>
      </c>
      <c r="AP49" s="368" t="str">
        <f>IFERROR(AVERAGE(AJ49:AN49),"NA")</f>
        <v>NA</v>
      </c>
    </row>
    <row r="50" spans="1:42" ht="5.25" customHeight="1">
      <c r="A50" s="181"/>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H50" s="367"/>
      <c r="AJ50" s="179"/>
      <c r="AK50" s="179"/>
      <c r="AL50" s="179"/>
      <c r="AM50" s="179"/>
      <c r="AN50" s="179"/>
      <c r="AP50" s="367"/>
    </row>
    <row r="51" spans="1:42" outlineLevel="1">
      <c r="A51" s="127" t="str">
        <f>'Hist &amp; Proj'!A58</f>
        <v>Other Financial Service Income (Expense)</v>
      </c>
      <c r="B51" s="179">
        <f>IF(OR(Assump!$A$7="USD",Assump!$A$7="EURO"),'Hist &amp; Proj'!B58/'Hist &amp; Proj'!B$8,'Hist &amp; Proj'!B58)</f>
        <v>0</v>
      </c>
      <c r="C51" s="179">
        <f>IF(OR(Assump!$A$7="USD",Assump!$A$7="EURO"),'Hist &amp; Proj'!C58/'Hist &amp; Proj'!C$9,'Hist &amp; Proj'!C58)</f>
        <v>0</v>
      </c>
      <c r="D51" s="179">
        <f>IF(OR(Assump!$A$7="USD",Assump!$A$7="EURO"),'Hist &amp; Proj'!D58/'Hist &amp; Proj'!D$9,'Hist &amp; Proj'!D58)</f>
        <v>0</v>
      </c>
      <c r="E51" s="179">
        <f>IF(OR(Assump!$A$7="USD",Assump!$A$7="EURO"),'Hist &amp; Proj'!E58/'Hist &amp; Proj'!E$9,'Hist &amp; Proj'!E58)</f>
        <v>0</v>
      </c>
      <c r="F51" s="179">
        <f ca="1">IF(OR(Assump!$A$7="USD",Assump!$A$7="EURO"),'Hist &amp; Proj'!F58/'Hist &amp; Proj'!F$10,'Hist &amp; Proj'!F58)</f>
        <v>0</v>
      </c>
      <c r="G51" s="179">
        <f ca="1">IF(OR(Assump!$A$7="USD",Assump!$A$7="EURO"),'Hist &amp; Proj'!G58/'Hist &amp; Proj'!G$10,'Hist &amp; Proj'!G58)</f>
        <v>0</v>
      </c>
      <c r="H51" s="179">
        <f ca="1">IF(OR(Assump!$A$7="USD",Assump!$A$7="EURO"),'Hist &amp; Proj'!H58/'Hist &amp; Proj'!H$10,'Hist &amp; Proj'!H58)</f>
        <v>0</v>
      </c>
      <c r="I51" s="179">
        <f ca="1">IF(OR(Assump!$A$7="USD",Assump!$A$7="EURO"),'Hist &amp; Proj'!I58/'Hist &amp; Proj'!I$10,'Hist &amp; Proj'!I58)</f>
        <v>0</v>
      </c>
      <c r="J51" s="179">
        <f ca="1">IF(OR(Assump!$A$7="USD",Assump!$A$7="EURO"),'Hist &amp; Proj'!J58/'Hist &amp; Proj'!J$10,'Hist &amp; Proj'!J58)</f>
        <v>0</v>
      </c>
      <c r="K51" s="179">
        <f ca="1">IF(OR(Assump!$A$7="USD",Assump!$A$7="EURO"),'Hist &amp; Proj'!K58/'Hist &amp; Proj'!K$10,'Hist &amp; Proj'!K58)</f>
        <v>0</v>
      </c>
      <c r="L51" s="179">
        <f ca="1">IF(OR(Assump!$A$7="USD",Assump!$A$7="EURO"),'Hist &amp; Proj'!L58/'Hist &amp; Proj'!L$10,'Hist &amp; Proj'!L58)</f>
        <v>0</v>
      </c>
      <c r="M51" s="179">
        <f ca="1">IF(OR(Assump!$A$7="USD",Assump!$A$7="EURO"),'Hist &amp; Proj'!M58/'Hist &amp; Proj'!M$10,'Hist &amp; Proj'!M58)</f>
        <v>0</v>
      </c>
      <c r="N51" s="179">
        <f ca="1">IF(OR(Assump!$A$7="USD",Assump!$A$7="EURO"),'Hist &amp; Proj'!N58/'Hist &amp; Proj'!N$10,'Hist &amp; Proj'!N58)</f>
        <v>0</v>
      </c>
      <c r="O51" s="179">
        <f ca="1">IF(OR(Assump!$A$7="USD",Assump!$A$7="EURO"),'Hist &amp; Proj'!O58/'Hist &amp; Proj'!O$10,'Hist &amp; Proj'!O58)</f>
        <v>0</v>
      </c>
      <c r="P51" s="179">
        <f ca="1">IF(OR(Assump!$A$7="USD",Assump!$A$7="EURO"),'Hist &amp; Proj'!P58/'Hist &amp; Proj'!P$10,'Hist &amp; Proj'!P58)</f>
        <v>0</v>
      </c>
      <c r="Q51" s="179">
        <f ca="1">IF(OR(Assump!$A$7="USD",Assump!$A$7="EURO"),'Hist &amp; Proj'!Q58/'Hist &amp; Proj'!Q$10,'Hist &amp; Proj'!Q58)</f>
        <v>0</v>
      </c>
      <c r="R51" s="179">
        <f ca="1">IF(OR(Assump!$A$7="USD",Assump!$A$7="EURO"),'Hist &amp; Proj'!R58/'Hist &amp; Proj'!R$10,'Hist &amp; Proj'!R58)</f>
        <v>0</v>
      </c>
      <c r="S51" s="179">
        <f ca="1">IF(OR(Assump!$A$7="USD",Assump!$A$7="EURO"),'Hist &amp; Proj'!S58/'Hist &amp; Proj'!S$10,'Hist &amp; Proj'!S58)</f>
        <v>0</v>
      </c>
      <c r="T51" s="179">
        <f ca="1">IF(OR(Assump!$A$7="USD",Assump!$A$7="EURO"),'Hist &amp; Proj'!T58/'Hist &amp; Proj'!T$10,'Hist &amp; Proj'!T58)</f>
        <v>0</v>
      </c>
      <c r="U51" s="179">
        <f ca="1">IF(OR(Assump!$A$7="USD",Assump!$A$7="EURO"),'Hist &amp; Proj'!U58/'Hist &amp; Proj'!U$10,'Hist &amp; Proj'!U58)</f>
        <v>0</v>
      </c>
      <c r="V51" s="179">
        <f ca="1">IF(OR(Assump!$A$7="USD",Assump!$A$7="EURO"),'Hist &amp; Proj'!V58/'Hist &amp; Proj'!V$10,'Hist &amp; Proj'!V58)</f>
        <v>0</v>
      </c>
      <c r="W51" s="179">
        <f ca="1">IF(OR(Assump!$A$7="USD",Assump!$A$7="EURO"),'Hist &amp; Proj'!W58/'Hist &amp; Proj'!W$10,'Hist &amp; Proj'!W58)</f>
        <v>0</v>
      </c>
      <c r="X51" s="179">
        <f ca="1">IF(OR(Assump!$A$7="USD",Assump!$A$7="EURO"),'Hist &amp; Proj'!X58/'Hist &amp; Proj'!X$10,'Hist &amp; Proj'!X58)</f>
        <v>0</v>
      </c>
      <c r="Y51" s="179">
        <f ca="1">IF(OR(Assump!$A$7="USD",Assump!$A$7="EURO"),'Hist &amp; Proj'!Y58/'Hist &amp; Proj'!Y$10,'Hist &amp; Proj'!Y58)</f>
        <v>0</v>
      </c>
      <c r="Z51" s="179">
        <f ca="1">IF(OR(Assump!$A$7="USD",Assump!$A$7="EURO"),'Hist &amp; Proj'!Z58/'Hist &amp; Proj'!Z$10,'Hist &amp; Proj'!Z58)</f>
        <v>0</v>
      </c>
      <c r="AA51" s="179">
        <f ca="1">IF(OR(Assump!$A$7="USD",Assump!$A$7="EURO"),'Hist &amp; Proj'!AA58/'Hist &amp; Proj'!AA$10,'Hist &amp; Proj'!AA58)</f>
        <v>0</v>
      </c>
      <c r="AB51" s="179">
        <f ca="1">IF(OR(Assump!$A$7="USD",Assump!$A$7="EURO"),'Hist &amp; Proj'!AB58/'Hist &amp; Proj'!AB$10,'Hist &amp; Proj'!AB58)</f>
        <v>0</v>
      </c>
      <c r="AC51" s="179">
        <f ca="1">IF(OR(Assump!$A$7="USD",Assump!$A$7="EURO"),'Hist &amp; Proj'!AC58/'Hist &amp; Proj'!AC$10,'Hist &amp; Proj'!AC58)</f>
        <v>0</v>
      </c>
      <c r="AD51" s="179">
        <f ca="1">IF(OR(Assump!$A$7="USD",Assump!$A$7="EURO"),'Hist &amp; Proj'!AD58/'Hist &amp; Proj'!AD$10,'Hist &amp; Proj'!AD58)</f>
        <v>0</v>
      </c>
      <c r="AE51" s="179" t="e">
        <f ca="1">IF(OR(Assump!$A$7="USD",Assump!$A$7="EURO"),'Hist &amp; Proj'!AE58/'Hist &amp; Proj'!AE$10,'Hist &amp; Proj'!AE58)</f>
        <v>#N/A</v>
      </c>
      <c r="AF51" s="179" t="e">
        <f ca="1">IF(OR(Assump!$A$7="USD",Assump!$A$7="EURO"),'Hist &amp; Proj'!AF58/'Hist &amp; Proj'!AE$9,'Hist &amp; Proj'!AF58)</f>
        <v>#N/A</v>
      </c>
      <c r="AH51" s="367" t="str">
        <f ca="1">IFERROR(RATE(3,0,-C51,R51),"NA")</f>
        <v>NA</v>
      </c>
      <c r="AJ51" s="179">
        <f>IF(OR(Assump!$A$7="USD",Assump!$A$7="EURO"),'Hist &amp; Proj'!AH58/'Hist &amp; Proj'!AH$8,'Hist &amp; Proj'!AH58)</f>
        <v>0</v>
      </c>
      <c r="AK51" s="179">
        <f>IF(OR(Assump!$A$7="USD",Assump!$A$7="EURO"),'Hist &amp; Proj'!AI58/'Hist &amp; Proj'!AI$8,'Hist &amp; Proj'!AI58)</f>
        <v>0</v>
      </c>
      <c r="AL51" s="179">
        <f>IF(OR(Assump!$A$7="USD",Assump!$A$7="EURO"),'Hist &amp; Proj'!AJ58/'Hist &amp; Proj'!AJ$8,'Hist &amp; Proj'!AJ58)</f>
        <v>0</v>
      </c>
      <c r="AM51" s="179">
        <f>IF(OR(Assump!$A$7="USD",Assump!$A$7="EURO"),'Hist &amp; Proj'!AK58/'Hist &amp; Proj'!AK$8,'Hist &amp; Proj'!AK58)</f>
        <v>0</v>
      </c>
      <c r="AN51" s="179">
        <f>IF(OR(Assump!$A$7="USD",Assump!$A$7="EURO"),'Hist &amp; Proj'!AL58/'Hist &amp; Proj'!AL$8,'Hist &amp; Proj'!AL58)</f>
        <v>0</v>
      </c>
      <c r="AP51" s="367" t="str">
        <f>IFERROR(RATE(4,0,-AJ51,AN51),"NA")</f>
        <v>NA</v>
      </c>
    </row>
    <row r="52" spans="1:42">
      <c r="A52" s="127" t="str">
        <f>'Hist &amp; Proj'!A59</f>
        <v>Operating Expense</v>
      </c>
      <c r="B52" s="179">
        <f>IF(OR(Assump!$A$7="USD",Assump!$A$7="EURO"),'Hist &amp; Proj'!B59/'Hist &amp; Proj'!B$8,'Hist &amp; Proj'!B59)</f>
        <v>0</v>
      </c>
      <c r="C52" s="179">
        <f>IF(OR(Assump!$A$7="USD",Assump!$A$7="EURO"),'Hist &amp; Proj'!C59/'Hist &amp; Proj'!C$9,'Hist &amp; Proj'!C59)</f>
        <v>0</v>
      </c>
      <c r="D52" s="179">
        <f>IF(OR(Assump!$A$7="USD",Assump!$A$7="EURO"),'Hist &amp; Proj'!D59/'Hist &amp; Proj'!D$9,'Hist &amp; Proj'!D59)</f>
        <v>0</v>
      </c>
      <c r="E52" s="179">
        <f>IF(OR(Assump!$A$7="USD",Assump!$A$7="EURO"),'Hist &amp; Proj'!E59/'Hist &amp; Proj'!E$9,'Hist &amp; Proj'!E59)</f>
        <v>0</v>
      </c>
      <c r="F52" s="179">
        <f ca="1">IF(OR(Assump!$A$7="USD",Assump!$A$7="EURO"),'Hist &amp; Proj'!F59/'Hist &amp; Proj'!F$10,'Hist &amp; Proj'!F59)</f>
        <v>0</v>
      </c>
      <c r="G52" s="179">
        <f ca="1">IF(OR(Assump!$A$7="USD",Assump!$A$7="EURO"),'Hist &amp; Proj'!G59/'Hist &amp; Proj'!G$10,'Hist &amp; Proj'!G59)</f>
        <v>0</v>
      </c>
      <c r="H52" s="179">
        <f ca="1">IF(OR(Assump!$A$7="USD",Assump!$A$7="EURO"),'Hist &amp; Proj'!H59/'Hist &amp; Proj'!H$10,'Hist &amp; Proj'!H59)</f>
        <v>0</v>
      </c>
      <c r="I52" s="179">
        <f ca="1">IF(OR(Assump!$A$7="USD",Assump!$A$7="EURO"),'Hist &amp; Proj'!I59/'Hist &amp; Proj'!I$10,'Hist &amp; Proj'!I59)</f>
        <v>0</v>
      </c>
      <c r="J52" s="179">
        <f ca="1">IF(OR(Assump!$A$7="USD",Assump!$A$7="EURO"),'Hist &amp; Proj'!J59/'Hist &amp; Proj'!J$10,'Hist &amp; Proj'!J59)</f>
        <v>0</v>
      </c>
      <c r="K52" s="179">
        <f ca="1">IF(OR(Assump!$A$7="USD",Assump!$A$7="EURO"),'Hist &amp; Proj'!K59/'Hist &amp; Proj'!K$10,'Hist &amp; Proj'!K59)</f>
        <v>0</v>
      </c>
      <c r="L52" s="179">
        <f ca="1">IF(OR(Assump!$A$7="USD",Assump!$A$7="EURO"),'Hist &amp; Proj'!L59/'Hist &amp; Proj'!L$10,'Hist &amp; Proj'!L59)</f>
        <v>0</v>
      </c>
      <c r="M52" s="179">
        <f ca="1">IF(OR(Assump!$A$7="USD",Assump!$A$7="EURO"),'Hist &amp; Proj'!M59/'Hist &amp; Proj'!M$10,'Hist &amp; Proj'!M59)</f>
        <v>0</v>
      </c>
      <c r="N52" s="179">
        <f ca="1">IF(OR(Assump!$A$7="USD",Assump!$A$7="EURO"),'Hist &amp; Proj'!N59/'Hist &amp; Proj'!N$10,'Hist &amp; Proj'!N59)</f>
        <v>0</v>
      </c>
      <c r="O52" s="179">
        <f ca="1">IF(OR(Assump!$A$7="USD",Assump!$A$7="EURO"),'Hist &amp; Proj'!O59/'Hist &amp; Proj'!O$10,'Hist &amp; Proj'!O59)</f>
        <v>0</v>
      </c>
      <c r="P52" s="179">
        <f ca="1">IF(OR(Assump!$A$7="USD",Assump!$A$7="EURO"),'Hist &amp; Proj'!P59/'Hist &amp; Proj'!P$10,'Hist &amp; Proj'!P59)</f>
        <v>0</v>
      </c>
      <c r="Q52" s="179">
        <f ca="1">IF(OR(Assump!$A$7="USD",Assump!$A$7="EURO"),'Hist &amp; Proj'!Q59/'Hist &amp; Proj'!Q$10,'Hist &amp; Proj'!Q59)</f>
        <v>0</v>
      </c>
      <c r="R52" s="179">
        <f ca="1">IF(OR(Assump!$A$7="USD",Assump!$A$7="EURO"),'Hist &amp; Proj'!R59/'Hist &amp; Proj'!R$10,'Hist &amp; Proj'!R59)</f>
        <v>0</v>
      </c>
      <c r="S52" s="179">
        <f ca="1">IF(OR(Assump!$A$7="USD",Assump!$A$7="EURO"),'Hist &amp; Proj'!S59/'Hist &amp; Proj'!S$10,'Hist &amp; Proj'!S59)</f>
        <v>0</v>
      </c>
      <c r="T52" s="179">
        <f ca="1">IF(OR(Assump!$A$7="USD",Assump!$A$7="EURO"),'Hist &amp; Proj'!T59/'Hist &amp; Proj'!T$10,'Hist &amp; Proj'!T59)</f>
        <v>0</v>
      </c>
      <c r="U52" s="179">
        <f ca="1">IF(OR(Assump!$A$7="USD",Assump!$A$7="EURO"),'Hist &amp; Proj'!U59/'Hist &amp; Proj'!U$10,'Hist &amp; Proj'!U59)</f>
        <v>0</v>
      </c>
      <c r="V52" s="179">
        <f ca="1">IF(OR(Assump!$A$7="USD",Assump!$A$7="EURO"),'Hist &amp; Proj'!V59/'Hist &amp; Proj'!V$10,'Hist &amp; Proj'!V59)</f>
        <v>0</v>
      </c>
      <c r="W52" s="179">
        <f ca="1">IF(OR(Assump!$A$7="USD",Assump!$A$7="EURO"),'Hist &amp; Proj'!W59/'Hist &amp; Proj'!W$10,'Hist &amp; Proj'!W59)</f>
        <v>0</v>
      </c>
      <c r="X52" s="179">
        <f ca="1">IF(OR(Assump!$A$7="USD",Assump!$A$7="EURO"),'Hist &amp; Proj'!X59/'Hist &amp; Proj'!X$10,'Hist &amp; Proj'!X59)</f>
        <v>0</v>
      </c>
      <c r="Y52" s="179">
        <f ca="1">IF(OR(Assump!$A$7="USD",Assump!$A$7="EURO"),'Hist &amp; Proj'!Y59/'Hist &amp; Proj'!Y$10,'Hist &amp; Proj'!Y59)</f>
        <v>0</v>
      </c>
      <c r="Z52" s="179">
        <f ca="1">IF(OR(Assump!$A$7="USD",Assump!$A$7="EURO"),'Hist &amp; Proj'!Z59/'Hist &amp; Proj'!Z$10,'Hist &amp; Proj'!Z59)</f>
        <v>0</v>
      </c>
      <c r="AA52" s="179">
        <f ca="1">IF(OR(Assump!$A$7="USD",Assump!$A$7="EURO"),'Hist &amp; Proj'!AA59/'Hist &amp; Proj'!AA$10,'Hist &amp; Proj'!AA59)</f>
        <v>0</v>
      </c>
      <c r="AB52" s="179">
        <f ca="1">IF(OR(Assump!$A$7="USD",Assump!$A$7="EURO"),'Hist &amp; Proj'!AB59/'Hist &amp; Proj'!AB$10,'Hist &amp; Proj'!AB59)</f>
        <v>0</v>
      </c>
      <c r="AC52" s="179">
        <f ca="1">IF(OR(Assump!$A$7="USD",Assump!$A$7="EURO"),'Hist &amp; Proj'!AC59/'Hist &amp; Proj'!AC$10,'Hist &amp; Proj'!AC59)</f>
        <v>0</v>
      </c>
      <c r="AD52" s="179">
        <f ca="1">IF(OR(Assump!$A$7="USD",Assump!$A$7="EURO"),'Hist &amp; Proj'!AD59/'Hist &amp; Proj'!AD$10,'Hist &amp; Proj'!AD59)</f>
        <v>0</v>
      </c>
      <c r="AE52" s="179" t="e">
        <f ca="1">IF(OR(Assump!$A$7="USD",Assump!$A$7="EURO"),'Hist &amp; Proj'!AE59/'Hist &amp; Proj'!AE$10,'Hist &amp; Proj'!AE59)</f>
        <v>#N/A</v>
      </c>
      <c r="AF52" s="179" t="e">
        <f ca="1">IF(OR(Assump!$A$7="USD",Assump!$A$7="EURO"),'Hist &amp; Proj'!AF59/'Hist &amp; Proj'!AE$9,'Hist &amp; Proj'!AF59)</f>
        <v>#N/A</v>
      </c>
      <c r="AH52" s="367" t="str">
        <f ca="1">IFERROR(RATE(3,0,-C52,R52),"NA")</f>
        <v>NA</v>
      </c>
      <c r="AJ52" s="179">
        <f>IF(OR(Assump!$A$7="USD",Assump!$A$7="EURO"),'Hist &amp; Proj'!AH59/'Hist &amp; Proj'!AH$8,'Hist &amp; Proj'!AH59)</f>
        <v>0</v>
      </c>
      <c r="AK52" s="179">
        <f>IF(OR(Assump!$A$7="USD",Assump!$A$7="EURO"),'Hist &amp; Proj'!AI59/'Hist &amp; Proj'!AI$8,'Hist &amp; Proj'!AI59)</f>
        <v>0</v>
      </c>
      <c r="AL52" s="179">
        <f>IF(OR(Assump!$A$7="USD",Assump!$A$7="EURO"),'Hist &amp; Proj'!AJ59/'Hist &amp; Proj'!AJ$8,'Hist &amp; Proj'!AJ59)</f>
        <v>0</v>
      </c>
      <c r="AM52" s="179">
        <f>IF(OR(Assump!$A$7="USD",Assump!$A$7="EURO"),'Hist &amp; Proj'!AK59/'Hist &amp; Proj'!AK$8,'Hist &amp; Proj'!AK59)</f>
        <v>0</v>
      </c>
      <c r="AN52" s="179">
        <f>IF(OR(Assump!$A$7="USD",Assump!$A$7="EURO"),'Hist &amp; Proj'!AL59/'Hist &amp; Proj'!AL$8,'Hist &amp; Proj'!AL59)</f>
        <v>0</v>
      </c>
      <c r="AP52" s="367" t="str">
        <f>IFERROR(RATE(4,0,-AJ52,AN52),"NA")</f>
        <v>NA</v>
      </c>
    </row>
    <row r="53" spans="1:42" s="382" customFormat="1">
      <c r="A53" s="190" t="str">
        <f>'Hist &amp; Proj'!A60</f>
        <v>Net Operating Income</v>
      </c>
      <c r="B53" s="189">
        <f t="shared" ref="B53:AF53" si="17">SUM(B51:B52,B48)</f>
        <v>0</v>
      </c>
      <c r="C53" s="189">
        <f t="shared" si="17"/>
        <v>0</v>
      </c>
      <c r="D53" s="189">
        <f t="shared" si="17"/>
        <v>0</v>
      </c>
      <c r="E53" s="189">
        <f t="shared" si="17"/>
        <v>0</v>
      </c>
      <c r="F53" s="189">
        <f t="shared" ca="1" si="17"/>
        <v>0</v>
      </c>
      <c r="G53" s="189">
        <f t="shared" ca="1" si="17"/>
        <v>0</v>
      </c>
      <c r="H53" s="189">
        <f t="shared" ca="1" si="17"/>
        <v>0</v>
      </c>
      <c r="I53" s="189">
        <f t="shared" ca="1" si="17"/>
        <v>0</v>
      </c>
      <c r="J53" s="189">
        <f t="shared" ca="1" si="17"/>
        <v>0</v>
      </c>
      <c r="K53" s="189">
        <f t="shared" ca="1" si="17"/>
        <v>0</v>
      </c>
      <c r="L53" s="189">
        <f t="shared" ca="1" si="17"/>
        <v>0</v>
      </c>
      <c r="M53" s="189">
        <f t="shared" ca="1" si="17"/>
        <v>0</v>
      </c>
      <c r="N53" s="189">
        <f t="shared" ca="1" si="17"/>
        <v>0</v>
      </c>
      <c r="O53" s="189">
        <f t="shared" ca="1" si="17"/>
        <v>0</v>
      </c>
      <c r="P53" s="189">
        <f t="shared" ca="1" si="17"/>
        <v>0</v>
      </c>
      <c r="Q53" s="189">
        <f t="shared" ca="1" si="17"/>
        <v>0</v>
      </c>
      <c r="R53" s="189">
        <f t="shared" ca="1" si="17"/>
        <v>0</v>
      </c>
      <c r="S53" s="189">
        <f t="shared" ca="1" si="17"/>
        <v>0</v>
      </c>
      <c r="T53" s="189">
        <f t="shared" ca="1" si="17"/>
        <v>0</v>
      </c>
      <c r="U53" s="189">
        <f t="shared" ca="1" si="17"/>
        <v>0</v>
      </c>
      <c r="V53" s="189">
        <f t="shared" ca="1" si="17"/>
        <v>0</v>
      </c>
      <c r="W53" s="189">
        <f t="shared" ca="1" si="17"/>
        <v>0</v>
      </c>
      <c r="X53" s="189">
        <f t="shared" ca="1" si="17"/>
        <v>0</v>
      </c>
      <c r="Y53" s="189">
        <f t="shared" ca="1" si="17"/>
        <v>0</v>
      </c>
      <c r="Z53" s="189">
        <f t="shared" ca="1" si="17"/>
        <v>0</v>
      </c>
      <c r="AA53" s="189">
        <f t="shared" ca="1" si="17"/>
        <v>0</v>
      </c>
      <c r="AB53" s="189">
        <f t="shared" ca="1" si="17"/>
        <v>0</v>
      </c>
      <c r="AC53" s="189">
        <f t="shared" ca="1" si="17"/>
        <v>0</v>
      </c>
      <c r="AD53" s="189">
        <f t="shared" ca="1" si="17"/>
        <v>0</v>
      </c>
      <c r="AE53" s="189" t="e">
        <f t="shared" ca="1" si="17"/>
        <v>#N/A</v>
      </c>
      <c r="AF53" s="189" t="e">
        <f t="shared" ca="1" si="17"/>
        <v>#N/A</v>
      </c>
      <c r="AG53" s="126"/>
      <c r="AH53" s="381" t="str">
        <f ca="1">IFERROR(RATE(3,0,-C53,R53),"NA")</f>
        <v>NA</v>
      </c>
      <c r="AJ53" s="189">
        <f>SUM(AJ51:AJ52,AJ48)</f>
        <v>0</v>
      </c>
      <c r="AK53" s="189">
        <f>SUM(AK51:AK52,AK48)</f>
        <v>0</v>
      </c>
      <c r="AL53" s="189">
        <f>SUM(AL51:AL52,AL48)</f>
        <v>0</v>
      </c>
      <c r="AM53" s="189">
        <f>SUM(AM51:AM52,AM48)</f>
        <v>0</v>
      </c>
      <c r="AN53" s="189">
        <f>SUM(AN51:AN52,AN48)</f>
        <v>0</v>
      </c>
      <c r="AO53" s="383"/>
      <c r="AP53" s="381" t="str">
        <f>IFERROR(RATE(4,0,-AJ53,AN53),"NA")</f>
        <v>NA</v>
      </c>
    </row>
    <row r="54" spans="1:42">
      <c r="A54" s="182" t="str">
        <f>'Hist &amp; Proj'!A61</f>
        <v>Net Operating Income Margin (%)</v>
      </c>
      <c r="B54" s="183" t="str">
        <f t="shared" ref="B54:J54" si="18">IF(B53=0,"",IF(B44=0,"",+B53/B44))</f>
        <v/>
      </c>
      <c r="C54" s="183" t="str">
        <f t="shared" si="18"/>
        <v/>
      </c>
      <c r="D54" s="183" t="str">
        <f t="shared" si="18"/>
        <v/>
      </c>
      <c r="E54" s="183" t="str">
        <f t="shared" si="18"/>
        <v/>
      </c>
      <c r="F54" s="183" t="str">
        <f t="shared" ca="1" si="18"/>
        <v/>
      </c>
      <c r="G54" s="183" t="str">
        <f t="shared" ca="1" si="18"/>
        <v/>
      </c>
      <c r="H54" s="183" t="str">
        <f t="shared" ca="1" si="18"/>
        <v/>
      </c>
      <c r="I54" s="183" t="str">
        <f t="shared" ca="1" si="18"/>
        <v/>
      </c>
      <c r="J54" s="183" t="str">
        <f t="shared" ca="1" si="18"/>
        <v/>
      </c>
      <c r="K54" s="183" t="str">
        <f t="shared" ref="K54:Q54" ca="1" si="19">IF(K53=0,"",IF(K44=0,"",+K53/K44))</f>
        <v/>
      </c>
      <c r="L54" s="183" t="str">
        <f t="shared" ca="1" si="19"/>
        <v/>
      </c>
      <c r="M54" s="183" t="str">
        <f t="shared" ca="1" si="19"/>
        <v/>
      </c>
      <c r="N54" s="183" t="str">
        <f t="shared" ca="1" si="19"/>
        <v/>
      </c>
      <c r="O54" s="183" t="str">
        <f t="shared" ca="1" si="19"/>
        <v/>
      </c>
      <c r="P54" s="183" t="str">
        <f t="shared" ca="1" si="19"/>
        <v/>
      </c>
      <c r="Q54" s="183" t="str">
        <f t="shared" ca="1" si="19"/>
        <v/>
      </c>
      <c r="R54" s="183" t="str">
        <f t="shared" ref="R54:AD54" ca="1" si="20">IF(R53=0,"",IF(R44=0,"",+R53/R44))</f>
        <v/>
      </c>
      <c r="S54" s="183" t="str">
        <f t="shared" ca="1" si="20"/>
        <v/>
      </c>
      <c r="T54" s="183" t="str">
        <f t="shared" ca="1" si="20"/>
        <v/>
      </c>
      <c r="U54" s="183" t="str">
        <f t="shared" ca="1" si="20"/>
        <v/>
      </c>
      <c r="V54" s="183" t="str">
        <f t="shared" ca="1" si="20"/>
        <v/>
      </c>
      <c r="W54" s="183" t="str">
        <f t="shared" ca="1" si="20"/>
        <v/>
      </c>
      <c r="X54" s="183" t="str">
        <f t="shared" ca="1" si="20"/>
        <v/>
      </c>
      <c r="Y54" s="183" t="str">
        <f t="shared" ca="1" si="20"/>
        <v/>
      </c>
      <c r="Z54" s="183" t="str">
        <f t="shared" ca="1" si="20"/>
        <v/>
      </c>
      <c r="AA54" s="183" t="str">
        <f t="shared" ca="1" si="20"/>
        <v/>
      </c>
      <c r="AB54" s="183" t="str">
        <f t="shared" ca="1" si="20"/>
        <v/>
      </c>
      <c r="AC54" s="183" t="str">
        <f t="shared" ca="1" si="20"/>
        <v/>
      </c>
      <c r="AD54" s="183" t="str">
        <f t="shared" ca="1" si="20"/>
        <v/>
      </c>
      <c r="AE54" s="183" t="e">
        <f ca="1">IF(AE53=0,"",IF(AE44=0,"",+AE53/AE44))</f>
        <v>#N/A</v>
      </c>
      <c r="AF54" s="183" t="e">
        <f ca="1">IF(AF53=0,"",IF(AF44=0,"",+AF53/AF44))</f>
        <v>#N/A</v>
      </c>
      <c r="AH54" s="368" t="str">
        <f ca="1">IFERROR(AVERAGE(C54:E54,R54),"NA")</f>
        <v>NA</v>
      </c>
      <c r="AJ54" s="183" t="str">
        <f>IF(AJ53=0,"",IF(AJ44=0,"",+AJ53/AJ44))</f>
        <v/>
      </c>
      <c r="AK54" s="183" t="str">
        <f>IF(AK53=0,"",IF(AK44=0,"",+AK53/AK44))</f>
        <v/>
      </c>
      <c r="AL54" s="183" t="str">
        <f>IF(AL53=0,"",IF(AL44=0,"",+AL53/AL44))</f>
        <v/>
      </c>
      <c r="AM54" s="183" t="str">
        <f>IF(AM53=0,"",IF(AM44=0,"",+AM53/AM44))</f>
        <v/>
      </c>
      <c r="AN54" s="183" t="str">
        <f>IF(AN53=0,"",IF(AN44=0,"",+AN53/AN44))</f>
        <v/>
      </c>
      <c r="AP54" s="368" t="str">
        <f>IFERROR(AVERAGE(AJ54:AN54),"NA")</f>
        <v>NA</v>
      </c>
    </row>
    <row r="55" spans="1:42" ht="5.25" customHeight="1">
      <c r="A55" s="191"/>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H55" s="367"/>
      <c r="AJ55" s="179"/>
      <c r="AK55" s="179"/>
      <c r="AL55" s="179"/>
      <c r="AM55" s="179"/>
      <c r="AN55" s="179"/>
      <c r="AP55" s="367"/>
    </row>
    <row r="56" spans="1:42" outlineLevel="1">
      <c r="A56" s="518" t="str">
        <f>'Hist &amp; Proj'!A63</f>
        <v>Non-Operating Revenue</v>
      </c>
      <c r="B56" s="179">
        <f>IF(OR(Assump!$A$7="USD",Assump!$A$7="EURO"),'Hist &amp; Proj'!B63/'Hist &amp; Proj'!B$8,'Hist &amp; Proj'!B63)</f>
        <v>0</v>
      </c>
      <c r="C56" s="179">
        <f>IF(OR(Assump!$A$7="USD",Assump!$A$7="EURO"),'Hist &amp; Proj'!C63/'Hist &amp; Proj'!C$9,'Hist &amp; Proj'!C63)</f>
        <v>0</v>
      </c>
      <c r="D56" s="179">
        <f>IF(OR(Assump!$A$7="USD",Assump!$A$7="EURO"),'Hist &amp; Proj'!D63/'Hist &amp; Proj'!D$9,'Hist &amp; Proj'!D63)</f>
        <v>0</v>
      </c>
      <c r="E56" s="179">
        <f>IF(OR(Assump!$A$7="USD",Assump!$A$7="EURO"),'Hist &amp; Proj'!E63/'Hist &amp; Proj'!E$9,'Hist &amp; Proj'!E63)</f>
        <v>0</v>
      </c>
      <c r="F56" s="179">
        <f ca="1">IF(OR(Assump!$A$7="USD",Assump!$A$7="EURO"),'Hist &amp; Proj'!F63/'Hist &amp; Proj'!F$10,'Hist &amp; Proj'!F63)</f>
        <v>0</v>
      </c>
      <c r="G56" s="179">
        <f ca="1">IF(OR(Assump!$A$7="USD",Assump!$A$7="EURO"),'Hist &amp; Proj'!G63/'Hist &amp; Proj'!G$10,'Hist &amp; Proj'!G63)</f>
        <v>0</v>
      </c>
      <c r="H56" s="179">
        <f ca="1">IF(OR(Assump!$A$7="USD",Assump!$A$7="EURO"),'Hist &amp; Proj'!H63/'Hist &amp; Proj'!H$10,'Hist &amp; Proj'!H63)</f>
        <v>0</v>
      </c>
      <c r="I56" s="179">
        <f ca="1">IF(OR(Assump!$A$7="USD",Assump!$A$7="EURO"),'Hist &amp; Proj'!I63/'Hist &amp; Proj'!I$10,'Hist &amp; Proj'!I63)</f>
        <v>0</v>
      </c>
      <c r="J56" s="179">
        <f ca="1">IF(OR(Assump!$A$7="USD",Assump!$A$7="EURO"),'Hist &amp; Proj'!J63/'Hist &amp; Proj'!J$10,'Hist &amp; Proj'!J63)</f>
        <v>0</v>
      </c>
      <c r="K56" s="179">
        <f ca="1">IF(OR(Assump!$A$7="USD",Assump!$A$7="EURO"),'Hist &amp; Proj'!K63/'Hist &amp; Proj'!K$10,'Hist &amp; Proj'!K63)</f>
        <v>0</v>
      </c>
      <c r="L56" s="179">
        <f ca="1">IF(OR(Assump!$A$7="USD",Assump!$A$7="EURO"),'Hist &amp; Proj'!L63/'Hist &amp; Proj'!L$10,'Hist &amp; Proj'!L63)</f>
        <v>0</v>
      </c>
      <c r="M56" s="179">
        <f ca="1">IF(OR(Assump!$A$7="USD",Assump!$A$7="EURO"),'Hist &amp; Proj'!M63/'Hist &amp; Proj'!M$10,'Hist &amp; Proj'!M63)</f>
        <v>0</v>
      </c>
      <c r="N56" s="179">
        <f ca="1">IF(OR(Assump!$A$7="USD",Assump!$A$7="EURO"),'Hist &amp; Proj'!N63/'Hist &amp; Proj'!N$10,'Hist &amp; Proj'!N63)</f>
        <v>0</v>
      </c>
      <c r="O56" s="179">
        <f ca="1">IF(OR(Assump!$A$7="USD",Assump!$A$7="EURO"),'Hist &amp; Proj'!O63/'Hist &amp; Proj'!O$10,'Hist &amp; Proj'!O63)</f>
        <v>0</v>
      </c>
      <c r="P56" s="179">
        <f ca="1">IF(OR(Assump!$A$7="USD",Assump!$A$7="EURO"),'Hist &amp; Proj'!P63/'Hist &amp; Proj'!P$10,'Hist &amp; Proj'!P63)</f>
        <v>0</v>
      </c>
      <c r="Q56" s="179">
        <f ca="1">IF(OR(Assump!$A$7="USD",Assump!$A$7="EURO"),'Hist &amp; Proj'!Q63/'Hist &amp; Proj'!Q$10,'Hist &amp; Proj'!Q63)</f>
        <v>0</v>
      </c>
      <c r="R56" s="179">
        <f ca="1">IF(OR(Assump!$A$7="USD",Assump!$A$7="EURO"),'Hist &amp; Proj'!R63/'Hist &amp; Proj'!R$10,'Hist &amp; Proj'!R63)</f>
        <v>0</v>
      </c>
      <c r="S56" s="179">
        <f ca="1">IF(OR(Assump!$A$7="USD",Assump!$A$7="EURO"),'Hist &amp; Proj'!S63/'Hist &amp; Proj'!S$10,'Hist &amp; Proj'!S63)</f>
        <v>0</v>
      </c>
      <c r="T56" s="179">
        <f ca="1">IF(OR(Assump!$A$7="USD",Assump!$A$7="EURO"),'Hist &amp; Proj'!T63/'Hist &amp; Proj'!T$10,'Hist &amp; Proj'!T63)</f>
        <v>0</v>
      </c>
      <c r="U56" s="179">
        <f ca="1">IF(OR(Assump!$A$7="USD",Assump!$A$7="EURO"),'Hist &amp; Proj'!U63/'Hist &amp; Proj'!U$10,'Hist &amp; Proj'!U63)</f>
        <v>0</v>
      </c>
      <c r="V56" s="179">
        <f ca="1">IF(OR(Assump!$A$7="USD",Assump!$A$7="EURO"),'Hist &amp; Proj'!V63/'Hist &amp; Proj'!V$10,'Hist &amp; Proj'!V63)</f>
        <v>0</v>
      </c>
      <c r="W56" s="179">
        <f ca="1">IF(OR(Assump!$A$7="USD",Assump!$A$7="EURO"),'Hist &amp; Proj'!W63/'Hist &amp; Proj'!W$10,'Hist &amp; Proj'!W63)</f>
        <v>0</v>
      </c>
      <c r="X56" s="179">
        <f ca="1">IF(OR(Assump!$A$7="USD",Assump!$A$7="EURO"),'Hist &amp; Proj'!X63/'Hist &amp; Proj'!X$10,'Hist &amp; Proj'!X63)</f>
        <v>0</v>
      </c>
      <c r="Y56" s="179">
        <f ca="1">IF(OR(Assump!$A$7="USD",Assump!$A$7="EURO"),'Hist &amp; Proj'!Y63/'Hist &amp; Proj'!Y$10,'Hist &amp; Proj'!Y63)</f>
        <v>0</v>
      </c>
      <c r="Z56" s="179">
        <f ca="1">IF(OR(Assump!$A$7="USD",Assump!$A$7="EURO"),'Hist &amp; Proj'!Z63/'Hist &amp; Proj'!Z$10,'Hist &amp; Proj'!Z63)</f>
        <v>0</v>
      </c>
      <c r="AA56" s="179">
        <f ca="1">IF(OR(Assump!$A$7="USD",Assump!$A$7="EURO"),'Hist &amp; Proj'!AA63/'Hist &amp; Proj'!AA$10,'Hist &amp; Proj'!AA63)</f>
        <v>0</v>
      </c>
      <c r="AB56" s="179">
        <f ca="1">IF(OR(Assump!$A$7="USD",Assump!$A$7="EURO"),'Hist &amp; Proj'!AB63/'Hist &amp; Proj'!AB$10,'Hist &amp; Proj'!AB63)</f>
        <v>0</v>
      </c>
      <c r="AC56" s="179">
        <f ca="1">IF(OR(Assump!$A$7="USD",Assump!$A$7="EURO"),'Hist &amp; Proj'!AC63/'Hist &amp; Proj'!AC$10,'Hist &amp; Proj'!AC63)</f>
        <v>0</v>
      </c>
      <c r="AD56" s="179">
        <f ca="1">IF(OR(Assump!$A$7="USD",Assump!$A$7="EURO"),'Hist &amp; Proj'!AD63/'Hist &amp; Proj'!AD$10,'Hist &amp; Proj'!AD63)</f>
        <v>0</v>
      </c>
      <c r="AE56" s="179" t="e">
        <f ca="1">IF(OR(Assump!$A$7="USD",Assump!$A$7="EURO"),'Hist &amp; Proj'!AE63/'Hist &amp; Proj'!AE$10,'Hist &amp; Proj'!AE63)</f>
        <v>#N/A</v>
      </c>
      <c r="AF56" s="179" t="e">
        <f ca="1">IF(OR(Assump!$A$7="USD",Assump!$A$7="EURO"),'Hist &amp; Proj'!AF63/'Hist &amp; Proj'!AE$9,'Hist &amp; Proj'!AF63)</f>
        <v>#N/A</v>
      </c>
      <c r="AH56" s="367" t="str">
        <f ca="1">IFERROR(RATE(3,0,-C56,R56),"NA")</f>
        <v>NA</v>
      </c>
      <c r="AJ56" s="179">
        <f>IF(OR(Assump!$A$7="USD",Assump!$A$7="EURO"),'Hist &amp; Proj'!AH63/'Hist &amp; Proj'!AH$8,'Hist &amp; Proj'!AH63)</f>
        <v>0</v>
      </c>
      <c r="AK56" s="179">
        <f>IF(OR(Assump!$A$7="USD",Assump!$A$7="EURO"),'Hist &amp; Proj'!AI63/'Hist &amp; Proj'!AI$8,'Hist &amp; Proj'!AI63)</f>
        <v>0</v>
      </c>
      <c r="AL56" s="179">
        <f>IF(OR(Assump!$A$7="USD",Assump!$A$7="EURO"),'Hist &amp; Proj'!AJ63/'Hist &amp; Proj'!AJ$8,'Hist &amp; Proj'!AJ63)</f>
        <v>0</v>
      </c>
      <c r="AM56" s="179">
        <f>IF(OR(Assump!$A$7="USD",Assump!$A$7="EURO"),'Hist &amp; Proj'!AK63/'Hist &amp; Proj'!AK$8,'Hist &amp; Proj'!AK63)</f>
        <v>0</v>
      </c>
      <c r="AN56" s="179">
        <f>IF(OR(Assump!$A$7="USD",Assump!$A$7="EURO"),'Hist &amp; Proj'!AL63/'Hist &amp; Proj'!AL$8,'Hist &amp; Proj'!AL63)</f>
        <v>0</v>
      </c>
      <c r="AP56" s="367" t="str">
        <f>IFERROR(RATE(4,0,-AJ56,AN56),"NA")</f>
        <v>NA</v>
      </c>
    </row>
    <row r="57" spans="1:42" s="170" customFormat="1" outlineLevel="1">
      <c r="A57" s="518" t="str">
        <f>'Hist &amp; Proj'!A64</f>
        <v>Non-Operating Expense</v>
      </c>
      <c r="B57" s="179">
        <f>IF(OR(Assump!$A$7="USD",Assump!$A$7="EURO"),'Hist &amp; Proj'!B64/'Hist &amp; Proj'!B$8,'Hist &amp; Proj'!B64)</f>
        <v>0</v>
      </c>
      <c r="C57" s="179">
        <f>IF(OR(Assump!$A$7="USD",Assump!$A$7="EURO"),'Hist &amp; Proj'!C64/'Hist &amp; Proj'!C$9,'Hist &amp; Proj'!C64)</f>
        <v>0</v>
      </c>
      <c r="D57" s="179">
        <f>IF(OR(Assump!$A$7="USD",Assump!$A$7="EURO"),'Hist &amp; Proj'!D64/'Hist &amp; Proj'!D$9,'Hist &amp; Proj'!D64)</f>
        <v>0</v>
      </c>
      <c r="E57" s="179">
        <f>IF(OR(Assump!$A$7="USD",Assump!$A$7="EURO"),'Hist &amp; Proj'!E64/'Hist &amp; Proj'!E$9,'Hist &amp; Proj'!E64)</f>
        <v>0</v>
      </c>
      <c r="F57" s="179">
        <f ca="1">IF(OR(Assump!$A$7="USD",Assump!$A$7="EURO"),'Hist &amp; Proj'!F64/'Hist &amp; Proj'!F$10,'Hist &amp; Proj'!F64)</f>
        <v>0</v>
      </c>
      <c r="G57" s="179">
        <f ca="1">IF(OR(Assump!$A$7="USD",Assump!$A$7="EURO"),'Hist &amp; Proj'!G64/'Hist &amp; Proj'!G$10,'Hist &amp; Proj'!G64)</f>
        <v>0</v>
      </c>
      <c r="H57" s="179">
        <f ca="1">IF(OR(Assump!$A$7="USD",Assump!$A$7="EURO"),'Hist &amp; Proj'!H64/'Hist &amp; Proj'!H$10,'Hist &amp; Proj'!H64)</f>
        <v>0</v>
      </c>
      <c r="I57" s="179">
        <f ca="1">IF(OR(Assump!$A$7="USD",Assump!$A$7="EURO"),'Hist &amp; Proj'!I64/'Hist &amp; Proj'!I$10,'Hist &amp; Proj'!I64)</f>
        <v>0</v>
      </c>
      <c r="J57" s="179">
        <f ca="1">IF(OR(Assump!$A$7="USD",Assump!$A$7="EURO"),'Hist &amp; Proj'!J64/'Hist &amp; Proj'!J$10,'Hist &amp; Proj'!J64)</f>
        <v>0</v>
      </c>
      <c r="K57" s="179">
        <f ca="1">IF(OR(Assump!$A$7="USD",Assump!$A$7="EURO"),'Hist &amp; Proj'!K64/'Hist &amp; Proj'!K$10,'Hist &amp; Proj'!K64)</f>
        <v>0</v>
      </c>
      <c r="L57" s="179">
        <f ca="1">IF(OR(Assump!$A$7="USD",Assump!$A$7="EURO"),'Hist &amp; Proj'!L64/'Hist &amp; Proj'!L$10,'Hist &amp; Proj'!L64)</f>
        <v>0</v>
      </c>
      <c r="M57" s="179">
        <f ca="1">IF(OR(Assump!$A$7="USD",Assump!$A$7="EURO"),'Hist &amp; Proj'!M64/'Hist &amp; Proj'!M$10,'Hist &amp; Proj'!M64)</f>
        <v>0</v>
      </c>
      <c r="N57" s="179">
        <f ca="1">IF(OR(Assump!$A$7="USD",Assump!$A$7="EURO"),'Hist &amp; Proj'!N64/'Hist &amp; Proj'!N$10,'Hist &amp; Proj'!N64)</f>
        <v>0</v>
      </c>
      <c r="O57" s="179">
        <f ca="1">IF(OR(Assump!$A$7="USD",Assump!$A$7="EURO"),'Hist &amp; Proj'!O64/'Hist &amp; Proj'!O$10,'Hist &amp; Proj'!O64)</f>
        <v>0</v>
      </c>
      <c r="P57" s="179">
        <f ca="1">IF(OR(Assump!$A$7="USD",Assump!$A$7="EURO"),'Hist &amp; Proj'!P64/'Hist &amp; Proj'!P$10,'Hist &amp; Proj'!P64)</f>
        <v>0</v>
      </c>
      <c r="Q57" s="179">
        <f ca="1">IF(OR(Assump!$A$7="USD",Assump!$A$7="EURO"),'Hist &amp; Proj'!Q64/'Hist &amp; Proj'!Q$10,'Hist &amp; Proj'!Q64)</f>
        <v>0</v>
      </c>
      <c r="R57" s="179">
        <f ca="1">IF(OR(Assump!$A$7="USD",Assump!$A$7="EURO"),'Hist &amp; Proj'!R64/'Hist &amp; Proj'!R$10,'Hist &amp; Proj'!R64)</f>
        <v>0</v>
      </c>
      <c r="S57" s="179">
        <f ca="1">IF(OR(Assump!$A$7="USD",Assump!$A$7="EURO"),'Hist &amp; Proj'!S64/'Hist &amp; Proj'!S$10,'Hist &amp; Proj'!S64)</f>
        <v>0</v>
      </c>
      <c r="T57" s="179">
        <f ca="1">IF(OR(Assump!$A$7="USD",Assump!$A$7="EURO"),'Hist &amp; Proj'!T64/'Hist &amp; Proj'!T$10,'Hist &amp; Proj'!T64)</f>
        <v>0</v>
      </c>
      <c r="U57" s="179">
        <f ca="1">IF(OR(Assump!$A$7="USD",Assump!$A$7="EURO"),'Hist &amp; Proj'!U64/'Hist &amp; Proj'!U$10,'Hist &amp; Proj'!U64)</f>
        <v>0</v>
      </c>
      <c r="V57" s="179">
        <f ca="1">IF(OR(Assump!$A$7="USD",Assump!$A$7="EURO"),'Hist &amp; Proj'!V64/'Hist &amp; Proj'!V$10,'Hist &amp; Proj'!V64)</f>
        <v>0</v>
      </c>
      <c r="W57" s="179">
        <f ca="1">IF(OR(Assump!$A$7="USD",Assump!$A$7="EURO"),'Hist &amp; Proj'!W64/'Hist &amp; Proj'!W$10,'Hist &amp; Proj'!W64)</f>
        <v>0</v>
      </c>
      <c r="X57" s="179">
        <f ca="1">IF(OR(Assump!$A$7="USD",Assump!$A$7="EURO"),'Hist &amp; Proj'!X64/'Hist &amp; Proj'!X$10,'Hist &amp; Proj'!X64)</f>
        <v>0</v>
      </c>
      <c r="Y57" s="179">
        <f ca="1">IF(OR(Assump!$A$7="USD",Assump!$A$7="EURO"),'Hist &amp; Proj'!Y64/'Hist &amp; Proj'!Y$10,'Hist &amp; Proj'!Y64)</f>
        <v>0</v>
      </c>
      <c r="Z57" s="179">
        <f ca="1">IF(OR(Assump!$A$7="USD",Assump!$A$7="EURO"),'Hist &amp; Proj'!Z64/'Hist &amp; Proj'!Z$10,'Hist &amp; Proj'!Z64)</f>
        <v>0</v>
      </c>
      <c r="AA57" s="179">
        <f ca="1">IF(OR(Assump!$A$7="USD",Assump!$A$7="EURO"),'Hist &amp; Proj'!AA64/'Hist &amp; Proj'!AA$10,'Hist &amp; Proj'!AA64)</f>
        <v>0</v>
      </c>
      <c r="AB57" s="179">
        <f ca="1">IF(OR(Assump!$A$7="USD",Assump!$A$7="EURO"),'Hist &amp; Proj'!AB64/'Hist &amp; Proj'!AB$10,'Hist &amp; Proj'!AB64)</f>
        <v>0</v>
      </c>
      <c r="AC57" s="179">
        <f ca="1">IF(OR(Assump!$A$7="USD",Assump!$A$7="EURO"),'Hist &amp; Proj'!AC64/'Hist &amp; Proj'!AC$10,'Hist &amp; Proj'!AC64)</f>
        <v>0</v>
      </c>
      <c r="AD57" s="179">
        <f ca="1">IF(OR(Assump!$A$7="USD",Assump!$A$7="EURO"),'Hist &amp; Proj'!AD64/'Hist &amp; Proj'!AD$10,'Hist &amp; Proj'!AD64)</f>
        <v>0</v>
      </c>
      <c r="AE57" s="179" t="e">
        <f ca="1">IF(OR(Assump!$A$7="USD",Assump!$A$7="EURO"),'Hist &amp; Proj'!AE64/'Hist &amp; Proj'!AE$10,'Hist &amp; Proj'!AE64)</f>
        <v>#N/A</v>
      </c>
      <c r="AF57" s="179" t="e">
        <f ca="1">IF(OR(Assump!$A$7="USD",Assump!$A$7="EURO"),'Hist &amp; Proj'!AF64/'Hist &amp; Proj'!AE$9,'Hist &amp; Proj'!AF64)</f>
        <v>#N/A</v>
      </c>
      <c r="AH57" s="367" t="str">
        <f ca="1">IFERROR(RATE(3,0,-C57,R57),"NA")</f>
        <v>NA</v>
      </c>
      <c r="AI57" s="3"/>
      <c r="AJ57" s="179">
        <f>IF(OR(Assump!$A$7="USD",Assump!$A$7="EURO"),'Hist &amp; Proj'!AH64/'Hist &amp; Proj'!AH$8,'Hist &amp; Proj'!AH64)</f>
        <v>0</v>
      </c>
      <c r="AK57" s="179">
        <f>IF(OR(Assump!$A$7="USD",Assump!$A$7="EURO"),'Hist &amp; Proj'!AI64/'Hist &amp; Proj'!AI$8,'Hist &amp; Proj'!AI64)</f>
        <v>0</v>
      </c>
      <c r="AL57" s="179">
        <f>IF(OR(Assump!$A$7="USD",Assump!$A$7="EURO"),'Hist &amp; Proj'!AJ64/'Hist &amp; Proj'!AJ$8,'Hist &amp; Proj'!AJ64)</f>
        <v>0</v>
      </c>
      <c r="AM57" s="179">
        <f>IF(OR(Assump!$A$7="USD",Assump!$A$7="EURO"),'Hist &amp; Proj'!AK64/'Hist &amp; Proj'!AK$8,'Hist &amp; Proj'!AK64)</f>
        <v>0</v>
      </c>
      <c r="AN57" s="179">
        <f>IF(OR(Assump!$A$7="USD",Assump!$A$7="EURO"),'Hist &amp; Proj'!AL64/'Hist &amp; Proj'!AL$8,'Hist &amp; Proj'!AL64)</f>
        <v>0</v>
      </c>
      <c r="AO57" s="208"/>
      <c r="AP57" s="367" t="str">
        <f>IFERROR(RATE(4,0,-AJ57,AN57),"NA")</f>
        <v>NA</v>
      </c>
    </row>
    <row r="58" spans="1:42" s="355" customFormat="1">
      <c r="A58" s="172" t="str">
        <f>'Hist &amp; Proj'!A65</f>
        <v>Net Non-Operating Income</v>
      </c>
      <c r="B58" s="181">
        <f t="shared" ref="B58:AF58" si="21">SUM(B56:B57)</f>
        <v>0</v>
      </c>
      <c r="C58" s="181">
        <f t="shared" si="21"/>
        <v>0</v>
      </c>
      <c r="D58" s="181">
        <f t="shared" si="21"/>
        <v>0</v>
      </c>
      <c r="E58" s="181">
        <f t="shared" si="21"/>
        <v>0</v>
      </c>
      <c r="F58" s="181">
        <f t="shared" ca="1" si="21"/>
        <v>0</v>
      </c>
      <c r="G58" s="181">
        <f t="shared" ca="1" si="21"/>
        <v>0</v>
      </c>
      <c r="H58" s="181">
        <f t="shared" ca="1" si="21"/>
        <v>0</v>
      </c>
      <c r="I58" s="181">
        <f t="shared" ca="1" si="21"/>
        <v>0</v>
      </c>
      <c r="J58" s="181">
        <f t="shared" ca="1" si="21"/>
        <v>0</v>
      </c>
      <c r="K58" s="181">
        <f t="shared" ca="1" si="21"/>
        <v>0</v>
      </c>
      <c r="L58" s="181">
        <f t="shared" ca="1" si="21"/>
        <v>0</v>
      </c>
      <c r="M58" s="181">
        <f t="shared" ca="1" si="21"/>
        <v>0</v>
      </c>
      <c r="N58" s="181">
        <f t="shared" ca="1" si="21"/>
        <v>0</v>
      </c>
      <c r="O58" s="181">
        <f t="shared" ca="1" si="21"/>
        <v>0</v>
      </c>
      <c r="P58" s="181">
        <f t="shared" ca="1" si="21"/>
        <v>0</v>
      </c>
      <c r="Q58" s="181">
        <f t="shared" ca="1" si="21"/>
        <v>0</v>
      </c>
      <c r="R58" s="181">
        <f t="shared" ca="1" si="21"/>
        <v>0</v>
      </c>
      <c r="S58" s="181">
        <f t="shared" ca="1" si="21"/>
        <v>0</v>
      </c>
      <c r="T58" s="181">
        <f t="shared" ca="1" si="21"/>
        <v>0</v>
      </c>
      <c r="U58" s="181">
        <f t="shared" ca="1" si="21"/>
        <v>0</v>
      </c>
      <c r="V58" s="181">
        <f t="shared" ca="1" si="21"/>
        <v>0</v>
      </c>
      <c r="W58" s="181">
        <f t="shared" ca="1" si="21"/>
        <v>0</v>
      </c>
      <c r="X58" s="181">
        <f t="shared" ca="1" si="21"/>
        <v>0</v>
      </c>
      <c r="Y58" s="181">
        <f t="shared" ca="1" si="21"/>
        <v>0</v>
      </c>
      <c r="Z58" s="181">
        <f t="shared" ca="1" si="21"/>
        <v>0</v>
      </c>
      <c r="AA58" s="181">
        <f t="shared" ca="1" si="21"/>
        <v>0</v>
      </c>
      <c r="AB58" s="181">
        <f t="shared" ca="1" si="21"/>
        <v>0</v>
      </c>
      <c r="AC58" s="181">
        <f t="shared" ca="1" si="21"/>
        <v>0</v>
      </c>
      <c r="AD58" s="181">
        <f t="shared" ca="1" si="21"/>
        <v>0</v>
      </c>
      <c r="AE58" s="181" t="e">
        <f t="shared" ca="1" si="21"/>
        <v>#N/A</v>
      </c>
      <c r="AF58" s="181" t="e">
        <f t="shared" ca="1" si="21"/>
        <v>#N/A</v>
      </c>
      <c r="AG58" s="170"/>
      <c r="AH58" s="178" t="str">
        <f ca="1">IFERROR(RATE(3,0,-C58,R58),"NA")</f>
        <v>NA</v>
      </c>
      <c r="AJ58" s="181">
        <f>SUM(AJ56:AJ57)</f>
        <v>0</v>
      </c>
      <c r="AK58" s="181">
        <f>SUM(AK56:AK57)</f>
        <v>0</v>
      </c>
      <c r="AL58" s="181">
        <f>SUM(AL56:AL57)</f>
        <v>0</v>
      </c>
      <c r="AM58" s="181">
        <f>SUM(AM56:AM57)</f>
        <v>0</v>
      </c>
      <c r="AN58" s="181">
        <f>SUM(AN56:AN57)</f>
        <v>0</v>
      </c>
      <c r="AO58" s="358"/>
      <c r="AP58" s="178" t="str">
        <f>IFERROR(RATE(4,0,-AJ58,AN58),"NA")</f>
        <v>NA</v>
      </c>
    </row>
    <row r="59" spans="1:42" outlineLevel="1">
      <c r="A59" s="127"/>
      <c r="B59" s="179"/>
      <c r="C59" s="179"/>
      <c r="D59" s="179"/>
      <c r="E59" s="179"/>
      <c r="F59" s="179"/>
      <c r="G59" s="179"/>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c r="AE59" s="179"/>
      <c r="AF59" s="179"/>
      <c r="AG59" s="170"/>
      <c r="AH59" s="367"/>
      <c r="AJ59" s="179"/>
      <c r="AK59" s="179"/>
      <c r="AL59" s="179"/>
      <c r="AM59" s="179"/>
      <c r="AN59" s="179"/>
      <c r="AP59" s="367"/>
    </row>
    <row r="60" spans="1:42" s="382" customFormat="1">
      <c r="A60" s="190" t="str">
        <f>'Hist &amp; Proj'!A67</f>
        <v>Net Income (Before Taxes &amp; Donations)</v>
      </c>
      <c r="B60" s="189">
        <f t="shared" ref="B60:J60" si="22">SUM(B58,B53)</f>
        <v>0</v>
      </c>
      <c r="C60" s="189">
        <f t="shared" si="22"/>
        <v>0</v>
      </c>
      <c r="D60" s="189">
        <f t="shared" si="22"/>
        <v>0</v>
      </c>
      <c r="E60" s="189">
        <f t="shared" si="22"/>
        <v>0</v>
      </c>
      <c r="F60" s="189">
        <f t="shared" ca="1" si="22"/>
        <v>0</v>
      </c>
      <c r="G60" s="189">
        <f t="shared" ca="1" si="22"/>
        <v>0</v>
      </c>
      <c r="H60" s="189">
        <f t="shared" ca="1" si="22"/>
        <v>0</v>
      </c>
      <c r="I60" s="189">
        <f t="shared" ca="1" si="22"/>
        <v>0</v>
      </c>
      <c r="J60" s="189">
        <f t="shared" ca="1" si="22"/>
        <v>0</v>
      </c>
      <c r="K60" s="189">
        <f t="shared" ref="K60:Q60" ca="1" si="23">SUM(K58,K53)</f>
        <v>0</v>
      </c>
      <c r="L60" s="189">
        <f t="shared" ca="1" si="23"/>
        <v>0</v>
      </c>
      <c r="M60" s="189">
        <f t="shared" ca="1" si="23"/>
        <v>0</v>
      </c>
      <c r="N60" s="189">
        <f t="shared" ca="1" si="23"/>
        <v>0</v>
      </c>
      <c r="O60" s="189">
        <f t="shared" ca="1" si="23"/>
        <v>0</v>
      </c>
      <c r="P60" s="189">
        <f t="shared" ca="1" si="23"/>
        <v>0</v>
      </c>
      <c r="Q60" s="189">
        <f t="shared" ca="1" si="23"/>
        <v>0</v>
      </c>
      <c r="R60" s="189">
        <f t="shared" ref="R60:AD60" ca="1" si="24">SUM(R58,R53)</f>
        <v>0</v>
      </c>
      <c r="S60" s="189">
        <f t="shared" ca="1" si="24"/>
        <v>0</v>
      </c>
      <c r="T60" s="189">
        <f t="shared" ca="1" si="24"/>
        <v>0</v>
      </c>
      <c r="U60" s="189">
        <f t="shared" ca="1" si="24"/>
        <v>0</v>
      </c>
      <c r="V60" s="189">
        <f t="shared" ca="1" si="24"/>
        <v>0</v>
      </c>
      <c r="W60" s="189">
        <f t="shared" ca="1" si="24"/>
        <v>0</v>
      </c>
      <c r="X60" s="189">
        <f t="shared" ca="1" si="24"/>
        <v>0</v>
      </c>
      <c r="Y60" s="189">
        <f t="shared" ca="1" si="24"/>
        <v>0</v>
      </c>
      <c r="Z60" s="189">
        <f t="shared" ca="1" si="24"/>
        <v>0</v>
      </c>
      <c r="AA60" s="189">
        <f t="shared" ca="1" si="24"/>
        <v>0</v>
      </c>
      <c r="AB60" s="189">
        <f t="shared" ca="1" si="24"/>
        <v>0</v>
      </c>
      <c r="AC60" s="189">
        <f t="shared" ca="1" si="24"/>
        <v>0</v>
      </c>
      <c r="AD60" s="189">
        <f t="shared" ca="1" si="24"/>
        <v>0</v>
      </c>
      <c r="AE60" s="189" t="e">
        <f ca="1">SUM(AE58,AE53)</f>
        <v>#N/A</v>
      </c>
      <c r="AF60" s="189" t="e">
        <f ca="1">SUM(AF58,AF53)</f>
        <v>#N/A</v>
      </c>
      <c r="AG60" s="170"/>
      <c r="AH60" s="381" t="str">
        <f ca="1">IFERROR(RATE(3,0,-C60,R60),"NA")</f>
        <v>NA</v>
      </c>
      <c r="AJ60" s="189">
        <f>SUM(AJ58,AJ53)</f>
        <v>0</v>
      </c>
      <c r="AK60" s="189">
        <f>SUM(AK58,AK53)</f>
        <v>0</v>
      </c>
      <c r="AL60" s="189">
        <f>SUM(AL58,AL53)</f>
        <v>0</v>
      </c>
      <c r="AM60" s="189">
        <f>SUM(AM58,AM53)</f>
        <v>0</v>
      </c>
      <c r="AN60" s="189">
        <f>SUM(AN58,AN53)</f>
        <v>0</v>
      </c>
      <c r="AO60" s="383"/>
      <c r="AP60" s="381" t="str">
        <f>IFERROR(RATE(4,0,-AJ60,AN60),"NA")</f>
        <v>NA</v>
      </c>
    </row>
    <row r="61" spans="1:42">
      <c r="A61" s="182" t="str">
        <f>'Hist &amp; Proj'!A68</f>
        <v>Net Income (Before Taxes &amp; Donations) Margin (%)</v>
      </c>
      <c r="B61" s="183" t="str">
        <f t="shared" ref="B61:AF61" si="25">IF(B60=0,"",IF(B44=0,"",+B60/B44))</f>
        <v/>
      </c>
      <c r="C61" s="183" t="str">
        <f t="shared" si="25"/>
        <v/>
      </c>
      <c r="D61" s="183" t="str">
        <f t="shared" si="25"/>
        <v/>
      </c>
      <c r="E61" s="183" t="str">
        <f t="shared" si="25"/>
        <v/>
      </c>
      <c r="F61" s="183" t="str">
        <f t="shared" ca="1" si="25"/>
        <v/>
      </c>
      <c r="G61" s="183" t="str">
        <f t="shared" ca="1" si="25"/>
        <v/>
      </c>
      <c r="H61" s="183" t="str">
        <f t="shared" ca="1" si="25"/>
        <v/>
      </c>
      <c r="I61" s="183" t="str">
        <f t="shared" ca="1" si="25"/>
        <v/>
      </c>
      <c r="J61" s="183" t="str">
        <f t="shared" ca="1" si="25"/>
        <v/>
      </c>
      <c r="K61" s="183" t="str">
        <f t="shared" ca="1" si="25"/>
        <v/>
      </c>
      <c r="L61" s="183" t="str">
        <f t="shared" ca="1" si="25"/>
        <v/>
      </c>
      <c r="M61" s="183" t="str">
        <f t="shared" ca="1" si="25"/>
        <v/>
      </c>
      <c r="N61" s="183" t="str">
        <f t="shared" ca="1" si="25"/>
        <v/>
      </c>
      <c r="O61" s="183" t="str">
        <f t="shared" ca="1" si="25"/>
        <v/>
      </c>
      <c r="P61" s="183" t="str">
        <f t="shared" ca="1" si="25"/>
        <v/>
      </c>
      <c r="Q61" s="183" t="str">
        <f t="shared" ca="1" si="25"/>
        <v/>
      </c>
      <c r="R61" s="183" t="str">
        <f t="shared" ca="1" si="25"/>
        <v/>
      </c>
      <c r="S61" s="183" t="str">
        <f t="shared" ca="1" si="25"/>
        <v/>
      </c>
      <c r="T61" s="183" t="str">
        <f t="shared" ca="1" si="25"/>
        <v/>
      </c>
      <c r="U61" s="183" t="str">
        <f t="shared" ca="1" si="25"/>
        <v/>
      </c>
      <c r="V61" s="183" t="str">
        <f t="shared" ca="1" si="25"/>
        <v/>
      </c>
      <c r="W61" s="183" t="str">
        <f t="shared" ca="1" si="25"/>
        <v/>
      </c>
      <c r="X61" s="183" t="str">
        <f t="shared" ca="1" si="25"/>
        <v/>
      </c>
      <c r="Y61" s="183" t="str">
        <f t="shared" ca="1" si="25"/>
        <v/>
      </c>
      <c r="Z61" s="183" t="str">
        <f t="shared" ca="1" si="25"/>
        <v/>
      </c>
      <c r="AA61" s="183" t="str">
        <f t="shared" ca="1" si="25"/>
        <v/>
      </c>
      <c r="AB61" s="183" t="str">
        <f t="shared" ca="1" si="25"/>
        <v/>
      </c>
      <c r="AC61" s="183" t="str">
        <f t="shared" ca="1" si="25"/>
        <v/>
      </c>
      <c r="AD61" s="183" t="str">
        <f t="shared" ca="1" si="25"/>
        <v/>
      </c>
      <c r="AE61" s="183" t="e">
        <f t="shared" ca="1" si="25"/>
        <v>#N/A</v>
      </c>
      <c r="AF61" s="183" t="e">
        <f t="shared" ca="1" si="25"/>
        <v>#N/A</v>
      </c>
      <c r="AG61" s="170"/>
      <c r="AH61" s="368" t="str">
        <f ca="1">IFERROR(AVERAGE(C61:E61,R61),"NA")</f>
        <v>NA</v>
      </c>
      <c r="AJ61" s="183" t="str">
        <f>IF(AJ60=0,"",IF(AJ44=0,"",+AJ60/AJ44))</f>
        <v/>
      </c>
      <c r="AK61" s="183" t="str">
        <f>IF(AK60=0,"",IF(AK44=0,"",+AK60/AK44))</f>
        <v/>
      </c>
      <c r="AL61" s="183" t="str">
        <f>IF(AL60=0,"",IF(AL44=0,"",+AL60/AL44))</f>
        <v/>
      </c>
      <c r="AM61" s="183" t="str">
        <f>IF(AM60=0,"",IF(AM44=0,"",+AM60/AM44))</f>
        <v/>
      </c>
      <c r="AN61" s="183" t="str">
        <f>IF(AN60=0,"",IF(AN44=0,"",+AN60/AN44))</f>
        <v/>
      </c>
      <c r="AP61" s="368" t="str">
        <f>IFERROR(AVERAGE(AJ61:AN61),"NA")</f>
        <v>NA</v>
      </c>
    </row>
    <row r="62" spans="1:42" ht="5.25" customHeight="1">
      <c r="A62" s="181"/>
      <c r="B62" s="181"/>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1"/>
      <c r="AC62" s="181"/>
      <c r="AD62" s="181"/>
      <c r="AE62" s="181"/>
      <c r="AF62" s="181"/>
      <c r="AG62" s="170"/>
      <c r="AH62" s="178"/>
      <c r="AJ62" s="181"/>
      <c r="AK62" s="181"/>
      <c r="AL62" s="181"/>
      <c r="AM62" s="181"/>
      <c r="AN62" s="181"/>
      <c r="AP62" s="178"/>
    </row>
    <row r="63" spans="1:42">
      <c r="A63" s="179" t="str">
        <f>'Hist &amp; Proj'!A70</f>
        <v>Taxes</v>
      </c>
      <c r="B63" s="179">
        <f>IF(OR(Assump!$A$7="USD",Assump!$A$7="EURO"),'Hist &amp; Proj'!B70/'Hist &amp; Proj'!B$8,'Hist &amp; Proj'!B70)</f>
        <v>0</v>
      </c>
      <c r="C63" s="179">
        <f>IF(OR(Assump!$A$7="USD",Assump!$A$7="EURO"),'Hist &amp; Proj'!C70/'Hist &amp; Proj'!C$9,'Hist &amp; Proj'!C70)</f>
        <v>0</v>
      </c>
      <c r="D63" s="179">
        <f>IF(OR(Assump!$A$7="USD",Assump!$A$7="EURO"),'Hist &amp; Proj'!D70/'Hist &amp; Proj'!D$9,'Hist &amp; Proj'!D70)</f>
        <v>0</v>
      </c>
      <c r="E63" s="179">
        <f>IF(OR(Assump!$A$7="USD",Assump!$A$7="EURO"),'Hist &amp; Proj'!E70/'Hist &amp; Proj'!E$9,'Hist &amp; Proj'!E70)</f>
        <v>0</v>
      </c>
      <c r="F63" s="179">
        <f ca="1">IF(OR(Assump!$A$7="USD",Assump!$A$7="EURO"),'Hist &amp; Proj'!F70/'Hist &amp; Proj'!F$10,'Hist &amp; Proj'!F70)</f>
        <v>0</v>
      </c>
      <c r="G63" s="179">
        <f ca="1">IF(OR(Assump!$A$7="USD",Assump!$A$7="EURO"),'Hist &amp; Proj'!G70/'Hist &amp; Proj'!G$10,'Hist &amp; Proj'!G70)</f>
        <v>0</v>
      </c>
      <c r="H63" s="179">
        <f ca="1">IF(OR(Assump!$A$7="USD",Assump!$A$7="EURO"),'Hist &amp; Proj'!H70/'Hist &amp; Proj'!H$10,'Hist &amp; Proj'!H70)</f>
        <v>0</v>
      </c>
      <c r="I63" s="179">
        <f ca="1">IF(OR(Assump!$A$7="USD",Assump!$A$7="EURO"),'Hist &amp; Proj'!I70/'Hist &amp; Proj'!I$10,'Hist &amp; Proj'!I70)</f>
        <v>0</v>
      </c>
      <c r="J63" s="179">
        <f ca="1">IF(OR(Assump!$A$7="USD",Assump!$A$7="EURO"),'Hist &amp; Proj'!J70/'Hist &amp; Proj'!J$10,'Hist &amp; Proj'!J70)</f>
        <v>0</v>
      </c>
      <c r="K63" s="179">
        <f ca="1">IF(OR(Assump!$A$7="USD",Assump!$A$7="EURO"),'Hist &amp; Proj'!K70/'Hist &amp; Proj'!K$10,'Hist &amp; Proj'!K70)</f>
        <v>0</v>
      </c>
      <c r="L63" s="179">
        <f ca="1">IF(OR(Assump!$A$7="USD",Assump!$A$7="EURO"),'Hist &amp; Proj'!L70/'Hist &amp; Proj'!L$10,'Hist &amp; Proj'!L70)</f>
        <v>0</v>
      </c>
      <c r="M63" s="179">
        <f ca="1">IF(OR(Assump!$A$7="USD",Assump!$A$7="EURO"),'Hist &amp; Proj'!M70/'Hist &amp; Proj'!M$10,'Hist &amp; Proj'!M70)</f>
        <v>0</v>
      </c>
      <c r="N63" s="179">
        <f ca="1">IF(OR(Assump!$A$7="USD",Assump!$A$7="EURO"),'Hist &amp; Proj'!N70/'Hist &amp; Proj'!N$10,'Hist &amp; Proj'!N70)</f>
        <v>0</v>
      </c>
      <c r="O63" s="179">
        <f ca="1">IF(OR(Assump!$A$7="USD",Assump!$A$7="EURO"),'Hist &amp; Proj'!O70/'Hist &amp; Proj'!O$10,'Hist &amp; Proj'!O70)</f>
        <v>0</v>
      </c>
      <c r="P63" s="179">
        <f ca="1">IF(OR(Assump!$A$7="USD",Assump!$A$7="EURO"),'Hist &amp; Proj'!P70/'Hist &amp; Proj'!P$10,'Hist &amp; Proj'!P70)</f>
        <v>0</v>
      </c>
      <c r="Q63" s="179">
        <f ca="1">IF(OR(Assump!$A$7="USD",Assump!$A$7="EURO"),'Hist &amp; Proj'!Q70/'Hist &amp; Proj'!Q$10,'Hist &amp; Proj'!Q70)</f>
        <v>0</v>
      </c>
      <c r="R63" s="179">
        <f ca="1">IF(OR(Assump!$A$7="USD",Assump!$A$7="EURO"),'Hist &amp; Proj'!R70/'Hist &amp; Proj'!R$10,'Hist &amp; Proj'!R70)</f>
        <v>0</v>
      </c>
      <c r="S63" s="179">
        <f ca="1">IF(OR(Assump!$A$7="USD",Assump!$A$7="EURO"),'Hist &amp; Proj'!S70/'Hist &amp; Proj'!S$10,'Hist &amp; Proj'!S70)</f>
        <v>0</v>
      </c>
      <c r="T63" s="179">
        <f ca="1">IF(OR(Assump!$A$7="USD",Assump!$A$7="EURO"),'Hist &amp; Proj'!T70/'Hist &amp; Proj'!T$10,'Hist &amp; Proj'!T70)</f>
        <v>0</v>
      </c>
      <c r="U63" s="179">
        <f ca="1">IF(OR(Assump!$A$7="USD",Assump!$A$7="EURO"),'Hist &amp; Proj'!U70/'Hist &amp; Proj'!U$10,'Hist &amp; Proj'!U70)</f>
        <v>0</v>
      </c>
      <c r="V63" s="179">
        <f ca="1">IF(OR(Assump!$A$7="USD",Assump!$A$7="EURO"),'Hist &amp; Proj'!V70/'Hist &amp; Proj'!V$10,'Hist &amp; Proj'!V70)</f>
        <v>0</v>
      </c>
      <c r="W63" s="179">
        <f ca="1">IF(OR(Assump!$A$7="USD",Assump!$A$7="EURO"),'Hist &amp; Proj'!W70/'Hist &amp; Proj'!W$10,'Hist &amp; Proj'!W70)</f>
        <v>0</v>
      </c>
      <c r="X63" s="179">
        <f ca="1">IF(OR(Assump!$A$7="USD",Assump!$A$7="EURO"),'Hist &amp; Proj'!X70/'Hist &amp; Proj'!X$10,'Hist &amp; Proj'!X70)</f>
        <v>0</v>
      </c>
      <c r="Y63" s="179">
        <f ca="1">IF(OR(Assump!$A$7="USD",Assump!$A$7="EURO"),'Hist &amp; Proj'!Y70/'Hist &amp; Proj'!Y$10,'Hist &amp; Proj'!Y70)</f>
        <v>0</v>
      </c>
      <c r="Z63" s="179">
        <f ca="1">IF(OR(Assump!$A$7="USD",Assump!$A$7="EURO"),'Hist &amp; Proj'!Z70/'Hist &amp; Proj'!Z$10,'Hist &amp; Proj'!Z70)</f>
        <v>0</v>
      </c>
      <c r="AA63" s="179">
        <f ca="1">IF(OR(Assump!$A$7="USD",Assump!$A$7="EURO"),'Hist &amp; Proj'!AA70/'Hist &amp; Proj'!AA$10,'Hist &amp; Proj'!AA70)</f>
        <v>0</v>
      </c>
      <c r="AB63" s="179">
        <f ca="1">IF(OR(Assump!$A$7="USD",Assump!$A$7="EURO"),'Hist &amp; Proj'!AB70/'Hist &amp; Proj'!AB$10,'Hist &amp; Proj'!AB70)</f>
        <v>0</v>
      </c>
      <c r="AC63" s="179">
        <f ca="1">IF(OR(Assump!$A$7="USD",Assump!$A$7="EURO"),'Hist &amp; Proj'!AC70/'Hist &amp; Proj'!AC$10,'Hist &amp; Proj'!AC70)</f>
        <v>0</v>
      </c>
      <c r="AD63" s="179">
        <f ca="1">IF(OR(Assump!$A$7="USD",Assump!$A$7="EURO"),'Hist &amp; Proj'!AD70/'Hist &amp; Proj'!AD$10,'Hist &amp; Proj'!AD70)</f>
        <v>0</v>
      </c>
      <c r="AE63" s="179" t="e">
        <f ca="1">IF(OR(Assump!$A$7="USD",Assump!$A$7="EURO"),'Hist &amp; Proj'!AE70/'Hist &amp; Proj'!AE$10,'Hist &amp; Proj'!AE70)</f>
        <v>#N/A</v>
      </c>
      <c r="AF63" s="179" t="e">
        <f ca="1">IF(OR(Assump!$A$7="USD",Assump!$A$7="EURO"),'Hist &amp; Proj'!AF70/'Hist &amp; Proj'!AE$9,'Hist &amp; Proj'!AF70)</f>
        <v>#N/A</v>
      </c>
      <c r="AG63" s="170"/>
      <c r="AH63" s="367" t="str">
        <f ca="1">IFERROR(RATE(3,0,-C63,R63),"NA")</f>
        <v>NA</v>
      </c>
      <c r="AJ63" s="179">
        <f>IF(OR(Assump!$A$7="USD",Assump!$A$7="EURO"),'Hist &amp; Proj'!AH70/'Hist &amp; Proj'!AH$8,'Hist &amp; Proj'!AH70)</f>
        <v>0</v>
      </c>
      <c r="AK63" s="179">
        <f>IF(OR(Assump!$A$7="USD",Assump!$A$7="EURO"),'Hist &amp; Proj'!AI70/'Hist &amp; Proj'!AI$8,'Hist &amp; Proj'!AI70)</f>
        <v>0</v>
      </c>
      <c r="AL63" s="179">
        <f>IF(OR(Assump!$A$7="USD",Assump!$A$7="EURO"),'Hist &amp; Proj'!AJ70/'Hist &amp; Proj'!AJ$8,'Hist &amp; Proj'!AJ70)</f>
        <v>0</v>
      </c>
      <c r="AM63" s="179">
        <f>IF(OR(Assump!$A$7="USD",Assump!$A$7="EURO"),'Hist &amp; Proj'!AK70/'Hist &amp; Proj'!AK$8,'Hist &amp; Proj'!AK70)</f>
        <v>0</v>
      </c>
      <c r="AN63" s="179">
        <f>IF(OR(Assump!$A$7="USD",Assump!$A$7="EURO"),'Hist &amp; Proj'!AL70/'Hist &amp; Proj'!AL$8,'Hist &amp; Proj'!AL70)</f>
        <v>0</v>
      </c>
      <c r="AP63" s="367" t="str">
        <f>IFERROR(RATE(4,0,-AJ63,AN63),"NA")</f>
        <v>NA</v>
      </c>
    </row>
    <row r="64" spans="1:42">
      <c r="A64" s="182" t="s">
        <v>564</v>
      </c>
      <c r="B64" s="183" t="str">
        <f t="shared" ref="B64:AF64" si="26">IF(B63=0,"",IF(B60&lt;0,"",-B63/B60))</f>
        <v/>
      </c>
      <c r="C64" s="183" t="str">
        <f t="shared" si="26"/>
        <v/>
      </c>
      <c r="D64" s="183" t="str">
        <f t="shared" si="26"/>
        <v/>
      </c>
      <c r="E64" s="183" t="str">
        <f t="shared" si="26"/>
        <v/>
      </c>
      <c r="F64" s="183" t="str">
        <f t="shared" ca="1" si="26"/>
        <v/>
      </c>
      <c r="G64" s="183" t="str">
        <f t="shared" ca="1" si="26"/>
        <v/>
      </c>
      <c r="H64" s="183" t="str">
        <f t="shared" ca="1" si="26"/>
        <v/>
      </c>
      <c r="I64" s="183" t="str">
        <f t="shared" ca="1" si="26"/>
        <v/>
      </c>
      <c r="J64" s="183" t="str">
        <f t="shared" ca="1" si="26"/>
        <v/>
      </c>
      <c r="K64" s="183" t="str">
        <f t="shared" ca="1" si="26"/>
        <v/>
      </c>
      <c r="L64" s="183" t="str">
        <f t="shared" ca="1" si="26"/>
        <v/>
      </c>
      <c r="M64" s="183" t="str">
        <f t="shared" ca="1" si="26"/>
        <v/>
      </c>
      <c r="N64" s="183" t="str">
        <f t="shared" ca="1" si="26"/>
        <v/>
      </c>
      <c r="O64" s="183" t="str">
        <f t="shared" ca="1" si="26"/>
        <v/>
      </c>
      <c r="P64" s="183" t="str">
        <f t="shared" ca="1" si="26"/>
        <v/>
      </c>
      <c r="Q64" s="183" t="str">
        <f t="shared" ca="1" si="26"/>
        <v/>
      </c>
      <c r="R64" s="183" t="str">
        <f t="shared" ca="1" si="26"/>
        <v/>
      </c>
      <c r="S64" s="183" t="str">
        <f t="shared" ca="1" si="26"/>
        <v/>
      </c>
      <c r="T64" s="183" t="str">
        <f t="shared" ca="1" si="26"/>
        <v/>
      </c>
      <c r="U64" s="183" t="str">
        <f t="shared" ca="1" si="26"/>
        <v/>
      </c>
      <c r="V64" s="183" t="str">
        <f t="shared" ca="1" si="26"/>
        <v/>
      </c>
      <c r="W64" s="183" t="str">
        <f t="shared" ca="1" si="26"/>
        <v/>
      </c>
      <c r="X64" s="183" t="str">
        <f t="shared" ca="1" si="26"/>
        <v/>
      </c>
      <c r="Y64" s="183" t="str">
        <f t="shared" ca="1" si="26"/>
        <v/>
      </c>
      <c r="Z64" s="183" t="str">
        <f t="shared" ca="1" si="26"/>
        <v/>
      </c>
      <c r="AA64" s="183" t="str">
        <f t="shared" ca="1" si="26"/>
        <v/>
      </c>
      <c r="AB64" s="183" t="str">
        <f t="shared" ca="1" si="26"/>
        <v/>
      </c>
      <c r="AC64" s="183" t="str">
        <f t="shared" ca="1" si="26"/>
        <v/>
      </c>
      <c r="AD64" s="183" t="str">
        <f t="shared" ca="1" si="26"/>
        <v/>
      </c>
      <c r="AE64" s="183" t="e">
        <f t="shared" ca="1" si="26"/>
        <v>#N/A</v>
      </c>
      <c r="AF64" s="183" t="e">
        <f t="shared" ca="1" si="26"/>
        <v>#N/A</v>
      </c>
      <c r="AG64" s="170"/>
      <c r="AH64" s="368" t="str">
        <f ca="1">IFERROR(AVERAGE(C64:E64,R64),"NA")</f>
        <v>NA</v>
      </c>
      <c r="AJ64" s="183" t="str">
        <f>IF(AJ63=0,"",IF(AJ60&lt;0,"",-AJ63/AJ60))</f>
        <v/>
      </c>
      <c r="AK64" s="183" t="str">
        <f>IF(AK63=0,"",IF(AK60&lt;0,"",-AK63/AK60))</f>
        <v/>
      </c>
      <c r="AL64" s="183" t="str">
        <f>IF(AL63=0,"",IF(AL60&lt;0,"",-AL63/AL60))</f>
        <v/>
      </c>
      <c r="AM64" s="183" t="str">
        <f>IF(AM63=0,"",IF(AM60&lt;0,"",-AM63/AM60))</f>
        <v/>
      </c>
      <c r="AN64" s="183" t="str">
        <f>IF(AN63=0,"",IF(AN60&lt;0,"",-AN63/AN60))</f>
        <v/>
      </c>
      <c r="AP64" s="368" t="str">
        <f>IFERROR(AVERAGE(AJ64:AN64),"NA")</f>
        <v>NA</v>
      </c>
    </row>
    <row r="65" spans="1:52" ht="5.25" customHeight="1">
      <c r="A65" s="192"/>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70"/>
      <c r="AH65" s="384"/>
      <c r="AJ65" s="193"/>
      <c r="AK65" s="193"/>
      <c r="AL65" s="193"/>
      <c r="AM65" s="193"/>
      <c r="AN65" s="193"/>
      <c r="AP65" s="384"/>
    </row>
    <row r="66" spans="1:52">
      <c r="A66" s="194" t="str">
        <f>'Hist &amp; Proj'!A71</f>
        <v>Net Income (After Taxes Before Donations)</v>
      </c>
      <c r="B66" s="194">
        <f t="shared" ref="B66:J66" si="27">SUM(B60,B63)</f>
        <v>0</v>
      </c>
      <c r="C66" s="194">
        <f t="shared" si="27"/>
        <v>0</v>
      </c>
      <c r="D66" s="194">
        <f t="shared" si="27"/>
        <v>0</v>
      </c>
      <c r="E66" s="194">
        <f t="shared" si="27"/>
        <v>0</v>
      </c>
      <c r="F66" s="194">
        <f t="shared" ca="1" si="27"/>
        <v>0</v>
      </c>
      <c r="G66" s="194">
        <f t="shared" ca="1" si="27"/>
        <v>0</v>
      </c>
      <c r="H66" s="194">
        <f t="shared" ca="1" si="27"/>
        <v>0</v>
      </c>
      <c r="I66" s="194">
        <f t="shared" ca="1" si="27"/>
        <v>0</v>
      </c>
      <c r="J66" s="194">
        <f t="shared" ca="1" si="27"/>
        <v>0</v>
      </c>
      <c r="K66" s="194">
        <f t="shared" ref="K66:Q66" ca="1" si="28">SUM(K60,K63)</f>
        <v>0</v>
      </c>
      <c r="L66" s="194">
        <f t="shared" ca="1" si="28"/>
        <v>0</v>
      </c>
      <c r="M66" s="194">
        <f t="shared" ca="1" si="28"/>
        <v>0</v>
      </c>
      <c r="N66" s="194">
        <f t="shared" ca="1" si="28"/>
        <v>0</v>
      </c>
      <c r="O66" s="194">
        <f t="shared" ca="1" si="28"/>
        <v>0</v>
      </c>
      <c r="P66" s="194">
        <f t="shared" ca="1" si="28"/>
        <v>0</v>
      </c>
      <c r="Q66" s="194">
        <f t="shared" ca="1" si="28"/>
        <v>0</v>
      </c>
      <c r="R66" s="194">
        <f t="shared" ref="R66:AD66" ca="1" si="29">SUM(R60,R63)</f>
        <v>0</v>
      </c>
      <c r="S66" s="194">
        <f t="shared" ca="1" si="29"/>
        <v>0</v>
      </c>
      <c r="T66" s="194">
        <f t="shared" ca="1" si="29"/>
        <v>0</v>
      </c>
      <c r="U66" s="194">
        <f t="shared" ca="1" si="29"/>
        <v>0</v>
      </c>
      <c r="V66" s="194">
        <f t="shared" ca="1" si="29"/>
        <v>0</v>
      </c>
      <c r="W66" s="194">
        <f t="shared" ca="1" si="29"/>
        <v>0</v>
      </c>
      <c r="X66" s="194">
        <f t="shared" ca="1" si="29"/>
        <v>0</v>
      </c>
      <c r="Y66" s="194">
        <f t="shared" ca="1" si="29"/>
        <v>0</v>
      </c>
      <c r="Z66" s="194">
        <f t="shared" ca="1" si="29"/>
        <v>0</v>
      </c>
      <c r="AA66" s="194">
        <f t="shared" ca="1" si="29"/>
        <v>0</v>
      </c>
      <c r="AB66" s="194">
        <f t="shared" ca="1" si="29"/>
        <v>0</v>
      </c>
      <c r="AC66" s="194">
        <f t="shared" ca="1" si="29"/>
        <v>0</v>
      </c>
      <c r="AD66" s="194">
        <f t="shared" ca="1" si="29"/>
        <v>0</v>
      </c>
      <c r="AE66" s="194" t="e">
        <f ca="1">SUM(AE60,AE63)</f>
        <v>#N/A</v>
      </c>
      <c r="AF66" s="194" t="e">
        <f ca="1">SUM(AF60,AF63)</f>
        <v>#N/A</v>
      </c>
      <c r="AG66" s="170"/>
      <c r="AH66" s="385" t="str">
        <f ca="1">IFERROR(RATE(3,0,-C66,R66),"NA")</f>
        <v>NA</v>
      </c>
      <c r="AJ66" s="194">
        <f>SUM(AJ60,AJ63)</f>
        <v>0</v>
      </c>
      <c r="AK66" s="194">
        <f>SUM(AK60,AK63)</f>
        <v>0</v>
      </c>
      <c r="AL66" s="194">
        <f>SUM(AL60,AL63)</f>
        <v>0</v>
      </c>
      <c r="AM66" s="194">
        <f>SUM(AM60,AM63)</f>
        <v>0</v>
      </c>
      <c r="AN66" s="194">
        <f>SUM(AN60,AN63)</f>
        <v>0</v>
      </c>
      <c r="AP66" s="385" t="str">
        <f>IFERROR(RATE(4,0,-AJ66,AN66),"NA")</f>
        <v>NA</v>
      </c>
    </row>
    <row r="67" spans="1:52" outlineLevel="1">
      <c r="A67" s="181"/>
      <c r="B67" s="181"/>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70"/>
      <c r="AH67" s="178"/>
      <c r="AJ67" s="181"/>
      <c r="AK67" s="181"/>
      <c r="AL67" s="181"/>
      <c r="AM67" s="181"/>
      <c r="AN67" s="181"/>
      <c r="AP67" s="178"/>
    </row>
    <row r="68" spans="1:52" outlineLevel="1">
      <c r="A68" s="179" t="str">
        <f>'Hist &amp; Proj'!A73</f>
        <v>Donations</v>
      </c>
      <c r="B68" s="179">
        <f>IF(OR(Assump!$A$7="USD",Assump!$A$7="EURO"),'Hist &amp; Proj'!B73/'Hist &amp; Proj'!B$8,'Hist &amp; Proj'!B73)</f>
        <v>0</v>
      </c>
      <c r="C68" s="179">
        <f>IF(OR(Assump!$A$7="USD",Assump!$A$7="EURO"),'Hist &amp; Proj'!C73/'Hist &amp; Proj'!C$9,'Hist &amp; Proj'!C73)</f>
        <v>0</v>
      </c>
      <c r="D68" s="179">
        <f>IF(OR(Assump!$A$7="USD",Assump!$A$7="EURO"),'Hist &amp; Proj'!D73/'Hist &amp; Proj'!D$9,'Hist &amp; Proj'!D73)</f>
        <v>0</v>
      </c>
      <c r="E68" s="179">
        <f>IF(OR(Assump!$A$7="USD",Assump!$A$7="EURO"),'Hist &amp; Proj'!E73/'Hist &amp; Proj'!E$9,'Hist &amp; Proj'!E73)</f>
        <v>0</v>
      </c>
      <c r="F68" s="179">
        <f ca="1">IF(OR(Assump!$A$7="USD",Assump!$A$7="EURO"),'Hist &amp; Proj'!F73/'Hist &amp; Proj'!F$10,'Hist &amp; Proj'!F73)</f>
        <v>0</v>
      </c>
      <c r="G68" s="179">
        <f ca="1">IF(OR(Assump!$A$7="USD",Assump!$A$7="EURO"),'Hist &amp; Proj'!G73/'Hist &amp; Proj'!G$10,'Hist &amp; Proj'!G73)</f>
        <v>0</v>
      </c>
      <c r="H68" s="179">
        <f ca="1">IF(OR(Assump!$A$7="USD",Assump!$A$7="EURO"),'Hist &amp; Proj'!H73/'Hist &amp; Proj'!H$10,'Hist &amp; Proj'!H73)</f>
        <v>0</v>
      </c>
      <c r="I68" s="179">
        <f ca="1">IF(OR(Assump!$A$7="USD",Assump!$A$7="EURO"),'Hist &amp; Proj'!I73/'Hist &amp; Proj'!I$10,'Hist &amp; Proj'!I73)</f>
        <v>0</v>
      </c>
      <c r="J68" s="179">
        <f ca="1">IF(OR(Assump!$A$7="USD",Assump!$A$7="EURO"),'Hist &amp; Proj'!J73/'Hist &amp; Proj'!J$10,'Hist &amp; Proj'!J73)</f>
        <v>0</v>
      </c>
      <c r="K68" s="179">
        <f ca="1">IF(OR(Assump!$A$7="USD",Assump!$A$7="EURO"),'Hist &amp; Proj'!K73/'Hist &amp; Proj'!K$10,'Hist &amp; Proj'!K73)</f>
        <v>0</v>
      </c>
      <c r="L68" s="179">
        <f ca="1">IF(OR(Assump!$A$7="USD",Assump!$A$7="EURO"),'Hist &amp; Proj'!L73/'Hist &amp; Proj'!L$10,'Hist &amp; Proj'!L73)</f>
        <v>0</v>
      </c>
      <c r="M68" s="179">
        <f ca="1">IF(OR(Assump!$A$7="USD",Assump!$A$7="EURO"),'Hist &amp; Proj'!M73/'Hist &amp; Proj'!M$10,'Hist &amp; Proj'!M73)</f>
        <v>0</v>
      </c>
      <c r="N68" s="179">
        <f ca="1">IF(OR(Assump!$A$7="USD",Assump!$A$7="EURO"),'Hist &amp; Proj'!N73/'Hist &amp; Proj'!N$10,'Hist &amp; Proj'!N73)</f>
        <v>0</v>
      </c>
      <c r="O68" s="179">
        <f ca="1">IF(OR(Assump!$A$7="USD",Assump!$A$7="EURO"),'Hist &amp; Proj'!O73/'Hist &amp; Proj'!O$10,'Hist &amp; Proj'!O73)</f>
        <v>0</v>
      </c>
      <c r="P68" s="179">
        <f ca="1">IF(OR(Assump!$A$7="USD",Assump!$A$7="EURO"),'Hist &amp; Proj'!P73/'Hist &amp; Proj'!P$10,'Hist &amp; Proj'!P73)</f>
        <v>0</v>
      </c>
      <c r="Q68" s="179">
        <f ca="1">IF(OR(Assump!$A$7="USD",Assump!$A$7="EURO"),'Hist &amp; Proj'!Q73/'Hist &amp; Proj'!Q$10,'Hist &amp; Proj'!Q73)</f>
        <v>0</v>
      </c>
      <c r="R68" s="179">
        <f ca="1">IF(OR(Assump!$A$7="USD",Assump!$A$7="EURO"),'Hist &amp; Proj'!R73/'Hist &amp; Proj'!R$10,'Hist &amp; Proj'!R73)</f>
        <v>0</v>
      </c>
      <c r="S68" s="179">
        <f ca="1">IF(OR(Assump!$A$7="USD",Assump!$A$7="EURO"),'Hist &amp; Proj'!S73/'Hist &amp; Proj'!S$10,'Hist &amp; Proj'!S73)</f>
        <v>0</v>
      </c>
      <c r="T68" s="179">
        <f ca="1">IF(OR(Assump!$A$7="USD",Assump!$A$7="EURO"),'Hist &amp; Proj'!T73/'Hist &amp; Proj'!T$10,'Hist &amp; Proj'!T73)</f>
        <v>0</v>
      </c>
      <c r="U68" s="179">
        <f ca="1">IF(OR(Assump!$A$7="USD",Assump!$A$7="EURO"),'Hist &amp; Proj'!U73/'Hist &amp; Proj'!U$10,'Hist &amp; Proj'!U73)</f>
        <v>0</v>
      </c>
      <c r="V68" s="179">
        <f ca="1">IF(OR(Assump!$A$7="USD",Assump!$A$7="EURO"),'Hist &amp; Proj'!V73/'Hist &amp; Proj'!V$10,'Hist &amp; Proj'!V73)</f>
        <v>0</v>
      </c>
      <c r="W68" s="179">
        <f ca="1">IF(OR(Assump!$A$7="USD",Assump!$A$7="EURO"),'Hist &amp; Proj'!W73/'Hist &amp; Proj'!W$10,'Hist &amp; Proj'!W73)</f>
        <v>0</v>
      </c>
      <c r="X68" s="179">
        <f ca="1">IF(OR(Assump!$A$7="USD",Assump!$A$7="EURO"),'Hist &amp; Proj'!X73/'Hist &amp; Proj'!X$10,'Hist &amp; Proj'!X73)</f>
        <v>0</v>
      </c>
      <c r="Y68" s="179">
        <f ca="1">IF(OR(Assump!$A$7="USD",Assump!$A$7="EURO"),'Hist &amp; Proj'!Y73/'Hist &amp; Proj'!Y$10,'Hist &amp; Proj'!Y73)</f>
        <v>0</v>
      </c>
      <c r="Z68" s="179">
        <f ca="1">IF(OR(Assump!$A$7="USD",Assump!$A$7="EURO"),'Hist &amp; Proj'!Z73/'Hist &amp; Proj'!Z$10,'Hist &amp; Proj'!Z73)</f>
        <v>0</v>
      </c>
      <c r="AA68" s="179">
        <f ca="1">IF(OR(Assump!$A$7="USD",Assump!$A$7="EURO"),'Hist &amp; Proj'!AA73/'Hist &amp; Proj'!AA$10,'Hist &amp; Proj'!AA73)</f>
        <v>0</v>
      </c>
      <c r="AB68" s="179">
        <f ca="1">IF(OR(Assump!$A$7="USD",Assump!$A$7="EURO"),'Hist &amp; Proj'!AB73/'Hist &amp; Proj'!AB$10,'Hist &amp; Proj'!AB73)</f>
        <v>0</v>
      </c>
      <c r="AC68" s="179">
        <f ca="1">IF(OR(Assump!$A$7="USD",Assump!$A$7="EURO"),'Hist &amp; Proj'!AC73/'Hist &amp; Proj'!AC$10,'Hist &amp; Proj'!AC73)</f>
        <v>0</v>
      </c>
      <c r="AD68" s="179">
        <f ca="1">IF(OR(Assump!$A$7="USD",Assump!$A$7="EURO"),'Hist &amp; Proj'!AD73/'Hist &amp; Proj'!AD$10,'Hist &amp; Proj'!AD73)</f>
        <v>0</v>
      </c>
      <c r="AE68" s="179" t="e">
        <f ca="1">IF(OR(Assump!$A$7="USD",Assump!$A$7="EURO"),'Hist &amp; Proj'!AE73/'Hist &amp; Proj'!AE$10,'Hist &amp; Proj'!AE73)</f>
        <v>#N/A</v>
      </c>
      <c r="AF68" s="179" t="e">
        <f ca="1">IF(OR(Assump!$A$7="USD",Assump!$A$7="EURO"),'Hist &amp; Proj'!AF73/'Hist &amp; Proj'!AE$9,'Hist &amp; Proj'!AF73)</f>
        <v>#N/A</v>
      </c>
      <c r="AG68" s="170"/>
      <c r="AH68" s="367" t="str">
        <f ca="1">IFERROR(RATE(3,0,-C68,R68),"NA")</f>
        <v>NA</v>
      </c>
      <c r="AJ68" s="179">
        <f>IF(OR(Assump!$A$7="USD",Assump!$A$7="EURO"),'Hist &amp; Proj'!AH73/'Hist &amp; Proj'!AH$8,'Hist &amp; Proj'!AH73)</f>
        <v>0</v>
      </c>
      <c r="AK68" s="179">
        <f>IF(OR(Assump!$A$7="USD",Assump!$A$7="EURO"),'Hist &amp; Proj'!AI73/'Hist &amp; Proj'!AI$8,'Hist &amp; Proj'!AI73)</f>
        <v>0</v>
      </c>
      <c r="AL68" s="179">
        <f>IF(OR(Assump!$A$7="USD",Assump!$A$7="EURO"),'Hist &amp; Proj'!AJ73/'Hist &amp; Proj'!AJ$8,'Hist &amp; Proj'!AJ73)</f>
        <v>0</v>
      </c>
      <c r="AM68" s="179">
        <f>IF(OR(Assump!$A$7="USD",Assump!$A$7="EURO"),'Hist &amp; Proj'!AK73/'Hist &amp; Proj'!AK$8,'Hist &amp; Proj'!AK73)</f>
        <v>0</v>
      </c>
      <c r="AN68" s="179">
        <f>IF(OR(Assump!$A$7="USD",Assump!$A$7="EURO"),'Hist &amp; Proj'!AL73/'Hist &amp; Proj'!AL$8,'Hist &amp; Proj'!AL73)</f>
        <v>0</v>
      </c>
      <c r="AP68" s="367" t="str">
        <f>IFERROR(RATE(4,0,-AJ68,AN68),"NA")</f>
        <v>NA</v>
      </c>
    </row>
    <row r="69" spans="1:52" outlineLevel="1">
      <c r="A69" s="194" t="str">
        <f>'Hist &amp; Proj'!A74</f>
        <v>Net Income After Taxes &amp; Donations</v>
      </c>
      <c r="B69" s="194">
        <f t="shared" ref="B69:AF69" si="30">SUM(B66,B68)</f>
        <v>0</v>
      </c>
      <c r="C69" s="194">
        <f t="shared" si="30"/>
        <v>0</v>
      </c>
      <c r="D69" s="194">
        <f t="shared" si="30"/>
        <v>0</v>
      </c>
      <c r="E69" s="194">
        <f t="shared" si="30"/>
        <v>0</v>
      </c>
      <c r="F69" s="194">
        <f t="shared" ca="1" si="30"/>
        <v>0</v>
      </c>
      <c r="G69" s="194">
        <f t="shared" ca="1" si="30"/>
        <v>0</v>
      </c>
      <c r="H69" s="194">
        <f t="shared" ca="1" si="30"/>
        <v>0</v>
      </c>
      <c r="I69" s="194">
        <f t="shared" ca="1" si="30"/>
        <v>0</v>
      </c>
      <c r="J69" s="194">
        <f t="shared" ca="1" si="30"/>
        <v>0</v>
      </c>
      <c r="K69" s="194">
        <f t="shared" ca="1" si="30"/>
        <v>0</v>
      </c>
      <c r="L69" s="194">
        <f t="shared" ca="1" si="30"/>
        <v>0</v>
      </c>
      <c r="M69" s="194">
        <f t="shared" ca="1" si="30"/>
        <v>0</v>
      </c>
      <c r="N69" s="194">
        <f t="shared" ca="1" si="30"/>
        <v>0</v>
      </c>
      <c r="O69" s="194">
        <f t="shared" ca="1" si="30"/>
        <v>0</v>
      </c>
      <c r="P69" s="194">
        <f t="shared" ca="1" si="30"/>
        <v>0</v>
      </c>
      <c r="Q69" s="194">
        <f t="shared" ca="1" si="30"/>
        <v>0</v>
      </c>
      <c r="R69" s="194">
        <f t="shared" ca="1" si="30"/>
        <v>0</v>
      </c>
      <c r="S69" s="194">
        <f t="shared" ca="1" si="30"/>
        <v>0</v>
      </c>
      <c r="T69" s="194">
        <f t="shared" ca="1" si="30"/>
        <v>0</v>
      </c>
      <c r="U69" s="194">
        <f t="shared" ca="1" si="30"/>
        <v>0</v>
      </c>
      <c r="V69" s="194">
        <f t="shared" ca="1" si="30"/>
        <v>0</v>
      </c>
      <c r="W69" s="194">
        <f t="shared" ca="1" si="30"/>
        <v>0</v>
      </c>
      <c r="X69" s="194">
        <f t="shared" ca="1" si="30"/>
        <v>0</v>
      </c>
      <c r="Y69" s="194">
        <f t="shared" ca="1" si="30"/>
        <v>0</v>
      </c>
      <c r="Z69" s="194">
        <f t="shared" ca="1" si="30"/>
        <v>0</v>
      </c>
      <c r="AA69" s="194">
        <f t="shared" ca="1" si="30"/>
        <v>0</v>
      </c>
      <c r="AB69" s="194">
        <f t="shared" ca="1" si="30"/>
        <v>0</v>
      </c>
      <c r="AC69" s="194">
        <f t="shared" ca="1" si="30"/>
        <v>0</v>
      </c>
      <c r="AD69" s="194">
        <f t="shared" ca="1" si="30"/>
        <v>0</v>
      </c>
      <c r="AE69" s="194" t="e">
        <f t="shared" ca="1" si="30"/>
        <v>#N/A</v>
      </c>
      <c r="AF69" s="194" t="e">
        <f t="shared" ca="1" si="30"/>
        <v>#N/A</v>
      </c>
      <c r="AG69" s="170"/>
      <c r="AH69" s="385" t="str">
        <f ca="1">IFERROR(RATE(3,0,-C69,R69),"NA")</f>
        <v>NA</v>
      </c>
      <c r="AJ69" s="194">
        <f>SUM(AJ66,AJ68)</f>
        <v>0</v>
      </c>
      <c r="AK69" s="194">
        <f>SUM(AK66,AK68)</f>
        <v>0</v>
      </c>
      <c r="AL69" s="194">
        <f>SUM(AL66,AL68)</f>
        <v>0</v>
      </c>
      <c r="AM69" s="194">
        <f>SUM(AM66,AM68)</f>
        <v>0</v>
      </c>
      <c r="AN69" s="194">
        <f>SUM(AN66,AN68)</f>
        <v>0</v>
      </c>
      <c r="AP69" s="385" t="str">
        <f>IFERROR(RATE(4,0,-AJ69,AN69),"NA")</f>
        <v>NA</v>
      </c>
    </row>
    <row r="70" spans="1:52" outlineLevel="1">
      <c r="A70" s="181"/>
      <c r="B70" s="181"/>
      <c r="C70" s="181"/>
      <c r="D70" s="181"/>
      <c r="E70" s="181"/>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c r="AE70" s="181"/>
      <c r="AF70" s="181"/>
      <c r="AG70" s="170"/>
      <c r="AH70" s="178"/>
      <c r="AJ70" s="181"/>
      <c r="AK70" s="181"/>
      <c r="AL70" s="181"/>
      <c r="AM70" s="181"/>
      <c r="AN70" s="181"/>
      <c r="AP70" s="178"/>
    </row>
    <row r="71" spans="1:52" outlineLevel="1">
      <c r="A71" s="179" t="str">
        <f>'Hist &amp; Proj'!A76</f>
        <v>Dividends</v>
      </c>
      <c r="B71" s="179">
        <f>IF(OR(Assump!$A$7="USD",Assump!$A$7="EURO"),'Hist &amp; Proj'!B76/'Hist &amp; Proj'!B$8,'Hist &amp; Proj'!B76)</f>
        <v>0</v>
      </c>
      <c r="C71" s="179">
        <f>IF(OR(Assump!$A$7="USD",Assump!$A$7="EURO"),'Hist &amp; Proj'!C76/'Hist &amp; Proj'!C$9,'Hist &amp; Proj'!C76)</f>
        <v>0</v>
      </c>
      <c r="D71" s="179">
        <f>IF(OR(Assump!$A$7="USD",Assump!$A$7="EURO"),'Hist &amp; Proj'!D76/'Hist &amp; Proj'!D$9,'Hist &amp; Proj'!D76)</f>
        <v>0</v>
      </c>
      <c r="E71" s="179">
        <f>IF(OR(Assump!$A$7="USD",Assump!$A$7="EURO"),'Hist &amp; Proj'!E76/'Hist &amp; Proj'!E$9,'Hist &amp; Proj'!E76)</f>
        <v>0</v>
      </c>
      <c r="F71" s="179">
        <f ca="1">IF(OR(Assump!$A$7="USD",Assump!$A$7="EURO"),'Hist &amp; Proj'!F76/'Hist &amp; Proj'!F$10,'Hist &amp; Proj'!F76)</f>
        <v>0</v>
      </c>
      <c r="G71" s="179">
        <f ca="1">IF(OR(Assump!$A$7="USD",Assump!$A$7="EURO"),'Hist &amp; Proj'!G76/'Hist &amp; Proj'!G$10,'Hist &amp; Proj'!G76)</f>
        <v>0</v>
      </c>
      <c r="H71" s="179">
        <f ca="1">IF(OR(Assump!$A$7="USD",Assump!$A$7="EURO"),'Hist &amp; Proj'!H76/'Hist &amp; Proj'!H$10,'Hist &amp; Proj'!H76)</f>
        <v>0</v>
      </c>
      <c r="I71" s="179">
        <f ca="1">IF(OR(Assump!$A$7="USD",Assump!$A$7="EURO"),'Hist &amp; Proj'!I76/'Hist &amp; Proj'!I$10,'Hist &amp; Proj'!I76)</f>
        <v>0</v>
      </c>
      <c r="J71" s="179">
        <f ca="1">IF(OR(Assump!$A$7="USD",Assump!$A$7="EURO"),'Hist &amp; Proj'!J76/'Hist &amp; Proj'!J$10,'Hist &amp; Proj'!J76)</f>
        <v>0</v>
      </c>
      <c r="K71" s="179">
        <f ca="1">IF(OR(Assump!$A$7="USD",Assump!$A$7="EURO"),'Hist &amp; Proj'!K76/'Hist &amp; Proj'!K$10,'Hist &amp; Proj'!K76)</f>
        <v>0</v>
      </c>
      <c r="L71" s="179">
        <f ca="1">IF(OR(Assump!$A$7="USD",Assump!$A$7="EURO"),'Hist &amp; Proj'!L76/'Hist &amp; Proj'!L$10,'Hist &amp; Proj'!L76)</f>
        <v>0</v>
      </c>
      <c r="M71" s="179">
        <f ca="1">IF(OR(Assump!$A$7="USD",Assump!$A$7="EURO"),'Hist &amp; Proj'!M76/'Hist &amp; Proj'!M$10,'Hist &amp; Proj'!M76)</f>
        <v>0</v>
      </c>
      <c r="N71" s="179">
        <f ca="1">IF(OR(Assump!$A$7="USD",Assump!$A$7="EURO"),'Hist &amp; Proj'!N76/'Hist &amp; Proj'!N$10,'Hist &amp; Proj'!N76)</f>
        <v>0</v>
      </c>
      <c r="O71" s="179">
        <f ca="1">IF(OR(Assump!$A$7="USD",Assump!$A$7="EURO"),'Hist &amp; Proj'!O76/'Hist &amp; Proj'!O$10,'Hist &amp; Proj'!O76)</f>
        <v>0</v>
      </c>
      <c r="P71" s="179">
        <f ca="1">IF(OR(Assump!$A$7="USD",Assump!$A$7="EURO"),'Hist &amp; Proj'!P76/'Hist &amp; Proj'!P$10,'Hist &amp; Proj'!P76)</f>
        <v>0</v>
      </c>
      <c r="Q71" s="179">
        <f ca="1">IF(OR(Assump!$A$7="USD",Assump!$A$7="EURO"),'Hist &amp; Proj'!Q76/'Hist &amp; Proj'!Q$10,'Hist &amp; Proj'!Q76)</f>
        <v>0</v>
      </c>
      <c r="R71" s="179">
        <f ca="1">IF(OR(Assump!$A$7="USD",Assump!$A$7="EURO"),'Hist &amp; Proj'!R76/'Hist &amp; Proj'!R$10,'Hist &amp; Proj'!R76)</f>
        <v>0</v>
      </c>
      <c r="S71" s="179">
        <f ca="1">IF(OR(Assump!$A$7="USD",Assump!$A$7="EURO"),'Hist &amp; Proj'!S76/'Hist &amp; Proj'!S$10,'Hist &amp; Proj'!S76)</f>
        <v>0</v>
      </c>
      <c r="T71" s="179">
        <f ca="1">IF(OR(Assump!$A$7="USD",Assump!$A$7="EURO"),'Hist &amp; Proj'!T76/'Hist &amp; Proj'!T$10,'Hist &amp; Proj'!T76)</f>
        <v>0</v>
      </c>
      <c r="U71" s="179">
        <f ca="1">IF(OR(Assump!$A$7="USD",Assump!$A$7="EURO"),'Hist &amp; Proj'!U76/'Hist &amp; Proj'!U$10,'Hist &amp; Proj'!U76)</f>
        <v>0</v>
      </c>
      <c r="V71" s="179">
        <f ca="1">IF(OR(Assump!$A$7="USD",Assump!$A$7="EURO"),'Hist &amp; Proj'!V76/'Hist &amp; Proj'!V$10,'Hist &amp; Proj'!V76)</f>
        <v>0</v>
      </c>
      <c r="W71" s="179">
        <f ca="1">IF(OR(Assump!$A$7="USD",Assump!$A$7="EURO"),'Hist &amp; Proj'!W76/'Hist &amp; Proj'!W$10,'Hist &amp; Proj'!W76)</f>
        <v>0</v>
      </c>
      <c r="X71" s="179">
        <f ca="1">IF(OR(Assump!$A$7="USD",Assump!$A$7="EURO"),'Hist &amp; Proj'!X76/'Hist &amp; Proj'!X$10,'Hist &amp; Proj'!X76)</f>
        <v>0</v>
      </c>
      <c r="Y71" s="179">
        <f ca="1">IF(OR(Assump!$A$7="USD",Assump!$A$7="EURO"),'Hist &amp; Proj'!Y76/'Hist &amp; Proj'!Y$10,'Hist &amp; Proj'!Y76)</f>
        <v>0</v>
      </c>
      <c r="Z71" s="179">
        <f ca="1">IF(OR(Assump!$A$7="USD",Assump!$A$7="EURO"),'Hist &amp; Proj'!Z76/'Hist &amp; Proj'!Z$10,'Hist &amp; Proj'!Z76)</f>
        <v>0</v>
      </c>
      <c r="AA71" s="179">
        <f ca="1">IF(OR(Assump!$A$7="USD",Assump!$A$7="EURO"),'Hist &amp; Proj'!AA76/'Hist &amp; Proj'!AA$10,'Hist &amp; Proj'!AA76)</f>
        <v>0</v>
      </c>
      <c r="AB71" s="179">
        <f ca="1">IF(OR(Assump!$A$7="USD",Assump!$A$7="EURO"),'Hist &amp; Proj'!AB76/'Hist &amp; Proj'!AB$10,'Hist &amp; Proj'!AB76)</f>
        <v>0</v>
      </c>
      <c r="AC71" s="179">
        <f ca="1">IF(OR(Assump!$A$7="USD",Assump!$A$7="EURO"),'Hist &amp; Proj'!AC76/'Hist &amp; Proj'!AC$10,'Hist &amp; Proj'!AC76)</f>
        <v>0</v>
      </c>
      <c r="AD71" s="179">
        <f ca="1">IF(OR(Assump!$A$7="USD",Assump!$A$7="EURO"),'Hist &amp; Proj'!AD76/'Hist &amp; Proj'!AD$10,'Hist &amp; Proj'!AD76)</f>
        <v>0</v>
      </c>
      <c r="AE71" s="179" t="e">
        <f ca="1">IF(OR(Assump!$A$7="USD",Assump!$A$7="EURO"),'Hist &amp; Proj'!AE76/'Hist &amp; Proj'!AE$10,'Hist &amp; Proj'!AE76)</f>
        <v>#N/A</v>
      </c>
      <c r="AF71" s="179" t="e">
        <f ca="1">IF(OR(Assump!$A$7="USD",Assump!$A$7="EURO"),'Hist &amp; Proj'!AF76/'Hist &amp; Proj'!AE$9,'Hist &amp; Proj'!AF76)</f>
        <v>#N/A</v>
      </c>
      <c r="AH71" s="367" t="str">
        <f ca="1">IFERROR(RATE(3,0,-C71,R71),"NA")</f>
        <v>NA</v>
      </c>
      <c r="AJ71" s="179">
        <f>IF(OR(Assump!$A$7="USD",Assump!$A$7="EURO"),'Hist &amp; Proj'!AH76/'Hist &amp; Proj'!AH$8,'Hist &amp; Proj'!AH76)</f>
        <v>0</v>
      </c>
      <c r="AK71" s="179">
        <f>IF(OR(Assump!$A$7="USD",Assump!$A$7="EURO"),'Hist &amp; Proj'!AI76/'Hist &amp; Proj'!AI$8,'Hist &amp; Proj'!AI76)</f>
        <v>0</v>
      </c>
      <c r="AL71" s="179">
        <f>IF(OR(Assump!$A$7="USD",Assump!$A$7="EURO"),'Hist &amp; Proj'!AJ76/'Hist &amp; Proj'!AJ$8,'Hist &amp; Proj'!AJ76)</f>
        <v>0</v>
      </c>
      <c r="AM71" s="179">
        <f>IF(OR(Assump!$A$7="USD",Assump!$A$7="EURO"),'Hist &amp; Proj'!AK76/'Hist &amp; Proj'!AK$8,'Hist &amp; Proj'!AK76)</f>
        <v>0</v>
      </c>
      <c r="AN71" s="179">
        <f>IF(OR(Assump!$A$7="USD",Assump!$A$7="EURO"),'Hist &amp; Proj'!AL76/'Hist &amp; Proj'!AL$8,'Hist &amp; Proj'!AL76)</f>
        <v>0</v>
      </c>
      <c r="AP71" s="367" t="str">
        <f>IFERROR(RATE(4,0,-AJ71,AN71),"NA")</f>
        <v>NA</v>
      </c>
    </row>
    <row r="72" spans="1:52" outlineLevel="1">
      <c r="A72" s="194" t="str">
        <f>'Hist &amp; Proj'!A77</f>
        <v>Net Income to Retained Earnings</v>
      </c>
      <c r="B72" s="194">
        <f t="shared" ref="B72:AF72" si="31">SUM(B69,B71)</f>
        <v>0</v>
      </c>
      <c r="C72" s="194">
        <f t="shared" si="31"/>
        <v>0</v>
      </c>
      <c r="D72" s="194">
        <f t="shared" si="31"/>
        <v>0</v>
      </c>
      <c r="E72" s="194">
        <f t="shared" si="31"/>
        <v>0</v>
      </c>
      <c r="F72" s="194">
        <f t="shared" ca="1" si="31"/>
        <v>0</v>
      </c>
      <c r="G72" s="194">
        <f t="shared" ca="1" si="31"/>
        <v>0</v>
      </c>
      <c r="H72" s="194">
        <f t="shared" ca="1" si="31"/>
        <v>0</v>
      </c>
      <c r="I72" s="194">
        <f t="shared" ca="1" si="31"/>
        <v>0</v>
      </c>
      <c r="J72" s="194">
        <f t="shared" ca="1" si="31"/>
        <v>0</v>
      </c>
      <c r="K72" s="194">
        <f t="shared" ca="1" si="31"/>
        <v>0</v>
      </c>
      <c r="L72" s="194">
        <f t="shared" ca="1" si="31"/>
        <v>0</v>
      </c>
      <c r="M72" s="194">
        <f t="shared" ca="1" si="31"/>
        <v>0</v>
      </c>
      <c r="N72" s="194">
        <f t="shared" ca="1" si="31"/>
        <v>0</v>
      </c>
      <c r="O72" s="194">
        <f t="shared" ca="1" si="31"/>
        <v>0</v>
      </c>
      <c r="P72" s="194">
        <f t="shared" ca="1" si="31"/>
        <v>0</v>
      </c>
      <c r="Q72" s="194">
        <f t="shared" ca="1" si="31"/>
        <v>0</v>
      </c>
      <c r="R72" s="194">
        <f t="shared" ca="1" si="31"/>
        <v>0</v>
      </c>
      <c r="S72" s="194">
        <f t="shared" ca="1" si="31"/>
        <v>0</v>
      </c>
      <c r="T72" s="194">
        <f t="shared" ca="1" si="31"/>
        <v>0</v>
      </c>
      <c r="U72" s="194">
        <f t="shared" ca="1" si="31"/>
        <v>0</v>
      </c>
      <c r="V72" s="194">
        <f t="shared" ca="1" si="31"/>
        <v>0</v>
      </c>
      <c r="W72" s="194">
        <f t="shared" ca="1" si="31"/>
        <v>0</v>
      </c>
      <c r="X72" s="194">
        <f t="shared" ca="1" si="31"/>
        <v>0</v>
      </c>
      <c r="Y72" s="194">
        <f t="shared" ca="1" si="31"/>
        <v>0</v>
      </c>
      <c r="Z72" s="194">
        <f t="shared" ca="1" si="31"/>
        <v>0</v>
      </c>
      <c r="AA72" s="194">
        <f t="shared" ca="1" si="31"/>
        <v>0</v>
      </c>
      <c r="AB72" s="194">
        <f t="shared" ca="1" si="31"/>
        <v>0</v>
      </c>
      <c r="AC72" s="194">
        <f t="shared" ca="1" si="31"/>
        <v>0</v>
      </c>
      <c r="AD72" s="194">
        <f t="shared" ca="1" si="31"/>
        <v>0</v>
      </c>
      <c r="AE72" s="194" t="e">
        <f t="shared" ca="1" si="31"/>
        <v>#N/A</v>
      </c>
      <c r="AF72" s="194" t="e">
        <f t="shared" ca="1" si="31"/>
        <v>#N/A</v>
      </c>
      <c r="AH72" s="385" t="str">
        <f ca="1">IFERROR(RATE(3,0,-C72,R72),"NA")</f>
        <v>NA</v>
      </c>
      <c r="AJ72" s="194">
        <f>SUM(AJ69,AJ71)</f>
        <v>0</v>
      </c>
      <c r="AK72" s="194">
        <f>SUM(AK69,AK71)</f>
        <v>0</v>
      </c>
      <c r="AL72" s="194">
        <f>SUM(AL69,AL71)</f>
        <v>0</v>
      </c>
      <c r="AM72" s="194">
        <f>SUM(AM69,AM71)</f>
        <v>0</v>
      </c>
      <c r="AN72" s="194">
        <f>SUM(AN69,AN71)</f>
        <v>0</v>
      </c>
      <c r="AP72" s="385" t="str">
        <f>IFERROR(RATE(4,0,-AJ72,AN72),"NA")</f>
        <v>NA</v>
      </c>
    </row>
    <row r="73" spans="1:52">
      <c r="A73" s="182" t="str">
        <f>'Hist &amp; Proj'!A78</f>
        <v>Net Income Margin (%)</v>
      </c>
      <c r="B73" s="183" t="str">
        <f t="shared" ref="B73:AF73" si="32">IF(B72=0,"",B72/B44)</f>
        <v/>
      </c>
      <c r="C73" s="183" t="str">
        <f t="shared" si="32"/>
        <v/>
      </c>
      <c r="D73" s="183" t="str">
        <f t="shared" si="32"/>
        <v/>
      </c>
      <c r="E73" s="183" t="str">
        <f t="shared" si="32"/>
        <v/>
      </c>
      <c r="F73" s="183" t="str">
        <f t="shared" ca="1" si="32"/>
        <v/>
      </c>
      <c r="G73" s="183" t="str">
        <f t="shared" ca="1" si="32"/>
        <v/>
      </c>
      <c r="H73" s="183" t="str">
        <f t="shared" ca="1" si="32"/>
        <v/>
      </c>
      <c r="I73" s="183" t="str">
        <f t="shared" ca="1" si="32"/>
        <v/>
      </c>
      <c r="J73" s="183" t="str">
        <f t="shared" ca="1" si="32"/>
        <v/>
      </c>
      <c r="K73" s="183" t="str">
        <f t="shared" ca="1" si="32"/>
        <v/>
      </c>
      <c r="L73" s="183" t="str">
        <f t="shared" ca="1" si="32"/>
        <v/>
      </c>
      <c r="M73" s="183" t="str">
        <f t="shared" ca="1" si="32"/>
        <v/>
      </c>
      <c r="N73" s="183" t="str">
        <f t="shared" ca="1" si="32"/>
        <v/>
      </c>
      <c r="O73" s="183" t="str">
        <f t="shared" ca="1" si="32"/>
        <v/>
      </c>
      <c r="P73" s="183" t="str">
        <f t="shared" ca="1" si="32"/>
        <v/>
      </c>
      <c r="Q73" s="183" t="str">
        <f t="shared" ca="1" si="32"/>
        <v/>
      </c>
      <c r="R73" s="183" t="str">
        <f t="shared" ca="1" si="32"/>
        <v/>
      </c>
      <c r="S73" s="183" t="str">
        <f t="shared" ca="1" si="32"/>
        <v/>
      </c>
      <c r="T73" s="183" t="str">
        <f t="shared" ca="1" si="32"/>
        <v/>
      </c>
      <c r="U73" s="183" t="str">
        <f t="shared" ca="1" si="32"/>
        <v/>
      </c>
      <c r="V73" s="183" t="str">
        <f t="shared" ca="1" si="32"/>
        <v/>
      </c>
      <c r="W73" s="183" t="str">
        <f t="shared" ca="1" si="32"/>
        <v/>
      </c>
      <c r="X73" s="183" t="str">
        <f t="shared" ca="1" si="32"/>
        <v/>
      </c>
      <c r="Y73" s="183" t="str">
        <f t="shared" ca="1" si="32"/>
        <v/>
      </c>
      <c r="Z73" s="183" t="str">
        <f t="shared" ca="1" si="32"/>
        <v/>
      </c>
      <c r="AA73" s="183" t="str">
        <f t="shared" ca="1" si="32"/>
        <v/>
      </c>
      <c r="AB73" s="183" t="str">
        <f t="shared" ca="1" si="32"/>
        <v/>
      </c>
      <c r="AC73" s="183" t="str">
        <f t="shared" ca="1" si="32"/>
        <v/>
      </c>
      <c r="AD73" s="183" t="str">
        <f t="shared" ca="1" si="32"/>
        <v/>
      </c>
      <c r="AE73" s="183" t="e">
        <f t="shared" ca="1" si="32"/>
        <v>#N/A</v>
      </c>
      <c r="AF73" s="183" t="e">
        <f t="shared" ca="1" si="32"/>
        <v>#N/A</v>
      </c>
      <c r="AH73" s="368" t="str">
        <f ca="1">IFERROR(AVERAGE(C73:E73,R73),"NA")</f>
        <v>NA</v>
      </c>
      <c r="AJ73" s="183" t="str">
        <f>IF(AJ72=0,"",AJ72/AJ44)</f>
        <v/>
      </c>
      <c r="AK73" s="183" t="str">
        <f>IF(AK72=0,"",AK72/AK44)</f>
        <v/>
      </c>
      <c r="AL73" s="183" t="str">
        <f>IF(AL72=0,"",AL72/AL44)</f>
        <v/>
      </c>
      <c r="AM73" s="183" t="str">
        <f>IF(AM72=0,"",AM72/AM44)</f>
        <v/>
      </c>
      <c r="AN73" s="183" t="str">
        <f>IF(AN72=0,"",AN72/AN44)</f>
        <v/>
      </c>
      <c r="AP73" s="368" t="str">
        <f>IFERROR(AVERAGE(AJ73:AN73),"NA")</f>
        <v>NA</v>
      </c>
    </row>
    <row r="74" spans="1:52">
      <c r="A74" s="338"/>
      <c r="B74" s="386"/>
      <c r="C74" s="386"/>
      <c r="D74" s="386"/>
      <c r="E74" s="386"/>
      <c r="F74" s="386"/>
      <c r="G74" s="386"/>
      <c r="H74" s="386"/>
      <c r="I74" s="386"/>
      <c r="J74" s="386"/>
      <c r="K74" s="386"/>
      <c r="L74" s="386"/>
      <c r="M74" s="386"/>
      <c r="N74" s="386"/>
      <c r="O74" s="386"/>
      <c r="P74" s="386"/>
      <c r="Q74" s="386"/>
      <c r="R74" s="386"/>
      <c r="S74" s="386"/>
      <c r="T74" s="386"/>
      <c r="U74" s="386"/>
      <c r="V74" s="386"/>
      <c r="W74" s="386"/>
      <c r="X74" s="339"/>
      <c r="Y74" s="339"/>
      <c r="Z74" s="339"/>
      <c r="AA74" s="339"/>
      <c r="AB74" s="339"/>
      <c r="AC74" s="339"/>
      <c r="AD74" s="339"/>
      <c r="AE74" s="339"/>
      <c r="AF74" s="339"/>
      <c r="AH74" s="387"/>
      <c r="AJ74" s="339"/>
      <c r="AK74" s="339"/>
      <c r="AL74" s="339"/>
      <c r="AM74" s="339"/>
      <c r="AN74" s="339"/>
      <c r="AP74" s="387"/>
    </row>
    <row r="75" spans="1:52" s="1" customFormat="1" ht="12" customHeight="1">
      <c r="AH75" s="388"/>
      <c r="AP75" s="388"/>
    </row>
    <row r="76" spans="1:52" s="392" customFormat="1" ht="24" customHeight="1">
      <c r="A76" s="397"/>
      <c r="B76" s="398"/>
      <c r="C76" s="398"/>
      <c r="D76" s="398"/>
      <c r="E76" s="398"/>
      <c r="F76" s="398"/>
      <c r="G76" s="398"/>
      <c r="H76" s="398"/>
      <c r="I76" s="398"/>
      <c r="J76" s="398"/>
      <c r="K76" s="398"/>
      <c r="L76" s="398"/>
      <c r="M76" s="398"/>
      <c r="N76" s="398"/>
      <c r="O76" s="398"/>
      <c r="P76" s="398"/>
      <c r="Q76" s="398"/>
      <c r="R76" s="399"/>
      <c r="S76" s="399"/>
      <c r="T76" s="399"/>
      <c r="U76" s="399"/>
      <c r="V76" s="399"/>
      <c r="W76" s="399"/>
      <c r="X76" s="399"/>
      <c r="Y76" s="399"/>
      <c r="Z76" s="399"/>
      <c r="AA76" s="399"/>
      <c r="AB76" s="399"/>
      <c r="AC76" s="399"/>
      <c r="AD76" s="399"/>
      <c r="AE76" s="399"/>
      <c r="AF76" s="399"/>
      <c r="AG76" s="399"/>
      <c r="AH76" s="393"/>
      <c r="AO76" s="399"/>
      <c r="AP76" s="393"/>
      <c r="AQ76" s="399"/>
      <c r="AR76" s="399"/>
      <c r="AS76" s="399"/>
      <c r="AT76" s="400"/>
      <c r="AU76" s="400"/>
      <c r="AV76" s="400"/>
      <c r="AW76" s="400"/>
      <c r="AX76" s="400"/>
      <c r="AY76" s="400"/>
      <c r="AZ76" s="400"/>
    </row>
    <row r="77" spans="1:52" s="1" customFormat="1" ht="15">
      <c r="A77" s="401"/>
    </row>
    <row r="78" spans="1:52">
      <c r="A78" s="360" t="str">
        <f>'Hist &amp; Proj'!A100</f>
        <v>ASSET / LIABILITY MATURITY SCHEDULE</v>
      </c>
      <c r="B78" s="1"/>
      <c r="C78" s="1"/>
      <c r="D78" s="1"/>
      <c r="E78" s="1"/>
      <c r="F78" s="1"/>
      <c r="G78" s="1"/>
      <c r="H78" s="1"/>
      <c r="I78" s="1"/>
      <c r="J78" s="1"/>
      <c r="K78" s="1"/>
      <c r="L78" s="1"/>
      <c r="M78" s="1"/>
      <c r="N78" s="1"/>
      <c r="O78" s="1"/>
      <c r="P78" s="1"/>
      <c r="Q78" s="1"/>
      <c r="R78" s="1"/>
      <c r="S78" s="362">
        <f t="shared" ref="S78:AD78" ca="1" si="33">S$7</f>
        <v>31</v>
      </c>
      <c r="T78" s="362">
        <f t="shared" ca="1" si="33"/>
        <v>59</v>
      </c>
      <c r="U78" s="362">
        <f t="shared" ca="1" si="33"/>
        <v>91</v>
      </c>
      <c r="V78" s="362">
        <f t="shared" ca="1" si="33"/>
        <v>121</v>
      </c>
      <c r="W78" s="362">
        <f t="shared" ca="1" si="33"/>
        <v>152</v>
      </c>
      <c r="X78" s="362">
        <f t="shared" ca="1" si="33"/>
        <v>182</v>
      </c>
      <c r="Y78" s="362">
        <f t="shared" ca="1" si="33"/>
        <v>213</v>
      </c>
      <c r="Z78" s="362">
        <f t="shared" ca="1" si="33"/>
        <v>244</v>
      </c>
      <c r="AA78" s="362">
        <f t="shared" ca="1" si="33"/>
        <v>274</v>
      </c>
      <c r="AB78" s="362">
        <f t="shared" ca="1" si="33"/>
        <v>305</v>
      </c>
      <c r="AC78" s="362">
        <f t="shared" ca="1" si="33"/>
        <v>335</v>
      </c>
      <c r="AD78" s="362">
        <f t="shared" ca="1" si="33"/>
        <v>366</v>
      </c>
      <c r="AE78" s="1"/>
      <c r="AF78" s="1"/>
      <c r="AH78" s="126"/>
      <c r="AI78" s="126"/>
      <c r="AJ78" s="760">
        <f ca="1">AJ$7</f>
        <v>694327</v>
      </c>
      <c r="AK78" s="760">
        <f ca="1">AK$7</f>
        <v>694692</v>
      </c>
      <c r="AL78" s="760">
        <f ca="1">AL$7</f>
        <v>695057</v>
      </c>
      <c r="AM78" s="760">
        <f ca="1">AM$7</f>
        <v>695422</v>
      </c>
      <c r="AN78" s="760">
        <f ca="1">AN$7</f>
        <v>695787</v>
      </c>
      <c r="AP78" s="126"/>
    </row>
    <row r="79" spans="1:52" s="403" customFormat="1">
      <c r="A79" s="349" t="str">
        <f>'Hist &amp; Proj'!A103</f>
        <v>Assets</v>
      </c>
      <c r="B79" s="1"/>
      <c r="C79" s="181"/>
      <c r="D79" s="181"/>
      <c r="E79" s="181"/>
      <c r="F79" s="181"/>
      <c r="G79" s="181"/>
      <c r="H79" s="181"/>
      <c r="I79" s="181"/>
      <c r="J79" s="181"/>
      <c r="K79" s="181"/>
      <c r="L79" s="181"/>
      <c r="M79" s="181"/>
      <c r="N79" s="181"/>
      <c r="O79" s="181"/>
      <c r="P79" s="181"/>
      <c r="Q79" s="181"/>
      <c r="R79" s="181"/>
      <c r="S79" s="181">
        <f>IF(OR(Assump!$A$7="USD",Assump!$A$7="EURO"),'Hist &amp; Proj'!S103/'Hist &amp; Proj'!S$8,'Hist &amp; Proj'!S103)</f>
        <v>0</v>
      </c>
      <c r="T79" s="181">
        <f>IF(OR(Assump!$A$7="USD",Assump!$A$7="EURO"),'Hist &amp; Proj'!T103/'Hist &amp; Proj'!T$8,'Hist &amp; Proj'!T103)</f>
        <v>0</v>
      </c>
      <c r="U79" s="181">
        <f>IF(OR(Assump!$A$7="USD",Assump!$A$7="EURO"),'Hist &amp; Proj'!U103/'Hist &amp; Proj'!U$8,'Hist &amp; Proj'!U103)</f>
        <v>0</v>
      </c>
      <c r="V79" s="181">
        <f>IF(OR(Assump!$A$7="USD",Assump!$A$7="EURO"),'Hist &amp; Proj'!V103/'Hist &amp; Proj'!V$8,'Hist &amp; Proj'!V103)</f>
        <v>0</v>
      </c>
      <c r="W79" s="181">
        <f>IF(OR(Assump!$A$7="USD",Assump!$A$7="EURO"),'Hist &amp; Proj'!W103/'Hist &amp; Proj'!W$8,'Hist &amp; Proj'!W103)</f>
        <v>0</v>
      </c>
      <c r="X79" s="181">
        <f>IF(OR(Assump!$A$7="USD",Assump!$A$7="EURO"),'Hist &amp; Proj'!X103/'Hist &amp; Proj'!X$8,'Hist &amp; Proj'!X103)</f>
        <v>0</v>
      </c>
      <c r="Y79" s="181">
        <f>IF(OR(Assump!$A$7="USD",Assump!$A$7="EURO"),'Hist &amp; Proj'!Y103/'Hist &amp; Proj'!Y$8,'Hist &amp; Proj'!Y103)</f>
        <v>0</v>
      </c>
      <c r="Z79" s="181">
        <f>IF(OR(Assump!$A$7="USD",Assump!$A$7="EURO"),'Hist &amp; Proj'!Z103/'Hist &amp; Proj'!Z$8,'Hist &amp; Proj'!Z103)</f>
        <v>0</v>
      </c>
      <c r="AA79" s="181">
        <f>IF(OR(Assump!$A$7="USD",Assump!$A$7="EURO"),'Hist &amp; Proj'!AA103/'Hist &amp; Proj'!AA$8,'Hist &amp; Proj'!AA103)</f>
        <v>0</v>
      </c>
      <c r="AB79" s="181">
        <f>IF(OR(Assump!$A$7="USD",Assump!$A$7="EURO"),'Hist &amp; Proj'!AB103/'Hist &amp; Proj'!AB$8,'Hist &amp; Proj'!AB103)</f>
        <v>0</v>
      </c>
      <c r="AC79" s="181">
        <f>IF(OR(Assump!$A$7="USD",Assump!$A$7="EURO"),'Hist &amp; Proj'!AC103/'Hist &amp; Proj'!AC$8,'Hist &amp; Proj'!AC103)</f>
        <v>0</v>
      </c>
      <c r="AD79" s="181">
        <f>IF(OR(Assump!$A$7="USD",Assump!$A$7="EURO"),'Hist &amp; Proj'!AD103/'Hist &amp; Proj'!AD$8,'Hist &amp; Proj'!AD103)</f>
        <v>0</v>
      </c>
      <c r="AE79" s="2"/>
      <c r="AF79" s="2"/>
      <c r="AG79" s="170"/>
      <c r="AH79" s="402"/>
      <c r="AI79" s="402"/>
      <c r="AJ79" s="181">
        <f>IF(OR(Assump!$A$7="USD",Assump!$A$7="EURO"),'Hist &amp; Proj'!AH103/'Hist &amp; Proj'!AH$8,'Hist &amp; Proj'!AH103)</f>
        <v>0</v>
      </c>
      <c r="AK79" s="181">
        <f>IF(OR(Assump!$A$7="USD",Assump!$A$7="EURO"),'Hist &amp; Proj'!AI103/'Hist &amp; Proj'!AI$8,'Hist &amp; Proj'!AI103)</f>
        <v>0</v>
      </c>
      <c r="AL79" s="181">
        <f>IF(OR(Assump!$A$7="USD",Assump!$A$7="EURO"),'Hist &amp; Proj'!AJ103/'Hist &amp; Proj'!AJ$8,'Hist &amp; Proj'!AJ103)</f>
        <v>0</v>
      </c>
      <c r="AM79" s="181">
        <f>IF(OR(Assump!$A$7="USD",Assump!$A$7="EURO"),'Hist &amp; Proj'!AK103/'Hist &amp; Proj'!AK$8,'Hist &amp; Proj'!AK103)</f>
        <v>0</v>
      </c>
      <c r="AN79" s="181">
        <f>IF(OR(Assump!$A$7="USD",Assump!$A$7="EURO"),'Hist &amp; Proj'!AL103/'Hist &amp; Proj'!AL$8,'Hist &amp; Proj'!AL103)</f>
        <v>0</v>
      </c>
      <c r="AO79" s="402"/>
      <c r="AP79" s="402"/>
      <c r="AQ79" s="402"/>
      <c r="AR79" s="402"/>
      <c r="AS79" s="402"/>
      <c r="AT79" s="172"/>
      <c r="AU79" s="402"/>
      <c r="AV79" s="402"/>
      <c r="AW79" s="402"/>
      <c r="AX79" s="402"/>
      <c r="AY79" s="402"/>
      <c r="AZ79" s="172"/>
    </row>
    <row r="80" spans="1:52" s="170" customFormat="1">
      <c r="A80" s="348" t="str">
        <f>'Hist &amp; Proj'!A104</f>
        <v>Loan Portfolio</v>
      </c>
      <c r="B80" s="1"/>
      <c r="C80" s="181"/>
      <c r="D80" s="181"/>
      <c r="E80" s="181"/>
      <c r="F80" s="181"/>
      <c r="G80" s="181"/>
      <c r="H80" s="181"/>
      <c r="I80" s="181"/>
      <c r="J80" s="181"/>
      <c r="K80" s="181"/>
      <c r="L80" s="181"/>
      <c r="M80" s="181"/>
      <c r="N80" s="181"/>
      <c r="O80" s="181"/>
      <c r="P80" s="181"/>
      <c r="Q80" s="181"/>
      <c r="R80" s="181"/>
      <c r="S80" s="181">
        <f>IF(OR(Assump!$A$7="USD",Assump!$A$7="EURO"),'Hist &amp; Proj'!S104/'Hist &amp; Proj'!S$8,'Hist &amp; Proj'!S104)</f>
        <v>0</v>
      </c>
      <c r="T80" s="181">
        <f>IF(OR(Assump!$A$7="USD",Assump!$A$7="EURO"),'Hist &amp; Proj'!T104/'Hist &amp; Proj'!T$8,'Hist &amp; Proj'!T104)</f>
        <v>0</v>
      </c>
      <c r="U80" s="181">
        <f>IF(OR(Assump!$A$7="USD",Assump!$A$7="EURO"),'Hist &amp; Proj'!U104/'Hist &amp; Proj'!U$8,'Hist &amp; Proj'!U104)</f>
        <v>0</v>
      </c>
      <c r="V80" s="181">
        <f>IF(OR(Assump!$A$7="USD",Assump!$A$7="EURO"),'Hist &amp; Proj'!V104/'Hist &amp; Proj'!V$8,'Hist &amp; Proj'!V104)</f>
        <v>0</v>
      </c>
      <c r="W80" s="181">
        <f>IF(OR(Assump!$A$7="USD",Assump!$A$7="EURO"),'Hist &amp; Proj'!W104/'Hist &amp; Proj'!W$8,'Hist &amp; Proj'!W104)</f>
        <v>0</v>
      </c>
      <c r="X80" s="181">
        <f>IF(OR(Assump!$A$7="USD",Assump!$A$7="EURO"),'Hist &amp; Proj'!X104/'Hist &amp; Proj'!X$8,'Hist &amp; Proj'!X104)</f>
        <v>0</v>
      </c>
      <c r="Y80" s="181">
        <f>IF(OR(Assump!$A$7="USD",Assump!$A$7="EURO"),'Hist &amp; Proj'!Y104/'Hist &amp; Proj'!Y$8,'Hist &amp; Proj'!Y104)</f>
        <v>0</v>
      </c>
      <c r="Z80" s="181">
        <f>IF(OR(Assump!$A$7="USD",Assump!$A$7="EURO"),'Hist &amp; Proj'!Z104/'Hist &amp; Proj'!Z$8,'Hist &amp; Proj'!Z104)</f>
        <v>0</v>
      </c>
      <c r="AA80" s="181">
        <f>IF(OR(Assump!$A$7="USD",Assump!$A$7="EURO"),'Hist &amp; Proj'!AA104/'Hist &amp; Proj'!AA$8,'Hist &amp; Proj'!AA104)</f>
        <v>0</v>
      </c>
      <c r="AB80" s="181">
        <f>IF(OR(Assump!$A$7="USD",Assump!$A$7="EURO"),'Hist &amp; Proj'!AB104/'Hist &amp; Proj'!AB$8,'Hist &amp; Proj'!AB104)</f>
        <v>0</v>
      </c>
      <c r="AC80" s="181">
        <f>IF(OR(Assump!$A$7="USD",Assump!$A$7="EURO"),'Hist &amp; Proj'!AC104/'Hist &amp; Proj'!AC$8,'Hist &amp; Proj'!AC104)</f>
        <v>0</v>
      </c>
      <c r="AD80" s="181">
        <f>IF(OR(Assump!$A$7="USD",Assump!$A$7="EURO"),'Hist &amp; Proj'!AD104/'Hist &amp; Proj'!AD$8,'Hist &amp; Proj'!AD104)</f>
        <v>0</v>
      </c>
      <c r="AE80" s="1"/>
      <c r="AF80" s="1"/>
      <c r="AH80" s="404"/>
      <c r="AI80" s="404"/>
      <c r="AJ80" s="181">
        <f>IF(OR(Assump!$A$7="USD",Assump!$A$7="EURO"),'Hist &amp; Proj'!AH104/'Hist &amp; Proj'!AH$8,'Hist &amp; Proj'!AH104)</f>
        <v>0</v>
      </c>
      <c r="AK80" s="181">
        <f>IF(OR(Assump!$A$7="USD",Assump!$A$7="EURO"),'Hist &amp; Proj'!AI104/'Hist &amp; Proj'!AI$8,'Hist &amp; Proj'!AI104)</f>
        <v>0</v>
      </c>
      <c r="AL80" s="181">
        <f>IF(OR(Assump!$A$7="USD",Assump!$A$7="EURO"),'Hist &amp; Proj'!AJ104/'Hist &amp; Proj'!AJ$8,'Hist &amp; Proj'!AJ104)</f>
        <v>0</v>
      </c>
      <c r="AM80" s="181">
        <f>IF(OR(Assump!$A$7="USD",Assump!$A$7="EURO"),'Hist &amp; Proj'!AK104/'Hist &amp; Proj'!AK$8,'Hist &amp; Proj'!AK104)</f>
        <v>0</v>
      </c>
      <c r="AN80" s="181">
        <f>IF(OR(Assump!$A$7="USD",Assump!$A$7="EURO"),'Hist &amp; Proj'!AL104/'Hist &amp; Proj'!AL$8,'Hist &amp; Proj'!AL104)</f>
        <v>0</v>
      </c>
      <c r="AO80" s="404"/>
      <c r="AP80" s="404"/>
      <c r="AQ80" s="404"/>
      <c r="AR80" s="404"/>
      <c r="AS80" s="404"/>
      <c r="AT80" s="127"/>
      <c r="AU80" s="404"/>
      <c r="AV80" s="404"/>
      <c r="AW80" s="404"/>
      <c r="AX80" s="404"/>
      <c r="AY80" s="404"/>
      <c r="AZ80" s="127"/>
    </row>
    <row r="81" spans="1:52" s="170" customFormat="1">
      <c r="A81" s="348" t="str">
        <f>'Hist &amp; Proj'!A105</f>
        <v>Other Assets</v>
      </c>
      <c r="B81" s="1"/>
      <c r="C81" s="181"/>
      <c r="D81" s="181"/>
      <c r="E81" s="181"/>
      <c r="F81" s="181"/>
      <c r="G81" s="181"/>
      <c r="H81" s="181"/>
      <c r="I81" s="181"/>
      <c r="J81" s="181"/>
      <c r="K81" s="181"/>
      <c r="L81" s="181"/>
      <c r="M81" s="181"/>
      <c r="N81" s="181"/>
      <c r="O81" s="181"/>
      <c r="P81" s="181"/>
      <c r="Q81" s="181"/>
      <c r="R81" s="181"/>
      <c r="S81" s="181">
        <f>IF(OR(Assump!$A$7="USD",Assump!$A$7="EURO"),'Hist &amp; Proj'!S105/'Hist &amp; Proj'!S$8,'Hist &amp; Proj'!S105)</f>
        <v>0</v>
      </c>
      <c r="T81" s="181">
        <f>IF(OR(Assump!$A$7="USD",Assump!$A$7="EURO"),'Hist &amp; Proj'!T105/'Hist &amp; Proj'!T$8,'Hist &amp; Proj'!T105)</f>
        <v>0</v>
      </c>
      <c r="U81" s="181">
        <f>IF(OR(Assump!$A$7="USD",Assump!$A$7="EURO"),'Hist &amp; Proj'!U105/'Hist &amp; Proj'!U$8,'Hist &amp; Proj'!U105)</f>
        <v>0</v>
      </c>
      <c r="V81" s="181">
        <f>IF(OR(Assump!$A$7="USD",Assump!$A$7="EURO"),'Hist &amp; Proj'!V105/'Hist &amp; Proj'!V$8,'Hist &amp; Proj'!V105)</f>
        <v>0</v>
      </c>
      <c r="W81" s="181">
        <f>IF(OR(Assump!$A$7="USD",Assump!$A$7="EURO"),'Hist &amp; Proj'!W105/'Hist &amp; Proj'!W$8,'Hist &amp; Proj'!W105)</f>
        <v>0</v>
      </c>
      <c r="X81" s="181">
        <f>IF(OR(Assump!$A$7="USD",Assump!$A$7="EURO"),'Hist &amp; Proj'!X105/'Hist &amp; Proj'!X$8,'Hist &amp; Proj'!X105)</f>
        <v>0</v>
      </c>
      <c r="Y81" s="181">
        <f>IF(OR(Assump!$A$7="USD",Assump!$A$7="EURO"),'Hist &amp; Proj'!Y105/'Hist &amp; Proj'!Y$8,'Hist &amp; Proj'!Y105)</f>
        <v>0</v>
      </c>
      <c r="Z81" s="181">
        <f>IF(OR(Assump!$A$7="USD",Assump!$A$7="EURO"),'Hist &amp; Proj'!Z105/'Hist &amp; Proj'!Z$8,'Hist &amp; Proj'!Z105)</f>
        <v>0</v>
      </c>
      <c r="AA81" s="181">
        <f>IF(OR(Assump!$A$7="USD",Assump!$A$7="EURO"),'Hist &amp; Proj'!AA105/'Hist &amp; Proj'!AA$8,'Hist &amp; Proj'!AA105)</f>
        <v>0</v>
      </c>
      <c r="AB81" s="181">
        <f>IF(OR(Assump!$A$7="USD",Assump!$A$7="EURO"),'Hist &amp; Proj'!AB105/'Hist &amp; Proj'!AB$8,'Hist &amp; Proj'!AB105)</f>
        <v>0</v>
      </c>
      <c r="AC81" s="181">
        <f>IF(OR(Assump!$A$7="USD",Assump!$A$7="EURO"),'Hist &amp; Proj'!AC105/'Hist &amp; Proj'!AC$8,'Hist &amp; Proj'!AC105)</f>
        <v>0</v>
      </c>
      <c r="AD81" s="181">
        <f>IF(OR(Assump!$A$7="USD",Assump!$A$7="EURO"),'Hist &amp; Proj'!AD105/'Hist &amp; Proj'!AD$8,'Hist &amp; Proj'!AD105)</f>
        <v>0</v>
      </c>
      <c r="AE81" s="1"/>
      <c r="AF81" s="1"/>
      <c r="AH81" s="404"/>
      <c r="AI81" s="404"/>
      <c r="AJ81" s="181">
        <f>IF(OR(Assump!$A$7="USD",Assump!$A$7="EURO"),'Hist &amp; Proj'!AH105/'Hist &amp; Proj'!AH$8,'Hist &amp; Proj'!AH105)</f>
        <v>0</v>
      </c>
      <c r="AK81" s="181">
        <f>IF(OR(Assump!$A$7="USD",Assump!$A$7="EURO"),'Hist &amp; Proj'!AI105/'Hist &amp; Proj'!AI$8,'Hist &amp; Proj'!AI105)</f>
        <v>0</v>
      </c>
      <c r="AL81" s="181">
        <f>IF(OR(Assump!$A$7="USD",Assump!$A$7="EURO"),'Hist &amp; Proj'!AJ105/'Hist &amp; Proj'!AJ$8,'Hist &amp; Proj'!AJ105)</f>
        <v>0</v>
      </c>
      <c r="AM81" s="181">
        <f>IF(OR(Assump!$A$7="USD",Assump!$A$7="EURO"),'Hist &amp; Proj'!AK105/'Hist &amp; Proj'!AK$8,'Hist &amp; Proj'!AK105)</f>
        <v>0</v>
      </c>
      <c r="AN81" s="181">
        <f>IF(OR(Assump!$A$7="USD",Assump!$A$7="EURO"),'Hist &amp; Proj'!AL105/'Hist &amp; Proj'!AL$8,'Hist &amp; Proj'!AL105)</f>
        <v>0</v>
      </c>
      <c r="AO81" s="404"/>
      <c r="AP81" s="404"/>
      <c r="AQ81" s="404"/>
      <c r="AR81" s="404"/>
      <c r="AS81" s="404"/>
      <c r="AT81" s="127"/>
      <c r="AU81" s="404"/>
      <c r="AV81" s="404"/>
      <c r="AW81" s="404"/>
      <c r="AX81" s="404"/>
      <c r="AY81" s="404"/>
      <c r="AZ81" s="127"/>
    </row>
    <row r="82" spans="1:52" s="403" customFormat="1">
      <c r="A82" s="349" t="str">
        <f>'Hist &amp; Proj'!A106</f>
        <v>Liabilities</v>
      </c>
      <c r="B82" s="1"/>
      <c r="C82" s="181"/>
      <c r="D82" s="181"/>
      <c r="E82" s="181"/>
      <c r="F82" s="181"/>
      <c r="G82" s="181"/>
      <c r="H82" s="181"/>
      <c r="I82" s="181"/>
      <c r="J82" s="181"/>
      <c r="K82" s="181"/>
      <c r="L82" s="181"/>
      <c r="M82" s="181"/>
      <c r="N82" s="181"/>
      <c r="O82" s="181"/>
      <c r="P82" s="181"/>
      <c r="Q82" s="181"/>
      <c r="R82" s="181"/>
      <c r="S82" s="181">
        <f>IF(OR(Assump!$A$7="USD",Assump!$A$7="EURO"),'Hist &amp; Proj'!S106/'Hist &amp; Proj'!S$8,'Hist &amp; Proj'!S106)</f>
        <v>0</v>
      </c>
      <c r="T82" s="181">
        <f>IF(OR(Assump!$A$7="USD",Assump!$A$7="EURO"),'Hist &amp; Proj'!T106/'Hist &amp; Proj'!T$8,'Hist &amp; Proj'!T106)</f>
        <v>0</v>
      </c>
      <c r="U82" s="181">
        <f>IF(OR(Assump!$A$7="USD",Assump!$A$7="EURO"),'Hist &amp; Proj'!U106/'Hist &amp; Proj'!U$8,'Hist &amp; Proj'!U106)</f>
        <v>0</v>
      </c>
      <c r="V82" s="181">
        <f>IF(OR(Assump!$A$7="USD",Assump!$A$7="EURO"),'Hist &amp; Proj'!V106/'Hist &amp; Proj'!V$8,'Hist &amp; Proj'!V106)</f>
        <v>0</v>
      </c>
      <c r="W82" s="181">
        <f>IF(OR(Assump!$A$7="USD",Assump!$A$7="EURO"),'Hist &amp; Proj'!W106/'Hist &amp; Proj'!W$8,'Hist &amp; Proj'!W106)</f>
        <v>0</v>
      </c>
      <c r="X82" s="181">
        <f>IF(OR(Assump!$A$7="USD",Assump!$A$7="EURO"),'Hist &amp; Proj'!X106/'Hist &amp; Proj'!X$8,'Hist &amp; Proj'!X106)</f>
        <v>0</v>
      </c>
      <c r="Y82" s="181">
        <f>IF(OR(Assump!$A$7="USD",Assump!$A$7="EURO"),'Hist &amp; Proj'!Y106/'Hist &amp; Proj'!Y$8,'Hist &amp; Proj'!Y106)</f>
        <v>0</v>
      </c>
      <c r="Z82" s="181">
        <f>IF(OR(Assump!$A$7="USD",Assump!$A$7="EURO"),'Hist &amp; Proj'!Z106/'Hist &amp; Proj'!Z$8,'Hist &amp; Proj'!Z106)</f>
        <v>0</v>
      </c>
      <c r="AA82" s="181">
        <f>IF(OR(Assump!$A$7="USD",Assump!$A$7="EURO"),'Hist &amp; Proj'!AA106/'Hist &amp; Proj'!AA$8,'Hist &amp; Proj'!AA106)</f>
        <v>0</v>
      </c>
      <c r="AB82" s="181">
        <f>IF(OR(Assump!$A$7="USD",Assump!$A$7="EURO"),'Hist &amp; Proj'!AB106/'Hist &amp; Proj'!AB$8,'Hist &amp; Proj'!AB106)</f>
        <v>0</v>
      </c>
      <c r="AC82" s="181">
        <f>IF(OR(Assump!$A$7="USD",Assump!$A$7="EURO"),'Hist &amp; Proj'!AC106/'Hist &amp; Proj'!AC$8,'Hist &amp; Proj'!AC106)</f>
        <v>0</v>
      </c>
      <c r="AD82" s="181">
        <f>IF(OR(Assump!$A$7="USD",Assump!$A$7="EURO"),'Hist &amp; Proj'!AD106/'Hist &amp; Proj'!AD$8,'Hist &amp; Proj'!AD106)</f>
        <v>0</v>
      </c>
      <c r="AE82" s="2"/>
      <c r="AF82" s="2"/>
      <c r="AG82" s="170"/>
      <c r="AH82" s="402"/>
      <c r="AI82" s="402"/>
      <c r="AJ82" s="181">
        <f>IF(OR(Assump!$A$7="USD",Assump!$A$7="EURO"),'Hist &amp; Proj'!AH106/'Hist &amp; Proj'!AH$8,'Hist &amp; Proj'!AH106)</f>
        <v>0</v>
      </c>
      <c r="AK82" s="181">
        <f>IF(OR(Assump!$A$7="USD",Assump!$A$7="EURO"),'Hist &amp; Proj'!AI106/'Hist &amp; Proj'!AI$8,'Hist &amp; Proj'!AI106)</f>
        <v>0</v>
      </c>
      <c r="AL82" s="181">
        <f>IF(OR(Assump!$A$7="USD",Assump!$A$7="EURO"),'Hist &amp; Proj'!AJ106/'Hist &amp; Proj'!AJ$8,'Hist &amp; Proj'!AJ106)</f>
        <v>0</v>
      </c>
      <c r="AM82" s="181">
        <f>IF(OR(Assump!$A$7="USD",Assump!$A$7="EURO"),'Hist &amp; Proj'!AK106/'Hist &amp; Proj'!AK$8,'Hist &amp; Proj'!AK106)</f>
        <v>0</v>
      </c>
      <c r="AN82" s="181">
        <f>IF(OR(Assump!$A$7="USD",Assump!$A$7="EURO"),'Hist &amp; Proj'!AL106/'Hist &amp; Proj'!AL$8,'Hist &amp; Proj'!AL106)</f>
        <v>0</v>
      </c>
      <c r="AO82" s="402"/>
      <c r="AP82" s="402"/>
      <c r="AQ82" s="402"/>
      <c r="AR82" s="402"/>
      <c r="AS82" s="402"/>
      <c r="AT82" s="172"/>
      <c r="AU82" s="402"/>
      <c r="AV82" s="402"/>
      <c r="AW82" s="402"/>
      <c r="AX82" s="402"/>
      <c r="AY82" s="402"/>
      <c r="AZ82" s="172"/>
    </row>
    <row r="83" spans="1:52" s="170" customFormat="1">
      <c r="A83" s="348" t="str">
        <f>'Hist &amp; Proj'!A107</f>
        <v>Interest</v>
      </c>
      <c r="B83" s="1"/>
      <c r="C83" s="181"/>
      <c r="D83" s="181"/>
      <c r="E83" s="181"/>
      <c r="F83" s="181"/>
      <c r="G83" s="181"/>
      <c r="H83" s="181"/>
      <c r="I83" s="181"/>
      <c r="J83" s="181"/>
      <c r="K83" s="181"/>
      <c r="L83" s="181"/>
      <c r="M83" s="181"/>
      <c r="N83" s="181"/>
      <c r="O83" s="181"/>
      <c r="P83" s="181"/>
      <c r="Q83" s="181"/>
      <c r="R83" s="181"/>
      <c r="S83" s="181">
        <f>IF(OR(Assump!$A$7="USD",Assump!$A$7="EURO"),'Hist &amp; Proj'!S107/'Hist &amp; Proj'!S$8,'Hist &amp; Proj'!S107)</f>
        <v>0</v>
      </c>
      <c r="T83" s="181">
        <f>IF(OR(Assump!$A$7="USD",Assump!$A$7="EURO"),'Hist &amp; Proj'!T107/'Hist &amp; Proj'!T$8,'Hist &amp; Proj'!T107)</f>
        <v>0</v>
      </c>
      <c r="U83" s="181">
        <f>IF(OR(Assump!$A$7="USD",Assump!$A$7="EURO"),'Hist &amp; Proj'!U107/'Hist &amp; Proj'!U$8,'Hist &amp; Proj'!U107)</f>
        <v>0</v>
      </c>
      <c r="V83" s="181">
        <f>IF(OR(Assump!$A$7="USD",Assump!$A$7="EURO"),'Hist &amp; Proj'!V107/'Hist &amp; Proj'!V$8,'Hist &amp; Proj'!V107)</f>
        <v>0</v>
      </c>
      <c r="W83" s="181">
        <f>IF(OR(Assump!$A$7="USD",Assump!$A$7="EURO"),'Hist &amp; Proj'!W107/'Hist &amp; Proj'!W$8,'Hist &amp; Proj'!W107)</f>
        <v>0</v>
      </c>
      <c r="X83" s="181">
        <f>IF(OR(Assump!$A$7="USD",Assump!$A$7="EURO"),'Hist &amp; Proj'!X107/'Hist &amp; Proj'!X$8,'Hist &amp; Proj'!X107)</f>
        <v>0</v>
      </c>
      <c r="Y83" s="181">
        <f>IF(OR(Assump!$A$7="USD",Assump!$A$7="EURO"),'Hist &amp; Proj'!Y107/'Hist &amp; Proj'!Y$8,'Hist &amp; Proj'!Y107)</f>
        <v>0</v>
      </c>
      <c r="Z83" s="181">
        <f>IF(OR(Assump!$A$7="USD",Assump!$A$7="EURO"),'Hist &amp; Proj'!Z107/'Hist &amp; Proj'!Z$8,'Hist &amp; Proj'!Z107)</f>
        <v>0</v>
      </c>
      <c r="AA83" s="181">
        <f>IF(OR(Assump!$A$7="USD",Assump!$A$7="EURO"),'Hist &amp; Proj'!AA107/'Hist &amp; Proj'!AA$8,'Hist &amp; Proj'!AA107)</f>
        <v>0</v>
      </c>
      <c r="AB83" s="181">
        <f>IF(OR(Assump!$A$7="USD",Assump!$A$7="EURO"),'Hist &amp; Proj'!AB107/'Hist &amp; Proj'!AB$8,'Hist &amp; Proj'!AB107)</f>
        <v>0</v>
      </c>
      <c r="AC83" s="181">
        <f>IF(OR(Assump!$A$7="USD",Assump!$A$7="EURO"),'Hist &amp; Proj'!AC107/'Hist &amp; Proj'!AC$8,'Hist &amp; Proj'!AC107)</f>
        <v>0</v>
      </c>
      <c r="AD83" s="181">
        <f>IF(OR(Assump!$A$7="USD",Assump!$A$7="EURO"),'Hist &amp; Proj'!AD107/'Hist &amp; Proj'!AD$8,'Hist &amp; Proj'!AD107)</f>
        <v>0</v>
      </c>
      <c r="AE83" s="1"/>
      <c r="AF83" s="1"/>
      <c r="AH83" s="404"/>
      <c r="AI83" s="404"/>
      <c r="AJ83" s="181">
        <f>IF(OR(Assump!$A$7="USD",Assump!$A$7="EURO"),'Hist &amp; Proj'!AH107/'Hist &amp; Proj'!AH$8,'Hist &amp; Proj'!AH107)</f>
        <v>0</v>
      </c>
      <c r="AK83" s="181">
        <f>IF(OR(Assump!$A$7="USD",Assump!$A$7="EURO"),'Hist &amp; Proj'!AI107/'Hist &amp; Proj'!AI$8,'Hist &amp; Proj'!AI107)</f>
        <v>0</v>
      </c>
      <c r="AL83" s="181">
        <f>IF(OR(Assump!$A$7="USD",Assump!$A$7="EURO"),'Hist &amp; Proj'!AJ107/'Hist &amp; Proj'!AJ$8,'Hist &amp; Proj'!AJ107)</f>
        <v>0</v>
      </c>
      <c r="AM83" s="181">
        <f>IF(OR(Assump!$A$7="USD",Assump!$A$7="EURO"),'Hist &amp; Proj'!AK107/'Hist &amp; Proj'!AK$8,'Hist &amp; Proj'!AK107)</f>
        <v>0</v>
      </c>
      <c r="AN83" s="181">
        <f>IF(OR(Assump!$A$7="USD",Assump!$A$7="EURO"),'Hist &amp; Proj'!AL107/'Hist &amp; Proj'!AL$8,'Hist &amp; Proj'!AL107)</f>
        <v>0</v>
      </c>
      <c r="AO83" s="404"/>
      <c r="AP83" s="404"/>
      <c r="AQ83" s="404"/>
      <c r="AR83" s="404"/>
      <c r="AS83" s="404"/>
      <c r="AT83" s="127"/>
      <c r="AU83" s="404"/>
      <c r="AV83" s="404"/>
      <c r="AW83" s="404"/>
      <c r="AX83" s="404"/>
      <c r="AY83" s="404"/>
      <c r="AZ83" s="127"/>
    </row>
    <row r="84" spans="1:52" s="170" customFormat="1">
      <c r="A84" s="348" t="str">
        <f>'Hist &amp; Proj'!A108</f>
        <v>Principal</v>
      </c>
      <c r="B84" s="3"/>
      <c r="C84" s="3"/>
      <c r="D84" s="3"/>
      <c r="E84" s="3"/>
      <c r="F84" s="3"/>
      <c r="G84" s="3"/>
      <c r="H84" s="3"/>
      <c r="I84" s="3"/>
      <c r="J84" s="3"/>
      <c r="K84" s="3"/>
      <c r="L84" s="3"/>
      <c r="M84" s="3"/>
      <c r="N84" s="3"/>
      <c r="O84" s="3"/>
      <c r="P84" s="3"/>
      <c r="Q84" s="3"/>
      <c r="R84" s="3"/>
      <c r="S84" s="181">
        <f>IF(OR(Assump!$A$7="USD",Assump!$A$7="EURO"),'Hist &amp; Proj'!S108/'Hist &amp; Proj'!S$8,'Hist &amp; Proj'!S108)</f>
        <v>0</v>
      </c>
      <c r="T84" s="181">
        <f>IF(OR(Assump!$A$7="USD",Assump!$A$7="EURO"),'Hist &amp; Proj'!T108/'Hist &amp; Proj'!T$8,'Hist &amp; Proj'!T108)</f>
        <v>0</v>
      </c>
      <c r="U84" s="181">
        <f>IF(OR(Assump!$A$7="USD",Assump!$A$7="EURO"),'Hist &amp; Proj'!U108/'Hist &amp; Proj'!U$8,'Hist &amp; Proj'!U108)</f>
        <v>0</v>
      </c>
      <c r="V84" s="181">
        <f>IF(OR(Assump!$A$7="USD",Assump!$A$7="EURO"),'Hist &amp; Proj'!V108/'Hist &amp; Proj'!V$8,'Hist &amp; Proj'!V108)</f>
        <v>0</v>
      </c>
      <c r="W84" s="181">
        <f>IF(OR(Assump!$A$7="USD",Assump!$A$7="EURO"),'Hist &amp; Proj'!W108/'Hist &amp; Proj'!W$8,'Hist &amp; Proj'!W108)</f>
        <v>0</v>
      </c>
      <c r="X84" s="181">
        <f>IF(OR(Assump!$A$7="USD",Assump!$A$7="EURO"),'Hist &amp; Proj'!X108/'Hist &amp; Proj'!X$8,'Hist &amp; Proj'!X108)</f>
        <v>0</v>
      </c>
      <c r="Y84" s="181">
        <f>IF(OR(Assump!$A$7="USD",Assump!$A$7="EURO"),'Hist &amp; Proj'!Y108/'Hist &amp; Proj'!Y$8,'Hist &amp; Proj'!Y108)</f>
        <v>0</v>
      </c>
      <c r="Z84" s="181">
        <f>IF(OR(Assump!$A$7="USD",Assump!$A$7="EURO"),'Hist &amp; Proj'!Z108/'Hist &amp; Proj'!Z$8,'Hist &amp; Proj'!Z108)</f>
        <v>0</v>
      </c>
      <c r="AA84" s="181">
        <f>IF(OR(Assump!$A$7="USD",Assump!$A$7="EURO"),'Hist &amp; Proj'!AA108/'Hist &amp; Proj'!AA$8,'Hist &amp; Proj'!AA108)</f>
        <v>0</v>
      </c>
      <c r="AB84" s="181">
        <f>IF(OR(Assump!$A$7="USD",Assump!$A$7="EURO"),'Hist &amp; Proj'!AB108/'Hist &amp; Proj'!AB$8,'Hist &amp; Proj'!AB108)</f>
        <v>0</v>
      </c>
      <c r="AC84" s="181">
        <f>IF(OR(Assump!$A$7="USD",Assump!$A$7="EURO"),'Hist &amp; Proj'!AC108/'Hist &amp; Proj'!AC$8,'Hist &amp; Proj'!AC108)</f>
        <v>0</v>
      </c>
      <c r="AD84" s="181">
        <f>IF(OR(Assump!$A$7="USD",Assump!$A$7="EURO"),'Hist &amp; Proj'!AD108/'Hist &amp; Proj'!AD$8,'Hist &amp; Proj'!AD108)</f>
        <v>0</v>
      </c>
      <c r="AE84" s="3"/>
      <c r="AF84" s="3"/>
      <c r="AH84" s="404"/>
      <c r="AI84" s="404"/>
      <c r="AJ84" s="181">
        <f>IF(OR(Assump!$A$7="USD",Assump!$A$7="EURO"),'Hist &amp; Proj'!AH108/'Hist &amp; Proj'!AH$8,'Hist &amp; Proj'!AH108)</f>
        <v>0</v>
      </c>
      <c r="AK84" s="181">
        <f>IF(OR(Assump!$A$7="USD",Assump!$A$7="EURO"),'Hist &amp; Proj'!AI108/'Hist &amp; Proj'!AI$8,'Hist &amp; Proj'!AI108)</f>
        <v>0</v>
      </c>
      <c r="AL84" s="181">
        <f>IF(OR(Assump!$A$7="USD",Assump!$A$7="EURO"),'Hist &amp; Proj'!AJ108/'Hist &amp; Proj'!AJ$8,'Hist &amp; Proj'!AJ108)</f>
        <v>0</v>
      </c>
      <c r="AM84" s="181">
        <f>IF(OR(Assump!$A$7="USD",Assump!$A$7="EURO"),'Hist &amp; Proj'!AK108/'Hist &amp; Proj'!AK$8,'Hist &amp; Proj'!AK108)</f>
        <v>0</v>
      </c>
      <c r="AN84" s="181">
        <f>IF(OR(Assump!$A$7="USD",Assump!$A$7="EURO"),'Hist &amp; Proj'!AL108/'Hist &amp; Proj'!AL$8,'Hist &amp; Proj'!AL108)</f>
        <v>0</v>
      </c>
      <c r="AO84" s="404"/>
      <c r="AP84" s="404"/>
      <c r="AQ84" s="404"/>
      <c r="AR84" s="404"/>
      <c r="AS84" s="404"/>
      <c r="AT84" s="127"/>
      <c r="AU84" s="404"/>
      <c r="AV84" s="404"/>
      <c r="AW84" s="404"/>
      <c r="AX84" s="404"/>
      <c r="AY84" s="404"/>
      <c r="AZ84" s="127"/>
    </row>
    <row r="85" spans="1:52" s="170" customFormat="1">
      <c r="A85" s="350" t="str">
        <f>'Hist &amp; Proj'!A109</f>
        <v>Other Liabilities</v>
      </c>
      <c r="B85" s="1"/>
      <c r="C85" s="1"/>
      <c r="D85" s="1"/>
      <c r="E85" s="1"/>
      <c r="F85" s="1"/>
      <c r="G85" s="1"/>
      <c r="H85" s="1"/>
      <c r="I85" s="1"/>
      <c r="J85" s="1"/>
      <c r="K85" s="1"/>
      <c r="L85" s="1"/>
      <c r="M85" s="1"/>
      <c r="N85" s="1"/>
      <c r="O85" s="1"/>
      <c r="P85" s="1"/>
      <c r="Q85" s="1"/>
      <c r="R85" s="1"/>
      <c r="S85" s="351">
        <f>IF(OR(Assump!$A$7="USD",Assump!$A$7="EURO"),'Hist &amp; Proj'!S109/'Hist &amp; Proj'!S$8,'Hist &amp; Proj'!S109)</f>
        <v>0</v>
      </c>
      <c r="T85" s="351">
        <f>IF(OR(Assump!$A$7="USD",Assump!$A$7="EURO"),'Hist &amp; Proj'!T109/'Hist &amp; Proj'!T$8,'Hist &amp; Proj'!T109)</f>
        <v>0</v>
      </c>
      <c r="U85" s="351">
        <f>IF(OR(Assump!$A$7="USD",Assump!$A$7="EURO"),'Hist &amp; Proj'!U109/'Hist &amp; Proj'!U$8,'Hist &amp; Proj'!U109)</f>
        <v>0</v>
      </c>
      <c r="V85" s="351">
        <f>IF(OR(Assump!$A$7="USD",Assump!$A$7="EURO"),'Hist &amp; Proj'!V109/'Hist &amp; Proj'!V$8,'Hist &amp; Proj'!V109)</f>
        <v>0</v>
      </c>
      <c r="W85" s="351">
        <f>IF(OR(Assump!$A$7="USD",Assump!$A$7="EURO"),'Hist &amp; Proj'!W109/'Hist &amp; Proj'!W$8,'Hist &amp; Proj'!W109)</f>
        <v>0</v>
      </c>
      <c r="X85" s="351">
        <f>IF(OR(Assump!$A$7="USD",Assump!$A$7="EURO"),'Hist &amp; Proj'!X109/'Hist &amp; Proj'!X$8,'Hist &amp; Proj'!X109)</f>
        <v>0</v>
      </c>
      <c r="Y85" s="351">
        <f>IF(OR(Assump!$A$7="USD",Assump!$A$7="EURO"),'Hist &amp; Proj'!Y109/'Hist &amp; Proj'!Y$8,'Hist &amp; Proj'!Y109)</f>
        <v>0</v>
      </c>
      <c r="Z85" s="351">
        <f>IF(OR(Assump!$A$7="USD",Assump!$A$7="EURO"),'Hist &amp; Proj'!Z109/'Hist &amp; Proj'!Z$8,'Hist &amp; Proj'!Z109)</f>
        <v>0</v>
      </c>
      <c r="AA85" s="351">
        <f>IF(OR(Assump!$A$7="USD",Assump!$A$7="EURO"),'Hist &amp; Proj'!AA109/'Hist &amp; Proj'!AA$8,'Hist &amp; Proj'!AA109)</f>
        <v>0</v>
      </c>
      <c r="AB85" s="351">
        <f>IF(OR(Assump!$A$7="USD",Assump!$A$7="EURO"),'Hist &amp; Proj'!AB109/'Hist &amp; Proj'!AB$8,'Hist &amp; Proj'!AB109)</f>
        <v>0</v>
      </c>
      <c r="AC85" s="351">
        <f>IF(OR(Assump!$A$7="USD",Assump!$A$7="EURO"),'Hist &amp; Proj'!AC109/'Hist &amp; Proj'!AC$8,'Hist &amp; Proj'!AC109)</f>
        <v>0</v>
      </c>
      <c r="AD85" s="351">
        <f>IF(OR(Assump!$A$7="USD",Assump!$A$7="EURO"),'Hist &amp; Proj'!AD109/'Hist &amp; Proj'!AD$8,'Hist &amp; Proj'!AD109)</f>
        <v>0</v>
      </c>
      <c r="AE85" s="1"/>
      <c r="AF85" s="1"/>
      <c r="AH85" s="404"/>
      <c r="AI85" s="404"/>
      <c r="AJ85" s="351">
        <f>IF(OR(Assump!$A$7="USD",Assump!$A$7="EURO"),'Hist &amp; Proj'!AH109/'Hist &amp; Proj'!AH$8,'Hist &amp; Proj'!AH109)</f>
        <v>0</v>
      </c>
      <c r="AK85" s="351">
        <f>IF(OR(Assump!$A$7="USD",Assump!$A$7="EURO"),'Hist &amp; Proj'!AI109/'Hist &amp; Proj'!AI$8,'Hist &amp; Proj'!AI109)</f>
        <v>0</v>
      </c>
      <c r="AL85" s="351">
        <f>IF(OR(Assump!$A$7="USD",Assump!$A$7="EURO"),'Hist &amp; Proj'!AJ109/'Hist &amp; Proj'!AJ$8,'Hist &amp; Proj'!AJ109)</f>
        <v>0</v>
      </c>
      <c r="AM85" s="351">
        <f>IF(OR(Assump!$A$7="USD",Assump!$A$7="EURO"),'Hist &amp; Proj'!AK109/'Hist &amp; Proj'!AK$8,'Hist &amp; Proj'!AK109)</f>
        <v>0</v>
      </c>
      <c r="AN85" s="351">
        <f>IF(OR(Assump!$A$7="USD",Assump!$A$7="EURO"),'Hist &amp; Proj'!AL109/'Hist &amp; Proj'!AL$8,'Hist &amp; Proj'!AL109)</f>
        <v>0</v>
      </c>
      <c r="AO85" s="404"/>
      <c r="AP85" s="404"/>
      <c r="AQ85" s="404"/>
      <c r="AR85" s="404"/>
      <c r="AS85" s="404"/>
      <c r="AT85" s="127"/>
      <c r="AU85" s="404"/>
      <c r="AV85" s="404"/>
      <c r="AW85" s="404"/>
      <c r="AX85" s="404"/>
      <c r="AY85" s="404"/>
      <c r="AZ85" s="127"/>
    </row>
    <row r="86" spans="1:52" s="1" customFormat="1">
      <c r="A86" s="4" t="s">
        <v>369</v>
      </c>
      <c r="AG86" s="170"/>
    </row>
    <row r="87" spans="1:52" s="392" customFormat="1" ht="24" customHeight="1">
      <c r="A87" s="397"/>
      <c r="B87" s="398"/>
      <c r="C87" s="398"/>
      <c r="D87" s="398"/>
      <c r="E87" s="398"/>
      <c r="F87" s="398"/>
      <c r="G87" s="398"/>
      <c r="H87" s="398"/>
      <c r="I87" s="398"/>
      <c r="J87" s="398"/>
      <c r="K87" s="398"/>
      <c r="L87" s="398"/>
      <c r="M87" s="398"/>
      <c r="N87" s="398"/>
      <c r="O87" s="398"/>
      <c r="P87" s="398"/>
      <c r="Q87" s="398"/>
      <c r="R87" s="399"/>
      <c r="S87" s="399"/>
      <c r="T87" s="399"/>
      <c r="U87" s="399"/>
      <c r="V87" s="399"/>
      <c r="W87" s="399"/>
      <c r="X87" s="399"/>
      <c r="Y87" s="399"/>
      <c r="Z87" s="399"/>
      <c r="AA87" s="399"/>
      <c r="AB87" s="399"/>
      <c r="AC87" s="399"/>
      <c r="AD87" s="399"/>
      <c r="AE87" s="399"/>
      <c r="AF87" s="399"/>
      <c r="AG87" s="399"/>
      <c r="AH87" s="393"/>
      <c r="AO87" s="399"/>
      <c r="AP87" s="393"/>
      <c r="AQ87" s="399"/>
      <c r="AR87" s="399"/>
      <c r="AS87" s="399"/>
      <c r="AT87" s="400"/>
      <c r="AU87" s="400"/>
      <c r="AV87" s="400"/>
      <c r="AW87" s="400"/>
      <c r="AX87" s="400"/>
      <c r="AY87" s="400"/>
      <c r="AZ87" s="400"/>
    </row>
    <row r="88" spans="1:52" s="1" customFormat="1" ht="15">
      <c r="A88" s="401"/>
    </row>
    <row r="89" spans="1:52">
      <c r="A89" s="360" t="str">
        <f>CONCATENATE('Hist &amp; Proj'!A81," (",Assump!$A$7,")")</f>
        <v>PORTFOLIO QUALITY ()</v>
      </c>
      <c r="B89" s="760">
        <f>B$7</f>
        <v>692501</v>
      </c>
      <c r="C89" s="760">
        <f t="shared" ref="C89:AD89" si="34">C$7</f>
        <v>692867</v>
      </c>
      <c r="D89" s="760">
        <f t="shared" si="34"/>
        <v>693232</v>
      </c>
      <c r="E89" s="760">
        <f t="shared" si="34"/>
        <v>693597</v>
      </c>
      <c r="F89" s="362">
        <f t="shared" ca="1" si="34"/>
        <v>693628</v>
      </c>
      <c r="G89" s="362">
        <f t="shared" ca="1" si="34"/>
        <v>693656</v>
      </c>
      <c r="H89" s="362">
        <f t="shared" ca="1" si="34"/>
        <v>693687</v>
      </c>
      <c r="I89" s="362">
        <f t="shared" ca="1" si="34"/>
        <v>693717</v>
      </c>
      <c r="J89" s="362">
        <f t="shared" ca="1" si="34"/>
        <v>693748</v>
      </c>
      <c r="K89" s="362">
        <f t="shared" ca="1" si="34"/>
        <v>693778</v>
      </c>
      <c r="L89" s="362">
        <f t="shared" ca="1" si="34"/>
        <v>693809</v>
      </c>
      <c r="M89" s="362">
        <f t="shared" ca="1" si="34"/>
        <v>693840</v>
      </c>
      <c r="N89" s="362">
        <f t="shared" ca="1" si="34"/>
        <v>693870</v>
      </c>
      <c r="O89" s="362">
        <f t="shared" ca="1" si="34"/>
        <v>693901</v>
      </c>
      <c r="P89" s="362">
        <f t="shared" ca="1" si="34"/>
        <v>693931</v>
      </c>
      <c r="Q89" s="362">
        <f t="shared" ca="1" si="34"/>
        <v>693962</v>
      </c>
      <c r="R89" s="760">
        <f t="shared" ca="1" si="34"/>
        <v>693962</v>
      </c>
      <c r="S89" s="362">
        <f t="shared" ca="1" si="34"/>
        <v>31</v>
      </c>
      <c r="T89" s="362">
        <f t="shared" ca="1" si="34"/>
        <v>59</v>
      </c>
      <c r="U89" s="362">
        <f t="shared" ca="1" si="34"/>
        <v>91</v>
      </c>
      <c r="V89" s="362">
        <f t="shared" ca="1" si="34"/>
        <v>121</v>
      </c>
      <c r="W89" s="362">
        <f t="shared" ca="1" si="34"/>
        <v>152</v>
      </c>
      <c r="X89" s="362">
        <f t="shared" ca="1" si="34"/>
        <v>182</v>
      </c>
      <c r="Y89" s="362">
        <f t="shared" ca="1" si="34"/>
        <v>213</v>
      </c>
      <c r="Z89" s="362">
        <f t="shared" ca="1" si="34"/>
        <v>244</v>
      </c>
      <c r="AA89" s="362">
        <f t="shared" ca="1" si="34"/>
        <v>274</v>
      </c>
      <c r="AB89" s="362">
        <f t="shared" ca="1" si="34"/>
        <v>305</v>
      </c>
      <c r="AC89" s="362">
        <f t="shared" ca="1" si="34"/>
        <v>335</v>
      </c>
      <c r="AD89" s="362">
        <f t="shared" ca="1" si="34"/>
        <v>366</v>
      </c>
      <c r="AE89" s="376" t="e">
        <f ca="1">AE$42</f>
        <v>#N/A</v>
      </c>
      <c r="AF89" s="376" t="e">
        <f ca="1">AF$42</f>
        <v>#N/A</v>
      </c>
      <c r="AH89" s="365" t="str">
        <f ca="1">AH$7</f>
        <v>'96 - '99 CAGR/Avg.</v>
      </c>
      <c r="AJ89" s="760">
        <f ca="1">AJ$7</f>
        <v>694327</v>
      </c>
      <c r="AK89" s="760">
        <f ca="1">AK$7</f>
        <v>694692</v>
      </c>
      <c r="AL89" s="760">
        <f ca="1">AL$7</f>
        <v>695057</v>
      </c>
      <c r="AM89" s="760">
        <f ca="1">AM$7</f>
        <v>695422</v>
      </c>
      <c r="AN89" s="760">
        <f ca="1">AN$7</f>
        <v>695787</v>
      </c>
      <c r="AP89" s="365" t="str">
        <f ca="1">AP$7</f>
        <v>'00 - '04 CAGR/Avg.</v>
      </c>
    </row>
    <row r="90" spans="1:52" s="170" customFormat="1">
      <c r="A90" s="348" t="s">
        <v>49</v>
      </c>
      <c r="B90" s="179">
        <f>IF(OR(Assump!$A$7="USD",Assump!$A$7="EURO"),'Hist &amp; Proj'!B85/'Hist &amp; Proj'!B$8,'Hist &amp; Proj'!B85)</f>
        <v>0</v>
      </c>
      <c r="C90" s="179">
        <f>IF(OR(Assump!$A$7="USD",Assump!$A$7="EURO"),'Hist &amp; Proj'!C85/'Hist &amp; Proj'!C$8,'Hist &amp; Proj'!C85)</f>
        <v>0</v>
      </c>
      <c r="D90" s="179">
        <f>IF(OR(Assump!$A$7="USD",Assump!$A$7="EURO"),'Hist &amp; Proj'!D85/'Hist &amp; Proj'!D$8,'Hist &amp; Proj'!D85)</f>
        <v>0</v>
      </c>
      <c r="E90" s="179">
        <f>IF(OR(Assump!$A$7="USD",Assump!$A$7="EURO"),'Hist &amp; Proj'!E85/'Hist &amp; Proj'!E$8,'Hist &amp; Proj'!E85)</f>
        <v>0</v>
      </c>
      <c r="F90" s="179">
        <f ca="1">IF(OR(Assump!$A$7="USD",Assump!$A$7="EURO"),'Hist &amp; Proj'!F85/'Hist &amp; Proj'!F$8,'Hist &amp; Proj'!F85)</f>
        <v>0</v>
      </c>
      <c r="G90" s="179">
        <f ca="1">IF(OR(Assump!$A$7="USD",Assump!$A$7="EURO"),'Hist &amp; Proj'!G85/'Hist &amp; Proj'!G$8,'Hist &amp; Proj'!G85)</f>
        <v>0</v>
      </c>
      <c r="H90" s="179">
        <f ca="1">IF(OR(Assump!$A$7="USD",Assump!$A$7="EURO"),'Hist &amp; Proj'!H85/'Hist &amp; Proj'!H$8,'Hist &amp; Proj'!H85)</f>
        <v>0</v>
      </c>
      <c r="I90" s="179">
        <f ca="1">IF(OR(Assump!$A$7="USD",Assump!$A$7="EURO"),'Hist &amp; Proj'!I85/'Hist &amp; Proj'!I$8,'Hist &amp; Proj'!I85)</f>
        <v>0</v>
      </c>
      <c r="J90" s="179">
        <f ca="1">IF(OR(Assump!$A$7="USD",Assump!$A$7="EURO"),'Hist &amp; Proj'!J85/'Hist &amp; Proj'!J$8,'Hist &amp; Proj'!J85)</f>
        <v>0</v>
      </c>
      <c r="K90" s="179">
        <f ca="1">IF(OR(Assump!$A$7="USD",Assump!$A$7="EURO"),'Hist &amp; Proj'!K85/'Hist &amp; Proj'!K$8,'Hist &amp; Proj'!K85)</f>
        <v>0</v>
      </c>
      <c r="L90" s="179">
        <f ca="1">IF(OR(Assump!$A$7="USD",Assump!$A$7="EURO"),'Hist &amp; Proj'!L85/'Hist &amp; Proj'!L$8,'Hist &amp; Proj'!L85)</f>
        <v>0</v>
      </c>
      <c r="M90" s="179">
        <f ca="1">IF(OR(Assump!$A$7="USD",Assump!$A$7="EURO"),'Hist &amp; Proj'!M85/'Hist &amp; Proj'!M$8,'Hist &amp; Proj'!M85)</f>
        <v>0</v>
      </c>
      <c r="N90" s="179">
        <f ca="1">IF(OR(Assump!$A$7="USD",Assump!$A$7="EURO"),'Hist &amp; Proj'!N85/'Hist &amp; Proj'!N$8,'Hist &amp; Proj'!N85)</f>
        <v>0</v>
      </c>
      <c r="O90" s="179">
        <f ca="1">IF(OR(Assump!$A$7="USD",Assump!$A$7="EURO"),'Hist &amp; Proj'!O85/'Hist &amp; Proj'!O$8,'Hist &amp; Proj'!O85)</f>
        <v>0</v>
      </c>
      <c r="P90" s="179">
        <f ca="1">IF(OR(Assump!$A$7="USD",Assump!$A$7="EURO"),'Hist &amp; Proj'!P85/'Hist &amp; Proj'!P$8,'Hist &amp; Proj'!P85)</f>
        <v>0</v>
      </c>
      <c r="Q90" s="179">
        <f ca="1">IF(OR(Assump!$A$7="USD",Assump!$A$7="EURO"),'Hist &amp; Proj'!Q85/'Hist &amp; Proj'!Q$8,'Hist &amp; Proj'!Q85)</f>
        <v>0</v>
      </c>
      <c r="R90" s="179">
        <f ca="1">IF(OR(Assump!$A$7="USD",Assump!$A$7="EURO"),'Hist &amp; Proj'!R85/'Hist &amp; Proj'!R$8,'Hist &amp; Proj'!R85)</f>
        <v>0</v>
      </c>
      <c r="S90" s="179">
        <f ca="1">IF(OR(Assump!$A$7="USD",Assump!$A$7="EURO"),'Hist &amp; Proj'!S85/'Hist &amp; Proj'!S$8,'Hist &amp; Proj'!S85)</f>
        <v>0</v>
      </c>
      <c r="T90" s="179">
        <f ca="1">IF(OR(Assump!$A$7="USD",Assump!$A$7="EURO"),'Hist &amp; Proj'!T85/'Hist &amp; Proj'!T$8,'Hist &amp; Proj'!T85)</f>
        <v>0</v>
      </c>
      <c r="U90" s="179">
        <f ca="1">IF(OR(Assump!$A$7="USD",Assump!$A$7="EURO"),'Hist &amp; Proj'!U85/'Hist &amp; Proj'!U$8,'Hist &amp; Proj'!U85)</f>
        <v>0</v>
      </c>
      <c r="V90" s="179">
        <f ca="1">IF(OR(Assump!$A$7="USD",Assump!$A$7="EURO"),'Hist &amp; Proj'!V85/'Hist &amp; Proj'!V$8,'Hist &amp; Proj'!V85)</f>
        <v>0</v>
      </c>
      <c r="W90" s="179">
        <f ca="1">IF(OR(Assump!$A$7="USD",Assump!$A$7="EURO"),'Hist &amp; Proj'!W85/'Hist &amp; Proj'!W$8,'Hist &amp; Proj'!W85)</f>
        <v>0</v>
      </c>
      <c r="X90" s="179">
        <f ca="1">IF(OR(Assump!$A$7="USD",Assump!$A$7="EURO"),'Hist &amp; Proj'!X85/'Hist &amp; Proj'!X$8,'Hist &amp; Proj'!X85)</f>
        <v>0</v>
      </c>
      <c r="Y90" s="179">
        <f ca="1">IF(OR(Assump!$A$7="USD",Assump!$A$7="EURO"),'Hist &amp; Proj'!Y85/'Hist &amp; Proj'!Y$8,'Hist &amp; Proj'!Y85)</f>
        <v>0</v>
      </c>
      <c r="Z90" s="179">
        <f ca="1">IF(OR(Assump!$A$7="USD",Assump!$A$7="EURO"),'Hist &amp; Proj'!Z85/'Hist &amp; Proj'!Z$8,'Hist &amp; Proj'!Z85)</f>
        <v>0</v>
      </c>
      <c r="AA90" s="179">
        <f ca="1">IF(OR(Assump!$A$7="USD",Assump!$A$7="EURO"),'Hist &amp; Proj'!AA85/'Hist &amp; Proj'!AA$8,'Hist &amp; Proj'!AA85)</f>
        <v>0</v>
      </c>
      <c r="AB90" s="179">
        <f ca="1">IF(OR(Assump!$A$7="USD",Assump!$A$7="EURO"),'Hist &amp; Proj'!AB85/'Hist &amp; Proj'!AB$8,'Hist &amp; Proj'!AB85)</f>
        <v>0</v>
      </c>
      <c r="AC90" s="179">
        <f ca="1">IF(OR(Assump!$A$7="USD",Assump!$A$7="EURO"),'Hist &amp; Proj'!AC85/'Hist &amp; Proj'!AC$8,'Hist &amp; Proj'!AC85)</f>
        <v>0</v>
      </c>
      <c r="AD90" s="179">
        <f ca="1">IF(OR(Assump!$A$7="USD",Assump!$A$7="EURO"),'Hist &amp; Proj'!AD85/'Hist &amp; Proj'!AD$8,'Hist &amp; Proj'!AD85)</f>
        <v>0</v>
      </c>
      <c r="AE90" s="179" t="e">
        <f ca="1">IF(OR(Assump!$A$7="USD",Assump!$A$7="EURO"),'Hist &amp; Proj'!AE85/'Hist &amp; Proj'!AE$8,'Hist &amp; Proj'!AE85)</f>
        <v>#N/A</v>
      </c>
      <c r="AF90" s="179" t="e">
        <f ca="1">IF(OR(Assump!$A$7="USD",Assump!$A$7="EURO"),'Hist &amp; Proj'!AF85/'Hist &amp; Proj'!AF$8,'Hist &amp; Proj'!AF85)</f>
        <v>#N/A</v>
      </c>
      <c r="AG90" s="404"/>
      <c r="AH90" s="367" t="str">
        <f t="shared" ref="AH90:AH101" ca="1" si="35">IFERROR(RATE(3,0,-C90,R90),"NA")</f>
        <v>NA</v>
      </c>
      <c r="AI90" s="416"/>
      <c r="AJ90" s="179">
        <f>IF(OR(Assump!$A$7="USD",Assump!$A$7="EURO"),'Hist &amp; Proj'!AH85/'Hist &amp; Proj'!AH$8,'Hist &amp; Proj'!AH85)</f>
        <v>0</v>
      </c>
      <c r="AK90" s="179">
        <f>IF(OR(Assump!$A$7="USD",Assump!$A$7="EURO"),'Hist &amp; Proj'!AI85/'Hist &amp; Proj'!AI$8,'Hist &amp; Proj'!AI85)</f>
        <v>0</v>
      </c>
      <c r="AL90" s="179">
        <f>IF(OR(Assump!$A$7="USD",Assump!$A$7="EURO"),'Hist &amp; Proj'!AJ85/'Hist &amp; Proj'!AJ$8,'Hist &amp; Proj'!AJ85)</f>
        <v>0</v>
      </c>
      <c r="AM90" s="179">
        <f>IF(OR(Assump!$A$7="USD",Assump!$A$7="EURO"),'Hist &amp; Proj'!AK85/'Hist &amp; Proj'!AK$8,'Hist &amp; Proj'!AK85)</f>
        <v>0</v>
      </c>
      <c r="AN90" s="179">
        <f>IF(OR(Assump!$A$7="USD",Assump!$A$7="EURO"),'Hist &amp; Proj'!AL85/'Hist &amp; Proj'!AL$8,'Hist &amp; Proj'!AL85)</f>
        <v>0</v>
      </c>
      <c r="AO90" s="404"/>
      <c r="AP90" s="367" t="str">
        <f t="shared" ref="AP90:AP101" si="36">IFERROR(RATE(4,0,-AJ90,AN90),"NA")</f>
        <v>NA</v>
      </c>
      <c r="AQ90" s="404"/>
      <c r="AR90" s="404"/>
      <c r="AS90" s="404"/>
      <c r="AT90" s="127"/>
      <c r="AU90" s="404"/>
      <c r="AV90" s="404"/>
      <c r="AW90" s="404"/>
      <c r="AX90" s="404"/>
      <c r="AY90" s="404"/>
      <c r="AZ90" s="127"/>
    </row>
    <row r="91" spans="1:52" s="170" customFormat="1" outlineLevel="1">
      <c r="A91" s="348" t="s">
        <v>50</v>
      </c>
      <c r="B91" s="179">
        <f>IF(OR(Assump!$A$7="USD",Assump!$A$7="EURO"),'Hist &amp; Proj'!B86/'Hist &amp; Proj'!B$8,'Hist &amp; Proj'!B86)</f>
        <v>0</v>
      </c>
      <c r="C91" s="179">
        <f>IF(OR(Assump!$A$7="USD",Assump!$A$7="EURO"),'Hist &amp; Proj'!C86/'Hist &amp; Proj'!C$8,'Hist &amp; Proj'!C86)</f>
        <v>0</v>
      </c>
      <c r="D91" s="179">
        <f>IF(OR(Assump!$A$7="USD",Assump!$A$7="EURO"),'Hist &amp; Proj'!D86/'Hist &amp; Proj'!D$8,'Hist &amp; Proj'!D86)</f>
        <v>0</v>
      </c>
      <c r="E91" s="179">
        <f>IF(OR(Assump!$A$7="USD",Assump!$A$7="EURO"),'Hist &amp; Proj'!E86/'Hist &amp; Proj'!E$8,'Hist &amp; Proj'!E86)</f>
        <v>0</v>
      </c>
      <c r="F91" s="179">
        <f ca="1">IF(OR(Assump!$A$7="USD",Assump!$A$7="EURO"),'Hist &amp; Proj'!F86/'Hist &amp; Proj'!F$8,'Hist &amp; Proj'!F86)</f>
        <v>0</v>
      </c>
      <c r="G91" s="179">
        <f ca="1">IF(OR(Assump!$A$7="USD",Assump!$A$7="EURO"),'Hist &amp; Proj'!G86/'Hist &amp; Proj'!G$8,'Hist &amp; Proj'!G86)</f>
        <v>0</v>
      </c>
      <c r="H91" s="179">
        <f ca="1">IF(OR(Assump!$A$7="USD",Assump!$A$7="EURO"),'Hist &amp; Proj'!H86/'Hist &amp; Proj'!H$8,'Hist &amp; Proj'!H86)</f>
        <v>0</v>
      </c>
      <c r="I91" s="179">
        <f ca="1">IF(OR(Assump!$A$7="USD",Assump!$A$7="EURO"),'Hist &amp; Proj'!I86/'Hist &amp; Proj'!I$8,'Hist &amp; Proj'!I86)</f>
        <v>0</v>
      </c>
      <c r="J91" s="179">
        <f ca="1">IF(OR(Assump!$A$7="USD",Assump!$A$7="EURO"),'Hist &amp; Proj'!J86/'Hist &amp; Proj'!J$8,'Hist &amp; Proj'!J86)</f>
        <v>0</v>
      </c>
      <c r="K91" s="179">
        <f ca="1">IF(OR(Assump!$A$7="USD",Assump!$A$7="EURO"),'Hist &amp; Proj'!K86/'Hist &amp; Proj'!K$8,'Hist &amp; Proj'!K86)</f>
        <v>0</v>
      </c>
      <c r="L91" s="179">
        <f ca="1">IF(OR(Assump!$A$7="USD",Assump!$A$7="EURO"),'Hist &amp; Proj'!L86/'Hist &amp; Proj'!L$8,'Hist &amp; Proj'!L86)</f>
        <v>0</v>
      </c>
      <c r="M91" s="179">
        <f ca="1">IF(OR(Assump!$A$7="USD",Assump!$A$7="EURO"),'Hist &amp; Proj'!M86/'Hist &amp; Proj'!M$8,'Hist &amp; Proj'!M86)</f>
        <v>0</v>
      </c>
      <c r="N91" s="179">
        <f ca="1">IF(OR(Assump!$A$7="USD",Assump!$A$7="EURO"),'Hist &amp; Proj'!N86/'Hist &amp; Proj'!N$8,'Hist &amp; Proj'!N86)</f>
        <v>0</v>
      </c>
      <c r="O91" s="179">
        <f ca="1">IF(OR(Assump!$A$7="USD",Assump!$A$7="EURO"),'Hist &amp; Proj'!O86/'Hist &amp; Proj'!O$8,'Hist &amp; Proj'!O86)</f>
        <v>0</v>
      </c>
      <c r="P91" s="179">
        <f ca="1">IF(OR(Assump!$A$7="USD",Assump!$A$7="EURO"),'Hist &amp; Proj'!P86/'Hist &amp; Proj'!P$8,'Hist &amp; Proj'!P86)</f>
        <v>0</v>
      </c>
      <c r="Q91" s="179">
        <f ca="1">IF(OR(Assump!$A$7="USD",Assump!$A$7="EURO"),'Hist &amp; Proj'!Q86/'Hist &amp; Proj'!Q$8,'Hist &amp; Proj'!Q86)</f>
        <v>0</v>
      </c>
      <c r="R91" s="179">
        <f ca="1">IF(OR(Assump!$A$7="USD",Assump!$A$7="EURO"),'Hist &amp; Proj'!R86/'Hist &amp; Proj'!R$8,'Hist &amp; Proj'!R86)</f>
        <v>0</v>
      </c>
      <c r="S91" s="179">
        <f ca="1">IF(OR(Assump!$A$7="USD",Assump!$A$7="EURO"),'Hist &amp; Proj'!S86/'Hist &amp; Proj'!S$8,'Hist &amp; Proj'!S86)</f>
        <v>0</v>
      </c>
      <c r="T91" s="179">
        <f ca="1">IF(OR(Assump!$A$7="USD",Assump!$A$7="EURO"),'Hist &amp; Proj'!T86/'Hist &amp; Proj'!T$8,'Hist &amp; Proj'!T86)</f>
        <v>0</v>
      </c>
      <c r="U91" s="179">
        <f ca="1">IF(OR(Assump!$A$7="USD",Assump!$A$7="EURO"),'Hist &amp; Proj'!U86/'Hist &amp; Proj'!U$8,'Hist &amp; Proj'!U86)</f>
        <v>0</v>
      </c>
      <c r="V91" s="179">
        <f ca="1">IF(OR(Assump!$A$7="USD",Assump!$A$7="EURO"),'Hist &amp; Proj'!V86/'Hist &amp; Proj'!V$8,'Hist &amp; Proj'!V86)</f>
        <v>0</v>
      </c>
      <c r="W91" s="179">
        <f ca="1">IF(OR(Assump!$A$7="USD",Assump!$A$7="EURO"),'Hist &amp; Proj'!W86/'Hist &amp; Proj'!W$8,'Hist &amp; Proj'!W86)</f>
        <v>0</v>
      </c>
      <c r="X91" s="179">
        <f ca="1">IF(OR(Assump!$A$7="USD",Assump!$A$7="EURO"),'Hist &amp; Proj'!X86/'Hist &amp; Proj'!X$8,'Hist &amp; Proj'!X86)</f>
        <v>0</v>
      </c>
      <c r="Y91" s="179">
        <f ca="1">IF(OR(Assump!$A$7="USD",Assump!$A$7="EURO"),'Hist &amp; Proj'!Y86/'Hist &amp; Proj'!Y$8,'Hist &amp; Proj'!Y86)</f>
        <v>0</v>
      </c>
      <c r="Z91" s="179">
        <f ca="1">IF(OR(Assump!$A$7="USD",Assump!$A$7="EURO"),'Hist &amp; Proj'!Z86/'Hist &amp; Proj'!Z$8,'Hist &amp; Proj'!Z86)</f>
        <v>0</v>
      </c>
      <c r="AA91" s="179">
        <f ca="1">IF(OR(Assump!$A$7="USD",Assump!$A$7="EURO"),'Hist &amp; Proj'!AA86/'Hist &amp; Proj'!AA$8,'Hist &amp; Proj'!AA86)</f>
        <v>0</v>
      </c>
      <c r="AB91" s="179">
        <f ca="1">IF(OR(Assump!$A$7="USD",Assump!$A$7="EURO"),'Hist &amp; Proj'!AB86/'Hist &amp; Proj'!AB$8,'Hist &amp; Proj'!AB86)</f>
        <v>0</v>
      </c>
      <c r="AC91" s="179">
        <f ca="1">IF(OR(Assump!$A$7="USD",Assump!$A$7="EURO"),'Hist &amp; Proj'!AC86/'Hist &amp; Proj'!AC$8,'Hist &amp; Proj'!AC86)</f>
        <v>0</v>
      </c>
      <c r="AD91" s="179">
        <f ca="1">IF(OR(Assump!$A$7="USD",Assump!$A$7="EURO"),'Hist &amp; Proj'!AD86/'Hist &amp; Proj'!AD$8,'Hist &amp; Proj'!AD86)</f>
        <v>0</v>
      </c>
      <c r="AE91" s="179" t="e">
        <f ca="1">IF(OR(Assump!$A$7="USD",Assump!$A$7="EURO"),'Hist &amp; Proj'!AE86/'Hist &amp; Proj'!AE$8,'Hist &amp; Proj'!AE86)</f>
        <v>#N/A</v>
      </c>
      <c r="AF91" s="179" t="e">
        <f ca="1">IF(OR(Assump!$A$7="USD",Assump!$A$7="EURO"),'Hist &amp; Proj'!AF86/'Hist &amp; Proj'!AF$8,'Hist &amp; Proj'!AF86)</f>
        <v>#N/A</v>
      </c>
      <c r="AG91" s="404"/>
      <c r="AH91" s="367" t="str">
        <f t="shared" ca="1" si="35"/>
        <v>NA</v>
      </c>
      <c r="AI91" s="416"/>
      <c r="AJ91" s="179">
        <f>IF(OR(Assump!$A$7="USD",Assump!$A$7="EURO"),'Hist &amp; Proj'!AH86/'Hist &amp; Proj'!AH$8,'Hist &amp; Proj'!AH86)</f>
        <v>0</v>
      </c>
      <c r="AK91" s="179">
        <f>IF(OR(Assump!$A$7="USD",Assump!$A$7="EURO"),'Hist &amp; Proj'!AI86/'Hist &amp; Proj'!AI$8,'Hist &amp; Proj'!AI86)</f>
        <v>0</v>
      </c>
      <c r="AL91" s="179">
        <f>IF(OR(Assump!$A$7="USD",Assump!$A$7="EURO"),'Hist &amp; Proj'!AJ86/'Hist &amp; Proj'!AJ$8,'Hist &amp; Proj'!AJ86)</f>
        <v>0</v>
      </c>
      <c r="AM91" s="179">
        <f>IF(OR(Assump!$A$7="USD",Assump!$A$7="EURO"),'Hist &amp; Proj'!AK86/'Hist &amp; Proj'!AK$8,'Hist &amp; Proj'!AK86)</f>
        <v>0</v>
      </c>
      <c r="AN91" s="179">
        <f>IF(OR(Assump!$A$7="USD",Assump!$A$7="EURO"),'Hist &amp; Proj'!AL86/'Hist &amp; Proj'!AL$8,'Hist &amp; Proj'!AL86)</f>
        <v>0</v>
      </c>
      <c r="AO91" s="404"/>
      <c r="AP91" s="367" t="str">
        <f t="shared" si="36"/>
        <v>NA</v>
      </c>
      <c r="AQ91" s="404"/>
      <c r="AR91" s="404"/>
      <c r="AS91" s="404"/>
      <c r="AT91" s="127"/>
      <c r="AU91" s="404"/>
      <c r="AV91" s="404"/>
      <c r="AW91" s="404"/>
      <c r="AX91" s="404"/>
      <c r="AY91" s="404"/>
      <c r="AZ91" s="127"/>
    </row>
    <row r="92" spans="1:52" s="170" customFormat="1">
      <c r="A92" s="348" t="s">
        <v>51</v>
      </c>
      <c r="B92" s="179">
        <f>IF(OR(Assump!$A$7="USD",Assump!$A$7="EURO"),'Hist &amp; Proj'!B87/'Hist &amp; Proj'!B$8,'Hist &amp; Proj'!B87)</f>
        <v>0</v>
      </c>
      <c r="C92" s="179">
        <f>IF(OR(Assump!$A$7="USD",Assump!$A$7="EURO"),'Hist &amp; Proj'!C87/'Hist &amp; Proj'!C$8,'Hist &amp; Proj'!C87)</f>
        <v>0</v>
      </c>
      <c r="D92" s="179">
        <f>IF(OR(Assump!$A$7="USD",Assump!$A$7="EURO"),'Hist &amp; Proj'!D87/'Hist &amp; Proj'!D$8,'Hist &amp; Proj'!D87)</f>
        <v>0</v>
      </c>
      <c r="E92" s="179">
        <f>IF(OR(Assump!$A$7="USD",Assump!$A$7="EURO"),'Hist &amp; Proj'!E87/'Hist &amp; Proj'!E$8,'Hist &amp; Proj'!E87)</f>
        <v>0</v>
      </c>
      <c r="F92" s="179">
        <f ca="1">IF(OR(Assump!$A$7="USD",Assump!$A$7="EURO"),'Hist &amp; Proj'!F87/'Hist &amp; Proj'!F$8,'Hist &amp; Proj'!F87)</f>
        <v>0</v>
      </c>
      <c r="G92" s="179">
        <f ca="1">IF(OR(Assump!$A$7="USD",Assump!$A$7="EURO"),'Hist &amp; Proj'!G87/'Hist &amp; Proj'!G$8,'Hist &amp; Proj'!G87)</f>
        <v>0</v>
      </c>
      <c r="H92" s="179">
        <f ca="1">IF(OR(Assump!$A$7="USD",Assump!$A$7="EURO"),'Hist &amp; Proj'!H87/'Hist &amp; Proj'!H$8,'Hist &amp; Proj'!H87)</f>
        <v>0</v>
      </c>
      <c r="I92" s="179">
        <f ca="1">IF(OR(Assump!$A$7="USD",Assump!$A$7="EURO"),'Hist &amp; Proj'!I87/'Hist &amp; Proj'!I$8,'Hist &amp; Proj'!I87)</f>
        <v>0</v>
      </c>
      <c r="J92" s="179">
        <f ca="1">IF(OR(Assump!$A$7="USD",Assump!$A$7="EURO"),'Hist &amp; Proj'!J87/'Hist &amp; Proj'!J$8,'Hist &amp; Proj'!J87)</f>
        <v>0</v>
      </c>
      <c r="K92" s="179">
        <f ca="1">IF(OR(Assump!$A$7="USD",Assump!$A$7="EURO"),'Hist &amp; Proj'!K87/'Hist &amp; Proj'!K$8,'Hist &amp; Proj'!K87)</f>
        <v>0</v>
      </c>
      <c r="L92" s="179">
        <f ca="1">IF(OR(Assump!$A$7="USD",Assump!$A$7="EURO"),'Hist &amp; Proj'!L87/'Hist &amp; Proj'!L$8,'Hist &amp; Proj'!L87)</f>
        <v>0</v>
      </c>
      <c r="M92" s="179">
        <f ca="1">IF(OR(Assump!$A$7="USD",Assump!$A$7="EURO"),'Hist &amp; Proj'!M87/'Hist &amp; Proj'!M$8,'Hist &amp; Proj'!M87)</f>
        <v>0</v>
      </c>
      <c r="N92" s="179">
        <f ca="1">IF(OR(Assump!$A$7="USD",Assump!$A$7="EURO"),'Hist &amp; Proj'!N87/'Hist &amp; Proj'!N$8,'Hist &amp; Proj'!N87)</f>
        <v>0</v>
      </c>
      <c r="O92" s="179">
        <f ca="1">IF(OR(Assump!$A$7="USD",Assump!$A$7="EURO"),'Hist &amp; Proj'!O87/'Hist &amp; Proj'!O$8,'Hist &amp; Proj'!O87)</f>
        <v>0</v>
      </c>
      <c r="P92" s="179">
        <f ca="1">IF(OR(Assump!$A$7="USD",Assump!$A$7="EURO"),'Hist &amp; Proj'!P87/'Hist &amp; Proj'!P$8,'Hist &amp; Proj'!P87)</f>
        <v>0</v>
      </c>
      <c r="Q92" s="179">
        <f ca="1">IF(OR(Assump!$A$7="USD",Assump!$A$7="EURO"),'Hist &amp; Proj'!Q87/'Hist &amp; Proj'!Q$8,'Hist &amp; Proj'!Q87)</f>
        <v>0</v>
      </c>
      <c r="R92" s="179">
        <f ca="1">IF(OR(Assump!$A$7="USD",Assump!$A$7="EURO"),'Hist &amp; Proj'!R87/'Hist &amp; Proj'!R$8,'Hist &amp; Proj'!R87)</f>
        <v>0</v>
      </c>
      <c r="S92" s="179">
        <f ca="1">IF(OR(Assump!$A$7="USD",Assump!$A$7="EURO"),'Hist &amp; Proj'!S87/'Hist &amp; Proj'!S$8,'Hist &amp; Proj'!S87)</f>
        <v>0</v>
      </c>
      <c r="T92" s="179">
        <f ca="1">IF(OR(Assump!$A$7="USD",Assump!$A$7="EURO"),'Hist &amp; Proj'!T87/'Hist &amp; Proj'!T$8,'Hist &amp; Proj'!T87)</f>
        <v>0</v>
      </c>
      <c r="U92" s="179">
        <f ca="1">IF(OR(Assump!$A$7="USD",Assump!$A$7="EURO"),'Hist &amp; Proj'!U87/'Hist &amp; Proj'!U$8,'Hist &amp; Proj'!U87)</f>
        <v>0</v>
      </c>
      <c r="V92" s="179">
        <f ca="1">IF(OR(Assump!$A$7="USD",Assump!$A$7="EURO"),'Hist &amp; Proj'!V87/'Hist &amp; Proj'!V$8,'Hist &amp; Proj'!V87)</f>
        <v>0</v>
      </c>
      <c r="W92" s="179">
        <f ca="1">IF(OR(Assump!$A$7="USD",Assump!$A$7="EURO"),'Hist &amp; Proj'!W87/'Hist &amp; Proj'!W$8,'Hist &amp; Proj'!W87)</f>
        <v>0</v>
      </c>
      <c r="X92" s="179">
        <f ca="1">IF(OR(Assump!$A$7="USD",Assump!$A$7="EURO"),'Hist &amp; Proj'!X87/'Hist &amp; Proj'!X$8,'Hist &amp; Proj'!X87)</f>
        <v>0</v>
      </c>
      <c r="Y92" s="179">
        <f ca="1">IF(OR(Assump!$A$7="USD",Assump!$A$7="EURO"),'Hist &amp; Proj'!Y87/'Hist &amp; Proj'!Y$8,'Hist &amp; Proj'!Y87)</f>
        <v>0</v>
      </c>
      <c r="Z92" s="179">
        <f ca="1">IF(OR(Assump!$A$7="USD",Assump!$A$7="EURO"),'Hist &amp; Proj'!Z87/'Hist &amp; Proj'!Z$8,'Hist &amp; Proj'!Z87)</f>
        <v>0</v>
      </c>
      <c r="AA92" s="179">
        <f ca="1">IF(OR(Assump!$A$7="USD",Assump!$A$7="EURO"),'Hist &amp; Proj'!AA87/'Hist &amp; Proj'!AA$8,'Hist &amp; Proj'!AA87)</f>
        <v>0</v>
      </c>
      <c r="AB92" s="179">
        <f ca="1">IF(OR(Assump!$A$7="USD",Assump!$A$7="EURO"),'Hist &amp; Proj'!AB87/'Hist &amp; Proj'!AB$8,'Hist &amp; Proj'!AB87)</f>
        <v>0</v>
      </c>
      <c r="AC92" s="179">
        <f ca="1">IF(OR(Assump!$A$7="USD",Assump!$A$7="EURO"),'Hist &amp; Proj'!AC87/'Hist &amp; Proj'!AC$8,'Hist &amp; Proj'!AC87)</f>
        <v>0</v>
      </c>
      <c r="AD92" s="179">
        <f ca="1">IF(OR(Assump!$A$7="USD",Assump!$A$7="EURO"),'Hist &amp; Proj'!AD87/'Hist &amp; Proj'!AD$8,'Hist &amp; Proj'!AD87)</f>
        <v>0</v>
      </c>
      <c r="AE92" s="179" t="e">
        <f ca="1">IF(OR(Assump!$A$7="USD",Assump!$A$7="EURO"),'Hist &amp; Proj'!AE87/'Hist &amp; Proj'!AE$8,'Hist &amp; Proj'!AE87)</f>
        <v>#N/A</v>
      </c>
      <c r="AF92" s="179" t="e">
        <f ca="1">IF(OR(Assump!$A$7="USD",Assump!$A$7="EURO"),'Hist &amp; Proj'!AF87/'Hist &amp; Proj'!AF$8,'Hist &amp; Proj'!AF87)</f>
        <v>#N/A</v>
      </c>
      <c r="AG92" s="404"/>
      <c r="AH92" s="367" t="str">
        <f t="shared" ca="1" si="35"/>
        <v>NA</v>
      </c>
      <c r="AI92" s="416"/>
      <c r="AJ92" s="179">
        <f>IF(OR(Assump!$A$7="USD",Assump!$A$7="EURO"),'Hist &amp; Proj'!AH87/'Hist &amp; Proj'!AH$8,'Hist &amp; Proj'!AH87)</f>
        <v>0</v>
      </c>
      <c r="AK92" s="179">
        <f>IF(OR(Assump!$A$7="USD",Assump!$A$7="EURO"),'Hist &amp; Proj'!AI87/'Hist &amp; Proj'!AI$8,'Hist &amp; Proj'!AI87)</f>
        <v>0</v>
      </c>
      <c r="AL92" s="179">
        <f>IF(OR(Assump!$A$7="USD",Assump!$A$7="EURO"),'Hist &amp; Proj'!AJ87/'Hist &amp; Proj'!AJ$8,'Hist &amp; Proj'!AJ87)</f>
        <v>0</v>
      </c>
      <c r="AM92" s="179">
        <f>IF(OR(Assump!$A$7="USD",Assump!$A$7="EURO"),'Hist &amp; Proj'!AK87/'Hist &amp; Proj'!AK$8,'Hist &amp; Proj'!AK87)</f>
        <v>0</v>
      </c>
      <c r="AN92" s="179">
        <f>IF(OR(Assump!$A$7="USD",Assump!$A$7="EURO"),'Hist &amp; Proj'!AL87/'Hist &amp; Proj'!AL$8,'Hist &amp; Proj'!AL87)</f>
        <v>0</v>
      </c>
      <c r="AO92" s="404"/>
      <c r="AP92" s="367" t="str">
        <f t="shared" si="36"/>
        <v>NA</v>
      </c>
      <c r="AQ92" s="404"/>
      <c r="AR92" s="404"/>
      <c r="AS92" s="404"/>
      <c r="AT92" s="127"/>
      <c r="AU92" s="404"/>
      <c r="AV92" s="404"/>
      <c r="AW92" s="404"/>
      <c r="AX92" s="404"/>
      <c r="AY92" s="404"/>
      <c r="AZ92" s="127"/>
    </row>
    <row r="93" spans="1:52" s="170" customFormat="1">
      <c r="A93" s="417" t="s">
        <v>405</v>
      </c>
      <c r="B93" s="179">
        <f>IF(OR(Assump!$A$7="USD",Assump!$A$7="EURO"),'Hist &amp; Proj'!B88/'Hist &amp; Proj'!B$8,'Hist &amp; Proj'!B88)</f>
        <v>0</v>
      </c>
      <c r="C93" s="179">
        <f>IF(OR(Assump!$A$7="USD",Assump!$A$7="EURO"),'Hist &amp; Proj'!C88/'Hist &amp; Proj'!C$8,'Hist &amp; Proj'!C88)</f>
        <v>0</v>
      </c>
      <c r="D93" s="179">
        <f>IF(OR(Assump!$A$7="USD",Assump!$A$7="EURO"),'Hist &amp; Proj'!D88/'Hist &amp; Proj'!D$8,'Hist &amp; Proj'!D88)</f>
        <v>0</v>
      </c>
      <c r="E93" s="179">
        <f>IF(OR(Assump!$A$7="USD",Assump!$A$7="EURO"),'Hist &amp; Proj'!E88/'Hist &amp; Proj'!E$8,'Hist &amp; Proj'!E88)</f>
        <v>0</v>
      </c>
      <c r="F93" s="179">
        <f ca="1">IF(OR(Assump!$A$7="USD",Assump!$A$7="EURO"),'Hist &amp; Proj'!F88/'Hist &amp; Proj'!F$8,'Hist &amp; Proj'!F88)</f>
        <v>0</v>
      </c>
      <c r="G93" s="179">
        <f ca="1">IF(OR(Assump!$A$7="USD",Assump!$A$7="EURO"),'Hist &amp; Proj'!G88/'Hist &amp; Proj'!G$8,'Hist &amp; Proj'!G88)</f>
        <v>0</v>
      </c>
      <c r="H93" s="179">
        <f ca="1">IF(OR(Assump!$A$7="USD",Assump!$A$7="EURO"),'Hist &amp; Proj'!H88/'Hist &amp; Proj'!H$8,'Hist &amp; Proj'!H88)</f>
        <v>0</v>
      </c>
      <c r="I93" s="179">
        <f ca="1">IF(OR(Assump!$A$7="USD",Assump!$A$7="EURO"),'Hist &amp; Proj'!I88/'Hist &amp; Proj'!I$8,'Hist &amp; Proj'!I88)</f>
        <v>0</v>
      </c>
      <c r="J93" s="179">
        <f ca="1">IF(OR(Assump!$A$7="USD",Assump!$A$7="EURO"),'Hist &amp; Proj'!J88/'Hist &amp; Proj'!J$8,'Hist &amp; Proj'!J88)</f>
        <v>0</v>
      </c>
      <c r="K93" s="179">
        <f ca="1">IF(OR(Assump!$A$7="USD",Assump!$A$7="EURO"),'Hist &amp; Proj'!K88/'Hist &amp; Proj'!K$8,'Hist &amp; Proj'!K88)</f>
        <v>0</v>
      </c>
      <c r="L93" s="179">
        <f ca="1">IF(OR(Assump!$A$7="USD",Assump!$A$7="EURO"),'Hist &amp; Proj'!L88/'Hist &amp; Proj'!L$8,'Hist &amp; Proj'!L88)</f>
        <v>0</v>
      </c>
      <c r="M93" s="179">
        <f ca="1">IF(OR(Assump!$A$7="USD",Assump!$A$7="EURO"),'Hist &amp; Proj'!M88/'Hist &amp; Proj'!M$8,'Hist &amp; Proj'!M88)</f>
        <v>0</v>
      </c>
      <c r="N93" s="179">
        <f ca="1">IF(OR(Assump!$A$7="USD",Assump!$A$7="EURO"),'Hist &amp; Proj'!N88/'Hist &amp; Proj'!N$8,'Hist &amp; Proj'!N88)</f>
        <v>0</v>
      </c>
      <c r="O93" s="179">
        <f ca="1">IF(OR(Assump!$A$7="USD",Assump!$A$7="EURO"),'Hist &amp; Proj'!O88/'Hist &amp; Proj'!O$8,'Hist &amp; Proj'!O88)</f>
        <v>0</v>
      </c>
      <c r="P93" s="179">
        <f ca="1">IF(OR(Assump!$A$7="USD",Assump!$A$7="EURO"),'Hist &amp; Proj'!P88/'Hist &amp; Proj'!P$8,'Hist &amp; Proj'!P88)</f>
        <v>0</v>
      </c>
      <c r="Q93" s="179">
        <f ca="1">IF(OR(Assump!$A$7="USD",Assump!$A$7="EURO"),'Hist &amp; Proj'!Q88/'Hist &amp; Proj'!Q$8,'Hist &amp; Proj'!Q88)</f>
        <v>0</v>
      </c>
      <c r="R93" s="179">
        <f ca="1">IF(OR(Assump!$A$7="USD",Assump!$A$7="EURO"),'Hist &amp; Proj'!R88/'Hist &amp; Proj'!R$8,'Hist &amp; Proj'!R88)</f>
        <v>0</v>
      </c>
      <c r="S93" s="179">
        <f ca="1">IF(OR(Assump!$A$7="USD",Assump!$A$7="EURO"),'Hist &amp; Proj'!S88/'Hist &amp; Proj'!S$8,'Hist &amp; Proj'!S88)</f>
        <v>0</v>
      </c>
      <c r="T93" s="179">
        <f ca="1">IF(OR(Assump!$A$7="USD",Assump!$A$7="EURO"),'Hist &amp; Proj'!T88/'Hist &amp; Proj'!T$8,'Hist &amp; Proj'!T88)</f>
        <v>0</v>
      </c>
      <c r="U93" s="179">
        <f ca="1">IF(OR(Assump!$A$7="USD",Assump!$A$7="EURO"),'Hist &amp; Proj'!U88/'Hist &amp; Proj'!U$8,'Hist &amp; Proj'!U88)</f>
        <v>0</v>
      </c>
      <c r="V93" s="179">
        <f ca="1">IF(OR(Assump!$A$7="USD",Assump!$A$7="EURO"),'Hist &amp; Proj'!V88/'Hist &amp; Proj'!V$8,'Hist &amp; Proj'!V88)</f>
        <v>0</v>
      </c>
      <c r="W93" s="179">
        <f ca="1">IF(OR(Assump!$A$7="USD",Assump!$A$7="EURO"),'Hist &amp; Proj'!W88/'Hist &amp; Proj'!W$8,'Hist &amp; Proj'!W88)</f>
        <v>0</v>
      </c>
      <c r="X93" s="179">
        <f ca="1">IF(OR(Assump!$A$7="USD",Assump!$A$7="EURO"),'Hist &amp; Proj'!X88/'Hist &amp; Proj'!X$8,'Hist &amp; Proj'!X88)</f>
        <v>0</v>
      </c>
      <c r="Y93" s="179">
        <f ca="1">IF(OR(Assump!$A$7="USD",Assump!$A$7="EURO"),'Hist &amp; Proj'!Y88/'Hist &amp; Proj'!Y$8,'Hist &amp; Proj'!Y88)</f>
        <v>0</v>
      </c>
      <c r="Z93" s="179">
        <f ca="1">IF(OR(Assump!$A$7="USD",Assump!$A$7="EURO"),'Hist &amp; Proj'!Z88/'Hist &amp; Proj'!Z$8,'Hist &amp; Proj'!Z88)</f>
        <v>0</v>
      </c>
      <c r="AA93" s="179">
        <f ca="1">IF(OR(Assump!$A$7="USD",Assump!$A$7="EURO"),'Hist &amp; Proj'!AA88/'Hist &amp; Proj'!AA$8,'Hist &amp; Proj'!AA88)</f>
        <v>0</v>
      </c>
      <c r="AB93" s="179">
        <f ca="1">IF(OR(Assump!$A$7="USD",Assump!$A$7="EURO"),'Hist &amp; Proj'!AB88/'Hist &amp; Proj'!AB$8,'Hist &amp; Proj'!AB88)</f>
        <v>0</v>
      </c>
      <c r="AC93" s="179">
        <f ca="1">IF(OR(Assump!$A$7="USD",Assump!$A$7="EURO"),'Hist &amp; Proj'!AC88/'Hist &amp; Proj'!AC$8,'Hist &amp; Proj'!AC88)</f>
        <v>0</v>
      </c>
      <c r="AD93" s="179">
        <f ca="1">IF(OR(Assump!$A$7="USD",Assump!$A$7="EURO"),'Hist &amp; Proj'!AD88/'Hist &amp; Proj'!AD$8,'Hist &amp; Proj'!AD88)</f>
        <v>0</v>
      </c>
      <c r="AE93" s="179" t="e">
        <f ca="1">IF(OR(Assump!$A$7="USD",Assump!$A$7="EURO"),'Hist &amp; Proj'!AE88/'Hist &amp; Proj'!AE$8,'Hist &amp; Proj'!AE88)</f>
        <v>#N/A</v>
      </c>
      <c r="AF93" s="179" t="e">
        <f ca="1">IF(OR(Assump!$A$7="USD",Assump!$A$7="EURO"),'Hist &amp; Proj'!AF88/'Hist &amp; Proj'!AF$8,'Hist &amp; Proj'!AF88)</f>
        <v>#N/A</v>
      </c>
      <c r="AG93" s="404"/>
      <c r="AH93" s="367" t="str">
        <f t="shared" ca="1" si="35"/>
        <v>NA</v>
      </c>
      <c r="AI93" s="416"/>
      <c r="AJ93" s="179">
        <f>IF(OR(Assump!$A$7="USD",Assump!$A$7="EURO"),'Hist &amp; Proj'!AH88/'Hist &amp; Proj'!AH$8,'Hist &amp; Proj'!AH88)</f>
        <v>0</v>
      </c>
      <c r="AK93" s="179">
        <f>IF(OR(Assump!$A$7="USD",Assump!$A$7="EURO"),'Hist &amp; Proj'!AI88/'Hist &amp; Proj'!AI$8,'Hist &amp; Proj'!AI88)</f>
        <v>0</v>
      </c>
      <c r="AL93" s="179">
        <f>IF(OR(Assump!$A$7="USD",Assump!$A$7="EURO"),'Hist &amp; Proj'!AJ88/'Hist &amp; Proj'!AJ$8,'Hist &amp; Proj'!AJ88)</f>
        <v>0</v>
      </c>
      <c r="AM93" s="179">
        <f>IF(OR(Assump!$A$7="USD",Assump!$A$7="EURO"),'Hist &amp; Proj'!AK88/'Hist &amp; Proj'!AK$8,'Hist &amp; Proj'!AK88)</f>
        <v>0</v>
      </c>
      <c r="AN93" s="179">
        <f>IF(OR(Assump!$A$7="USD",Assump!$A$7="EURO"),'Hist &amp; Proj'!AL88/'Hist &amp; Proj'!AL$8,'Hist &amp; Proj'!AL88)</f>
        <v>0</v>
      </c>
      <c r="AO93" s="404"/>
      <c r="AP93" s="367" t="str">
        <f t="shared" si="36"/>
        <v>NA</v>
      </c>
      <c r="AQ93" s="404"/>
      <c r="AR93" s="404"/>
      <c r="AS93" s="404"/>
      <c r="AT93" s="127"/>
      <c r="AU93" s="404"/>
      <c r="AV93" s="404"/>
      <c r="AW93" s="404"/>
      <c r="AX93" s="404"/>
      <c r="AY93" s="404"/>
      <c r="AZ93" s="127"/>
    </row>
    <row r="94" spans="1:52" s="170" customFormat="1">
      <c r="A94" s="417" t="s">
        <v>406</v>
      </c>
      <c r="B94" s="179">
        <f>IF(OR(Assump!$A$7="USD",Assump!$A$7="EURO"),'Hist &amp; Proj'!B89/'Hist &amp; Proj'!B$8,'Hist &amp; Proj'!B89)</f>
        <v>0</v>
      </c>
      <c r="C94" s="179">
        <f>IF(OR(Assump!$A$7="USD",Assump!$A$7="EURO"),'Hist &amp; Proj'!C89/'Hist &amp; Proj'!C$8,'Hist &amp; Proj'!C89)</f>
        <v>0</v>
      </c>
      <c r="D94" s="179">
        <f>IF(OR(Assump!$A$7="USD",Assump!$A$7="EURO"),'Hist &amp; Proj'!D89/'Hist &amp; Proj'!D$8,'Hist &amp; Proj'!D89)</f>
        <v>0</v>
      </c>
      <c r="E94" s="179">
        <f>IF(OR(Assump!$A$7="USD",Assump!$A$7="EURO"),'Hist &amp; Proj'!E89/'Hist &amp; Proj'!E$8,'Hist &amp; Proj'!E89)</f>
        <v>0</v>
      </c>
      <c r="F94" s="179">
        <f ca="1">IF(OR(Assump!$A$7="USD",Assump!$A$7="EURO"),'Hist &amp; Proj'!F89/'Hist &amp; Proj'!F$8,'Hist &amp; Proj'!F89)</f>
        <v>0</v>
      </c>
      <c r="G94" s="179">
        <f ca="1">IF(OR(Assump!$A$7="USD",Assump!$A$7="EURO"),'Hist &amp; Proj'!G89/'Hist &amp; Proj'!G$8,'Hist &amp; Proj'!G89)</f>
        <v>0</v>
      </c>
      <c r="H94" s="179">
        <f ca="1">IF(OR(Assump!$A$7="USD",Assump!$A$7="EURO"),'Hist &amp; Proj'!H89/'Hist &amp; Proj'!H$8,'Hist &amp; Proj'!H89)</f>
        <v>0</v>
      </c>
      <c r="I94" s="179">
        <f ca="1">IF(OR(Assump!$A$7="USD",Assump!$A$7="EURO"),'Hist &amp; Proj'!I89/'Hist &amp; Proj'!I$8,'Hist &amp; Proj'!I89)</f>
        <v>0</v>
      </c>
      <c r="J94" s="179">
        <f ca="1">IF(OR(Assump!$A$7="USD",Assump!$A$7="EURO"),'Hist &amp; Proj'!J89/'Hist &amp; Proj'!J$8,'Hist &amp; Proj'!J89)</f>
        <v>0</v>
      </c>
      <c r="K94" s="179">
        <f ca="1">IF(OR(Assump!$A$7="USD",Assump!$A$7="EURO"),'Hist &amp; Proj'!K89/'Hist &amp; Proj'!K$8,'Hist &amp; Proj'!K89)</f>
        <v>0</v>
      </c>
      <c r="L94" s="179">
        <f ca="1">IF(OR(Assump!$A$7="USD",Assump!$A$7="EURO"),'Hist &amp; Proj'!L89/'Hist &amp; Proj'!L$8,'Hist &amp; Proj'!L89)</f>
        <v>0</v>
      </c>
      <c r="M94" s="179">
        <f ca="1">IF(OR(Assump!$A$7="USD",Assump!$A$7="EURO"),'Hist &amp; Proj'!M89/'Hist &amp; Proj'!M$8,'Hist &amp; Proj'!M89)</f>
        <v>0</v>
      </c>
      <c r="N94" s="179">
        <f ca="1">IF(OR(Assump!$A$7="USD",Assump!$A$7="EURO"),'Hist &amp; Proj'!N89/'Hist &amp; Proj'!N$8,'Hist &amp; Proj'!N89)</f>
        <v>0</v>
      </c>
      <c r="O94" s="179">
        <f ca="1">IF(OR(Assump!$A$7="USD",Assump!$A$7="EURO"),'Hist &amp; Proj'!O89/'Hist &amp; Proj'!O$8,'Hist &amp; Proj'!O89)</f>
        <v>0</v>
      </c>
      <c r="P94" s="179">
        <f ca="1">IF(OR(Assump!$A$7="USD",Assump!$A$7="EURO"),'Hist &amp; Proj'!P89/'Hist &amp; Proj'!P$8,'Hist &amp; Proj'!P89)</f>
        <v>0</v>
      </c>
      <c r="Q94" s="179">
        <f ca="1">IF(OR(Assump!$A$7="USD",Assump!$A$7="EURO"),'Hist &amp; Proj'!Q89/'Hist &amp; Proj'!Q$8,'Hist &amp; Proj'!Q89)</f>
        <v>0</v>
      </c>
      <c r="R94" s="179">
        <f ca="1">IF(OR(Assump!$A$7="USD",Assump!$A$7="EURO"),'Hist &amp; Proj'!R89/'Hist &amp; Proj'!R$8,'Hist &amp; Proj'!R89)</f>
        <v>0</v>
      </c>
      <c r="S94" s="179">
        <f ca="1">IF(OR(Assump!$A$7="USD",Assump!$A$7="EURO"),'Hist &amp; Proj'!S89/'Hist &amp; Proj'!S$8,'Hist &amp; Proj'!S89)</f>
        <v>0</v>
      </c>
      <c r="T94" s="179">
        <f ca="1">IF(OR(Assump!$A$7="USD",Assump!$A$7="EURO"),'Hist &amp; Proj'!T89/'Hist &amp; Proj'!T$8,'Hist &amp; Proj'!T89)</f>
        <v>0</v>
      </c>
      <c r="U94" s="179">
        <f ca="1">IF(OR(Assump!$A$7="USD",Assump!$A$7="EURO"),'Hist &amp; Proj'!U89/'Hist &amp; Proj'!U$8,'Hist &amp; Proj'!U89)</f>
        <v>0</v>
      </c>
      <c r="V94" s="179">
        <f ca="1">IF(OR(Assump!$A$7="USD",Assump!$A$7="EURO"),'Hist &amp; Proj'!V89/'Hist &amp; Proj'!V$8,'Hist &amp; Proj'!V89)</f>
        <v>0</v>
      </c>
      <c r="W94" s="179">
        <f ca="1">IF(OR(Assump!$A$7="USD",Assump!$A$7="EURO"),'Hist &amp; Proj'!W89/'Hist &amp; Proj'!W$8,'Hist &amp; Proj'!W89)</f>
        <v>0</v>
      </c>
      <c r="X94" s="179">
        <f ca="1">IF(OR(Assump!$A$7="USD",Assump!$A$7="EURO"),'Hist &amp; Proj'!X89/'Hist &amp; Proj'!X$8,'Hist &amp; Proj'!X89)</f>
        <v>0</v>
      </c>
      <c r="Y94" s="179">
        <f ca="1">IF(OR(Assump!$A$7="USD",Assump!$A$7="EURO"),'Hist &amp; Proj'!Y89/'Hist &amp; Proj'!Y$8,'Hist &amp; Proj'!Y89)</f>
        <v>0</v>
      </c>
      <c r="Z94" s="179">
        <f ca="1">IF(OR(Assump!$A$7="USD",Assump!$A$7="EURO"),'Hist &amp; Proj'!Z89/'Hist &amp; Proj'!Z$8,'Hist &amp; Proj'!Z89)</f>
        <v>0</v>
      </c>
      <c r="AA94" s="179">
        <f ca="1">IF(OR(Assump!$A$7="USD",Assump!$A$7="EURO"),'Hist &amp; Proj'!AA89/'Hist &amp; Proj'!AA$8,'Hist &amp; Proj'!AA89)</f>
        <v>0</v>
      </c>
      <c r="AB94" s="179">
        <f ca="1">IF(OR(Assump!$A$7="USD",Assump!$A$7="EURO"),'Hist &amp; Proj'!AB89/'Hist &amp; Proj'!AB$8,'Hist &amp; Proj'!AB89)</f>
        <v>0</v>
      </c>
      <c r="AC94" s="179">
        <f ca="1">IF(OR(Assump!$A$7="USD",Assump!$A$7="EURO"),'Hist &amp; Proj'!AC89/'Hist &amp; Proj'!AC$8,'Hist &amp; Proj'!AC89)</f>
        <v>0</v>
      </c>
      <c r="AD94" s="179">
        <f ca="1">IF(OR(Assump!$A$7="USD",Assump!$A$7="EURO"),'Hist &amp; Proj'!AD89/'Hist &amp; Proj'!AD$8,'Hist &amp; Proj'!AD89)</f>
        <v>0</v>
      </c>
      <c r="AE94" s="179" t="e">
        <f ca="1">IF(OR(Assump!$A$7="USD",Assump!$A$7="EURO"),'Hist &amp; Proj'!AE89/'Hist &amp; Proj'!AE$8,'Hist &amp; Proj'!AE89)</f>
        <v>#N/A</v>
      </c>
      <c r="AF94" s="179" t="e">
        <f ca="1">IF(OR(Assump!$A$7="USD",Assump!$A$7="EURO"),'Hist &amp; Proj'!AF89/'Hist &amp; Proj'!AF$8,'Hist &amp; Proj'!AF89)</f>
        <v>#N/A</v>
      </c>
      <c r="AG94" s="404"/>
      <c r="AH94" s="367" t="str">
        <f t="shared" ca="1" si="35"/>
        <v>NA</v>
      </c>
      <c r="AI94" s="416"/>
      <c r="AJ94" s="179">
        <f>IF(OR(Assump!$A$7="USD",Assump!$A$7="EURO"),'Hist &amp; Proj'!AH89/'Hist &amp; Proj'!AH$8,'Hist &amp; Proj'!AH89)</f>
        <v>0</v>
      </c>
      <c r="AK94" s="179">
        <f>IF(OR(Assump!$A$7="USD",Assump!$A$7="EURO"),'Hist &amp; Proj'!AI89/'Hist &amp; Proj'!AI$8,'Hist &amp; Proj'!AI89)</f>
        <v>0</v>
      </c>
      <c r="AL94" s="179">
        <f>IF(OR(Assump!$A$7="USD",Assump!$A$7="EURO"),'Hist &amp; Proj'!AJ89/'Hist &amp; Proj'!AJ$8,'Hist &amp; Proj'!AJ89)</f>
        <v>0</v>
      </c>
      <c r="AM94" s="179">
        <f>IF(OR(Assump!$A$7="USD",Assump!$A$7="EURO"),'Hist &amp; Proj'!AK89/'Hist &amp; Proj'!AK$8,'Hist &amp; Proj'!AK89)</f>
        <v>0</v>
      </c>
      <c r="AN94" s="179">
        <f>IF(OR(Assump!$A$7="USD",Assump!$A$7="EURO"),'Hist &amp; Proj'!AL89/'Hist &amp; Proj'!AL$8,'Hist &amp; Proj'!AL89)</f>
        <v>0</v>
      </c>
      <c r="AO94" s="404"/>
      <c r="AP94" s="367" t="str">
        <f t="shared" si="36"/>
        <v>NA</v>
      </c>
      <c r="AQ94" s="404"/>
      <c r="AR94" s="404"/>
      <c r="AS94" s="404"/>
      <c r="AT94" s="127"/>
      <c r="AU94" s="404"/>
      <c r="AV94" s="404"/>
      <c r="AW94" s="404"/>
      <c r="AX94" s="404"/>
      <c r="AY94" s="404"/>
      <c r="AZ94" s="127"/>
    </row>
    <row r="95" spans="1:52" s="170" customFormat="1">
      <c r="A95" s="417" t="s">
        <v>407</v>
      </c>
      <c r="B95" s="179">
        <f>IF(OR(Assump!$A$7="USD",Assump!$A$7="EURO"),'Hist &amp; Proj'!B90/'Hist &amp; Proj'!B$8,'Hist &amp; Proj'!B90)</f>
        <v>0</v>
      </c>
      <c r="C95" s="179">
        <f>IF(OR(Assump!$A$7="USD",Assump!$A$7="EURO"),'Hist &amp; Proj'!C90/'Hist &amp; Proj'!C$8,'Hist &amp; Proj'!C90)</f>
        <v>0</v>
      </c>
      <c r="D95" s="179">
        <f>IF(OR(Assump!$A$7="USD",Assump!$A$7="EURO"),'Hist &amp; Proj'!D90/'Hist &amp; Proj'!D$8,'Hist &amp; Proj'!D90)</f>
        <v>0</v>
      </c>
      <c r="E95" s="179">
        <f>IF(OR(Assump!$A$7="USD",Assump!$A$7="EURO"),'Hist &amp; Proj'!E90/'Hist &amp; Proj'!E$8,'Hist &amp; Proj'!E90)</f>
        <v>0</v>
      </c>
      <c r="F95" s="179">
        <f ca="1">IF(OR(Assump!$A$7="USD",Assump!$A$7="EURO"),'Hist &amp; Proj'!F90/'Hist &amp; Proj'!F$8,'Hist &amp; Proj'!F90)</f>
        <v>0</v>
      </c>
      <c r="G95" s="179">
        <f ca="1">IF(OR(Assump!$A$7="USD",Assump!$A$7="EURO"),'Hist &amp; Proj'!G90/'Hist &amp; Proj'!G$8,'Hist &amp; Proj'!G90)</f>
        <v>0</v>
      </c>
      <c r="H95" s="179">
        <f ca="1">IF(OR(Assump!$A$7="USD",Assump!$A$7="EURO"),'Hist &amp; Proj'!H90/'Hist &amp; Proj'!H$8,'Hist &amp; Proj'!H90)</f>
        <v>0</v>
      </c>
      <c r="I95" s="179">
        <f ca="1">IF(OR(Assump!$A$7="USD",Assump!$A$7="EURO"),'Hist &amp; Proj'!I90/'Hist &amp; Proj'!I$8,'Hist &amp; Proj'!I90)</f>
        <v>0</v>
      </c>
      <c r="J95" s="179">
        <f ca="1">IF(OR(Assump!$A$7="USD",Assump!$A$7="EURO"),'Hist &amp; Proj'!J90/'Hist &amp; Proj'!J$8,'Hist &amp; Proj'!J90)</f>
        <v>0</v>
      </c>
      <c r="K95" s="179">
        <f ca="1">IF(OR(Assump!$A$7="USD",Assump!$A$7="EURO"),'Hist &amp; Proj'!K90/'Hist &amp; Proj'!K$8,'Hist &amp; Proj'!K90)</f>
        <v>0</v>
      </c>
      <c r="L95" s="179">
        <f ca="1">IF(OR(Assump!$A$7="USD",Assump!$A$7="EURO"),'Hist &amp; Proj'!L90/'Hist &amp; Proj'!L$8,'Hist &amp; Proj'!L90)</f>
        <v>0</v>
      </c>
      <c r="M95" s="179">
        <f ca="1">IF(OR(Assump!$A$7="USD",Assump!$A$7="EURO"),'Hist &amp; Proj'!M90/'Hist &amp; Proj'!M$8,'Hist &amp; Proj'!M90)</f>
        <v>0</v>
      </c>
      <c r="N95" s="179">
        <f ca="1">IF(OR(Assump!$A$7="USD",Assump!$A$7="EURO"),'Hist &amp; Proj'!N90/'Hist &amp; Proj'!N$8,'Hist &amp; Proj'!N90)</f>
        <v>0</v>
      </c>
      <c r="O95" s="179">
        <f ca="1">IF(OR(Assump!$A$7="USD",Assump!$A$7="EURO"),'Hist &amp; Proj'!O90/'Hist &amp; Proj'!O$8,'Hist &amp; Proj'!O90)</f>
        <v>0</v>
      </c>
      <c r="P95" s="179">
        <f ca="1">IF(OR(Assump!$A$7="USD",Assump!$A$7="EURO"),'Hist &amp; Proj'!P90/'Hist &amp; Proj'!P$8,'Hist &amp; Proj'!P90)</f>
        <v>0</v>
      </c>
      <c r="Q95" s="179">
        <f ca="1">IF(OR(Assump!$A$7="USD",Assump!$A$7="EURO"),'Hist &amp; Proj'!Q90/'Hist &amp; Proj'!Q$8,'Hist &amp; Proj'!Q90)</f>
        <v>0</v>
      </c>
      <c r="R95" s="179">
        <f ca="1">IF(OR(Assump!$A$7="USD",Assump!$A$7="EURO"),'Hist &amp; Proj'!R90/'Hist &amp; Proj'!R$8,'Hist &amp; Proj'!R90)</f>
        <v>0</v>
      </c>
      <c r="S95" s="179">
        <f ca="1">IF(OR(Assump!$A$7="USD",Assump!$A$7="EURO"),'Hist &amp; Proj'!S90/'Hist &amp; Proj'!S$8,'Hist &amp; Proj'!S90)</f>
        <v>0</v>
      </c>
      <c r="T95" s="179">
        <f ca="1">IF(OR(Assump!$A$7="USD",Assump!$A$7="EURO"),'Hist &amp; Proj'!T90/'Hist &amp; Proj'!T$8,'Hist &amp; Proj'!T90)</f>
        <v>0</v>
      </c>
      <c r="U95" s="179">
        <f ca="1">IF(OR(Assump!$A$7="USD",Assump!$A$7="EURO"),'Hist &amp; Proj'!U90/'Hist &amp; Proj'!U$8,'Hist &amp; Proj'!U90)</f>
        <v>0</v>
      </c>
      <c r="V95" s="179">
        <f ca="1">IF(OR(Assump!$A$7="USD",Assump!$A$7="EURO"),'Hist &amp; Proj'!V90/'Hist &amp; Proj'!V$8,'Hist &amp; Proj'!V90)</f>
        <v>0</v>
      </c>
      <c r="W95" s="179">
        <f ca="1">IF(OR(Assump!$A$7="USD",Assump!$A$7="EURO"),'Hist &amp; Proj'!W90/'Hist &amp; Proj'!W$8,'Hist &amp; Proj'!W90)</f>
        <v>0</v>
      </c>
      <c r="X95" s="179">
        <f ca="1">IF(OR(Assump!$A$7="USD",Assump!$A$7="EURO"),'Hist &amp; Proj'!X90/'Hist &amp; Proj'!X$8,'Hist &amp; Proj'!X90)</f>
        <v>0</v>
      </c>
      <c r="Y95" s="179">
        <f ca="1">IF(OR(Assump!$A$7="USD",Assump!$A$7="EURO"),'Hist &amp; Proj'!Y90/'Hist &amp; Proj'!Y$8,'Hist &amp; Proj'!Y90)</f>
        <v>0</v>
      </c>
      <c r="Z95" s="179">
        <f ca="1">IF(OR(Assump!$A$7="USD",Assump!$A$7="EURO"),'Hist &amp; Proj'!Z90/'Hist &amp; Proj'!Z$8,'Hist &amp; Proj'!Z90)</f>
        <v>0</v>
      </c>
      <c r="AA95" s="179">
        <f ca="1">IF(OR(Assump!$A$7="USD",Assump!$A$7="EURO"),'Hist &amp; Proj'!AA90/'Hist &amp; Proj'!AA$8,'Hist &amp; Proj'!AA90)</f>
        <v>0</v>
      </c>
      <c r="AB95" s="179">
        <f ca="1">IF(OR(Assump!$A$7="USD",Assump!$A$7="EURO"),'Hist &amp; Proj'!AB90/'Hist &amp; Proj'!AB$8,'Hist &amp; Proj'!AB90)</f>
        <v>0</v>
      </c>
      <c r="AC95" s="179">
        <f ca="1">IF(OR(Assump!$A$7="USD",Assump!$A$7="EURO"),'Hist &amp; Proj'!AC90/'Hist &amp; Proj'!AC$8,'Hist &amp; Proj'!AC90)</f>
        <v>0</v>
      </c>
      <c r="AD95" s="179">
        <f ca="1">IF(OR(Assump!$A$7="USD",Assump!$A$7="EURO"),'Hist &amp; Proj'!AD90/'Hist &amp; Proj'!AD$8,'Hist &amp; Proj'!AD90)</f>
        <v>0</v>
      </c>
      <c r="AE95" s="179" t="e">
        <f ca="1">IF(OR(Assump!$A$7="USD",Assump!$A$7="EURO"),'Hist &amp; Proj'!AE90/'Hist &amp; Proj'!AE$8,'Hist &amp; Proj'!AE90)</f>
        <v>#N/A</v>
      </c>
      <c r="AF95" s="179" t="e">
        <f ca="1">IF(OR(Assump!$A$7="USD",Assump!$A$7="EURO"),'Hist &amp; Proj'!AF90/'Hist &amp; Proj'!AF$8,'Hist &amp; Proj'!AF90)</f>
        <v>#N/A</v>
      </c>
      <c r="AG95" s="404"/>
      <c r="AH95" s="367" t="str">
        <f t="shared" ca="1" si="35"/>
        <v>NA</v>
      </c>
      <c r="AI95" s="416"/>
      <c r="AJ95" s="179">
        <f>IF(OR(Assump!$A$7="USD",Assump!$A$7="EURO"),'Hist &amp; Proj'!AH90/'Hist &amp; Proj'!AH$8,'Hist &amp; Proj'!AH90)</f>
        <v>0</v>
      </c>
      <c r="AK95" s="179">
        <f>IF(OR(Assump!$A$7="USD",Assump!$A$7="EURO"),'Hist &amp; Proj'!AI90/'Hist &amp; Proj'!AI$8,'Hist &amp; Proj'!AI90)</f>
        <v>0</v>
      </c>
      <c r="AL95" s="179">
        <f>IF(OR(Assump!$A$7="USD",Assump!$A$7="EURO"),'Hist &amp; Proj'!AJ90/'Hist &amp; Proj'!AJ$8,'Hist &amp; Proj'!AJ90)</f>
        <v>0</v>
      </c>
      <c r="AM95" s="179">
        <f>IF(OR(Assump!$A$7="USD",Assump!$A$7="EURO"),'Hist &amp; Proj'!AK90/'Hist &amp; Proj'!AK$8,'Hist &amp; Proj'!AK90)</f>
        <v>0</v>
      </c>
      <c r="AN95" s="179">
        <f>IF(OR(Assump!$A$7="USD",Assump!$A$7="EURO"),'Hist &amp; Proj'!AL90/'Hist &amp; Proj'!AL$8,'Hist &amp; Proj'!AL90)</f>
        <v>0</v>
      </c>
      <c r="AO95" s="404"/>
      <c r="AP95" s="367" t="str">
        <f t="shared" si="36"/>
        <v>NA</v>
      </c>
      <c r="AQ95" s="404"/>
      <c r="AR95" s="404"/>
      <c r="AS95" s="404"/>
      <c r="AT95" s="127"/>
      <c r="AU95" s="404"/>
      <c r="AV95" s="404"/>
      <c r="AW95" s="404"/>
      <c r="AX95" s="404"/>
      <c r="AY95" s="404"/>
      <c r="AZ95" s="127"/>
    </row>
    <row r="96" spans="1:52" s="170" customFormat="1">
      <c r="A96" s="417" t="s">
        <v>52</v>
      </c>
      <c r="B96" s="179">
        <f>IF(OR(Assump!$A$7="USD",Assump!$A$7="EURO"),'Hist &amp; Proj'!B91/'Hist &amp; Proj'!B$8,'Hist &amp; Proj'!B91)</f>
        <v>0</v>
      </c>
      <c r="C96" s="179">
        <f>IF(OR(Assump!$A$7="USD",Assump!$A$7="EURO"),'Hist &amp; Proj'!C91/'Hist &amp; Proj'!C$8,'Hist &amp; Proj'!C91)</f>
        <v>0</v>
      </c>
      <c r="D96" s="179">
        <f>IF(OR(Assump!$A$7="USD",Assump!$A$7="EURO"),'Hist &amp; Proj'!D91/'Hist &amp; Proj'!D$8,'Hist &amp; Proj'!D91)</f>
        <v>0</v>
      </c>
      <c r="E96" s="179">
        <f>IF(OR(Assump!$A$7="USD",Assump!$A$7="EURO"),'Hist &amp; Proj'!E91/'Hist &amp; Proj'!E$8,'Hist &amp; Proj'!E91)</f>
        <v>0</v>
      </c>
      <c r="F96" s="179">
        <f ca="1">IF(OR(Assump!$A$7="USD",Assump!$A$7="EURO"),'Hist &amp; Proj'!F91/'Hist &amp; Proj'!F$8,'Hist &amp; Proj'!F91)</f>
        <v>0</v>
      </c>
      <c r="G96" s="179">
        <f ca="1">IF(OR(Assump!$A$7="USD",Assump!$A$7="EURO"),'Hist &amp; Proj'!G91/'Hist &amp; Proj'!G$8,'Hist &amp; Proj'!G91)</f>
        <v>0</v>
      </c>
      <c r="H96" s="179">
        <f ca="1">IF(OR(Assump!$A$7="USD",Assump!$A$7="EURO"),'Hist &amp; Proj'!H91/'Hist &amp; Proj'!H$8,'Hist &amp; Proj'!H91)</f>
        <v>0</v>
      </c>
      <c r="I96" s="179">
        <f ca="1">IF(OR(Assump!$A$7="USD",Assump!$A$7="EURO"),'Hist &amp; Proj'!I91/'Hist &amp; Proj'!I$8,'Hist &amp; Proj'!I91)</f>
        <v>0</v>
      </c>
      <c r="J96" s="179">
        <f ca="1">IF(OR(Assump!$A$7="USD",Assump!$A$7="EURO"),'Hist &amp; Proj'!J91/'Hist &amp; Proj'!J$8,'Hist &amp; Proj'!J91)</f>
        <v>0</v>
      </c>
      <c r="K96" s="179">
        <f ca="1">IF(OR(Assump!$A$7="USD",Assump!$A$7="EURO"),'Hist &amp; Proj'!K91/'Hist &amp; Proj'!K$8,'Hist &amp; Proj'!K91)</f>
        <v>0</v>
      </c>
      <c r="L96" s="179">
        <f ca="1">IF(OR(Assump!$A$7="USD",Assump!$A$7="EURO"),'Hist &amp; Proj'!L91/'Hist &amp; Proj'!L$8,'Hist &amp; Proj'!L91)</f>
        <v>0</v>
      </c>
      <c r="M96" s="179">
        <f ca="1">IF(OR(Assump!$A$7="USD",Assump!$A$7="EURO"),'Hist &amp; Proj'!M91/'Hist &amp; Proj'!M$8,'Hist &amp; Proj'!M91)</f>
        <v>0</v>
      </c>
      <c r="N96" s="179">
        <f ca="1">IF(OR(Assump!$A$7="USD",Assump!$A$7="EURO"),'Hist &amp; Proj'!N91/'Hist &amp; Proj'!N$8,'Hist &amp; Proj'!N91)</f>
        <v>0</v>
      </c>
      <c r="O96" s="179">
        <f ca="1">IF(OR(Assump!$A$7="USD",Assump!$A$7="EURO"),'Hist &amp; Proj'!O91/'Hist &amp; Proj'!O$8,'Hist &amp; Proj'!O91)</f>
        <v>0</v>
      </c>
      <c r="P96" s="179">
        <f ca="1">IF(OR(Assump!$A$7="USD",Assump!$A$7="EURO"),'Hist &amp; Proj'!P91/'Hist &amp; Proj'!P$8,'Hist &amp; Proj'!P91)</f>
        <v>0</v>
      </c>
      <c r="Q96" s="179">
        <f ca="1">IF(OR(Assump!$A$7="USD",Assump!$A$7="EURO"),'Hist &amp; Proj'!Q91/'Hist &amp; Proj'!Q$8,'Hist &amp; Proj'!Q91)</f>
        <v>0</v>
      </c>
      <c r="R96" s="179">
        <f ca="1">IF(OR(Assump!$A$7="USD",Assump!$A$7="EURO"),'Hist &amp; Proj'!R91/'Hist &amp; Proj'!R$8,'Hist &amp; Proj'!R91)</f>
        <v>0</v>
      </c>
      <c r="S96" s="179">
        <f ca="1">IF(OR(Assump!$A$7="USD",Assump!$A$7="EURO"),'Hist &amp; Proj'!S91/'Hist &amp; Proj'!S$8,'Hist &amp; Proj'!S91)</f>
        <v>0</v>
      </c>
      <c r="T96" s="179">
        <f ca="1">IF(OR(Assump!$A$7="USD",Assump!$A$7="EURO"),'Hist &amp; Proj'!T91/'Hist &amp; Proj'!T$8,'Hist &amp; Proj'!T91)</f>
        <v>0</v>
      </c>
      <c r="U96" s="179">
        <f ca="1">IF(OR(Assump!$A$7="USD",Assump!$A$7="EURO"),'Hist &amp; Proj'!U91/'Hist &amp; Proj'!U$8,'Hist &amp; Proj'!U91)</f>
        <v>0</v>
      </c>
      <c r="V96" s="179">
        <f ca="1">IF(OR(Assump!$A$7="USD",Assump!$A$7="EURO"),'Hist &amp; Proj'!V91/'Hist &amp; Proj'!V$8,'Hist &amp; Proj'!V91)</f>
        <v>0</v>
      </c>
      <c r="W96" s="179">
        <f ca="1">IF(OR(Assump!$A$7="USD",Assump!$A$7="EURO"),'Hist &amp; Proj'!W91/'Hist &amp; Proj'!W$8,'Hist &amp; Proj'!W91)</f>
        <v>0</v>
      </c>
      <c r="X96" s="179">
        <f ca="1">IF(OR(Assump!$A$7="USD",Assump!$A$7="EURO"),'Hist &amp; Proj'!X91/'Hist &amp; Proj'!X$8,'Hist &amp; Proj'!X91)</f>
        <v>0</v>
      </c>
      <c r="Y96" s="179">
        <f ca="1">IF(OR(Assump!$A$7="USD",Assump!$A$7="EURO"),'Hist &amp; Proj'!Y91/'Hist &amp; Proj'!Y$8,'Hist &amp; Proj'!Y91)</f>
        <v>0</v>
      </c>
      <c r="Z96" s="179">
        <f ca="1">IF(OR(Assump!$A$7="USD",Assump!$A$7="EURO"),'Hist &amp; Proj'!Z91/'Hist &amp; Proj'!Z$8,'Hist &amp; Proj'!Z91)</f>
        <v>0</v>
      </c>
      <c r="AA96" s="179">
        <f ca="1">IF(OR(Assump!$A$7="USD",Assump!$A$7="EURO"),'Hist &amp; Proj'!AA91/'Hist &amp; Proj'!AA$8,'Hist &amp; Proj'!AA91)</f>
        <v>0</v>
      </c>
      <c r="AB96" s="179">
        <f ca="1">IF(OR(Assump!$A$7="USD",Assump!$A$7="EURO"),'Hist &amp; Proj'!AB91/'Hist &amp; Proj'!AB$8,'Hist &amp; Proj'!AB91)</f>
        <v>0</v>
      </c>
      <c r="AC96" s="179">
        <f ca="1">IF(OR(Assump!$A$7="USD",Assump!$A$7="EURO"),'Hist &amp; Proj'!AC91/'Hist &amp; Proj'!AC$8,'Hist &amp; Proj'!AC91)</f>
        <v>0</v>
      </c>
      <c r="AD96" s="179">
        <f ca="1">IF(OR(Assump!$A$7="USD",Assump!$A$7="EURO"),'Hist &amp; Proj'!AD91/'Hist &amp; Proj'!AD$8,'Hist &amp; Proj'!AD91)</f>
        <v>0</v>
      </c>
      <c r="AE96" s="179" t="e">
        <f ca="1">IF(OR(Assump!$A$7="USD",Assump!$A$7="EURO"),'Hist &amp; Proj'!AE91/'Hist &amp; Proj'!AE$8,'Hist &amp; Proj'!AE91)</f>
        <v>#N/A</v>
      </c>
      <c r="AF96" s="179" t="e">
        <f ca="1">IF(OR(Assump!$A$7="USD",Assump!$A$7="EURO"),'Hist &amp; Proj'!AF91/'Hist &amp; Proj'!AF$8,'Hist &amp; Proj'!AF91)</f>
        <v>#N/A</v>
      </c>
      <c r="AG96" s="404"/>
      <c r="AH96" s="367" t="str">
        <f t="shared" ca="1" si="35"/>
        <v>NA</v>
      </c>
      <c r="AI96" s="416"/>
      <c r="AJ96" s="179">
        <f>IF(OR(Assump!$A$7="USD",Assump!$A$7="EURO"),'Hist &amp; Proj'!AH91/'Hist &amp; Proj'!AH$8,'Hist &amp; Proj'!AH91)</f>
        <v>0</v>
      </c>
      <c r="AK96" s="179">
        <f>IF(OR(Assump!$A$7="USD",Assump!$A$7="EURO"),'Hist &amp; Proj'!AI91/'Hist &amp; Proj'!AI$8,'Hist &amp; Proj'!AI91)</f>
        <v>0</v>
      </c>
      <c r="AL96" s="179">
        <f>IF(OR(Assump!$A$7="USD",Assump!$A$7="EURO"),'Hist &amp; Proj'!AJ91/'Hist &amp; Proj'!AJ$8,'Hist &amp; Proj'!AJ91)</f>
        <v>0</v>
      </c>
      <c r="AM96" s="179">
        <f>IF(OR(Assump!$A$7="USD",Assump!$A$7="EURO"),'Hist &amp; Proj'!AK91/'Hist &amp; Proj'!AK$8,'Hist &amp; Proj'!AK91)</f>
        <v>0</v>
      </c>
      <c r="AN96" s="179">
        <f>IF(OR(Assump!$A$7="USD",Assump!$A$7="EURO"),'Hist &amp; Proj'!AL91/'Hist &amp; Proj'!AL$8,'Hist &amp; Proj'!AL91)</f>
        <v>0</v>
      </c>
      <c r="AO96" s="404"/>
      <c r="AP96" s="367" t="str">
        <f t="shared" si="36"/>
        <v>NA</v>
      </c>
      <c r="AQ96" s="404"/>
      <c r="AR96" s="404"/>
      <c r="AS96" s="404"/>
      <c r="AT96" s="127"/>
      <c r="AU96" s="404"/>
      <c r="AV96" s="404"/>
      <c r="AW96" s="404"/>
      <c r="AX96" s="404"/>
      <c r="AY96" s="404"/>
      <c r="AZ96" s="127"/>
    </row>
    <row r="97" spans="1:52" s="170" customFormat="1">
      <c r="A97" s="348" t="s">
        <v>53</v>
      </c>
      <c r="B97" s="179">
        <f>IF(OR(Assump!$A$7="USD",Assump!$A$7="EURO"),'Hist &amp; Proj'!B92/'Hist &amp; Proj'!B$8,'Hist &amp; Proj'!B92)</f>
        <v>0</v>
      </c>
      <c r="C97" s="179">
        <f>IF(OR(Assump!$A$7="USD",Assump!$A$7="EURO"),'Hist &amp; Proj'!C92/'Hist &amp; Proj'!C$8,'Hist &amp; Proj'!C92)</f>
        <v>0</v>
      </c>
      <c r="D97" s="179">
        <f>IF(OR(Assump!$A$7="USD",Assump!$A$7="EURO"),'Hist &amp; Proj'!D92/'Hist &amp; Proj'!D$8,'Hist &amp; Proj'!D92)</f>
        <v>0</v>
      </c>
      <c r="E97" s="179">
        <f>IF(OR(Assump!$A$7="USD",Assump!$A$7="EURO"),'Hist &amp; Proj'!E92/'Hist &amp; Proj'!E$8,'Hist &amp; Proj'!E92)</f>
        <v>0</v>
      </c>
      <c r="F97" s="179">
        <f ca="1">IF(OR(Assump!$A$7="USD",Assump!$A$7="EURO"),'Hist &amp; Proj'!F92/'Hist &amp; Proj'!F$8,'Hist &amp; Proj'!F92)</f>
        <v>0</v>
      </c>
      <c r="G97" s="179">
        <f ca="1">IF(OR(Assump!$A$7="USD",Assump!$A$7="EURO"),'Hist &amp; Proj'!G92/'Hist &amp; Proj'!G$8,'Hist &amp; Proj'!G92)</f>
        <v>0</v>
      </c>
      <c r="H97" s="179">
        <f ca="1">IF(OR(Assump!$A$7="USD",Assump!$A$7="EURO"),'Hist &amp; Proj'!H92/'Hist &amp; Proj'!H$8,'Hist &amp; Proj'!H92)</f>
        <v>0</v>
      </c>
      <c r="I97" s="179">
        <f ca="1">IF(OR(Assump!$A$7="USD",Assump!$A$7="EURO"),'Hist &amp; Proj'!I92/'Hist &amp; Proj'!I$8,'Hist &amp; Proj'!I92)</f>
        <v>0</v>
      </c>
      <c r="J97" s="179">
        <f ca="1">IF(OR(Assump!$A$7="USD",Assump!$A$7="EURO"),'Hist &amp; Proj'!J92/'Hist &amp; Proj'!J$8,'Hist &amp; Proj'!J92)</f>
        <v>0</v>
      </c>
      <c r="K97" s="179">
        <f ca="1">IF(OR(Assump!$A$7="USD",Assump!$A$7="EURO"),'Hist &amp; Proj'!K92/'Hist &amp; Proj'!K$8,'Hist &amp; Proj'!K92)</f>
        <v>0</v>
      </c>
      <c r="L97" s="179">
        <f ca="1">IF(OR(Assump!$A$7="USD",Assump!$A$7="EURO"),'Hist &amp; Proj'!L92/'Hist &amp; Proj'!L$8,'Hist &amp; Proj'!L92)</f>
        <v>0</v>
      </c>
      <c r="M97" s="179">
        <f ca="1">IF(OR(Assump!$A$7="USD",Assump!$A$7="EURO"),'Hist &amp; Proj'!M92/'Hist &amp; Proj'!M$8,'Hist &amp; Proj'!M92)</f>
        <v>0</v>
      </c>
      <c r="N97" s="179">
        <f ca="1">IF(OR(Assump!$A$7="USD",Assump!$A$7="EURO"),'Hist &amp; Proj'!N92/'Hist &amp; Proj'!N$8,'Hist &amp; Proj'!N92)</f>
        <v>0</v>
      </c>
      <c r="O97" s="179">
        <f ca="1">IF(OR(Assump!$A$7="USD",Assump!$A$7="EURO"),'Hist &amp; Proj'!O92/'Hist &amp; Proj'!O$8,'Hist &amp; Proj'!O92)</f>
        <v>0</v>
      </c>
      <c r="P97" s="179">
        <f ca="1">IF(OR(Assump!$A$7="USD",Assump!$A$7="EURO"),'Hist &amp; Proj'!P92/'Hist &amp; Proj'!P$8,'Hist &amp; Proj'!P92)</f>
        <v>0</v>
      </c>
      <c r="Q97" s="179">
        <f ca="1">IF(OR(Assump!$A$7="USD",Assump!$A$7="EURO"),'Hist &amp; Proj'!Q92/'Hist &amp; Proj'!Q$8,'Hist &amp; Proj'!Q92)</f>
        <v>0</v>
      </c>
      <c r="R97" s="179">
        <f ca="1">IF(OR(Assump!$A$7="USD",Assump!$A$7="EURO"),'Hist &amp; Proj'!R92/'Hist &amp; Proj'!R$8,'Hist &amp; Proj'!R92)</f>
        <v>0</v>
      </c>
      <c r="S97" s="179">
        <f ca="1">IF(OR(Assump!$A$7="USD",Assump!$A$7="EURO"),'Hist &amp; Proj'!S92/'Hist &amp; Proj'!S$8,'Hist &amp; Proj'!S92)</f>
        <v>0</v>
      </c>
      <c r="T97" s="179">
        <f ca="1">IF(OR(Assump!$A$7="USD",Assump!$A$7="EURO"),'Hist &amp; Proj'!T92/'Hist &amp; Proj'!T$8,'Hist &amp; Proj'!T92)</f>
        <v>0</v>
      </c>
      <c r="U97" s="179">
        <f ca="1">IF(OR(Assump!$A$7="USD",Assump!$A$7="EURO"),'Hist &amp; Proj'!U92/'Hist &amp; Proj'!U$8,'Hist &amp; Proj'!U92)</f>
        <v>0</v>
      </c>
      <c r="V97" s="179">
        <f ca="1">IF(OR(Assump!$A$7="USD",Assump!$A$7="EURO"),'Hist &amp; Proj'!V92/'Hist &amp; Proj'!V$8,'Hist &amp; Proj'!V92)</f>
        <v>0</v>
      </c>
      <c r="W97" s="179">
        <f ca="1">IF(OR(Assump!$A$7="USD",Assump!$A$7="EURO"),'Hist &amp; Proj'!W92/'Hist &amp; Proj'!W$8,'Hist &amp; Proj'!W92)</f>
        <v>0</v>
      </c>
      <c r="X97" s="179">
        <f ca="1">IF(OR(Assump!$A$7="USD",Assump!$A$7="EURO"),'Hist &amp; Proj'!X92/'Hist &amp; Proj'!X$8,'Hist &amp; Proj'!X92)</f>
        <v>0</v>
      </c>
      <c r="Y97" s="179">
        <f ca="1">IF(OR(Assump!$A$7="USD",Assump!$A$7="EURO"),'Hist &amp; Proj'!Y92/'Hist &amp; Proj'!Y$8,'Hist &amp; Proj'!Y92)</f>
        <v>0</v>
      </c>
      <c r="Z97" s="179">
        <f ca="1">IF(OR(Assump!$A$7="USD",Assump!$A$7="EURO"),'Hist &amp; Proj'!Z92/'Hist &amp; Proj'!Z$8,'Hist &amp; Proj'!Z92)</f>
        <v>0</v>
      </c>
      <c r="AA97" s="179">
        <f ca="1">IF(OR(Assump!$A$7="USD",Assump!$A$7="EURO"),'Hist &amp; Proj'!AA92/'Hist &amp; Proj'!AA$8,'Hist &amp; Proj'!AA92)</f>
        <v>0</v>
      </c>
      <c r="AB97" s="179">
        <f ca="1">IF(OR(Assump!$A$7="USD",Assump!$A$7="EURO"),'Hist &amp; Proj'!AB92/'Hist &amp; Proj'!AB$8,'Hist &amp; Proj'!AB92)</f>
        <v>0</v>
      </c>
      <c r="AC97" s="179">
        <f ca="1">IF(OR(Assump!$A$7="USD",Assump!$A$7="EURO"),'Hist &amp; Proj'!AC92/'Hist &amp; Proj'!AC$8,'Hist &amp; Proj'!AC92)</f>
        <v>0</v>
      </c>
      <c r="AD97" s="179">
        <f ca="1">IF(OR(Assump!$A$7="USD",Assump!$A$7="EURO"),'Hist &amp; Proj'!AD92/'Hist &amp; Proj'!AD$8,'Hist &amp; Proj'!AD92)</f>
        <v>0</v>
      </c>
      <c r="AE97" s="179" t="e">
        <f ca="1">IF(OR(Assump!$A$7="USD",Assump!$A$7="EURO"),'Hist &amp; Proj'!AE92/'Hist &amp; Proj'!AE$8,'Hist &amp; Proj'!AE92)</f>
        <v>#N/A</v>
      </c>
      <c r="AF97" s="179" t="e">
        <f ca="1">IF(OR(Assump!$A$7="USD",Assump!$A$7="EURO"),'Hist &amp; Proj'!AF92/'Hist &amp; Proj'!AF$8,'Hist &amp; Proj'!AF92)</f>
        <v>#N/A</v>
      </c>
      <c r="AG97" s="404"/>
      <c r="AH97" s="367" t="str">
        <f t="shared" ca="1" si="35"/>
        <v>NA</v>
      </c>
      <c r="AI97" s="416"/>
      <c r="AJ97" s="179">
        <f>IF(OR(Assump!$A$7="USD",Assump!$A$7="EURO"),'Hist &amp; Proj'!AH92/'Hist &amp; Proj'!AH$8,'Hist &amp; Proj'!AH92)</f>
        <v>0</v>
      </c>
      <c r="AK97" s="179">
        <f>IF(OR(Assump!$A$7="USD",Assump!$A$7="EURO"),'Hist &amp; Proj'!AI92/'Hist &amp; Proj'!AI$8,'Hist &amp; Proj'!AI92)</f>
        <v>0</v>
      </c>
      <c r="AL97" s="179">
        <f>IF(OR(Assump!$A$7="USD",Assump!$A$7="EURO"),'Hist &amp; Proj'!AJ92/'Hist &amp; Proj'!AJ$8,'Hist &amp; Proj'!AJ92)</f>
        <v>0</v>
      </c>
      <c r="AM97" s="179">
        <f>IF(OR(Assump!$A$7="USD",Assump!$A$7="EURO"),'Hist &amp; Proj'!AK92/'Hist &amp; Proj'!AK$8,'Hist &amp; Proj'!AK92)</f>
        <v>0</v>
      </c>
      <c r="AN97" s="179">
        <f>IF(OR(Assump!$A$7="USD",Assump!$A$7="EURO"),'Hist &amp; Proj'!AL92/'Hist &amp; Proj'!AL$8,'Hist &amp; Proj'!AL92)</f>
        <v>0</v>
      </c>
      <c r="AO97" s="404"/>
      <c r="AP97" s="367" t="str">
        <f t="shared" si="36"/>
        <v>NA</v>
      </c>
      <c r="AQ97" s="404"/>
      <c r="AR97" s="404"/>
      <c r="AS97" s="404"/>
      <c r="AT97" s="127"/>
      <c r="AU97" s="404"/>
      <c r="AV97" s="404"/>
      <c r="AW97" s="404"/>
      <c r="AX97" s="404"/>
      <c r="AY97" s="404"/>
      <c r="AZ97" s="127"/>
    </row>
    <row r="98" spans="1:52" s="170" customFormat="1" ht="21.75" customHeight="1">
      <c r="A98" s="348" t="s">
        <v>54</v>
      </c>
      <c r="B98" s="179">
        <f>IF(OR(Assump!$A$7="USD",Assump!$A$7="EURO"),'Hist &amp; Proj'!B93/'Hist &amp; Proj'!B$8,'Hist &amp; Proj'!B93)</f>
        <v>0</v>
      </c>
      <c r="C98" s="179">
        <f>IF(OR(Assump!$A$7="USD",Assump!$A$7="EURO"),'Hist &amp; Proj'!C93/'Hist &amp; Proj'!C$8,'Hist &amp; Proj'!C93)</f>
        <v>0</v>
      </c>
      <c r="D98" s="179">
        <f>IF(OR(Assump!$A$7="USD",Assump!$A$7="EURO"),'Hist &amp; Proj'!D93/'Hist &amp; Proj'!D$8,'Hist &amp; Proj'!D93)</f>
        <v>0</v>
      </c>
      <c r="E98" s="179">
        <f>IF(OR(Assump!$A$7="USD",Assump!$A$7="EURO"),'Hist &amp; Proj'!E93/'Hist &amp; Proj'!E$8,'Hist &amp; Proj'!E93)</f>
        <v>0</v>
      </c>
      <c r="F98" s="179">
        <f ca="1">IF(OR(Assump!$A$7="USD",Assump!$A$7="EURO"),'Hist &amp; Proj'!F93/'Hist &amp; Proj'!F$8,'Hist &amp; Proj'!F93)</f>
        <v>0</v>
      </c>
      <c r="G98" s="179">
        <f ca="1">IF(OR(Assump!$A$7="USD",Assump!$A$7="EURO"),'Hist &amp; Proj'!G93/'Hist &amp; Proj'!G$8,'Hist &amp; Proj'!G93)</f>
        <v>0</v>
      </c>
      <c r="H98" s="179">
        <f ca="1">IF(OR(Assump!$A$7="USD",Assump!$A$7="EURO"),'Hist &amp; Proj'!H93/'Hist &amp; Proj'!H$8,'Hist &amp; Proj'!H93)</f>
        <v>0</v>
      </c>
      <c r="I98" s="179">
        <f ca="1">IF(OR(Assump!$A$7="USD",Assump!$A$7="EURO"),'Hist &amp; Proj'!I93/'Hist &amp; Proj'!I$8,'Hist &amp; Proj'!I93)</f>
        <v>0</v>
      </c>
      <c r="J98" s="179">
        <f ca="1">IF(OR(Assump!$A$7="USD",Assump!$A$7="EURO"),'Hist &amp; Proj'!J93/'Hist &amp; Proj'!J$8,'Hist &amp; Proj'!J93)</f>
        <v>0</v>
      </c>
      <c r="K98" s="179">
        <f ca="1">IF(OR(Assump!$A$7="USD",Assump!$A$7="EURO"),'Hist &amp; Proj'!K93/'Hist &amp; Proj'!K$8,'Hist &amp; Proj'!K93)</f>
        <v>0</v>
      </c>
      <c r="L98" s="179">
        <f ca="1">IF(OR(Assump!$A$7="USD",Assump!$A$7="EURO"),'Hist &amp; Proj'!L93/'Hist &amp; Proj'!L$8,'Hist &amp; Proj'!L93)</f>
        <v>0</v>
      </c>
      <c r="M98" s="179">
        <f ca="1">IF(OR(Assump!$A$7="USD",Assump!$A$7="EURO"),'Hist &amp; Proj'!M93/'Hist &amp; Proj'!M$8,'Hist &amp; Proj'!M93)</f>
        <v>0</v>
      </c>
      <c r="N98" s="179">
        <f ca="1">IF(OR(Assump!$A$7="USD",Assump!$A$7="EURO"),'Hist &amp; Proj'!N93/'Hist &amp; Proj'!N$8,'Hist &amp; Proj'!N93)</f>
        <v>0</v>
      </c>
      <c r="O98" s="179">
        <f ca="1">IF(OR(Assump!$A$7="USD",Assump!$A$7="EURO"),'Hist &amp; Proj'!O93/'Hist &amp; Proj'!O$8,'Hist &amp; Proj'!O93)</f>
        <v>0</v>
      </c>
      <c r="P98" s="179">
        <f ca="1">IF(OR(Assump!$A$7="USD",Assump!$A$7="EURO"),'Hist &amp; Proj'!P93/'Hist &amp; Proj'!P$8,'Hist &amp; Proj'!P93)</f>
        <v>0</v>
      </c>
      <c r="Q98" s="179">
        <f ca="1">IF(OR(Assump!$A$7="USD",Assump!$A$7="EURO"),'Hist &amp; Proj'!Q93/'Hist &amp; Proj'!Q$8,'Hist &amp; Proj'!Q93)</f>
        <v>0</v>
      </c>
      <c r="R98" s="179">
        <f ca="1">IF(OR(Assump!$A$7="USD",Assump!$A$7="EURO"),'Hist &amp; Proj'!R93/'Hist &amp; Proj'!R$8,'Hist &amp; Proj'!R93)</f>
        <v>0</v>
      </c>
      <c r="S98" s="179">
        <f ca="1">IF(OR(Assump!$A$7="USD",Assump!$A$7="EURO"),'Hist &amp; Proj'!S93/'Hist &amp; Proj'!S$8,'Hist &amp; Proj'!S93)</f>
        <v>0</v>
      </c>
      <c r="T98" s="179">
        <f ca="1">IF(OR(Assump!$A$7="USD",Assump!$A$7="EURO"),'Hist &amp; Proj'!T93/'Hist &amp; Proj'!T$8,'Hist &amp; Proj'!T93)</f>
        <v>0</v>
      </c>
      <c r="U98" s="179">
        <f ca="1">IF(OR(Assump!$A$7="USD",Assump!$A$7="EURO"),'Hist &amp; Proj'!U93/'Hist &amp; Proj'!U$8,'Hist &amp; Proj'!U93)</f>
        <v>0</v>
      </c>
      <c r="V98" s="179">
        <f ca="1">IF(OR(Assump!$A$7="USD",Assump!$A$7="EURO"),'Hist &amp; Proj'!V93/'Hist &amp; Proj'!V$8,'Hist &amp; Proj'!V93)</f>
        <v>0</v>
      </c>
      <c r="W98" s="179">
        <f ca="1">IF(OR(Assump!$A$7="USD",Assump!$A$7="EURO"),'Hist &amp; Proj'!W93/'Hist &amp; Proj'!W$8,'Hist &amp; Proj'!W93)</f>
        <v>0</v>
      </c>
      <c r="X98" s="179">
        <f ca="1">IF(OR(Assump!$A$7="USD",Assump!$A$7="EURO"),'Hist &amp; Proj'!X93/'Hist &amp; Proj'!X$8,'Hist &amp; Proj'!X93)</f>
        <v>0</v>
      </c>
      <c r="Y98" s="179">
        <f ca="1">IF(OR(Assump!$A$7="USD",Assump!$A$7="EURO"),'Hist &amp; Proj'!Y93/'Hist &amp; Proj'!Y$8,'Hist &amp; Proj'!Y93)</f>
        <v>0</v>
      </c>
      <c r="Z98" s="179">
        <f ca="1">IF(OR(Assump!$A$7="USD",Assump!$A$7="EURO"),'Hist &amp; Proj'!Z93/'Hist &amp; Proj'!Z$8,'Hist &amp; Proj'!Z93)</f>
        <v>0</v>
      </c>
      <c r="AA98" s="179">
        <f ca="1">IF(OR(Assump!$A$7="USD",Assump!$A$7="EURO"),'Hist &amp; Proj'!AA93/'Hist &amp; Proj'!AA$8,'Hist &amp; Proj'!AA93)</f>
        <v>0</v>
      </c>
      <c r="AB98" s="179">
        <f ca="1">IF(OR(Assump!$A$7="USD",Assump!$A$7="EURO"),'Hist &amp; Proj'!AB93/'Hist &amp; Proj'!AB$8,'Hist &amp; Proj'!AB93)</f>
        <v>0</v>
      </c>
      <c r="AC98" s="179">
        <f ca="1">IF(OR(Assump!$A$7="USD",Assump!$A$7="EURO"),'Hist &amp; Proj'!AC93/'Hist &amp; Proj'!AC$8,'Hist &amp; Proj'!AC93)</f>
        <v>0</v>
      </c>
      <c r="AD98" s="179">
        <f ca="1">IF(OR(Assump!$A$7="USD",Assump!$A$7="EURO"),'Hist &amp; Proj'!AD93/'Hist &amp; Proj'!AD$8,'Hist &amp; Proj'!AD93)</f>
        <v>0</v>
      </c>
      <c r="AE98" s="179" t="e">
        <f ca="1">IF(OR(Assump!$A$7="USD",Assump!$A$7="EURO"),'Hist &amp; Proj'!AE93/'Hist &amp; Proj'!AE$8,'Hist &amp; Proj'!AE93)</f>
        <v>#N/A</v>
      </c>
      <c r="AF98" s="179" t="e">
        <f ca="1">IF(OR(Assump!$A$7="USD",Assump!$A$7="EURO"),'Hist &amp; Proj'!AF93/'Hist &amp; Proj'!AF$8,'Hist &amp; Proj'!AF93)</f>
        <v>#N/A</v>
      </c>
      <c r="AG98" s="404"/>
      <c r="AH98" s="367" t="str">
        <f t="shared" ca="1" si="35"/>
        <v>NA</v>
      </c>
      <c r="AI98" s="416"/>
      <c r="AJ98" s="179">
        <f>IF(OR(Assump!$A$7="USD",Assump!$A$7="EURO"),'Hist &amp; Proj'!AH93/'Hist &amp; Proj'!AH$8,'Hist &amp; Proj'!AH93)</f>
        <v>0</v>
      </c>
      <c r="AK98" s="179">
        <f>IF(OR(Assump!$A$7="USD",Assump!$A$7="EURO"),'Hist &amp; Proj'!AI93/'Hist &amp; Proj'!AI$8,'Hist &amp; Proj'!AI93)</f>
        <v>0</v>
      </c>
      <c r="AL98" s="179">
        <f>IF(OR(Assump!$A$7="USD",Assump!$A$7="EURO"),'Hist &amp; Proj'!AJ93/'Hist &amp; Proj'!AJ$8,'Hist &amp; Proj'!AJ93)</f>
        <v>0</v>
      </c>
      <c r="AM98" s="179">
        <f>IF(OR(Assump!$A$7="USD",Assump!$A$7="EURO"),'Hist &amp; Proj'!AK93/'Hist &amp; Proj'!AK$8,'Hist &amp; Proj'!AK93)</f>
        <v>0</v>
      </c>
      <c r="AN98" s="179">
        <f>IF(OR(Assump!$A$7="USD",Assump!$A$7="EURO"),'Hist &amp; Proj'!AL93/'Hist &amp; Proj'!AL$8,'Hist &amp; Proj'!AL93)</f>
        <v>0</v>
      </c>
      <c r="AO98" s="404"/>
      <c r="AP98" s="367" t="str">
        <f t="shared" si="36"/>
        <v>NA</v>
      </c>
      <c r="AQ98" s="404"/>
      <c r="AR98" s="404"/>
      <c r="AS98" s="404"/>
      <c r="AT98" s="127"/>
      <c r="AU98" s="404"/>
      <c r="AV98" s="404"/>
      <c r="AW98" s="404"/>
      <c r="AX98" s="404"/>
      <c r="AY98" s="404"/>
      <c r="AZ98" s="127"/>
    </row>
    <row r="99" spans="1:52" s="170" customFormat="1">
      <c r="A99" s="417" t="s">
        <v>363</v>
      </c>
      <c r="B99" s="179">
        <f>IF(OR(Assump!$A$7="USD",Assump!$A$7="EURO"),'Hist &amp; Proj'!B94/'Hist &amp; Proj'!B$8,'Hist &amp; Proj'!B94)</f>
        <v>0</v>
      </c>
      <c r="C99" s="179">
        <f>IF(OR(Assump!$A$7="USD",Assump!$A$7="EURO"),'Hist &amp; Proj'!C94/'Hist &amp; Proj'!C$8,'Hist &amp; Proj'!C94)</f>
        <v>0</v>
      </c>
      <c r="D99" s="179">
        <f>IF(OR(Assump!$A$7="USD",Assump!$A$7="EURO"),'Hist &amp; Proj'!D94/'Hist &amp; Proj'!D$8,'Hist &amp; Proj'!D94)</f>
        <v>0</v>
      </c>
      <c r="E99" s="179">
        <f>IF(OR(Assump!$A$7="USD",Assump!$A$7="EURO"),'Hist &amp; Proj'!E94/'Hist &amp; Proj'!E$8,'Hist &amp; Proj'!E94)</f>
        <v>0</v>
      </c>
      <c r="F99" s="179">
        <f ca="1">IF(OR(Assump!$A$7="USD",Assump!$A$7="EURO"),'Hist &amp; Proj'!F94/'Hist &amp; Proj'!F$8,'Hist &amp; Proj'!F94)</f>
        <v>0</v>
      </c>
      <c r="G99" s="179">
        <f ca="1">IF(OR(Assump!$A$7="USD",Assump!$A$7="EURO"),'Hist &amp; Proj'!G94/'Hist &amp; Proj'!G$8,'Hist &amp; Proj'!G94)</f>
        <v>0</v>
      </c>
      <c r="H99" s="179">
        <f ca="1">IF(OR(Assump!$A$7="USD",Assump!$A$7="EURO"),'Hist &amp; Proj'!H94/'Hist &amp; Proj'!H$8,'Hist &amp; Proj'!H94)</f>
        <v>0</v>
      </c>
      <c r="I99" s="179">
        <f ca="1">IF(OR(Assump!$A$7="USD",Assump!$A$7="EURO"),'Hist &amp; Proj'!I94/'Hist &amp; Proj'!I$8,'Hist &amp; Proj'!I94)</f>
        <v>0</v>
      </c>
      <c r="J99" s="179">
        <f ca="1">IF(OR(Assump!$A$7="USD",Assump!$A$7="EURO"),'Hist &amp; Proj'!J94/'Hist &amp; Proj'!J$8,'Hist &amp; Proj'!J94)</f>
        <v>0</v>
      </c>
      <c r="K99" s="179">
        <f ca="1">IF(OR(Assump!$A$7="USD",Assump!$A$7="EURO"),'Hist &amp; Proj'!K94/'Hist &amp; Proj'!K$8,'Hist &amp; Proj'!K94)</f>
        <v>0</v>
      </c>
      <c r="L99" s="179">
        <f ca="1">IF(OR(Assump!$A$7="USD",Assump!$A$7="EURO"),'Hist &amp; Proj'!L94/'Hist &amp; Proj'!L$8,'Hist &amp; Proj'!L94)</f>
        <v>0</v>
      </c>
      <c r="M99" s="179">
        <f ca="1">IF(OR(Assump!$A$7="USD",Assump!$A$7="EURO"),'Hist &amp; Proj'!M94/'Hist &amp; Proj'!M$8,'Hist &amp; Proj'!M94)</f>
        <v>0</v>
      </c>
      <c r="N99" s="179">
        <f ca="1">IF(OR(Assump!$A$7="USD",Assump!$A$7="EURO"),'Hist &amp; Proj'!N94/'Hist &amp; Proj'!N$8,'Hist &amp; Proj'!N94)</f>
        <v>0</v>
      </c>
      <c r="O99" s="179">
        <f ca="1">IF(OR(Assump!$A$7="USD",Assump!$A$7="EURO"),'Hist &amp; Proj'!O94/'Hist &amp; Proj'!O$8,'Hist &amp; Proj'!O94)</f>
        <v>0</v>
      </c>
      <c r="P99" s="179">
        <f ca="1">IF(OR(Assump!$A$7="USD",Assump!$A$7="EURO"),'Hist &amp; Proj'!P94/'Hist &amp; Proj'!P$8,'Hist &amp; Proj'!P94)</f>
        <v>0</v>
      </c>
      <c r="Q99" s="179">
        <f ca="1">IF(OR(Assump!$A$7="USD",Assump!$A$7="EURO"),'Hist &amp; Proj'!Q94/'Hist &amp; Proj'!Q$8,'Hist &amp; Proj'!Q94)</f>
        <v>0</v>
      </c>
      <c r="R99" s="179">
        <f ca="1">IF(OR(Assump!$A$7="USD",Assump!$A$7="EURO"),'Hist &amp; Proj'!R94/'Hist &amp; Proj'!R$8,'Hist &amp; Proj'!R94)</f>
        <v>0</v>
      </c>
      <c r="S99" s="179">
        <f ca="1">IF(OR(Assump!$A$7="USD",Assump!$A$7="EURO"),'Hist &amp; Proj'!S94/'Hist &amp; Proj'!S$8,'Hist &amp; Proj'!S94)</f>
        <v>0</v>
      </c>
      <c r="T99" s="179">
        <f ca="1">IF(OR(Assump!$A$7="USD",Assump!$A$7="EURO"),'Hist &amp; Proj'!T94/'Hist &amp; Proj'!T$8,'Hist &amp; Proj'!T94)</f>
        <v>0</v>
      </c>
      <c r="U99" s="179">
        <f ca="1">IF(OR(Assump!$A$7="USD",Assump!$A$7="EURO"),'Hist &amp; Proj'!U94/'Hist &amp; Proj'!U$8,'Hist &amp; Proj'!U94)</f>
        <v>0</v>
      </c>
      <c r="V99" s="179">
        <f ca="1">IF(OR(Assump!$A$7="USD",Assump!$A$7="EURO"),'Hist &amp; Proj'!V94/'Hist &amp; Proj'!V$8,'Hist &amp; Proj'!V94)</f>
        <v>0</v>
      </c>
      <c r="W99" s="179">
        <f ca="1">IF(OR(Assump!$A$7="USD",Assump!$A$7="EURO"),'Hist &amp; Proj'!W94/'Hist &amp; Proj'!W$8,'Hist &amp; Proj'!W94)</f>
        <v>0</v>
      </c>
      <c r="X99" s="179">
        <f ca="1">IF(OR(Assump!$A$7="USD",Assump!$A$7="EURO"),'Hist &amp; Proj'!X94/'Hist &amp; Proj'!X$8,'Hist &amp; Proj'!X94)</f>
        <v>0</v>
      </c>
      <c r="Y99" s="179">
        <f ca="1">IF(OR(Assump!$A$7="USD",Assump!$A$7="EURO"),'Hist &amp; Proj'!Y94/'Hist &amp; Proj'!Y$8,'Hist &amp; Proj'!Y94)</f>
        <v>0</v>
      </c>
      <c r="Z99" s="179">
        <f ca="1">IF(OR(Assump!$A$7="USD",Assump!$A$7="EURO"),'Hist &amp; Proj'!Z94/'Hist &amp; Proj'!Z$8,'Hist &amp; Proj'!Z94)</f>
        <v>0</v>
      </c>
      <c r="AA99" s="179">
        <f ca="1">IF(OR(Assump!$A$7="USD",Assump!$A$7="EURO"),'Hist &amp; Proj'!AA94/'Hist &amp; Proj'!AA$8,'Hist &amp; Proj'!AA94)</f>
        <v>0</v>
      </c>
      <c r="AB99" s="179">
        <f ca="1">IF(OR(Assump!$A$7="USD",Assump!$A$7="EURO"),'Hist &amp; Proj'!AB94/'Hist &amp; Proj'!AB$8,'Hist &amp; Proj'!AB94)</f>
        <v>0</v>
      </c>
      <c r="AC99" s="179">
        <f ca="1">IF(OR(Assump!$A$7="USD",Assump!$A$7="EURO"),'Hist &amp; Proj'!AC94/'Hist &amp; Proj'!AC$8,'Hist &amp; Proj'!AC94)</f>
        <v>0</v>
      </c>
      <c r="AD99" s="179">
        <f ca="1">IF(OR(Assump!$A$7="USD",Assump!$A$7="EURO"),'Hist &amp; Proj'!AD94/'Hist &amp; Proj'!AD$8,'Hist &amp; Proj'!AD94)</f>
        <v>0</v>
      </c>
      <c r="AE99" s="179" t="e">
        <f ca="1">IF(OR(Assump!$A$7="USD",Assump!$A$7="EURO"),'Hist &amp; Proj'!AE94/'Hist &amp; Proj'!AE$8,'Hist &amp; Proj'!AE94)</f>
        <v>#N/A</v>
      </c>
      <c r="AF99" s="179" t="e">
        <f ca="1">IF(OR(Assump!$A$7="USD",Assump!$A$7="EURO"),'Hist &amp; Proj'!AF94/'Hist &amp; Proj'!AF$8,'Hist &amp; Proj'!AF94)</f>
        <v>#N/A</v>
      </c>
      <c r="AG99" s="404"/>
      <c r="AH99" s="367" t="str">
        <f t="shared" ca="1" si="35"/>
        <v>NA</v>
      </c>
      <c r="AI99" s="416"/>
      <c r="AJ99" s="179">
        <f>IF(OR(Assump!$A$7="USD",Assump!$A$7="EURO"),'Hist &amp; Proj'!AH94/'Hist &amp; Proj'!AH$8,'Hist &amp; Proj'!AH94)</f>
        <v>0</v>
      </c>
      <c r="AK99" s="179">
        <f>IF(OR(Assump!$A$7="USD",Assump!$A$7="EURO"),'Hist &amp; Proj'!AI94/'Hist &amp; Proj'!AI$8,'Hist &amp; Proj'!AI94)</f>
        <v>0</v>
      </c>
      <c r="AL99" s="179">
        <f>IF(OR(Assump!$A$7="USD",Assump!$A$7="EURO"),'Hist &amp; Proj'!AJ94/'Hist &amp; Proj'!AJ$8,'Hist &amp; Proj'!AJ94)</f>
        <v>0</v>
      </c>
      <c r="AM99" s="179">
        <f>IF(OR(Assump!$A$7="USD",Assump!$A$7="EURO"),'Hist &amp; Proj'!AK94/'Hist &amp; Proj'!AK$8,'Hist &amp; Proj'!AK94)</f>
        <v>0</v>
      </c>
      <c r="AN99" s="179">
        <f>IF(OR(Assump!$A$7="USD",Assump!$A$7="EURO"),'Hist &amp; Proj'!AL94/'Hist &amp; Proj'!AL$8,'Hist &amp; Proj'!AL94)</f>
        <v>0</v>
      </c>
      <c r="AO99" s="404"/>
      <c r="AP99" s="367" t="str">
        <f t="shared" si="36"/>
        <v>NA</v>
      </c>
      <c r="AQ99" s="404"/>
      <c r="AR99" s="404"/>
      <c r="AS99" s="404"/>
      <c r="AT99" s="127"/>
      <c r="AU99" s="404"/>
      <c r="AV99" s="404"/>
      <c r="AW99" s="404"/>
      <c r="AX99" s="404"/>
      <c r="AY99" s="404"/>
      <c r="AZ99" s="127"/>
    </row>
    <row r="100" spans="1:52" s="170" customFormat="1">
      <c r="A100" s="418" t="s">
        <v>364</v>
      </c>
      <c r="B100" s="179">
        <f>IF(B98=0,0,B98-B99)</f>
        <v>0</v>
      </c>
      <c r="C100" s="179">
        <f t="shared" ref="C100:AF100" si="37">IF(C98=0,0,C98-C99)</f>
        <v>0</v>
      </c>
      <c r="D100" s="179">
        <f t="shared" si="37"/>
        <v>0</v>
      </c>
      <c r="E100" s="179">
        <f t="shared" si="37"/>
        <v>0</v>
      </c>
      <c r="F100" s="179">
        <f t="shared" ca="1" si="37"/>
        <v>0</v>
      </c>
      <c r="G100" s="179">
        <f t="shared" ca="1" si="37"/>
        <v>0</v>
      </c>
      <c r="H100" s="179">
        <f t="shared" ca="1" si="37"/>
        <v>0</v>
      </c>
      <c r="I100" s="179">
        <f t="shared" ca="1" si="37"/>
        <v>0</v>
      </c>
      <c r="J100" s="179">
        <f t="shared" ca="1" si="37"/>
        <v>0</v>
      </c>
      <c r="K100" s="179">
        <f t="shared" ca="1" si="37"/>
        <v>0</v>
      </c>
      <c r="L100" s="179">
        <f t="shared" ca="1" si="37"/>
        <v>0</v>
      </c>
      <c r="M100" s="179">
        <f t="shared" ca="1" si="37"/>
        <v>0</v>
      </c>
      <c r="N100" s="179">
        <f t="shared" ca="1" si="37"/>
        <v>0</v>
      </c>
      <c r="O100" s="179">
        <f t="shared" ca="1" si="37"/>
        <v>0</v>
      </c>
      <c r="P100" s="179">
        <f t="shared" ca="1" si="37"/>
        <v>0</v>
      </c>
      <c r="Q100" s="179">
        <f t="shared" ca="1" si="37"/>
        <v>0</v>
      </c>
      <c r="R100" s="179">
        <f ca="1">IF(R98=0,0,R98-R99)</f>
        <v>0</v>
      </c>
      <c r="S100" s="179">
        <f t="shared" ca="1" si="37"/>
        <v>0</v>
      </c>
      <c r="T100" s="179">
        <f t="shared" ca="1" si="37"/>
        <v>0</v>
      </c>
      <c r="U100" s="179">
        <f t="shared" ca="1" si="37"/>
        <v>0</v>
      </c>
      <c r="V100" s="179">
        <f t="shared" ca="1" si="37"/>
        <v>0</v>
      </c>
      <c r="W100" s="179">
        <f t="shared" ca="1" si="37"/>
        <v>0</v>
      </c>
      <c r="X100" s="179">
        <f t="shared" ca="1" si="37"/>
        <v>0</v>
      </c>
      <c r="Y100" s="179">
        <f t="shared" ca="1" si="37"/>
        <v>0</v>
      </c>
      <c r="Z100" s="179">
        <f t="shared" ca="1" si="37"/>
        <v>0</v>
      </c>
      <c r="AA100" s="179">
        <f t="shared" ca="1" si="37"/>
        <v>0</v>
      </c>
      <c r="AB100" s="179">
        <f t="shared" ca="1" si="37"/>
        <v>0</v>
      </c>
      <c r="AC100" s="179">
        <f t="shared" ca="1" si="37"/>
        <v>0</v>
      </c>
      <c r="AD100" s="179">
        <f t="shared" ca="1" si="37"/>
        <v>0</v>
      </c>
      <c r="AE100" s="179" t="e">
        <f t="shared" ca="1" si="37"/>
        <v>#N/A</v>
      </c>
      <c r="AF100" s="179" t="e">
        <f t="shared" ca="1" si="37"/>
        <v>#N/A</v>
      </c>
      <c r="AG100" s="404"/>
      <c r="AH100" s="367" t="str">
        <f t="shared" ca="1" si="35"/>
        <v>NA</v>
      </c>
      <c r="AI100" s="416"/>
      <c r="AJ100" s="404">
        <f>IF(AJ98=0,0,AJ98-AJ99)</f>
        <v>0</v>
      </c>
      <c r="AK100" s="404">
        <f>IF(AK98=0,0,AK98-AK99)</f>
        <v>0</v>
      </c>
      <c r="AL100" s="404">
        <f>IF(AL98=0,0,AL98-AL99)</f>
        <v>0</v>
      </c>
      <c r="AM100" s="404">
        <f>IF(AM98=0,0,AM98-AM99)</f>
        <v>0</v>
      </c>
      <c r="AN100" s="404">
        <f>IF(AN98=0,0,AN98-AN99)</f>
        <v>0</v>
      </c>
      <c r="AO100" s="404"/>
      <c r="AP100" s="367" t="str">
        <f t="shared" si="36"/>
        <v>NA</v>
      </c>
      <c r="AQ100" s="404"/>
      <c r="AR100" s="404"/>
      <c r="AS100" s="404"/>
      <c r="AT100" s="127"/>
      <c r="AU100" s="404"/>
      <c r="AV100" s="404"/>
      <c r="AW100" s="404"/>
      <c r="AX100" s="404"/>
      <c r="AY100" s="404"/>
      <c r="AZ100" s="127"/>
    </row>
    <row r="101" spans="1:52" s="170" customFormat="1">
      <c r="A101" s="419" t="s">
        <v>86</v>
      </c>
      <c r="B101" s="420">
        <f t="shared" ref="B101:AF101" si="38">SUM(B90:B92,B97)</f>
        <v>0</v>
      </c>
      <c r="C101" s="420">
        <f t="shared" si="38"/>
        <v>0</v>
      </c>
      <c r="D101" s="420">
        <f t="shared" si="38"/>
        <v>0</v>
      </c>
      <c r="E101" s="420">
        <f t="shared" si="38"/>
        <v>0</v>
      </c>
      <c r="F101" s="420">
        <f t="shared" ca="1" si="38"/>
        <v>0</v>
      </c>
      <c r="G101" s="420">
        <f t="shared" ca="1" si="38"/>
        <v>0</v>
      </c>
      <c r="H101" s="420">
        <f t="shared" ca="1" si="38"/>
        <v>0</v>
      </c>
      <c r="I101" s="420">
        <f t="shared" ca="1" si="38"/>
        <v>0</v>
      </c>
      <c r="J101" s="420">
        <f t="shared" ca="1" si="38"/>
        <v>0</v>
      </c>
      <c r="K101" s="420">
        <f t="shared" ca="1" si="38"/>
        <v>0</v>
      </c>
      <c r="L101" s="420">
        <f t="shared" ca="1" si="38"/>
        <v>0</v>
      </c>
      <c r="M101" s="420">
        <f t="shared" ca="1" si="38"/>
        <v>0</v>
      </c>
      <c r="N101" s="420">
        <f t="shared" ca="1" si="38"/>
        <v>0</v>
      </c>
      <c r="O101" s="420">
        <f t="shared" ca="1" si="38"/>
        <v>0</v>
      </c>
      <c r="P101" s="420">
        <f t="shared" ca="1" si="38"/>
        <v>0</v>
      </c>
      <c r="Q101" s="420">
        <f t="shared" ca="1" si="38"/>
        <v>0</v>
      </c>
      <c r="R101" s="420">
        <f t="shared" ca="1" si="38"/>
        <v>0</v>
      </c>
      <c r="S101" s="420">
        <f t="shared" ca="1" si="38"/>
        <v>0</v>
      </c>
      <c r="T101" s="420">
        <f t="shared" ca="1" si="38"/>
        <v>0</v>
      </c>
      <c r="U101" s="420">
        <f t="shared" ca="1" si="38"/>
        <v>0</v>
      </c>
      <c r="V101" s="420">
        <f t="shared" ca="1" si="38"/>
        <v>0</v>
      </c>
      <c r="W101" s="420">
        <f t="shared" ca="1" si="38"/>
        <v>0</v>
      </c>
      <c r="X101" s="420">
        <f t="shared" ca="1" si="38"/>
        <v>0</v>
      </c>
      <c r="Y101" s="420">
        <f t="shared" ca="1" si="38"/>
        <v>0</v>
      </c>
      <c r="Z101" s="420">
        <f t="shared" ca="1" si="38"/>
        <v>0</v>
      </c>
      <c r="AA101" s="420">
        <f t="shared" ca="1" si="38"/>
        <v>0</v>
      </c>
      <c r="AB101" s="420">
        <f t="shared" ca="1" si="38"/>
        <v>0</v>
      </c>
      <c r="AC101" s="420">
        <f t="shared" ca="1" si="38"/>
        <v>0</v>
      </c>
      <c r="AD101" s="420">
        <f t="shared" ca="1" si="38"/>
        <v>0</v>
      </c>
      <c r="AE101" s="420" t="e">
        <f t="shared" ca="1" si="38"/>
        <v>#N/A</v>
      </c>
      <c r="AF101" s="420" t="e">
        <f t="shared" ca="1" si="38"/>
        <v>#N/A</v>
      </c>
      <c r="AG101" s="421"/>
      <c r="AH101" s="422" t="str">
        <f t="shared" ca="1" si="35"/>
        <v>NA</v>
      </c>
      <c r="AI101" s="416"/>
      <c r="AJ101" s="423">
        <f>SUM(AJ90:AJ92,AJ97)</f>
        <v>0</v>
      </c>
      <c r="AK101" s="423">
        <f>SUM(AK90:AK92,AK97)</f>
        <v>0</v>
      </c>
      <c r="AL101" s="423">
        <f>SUM(AL90:AL92,AL97)</f>
        <v>0</v>
      </c>
      <c r="AM101" s="423">
        <f>SUM(AM90:AM92,AM97)</f>
        <v>0</v>
      </c>
      <c r="AN101" s="423">
        <f>SUM(AN90:AN92,AN97)</f>
        <v>0</v>
      </c>
      <c r="AO101" s="421"/>
      <c r="AP101" s="422" t="str">
        <f t="shared" si="36"/>
        <v>NA</v>
      </c>
      <c r="AQ101" s="421"/>
      <c r="AR101" s="421"/>
      <c r="AS101" s="421"/>
      <c r="AT101" s="127"/>
      <c r="AU101" s="421"/>
      <c r="AV101" s="421"/>
      <c r="AW101" s="421"/>
      <c r="AX101" s="421"/>
      <c r="AY101" s="421"/>
      <c r="AZ101" s="127"/>
    </row>
    <row r="102" spans="1:52" s="127" customFormat="1" outlineLevel="1">
      <c r="A102" s="424" t="s">
        <v>537</v>
      </c>
      <c r="B102" s="425">
        <f t="shared" ref="B102:AF102" si="39">IF(B101-B15=0,0,IF(ABS(B101-B15)&gt;0,ABS(B101-B15),0))</f>
        <v>0</v>
      </c>
      <c r="C102" s="425">
        <f t="shared" si="39"/>
        <v>0</v>
      </c>
      <c r="D102" s="425">
        <f t="shared" si="39"/>
        <v>0</v>
      </c>
      <c r="E102" s="425">
        <f t="shared" si="39"/>
        <v>0</v>
      </c>
      <c r="F102" s="425">
        <f t="shared" ca="1" si="39"/>
        <v>0</v>
      </c>
      <c r="G102" s="425">
        <f t="shared" ca="1" si="39"/>
        <v>0</v>
      </c>
      <c r="H102" s="425">
        <f t="shared" ca="1" si="39"/>
        <v>0</v>
      </c>
      <c r="I102" s="425">
        <f t="shared" ca="1" si="39"/>
        <v>0</v>
      </c>
      <c r="J102" s="425">
        <f t="shared" ca="1" si="39"/>
        <v>0</v>
      </c>
      <c r="K102" s="425">
        <f t="shared" ca="1" si="39"/>
        <v>0</v>
      </c>
      <c r="L102" s="425">
        <f t="shared" ca="1" si="39"/>
        <v>0</v>
      </c>
      <c r="M102" s="425">
        <f t="shared" ca="1" si="39"/>
        <v>0</v>
      </c>
      <c r="N102" s="425">
        <f t="shared" ca="1" si="39"/>
        <v>0</v>
      </c>
      <c r="O102" s="425">
        <f t="shared" ca="1" si="39"/>
        <v>0</v>
      </c>
      <c r="P102" s="425">
        <f t="shared" ca="1" si="39"/>
        <v>0</v>
      </c>
      <c r="Q102" s="425">
        <f t="shared" ca="1" si="39"/>
        <v>0</v>
      </c>
      <c r="R102" s="425">
        <f t="shared" ca="1" si="39"/>
        <v>0</v>
      </c>
      <c r="S102" s="425">
        <f t="shared" ca="1" si="39"/>
        <v>0</v>
      </c>
      <c r="T102" s="425">
        <f t="shared" ca="1" si="39"/>
        <v>0</v>
      </c>
      <c r="U102" s="425">
        <f t="shared" ca="1" si="39"/>
        <v>0</v>
      </c>
      <c r="V102" s="425">
        <f t="shared" ca="1" si="39"/>
        <v>0</v>
      </c>
      <c r="W102" s="425">
        <f t="shared" ca="1" si="39"/>
        <v>0</v>
      </c>
      <c r="X102" s="425">
        <f t="shared" ca="1" si="39"/>
        <v>0</v>
      </c>
      <c r="Y102" s="425">
        <f t="shared" ca="1" si="39"/>
        <v>0</v>
      </c>
      <c r="Z102" s="425">
        <f t="shared" ca="1" si="39"/>
        <v>0</v>
      </c>
      <c r="AA102" s="425">
        <f t="shared" ca="1" si="39"/>
        <v>0</v>
      </c>
      <c r="AB102" s="425">
        <f t="shared" ca="1" si="39"/>
        <v>0</v>
      </c>
      <c r="AC102" s="425">
        <f t="shared" ca="1" si="39"/>
        <v>0</v>
      </c>
      <c r="AD102" s="425">
        <f t="shared" ca="1" si="39"/>
        <v>0</v>
      </c>
      <c r="AE102" s="425" t="e">
        <f t="shared" ca="1" si="39"/>
        <v>#N/A</v>
      </c>
      <c r="AF102" s="425" t="e">
        <f t="shared" ca="1" si="39"/>
        <v>#N/A</v>
      </c>
      <c r="AG102" s="131"/>
      <c r="AH102" s="426"/>
      <c r="AJ102" s="425">
        <f>IF(AJ101-AJ15=0,0,IF(ABS(AJ101-AJ15)&gt;0,ABS(AJ101-AJ15),0))</f>
        <v>0</v>
      </c>
      <c r="AK102" s="425">
        <f>IF(AK101-AK15=0,0,IF(ABS(AK101-AK15)&gt;0,ABS(AK101-AK15),0))</f>
        <v>0</v>
      </c>
      <c r="AL102" s="425">
        <f>IF(AL101-AL15=0,0,IF(ABS(AL101-AL15)&gt;0,ABS(AL101-AL15),0))</f>
        <v>0</v>
      </c>
      <c r="AM102" s="425">
        <f>IF(AM101-AM15=0,0,IF(ABS(AM101-AM15)&gt;0,ABS(AM101-AM15),0))</f>
        <v>0</v>
      </c>
      <c r="AN102" s="425">
        <f>IF(AN101-AN15=0,0,IF(ABS(AN101-AN15)&gt;0,ABS(AN101-AN15),0))</f>
        <v>0</v>
      </c>
      <c r="AO102" s="131"/>
      <c r="AP102" s="426" t="e">
        <f>IF(AP101-AP15=0,0,IF(ABS(AP101-AP15)&gt;0,ABS(AP101-AP15),0))</f>
        <v>#VALUE!</v>
      </c>
      <c r="AQ102" s="131"/>
      <c r="AR102" s="131"/>
      <c r="AS102" s="131"/>
    </row>
    <row r="103" spans="1:52">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H103" s="334"/>
      <c r="AJ103" s="170"/>
      <c r="AK103" s="170"/>
      <c r="AL103" s="335"/>
      <c r="AM103" s="208"/>
      <c r="AN103" s="208"/>
      <c r="AP103" s="334"/>
    </row>
    <row r="104" spans="1:52" s="392" customFormat="1" ht="24" customHeight="1">
      <c r="A104" s="397"/>
      <c r="B104" s="398"/>
      <c r="C104" s="398"/>
      <c r="D104" s="398"/>
      <c r="E104" s="398"/>
      <c r="F104" s="398"/>
      <c r="G104" s="398"/>
      <c r="H104" s="398"/>
      <c r="I104" s="398"/>
      <c r="J104" s="398"/>
      <c r="K104" s="398"/>
      <c r="L104" s="398"/>
      <c r="M104" s="398"/>
      <c r="N104" s="398"/>
      <c r="O104" s="398"/>
      <c r="P104" s="398"/>
      <c r="Q104" s="398"/>
      <c r="R104" s="399"/>
      <c r="S104" s="399"/>
      <c r="T104" s="399"/>
      <c r="U104" s="399"/>
      <c r="V104" s="399"/>
      <c r="W104" s="399"/>
      <c r="X104" s="399"/>
      <c r="Y104" s="399"/>
      <c r="Z104" s="399"/>
      <c r="AA104" s="399"/>
      <c r="AB104" s="399"/>
      <c r="AC104" s="399"/>
      <c r="AD104" s="399"/>
      <c r="AE104" s="399"/>
      <c r="AF104" s="399"/>
      <c r="AG104" s="399"/>
      <c r="AH104" s="393"/>
      <c r="AO104" s="399"/>
      <c r="AP104" s="393"/>
      <c r="AQ104" s="399"/>
      <c r="AR104" s="399"/>
      <c r="AS104" s="399"/>
      <c r="AT104" s="400"/>
      <c r="AU104" s="400"/>
      <c r="AV104" s="400"/>
      <c r="AW104" s="400"/>
      <c r="AX104" s="400"/>
      <c r="AY104" s="400"/>
      <c r="AZ104" s="400"/>
    </row>
    <row r="105" spans="1:52" s="1" customFormat="1" ht="15">
      <c r="A105" s="401"/>
    </row>
    <row r="106" spans="1:52">
      <c r="A106" s="360" t="s">
        <v>657</v>
      </c>
      <c r="B106" s="760">
        <f>B$7</f>
        <v>692501</v>
      </c>
      <c r="C106" s="760">
        <f t="shared" ref="C106:AD106" si="40">C$7</f>
        <v>692867</v>
      </c>
      <c r="D106" s="760">
        <f t="shared" si="40"/>
        <v>693232</v>
      </c>
      <c r="E106" s="760">
        <f t="shared" si="40"/>
        <v>693597</v>
      </c>
      <c r="F106" s="362">
        <f t="shared" ca="1" si="40"/>
        <v>693628</v>
      </c>
      <c r="G106" s="362">
        <f t="shared" ca="1" si="40"/>
        <v>693656</v>
      </c>
      <c r="H106" s="362">
        <f t="shared" ca="1" si="40"/>
        <v>693687</v>
      </c>
      <c r="I106" s="362">
        <f t="shared" ca="1" si="40"/>
        <v>693717</v>
      </c>
      <c r="J106" s="362">
        <f t="shared" ca="1" si="40"/>
        <v>693748</v>
      </c>
      <c r="K106" s="362">
        <f t="shared" ca="1" si="40"/>
        <v>693778</v>
      </c>
      <c r="L106" s="362">
        <f t="shared" ca="1" si="40"/>
        <v>693809</v>
      </c>
      <c r="M106" s="362">
        <f t="shared" ca="1" si="40"/>
        <v>693840</v>
      </c>
      <c r="N106" s="362">
        <f t="shared" ca="1" si="40"/>
        <v>693870</v>
      </c>
      <c r="O106" s="362">
        <f t="shared" ca="1" si="40"/>
        <v>693901</v>
      </c>
      <c r="P106" s="362">
        <f t="shared" ca="1" si="40"/>
        <v>693931</v>
      </c>
      <c r="Q106" s="362">
        <f t="shared" ca="1" si="40"/>
        <v>693962</v>
      </c>
      <c r="R106" s="760">
        <f t="shared" ca="1" si="40"/>
        <v>693962</v>
      </c>
      <c r="S106" s="362">
        <f t="shared" ca="1" si="40"/>
        <v>31</v>
      </c>
      <c r="T106" s="362">
        <f t="shared" ca="1" si="40"/>
        <v>59</v>
      </c>
      <c r="U106" s="362">
        <f t="shared" ca="1" si="40"/>
        <v>91</v>
      </c>
      <c r="V106" s="362">
        <f t="shared" ca="1" si="40"/>
        <v>121</v>
      </c>
      <c r="W106" s="362">
        <f t="shared" ca="1" si="40"/>
        <v>152</v>
      </c>
      <c r="X106" s="362">
        <f t="shared" ca="1" si="40"/>
        <v>182</v>
      </c>
      <c r="Y106" s="362">
        <f t="shared" ca="1" si="40"/>
        <v>213</v>
      </c>
      <c r="Z106" s="362">
        <f t="shared" ca="1" si="40"/>
        <v>244</v>
      </c>
      <c r="AA106" s="362">
        <f t="shared" ca="1" si="40"/>
        <v>274</v>
      </c>
      <c r="AB106" s="362">
        <f t="shared" ca="1" si="40"/>
        <v>305</v>
      </c>
      <c r="AC106" s="362">
        <f t="shared" ca="1" si="40"/>
        <v>335</v>
      </c>
      <c r="AD106" s="362">
        <f t="shared" ca="1" si="40"/>
        <v>366</v>
      </c>
      <c r="AE106" s="376" t="e">
        <f ca="1">AE$42</f>
        <v>#N/A</v>
      </c>
      <c r="AF106" s="376" t="e">
        <f ca="1">AF$42</f>
        <v>#N/A</v>
      </c>
      <c r="AH106" s="365" t="str">
        <f ca="1">AH$7</f>
        <v>'96 - '99 CAGR/Avg.</v>
      </c>
      <c r="AJ106" s="760">
        <f ca="1">AJ$7</f>
        <v>694327</v>
      </c>
      <c r="AK106" s="760">
        <f ca="1">AK$7</f>
        <v>694692</v>
      </c>
      <c r="AL106" s="760">
        <f ca="1">AL$7</f>
        <v>695057</v>
      </c>
      <c r="AM106" s="760">
        <f ca="1">AM$7</f>
        <v>695422</v>
      </c>
      <c r="AN106" s="760">
        <f ca="1">AN$7</f>
        <v>695787</v>
      </c>
      <c r="AP106" s="365" t="str">
        <f ca="1">AP$7</f>
        <v>'00 - '04 CAGR/Avg.</v>
      </c>
    </row>
    <row r="107" spans="1:52">
      <c r="A107" s="341" t="s">
        <v>539</v>
      </c>
      <c r="B107" s="342" t="s">
        <v>533</v>
      </c>
      <c r="C107" s="342" t="e">
        <f>C44/AVERAGE(B$15:C$15)</f>
        <v>#DIV/0!</v>
      </c>
      <c r="D107" s="342" t="e">
        <f>D44/AVERAGE(C$15:D$15)</f>
        <v>#DIV/0!</v>
      </c>
      <c r="E107" s="342" t="e">
        <f>E44/AVERAGE(D$15:E$15)</f>
        <v>#DIV/0!</v>
      </c>
      <c r="F107" s="342" t="s">
        <v>533</v>
      </c>
      <c r="G107" s="342" t="s">
        <v>533</v>
      </c>
      <c r="H107" s="342" t="s">
        <v>533</v>
      </c>
      <c r="I107" s="342" t="s">
        <v>533</v>
      </c>
      <c r="J107" s="342" t="s">
        <v>533</v>
      </c>
      <c r="K107" s="342" t="s">
        <v>533</v>
      </c>
      <c r="L107" s="342" t="s">
        <v>533</v>
      </c>
      <c r="M107" s="342" t="s">
        <v>533</v>
      </c>
      <c r="N107" s="342" t="s">
        <v>533</v>
      </c>
      <c r="O107" s="342" t="s">
        <v>533</v>
      </c>
      <c r="P107" s="342" t="s">
        <v>533</v>
      </c>
      <c r="Q107" s="342" t="s">
        <v>533</v>
      </c>
      <c r="R107" s="342" t="e">
        <f ca="1">R44/AVERAGE(E$15,R$15)</f>
        <v>#DIV/0!</v>
      </c>
      <c r="S107" s="342" t="e">
        <f t="shared" ref="S107:AD107" ca="1" si="41">(S44*(12/S$5))/AVERAGE($R$15,S$15)</f>
        <v>#DIV/0!</v>
      </c>
      <c r="T107" s="342" t="e">
        <f t="shared" ca="1" si="41"/>
        <v>#DIV/0!</v>
      </c>
      <c r="U107" s="342" t="e">
        <f t="shared" ca="1" si="41"/>
        <v>#DIV/0!</v>
      </c>
      <c r="V107" s="342" t="e">
        <f t="shared" ca="1" si="41"/>
        <v>#DIV/0!</v>
      </c>
      <c r="W107" s="342" t="e">
        <f t="shared" ca="1" si="41"/>
        <v>#DIV/0!</v>
      </c>
      <c r="X107" s="342" t="e">
        <f t="shared" ca="1" si="41"/>
        <v>#DIV/0!</v>
      </c>
      <c r="Y107" s="342" t="e">
        <f t="shared" ca="1" si="41"/>
        <v>#DIV/0!</v>
      </c>
      <c r="Z107" s="342" t="e">
        <f t="shared" ca="1" si="41"/>
        <v>#DIV/0!</v>
      </c>
      <c r="AA107" s="342" t="e">
        <f t="shared" ca="1" si="41"/>
        <v>#DIV/0!</v>
      </c>
      <c r="AB107" s="342" t="e">
        <f t="shared" ca="1" si="41"/>
        <v>#DIV/0!</v>
      </c>
      <c r="AC107" s="342" t="e">
        <f t="shared" ca="1" si="41"/>
        <v>#DIV/0!</v>
      </c>
      <c r="AD107" s="342" t="e">
        <f t="shared" ca="1" si="41"/>
        <v>#DIV/0!</v>
      </c>
      <c r="AE107" s="342" t="e">
        <f ca="1">HLOOKUP(1,S$6:AD107,ROW(AE107)-5,FALSE)</f>
        <v>#N/A</v>
      </c>
      <c r="AF107" s="342" t="e">
        <f ca="1">AF44/AVERAGE(HLOOKUP(1,S$6:AD$15,ROW(AE$15)-5,FALSE),HLOOKUP(1,F$6:Q$15,ROW(AE$15)-5,FALSE))</f>
        <v>#N/A</v>
      </c>
      <c r="AH107" s="340" t="str">
        <f t="shared" ref="AH107:AH118" si="42">IFERROR(AVERAGE(C107:E107,R107),"NA")</f>
        <v>NA</v>
      </c>
      <c r="AJ107" s="342" t="e">
        <f ca="1">AJ44/AVERAGE(R$15,AJ$15)</f>
        <v>#DIV/0!</v>
      </c>
      <c r="AK107" s="342" t="e">
        <f>AK44/AVERAGE(AJ$15:AK$15)</f>
        <v>#DIV/0!</v>
      </c>
      <c r="AL107" s="342" t="e">
        <f>AL44/AVERAGE(AK$15:AL$15)</f>
        <v>#DIV/0!</v>
      </c>
      <c r="AM107" s="342" t="e">
        <f>AM44/AVERAGE(AL$15:AM$15)</f>
        <v>#DIV/0!</v>
      </c>
      <c r="AN107" s="342" t="e">
        <f>AN44/AVERAGE(AM$15:AN$15)</f>
        <v>#DIV/0!</v>
      </c>
      <c r="AP107" s="340" t="str">
        <f t="shared" ref="AP107:AP122" ca="1" si="43">IFERROR(AVERAGE(AJ107:AN107),"NA")</f>
        <v>NA</v>
      </c>
    </row>
    <row r="108" spans="1:52">
      <c r="A108" s="341" t="s">
        <v>542</v>
      </c>
      <c r="B108" s="342" t="s">
        <v>533</v>
      </c>
      <c r="C108" s="342" t="e">
        <f>-C52/AVERAGE(B$15:C$15)</f>
        <v>#DIV/0!</v>
      </c>
      <c r="D108" s="342" t="e">
        <f>-D52/AVERAGE(C$15:D$15)</f>
        <v>#DIV/0!</v>
      </c>
      <c r="E108" s="342" t="e">
        <f>-E52/AVERAGE(D$15:E$15)</f>
        <v>#DIV/0!</v>
      </c>
      <c r="F108" s="342" t="s">
        <v>533</v>
      </c>
      <c r="G108" s="342" t="s">
        <v>533</v>
      </c>
      <c r="H108" s="342" t="s">
        <v>533</v>
      </c>
      <c r="I108" s="342" t="s">
        <v>533</v>
      </c>
      <c r="J108" s="342" t="s">
        <v>533</v>
      </c>
      <c r="K108" s="342" t="s">
        <v>533</v>
      </c>
      <c r="L108" s="342" t="s">
        <v>533</v>
      </c>
      <c r="M108" s="342" t="s">
        <v>533</v>
      </c>
      <c r="N108" s="342" t="s">
        <v>533</v>
      </c>
      <c r="O108" s="342" t="s">
        <v>533</v>
      </c>
      <c r="P108" s="342" t="s">
        <v>533</v>
      </c>
      <c r="Q108" s="342" t="s">
        <v>533</v>
      </c>
      <c r="R108" s="342" t="e">
        <f ca="1">-R52/AVERAGE(E$15,R$15)</f>
        <v>#DIV/0!</v>
      </c>
      <c r="S108" s="342" t="e">
        <f t="shared" ref="S108:AD108" ca="1" si="44">(-S52*(12/S$5))/AVERAGE($R$15,S$15)</f>
        <v>#DIV/0!</v>
      </c>
      <c r="T108" s="342" t="e">
        <f t="shared" ca="1" si="44"/>
        <v>#DIV/0!</v>
      </c>
      <c r="U108" s="342" t="e">
        <f t="shared" ca="1" si="44"/>
        <v>#DIV/0!</v>
      </c>
      <c r="V108" s="342" t="e">
        <f t="shared" ca="1" si="44"/>
        <v>#DIV/0!</v>
      </c>
      <c r="W108" s="342" t="e">
        <f t="shared" ca="1" si="44"/>
        <v>#DIV/0!</v>
      </c>
      <c r="X108" s="342" t="e">
        <f t="shared" ca="1" si="44"/>
        <v>#DIV/0!</v>
      </c>
      <c r="Y108" s="342" t="e">
        <f t="shared" ca="1" si="44"/>
        <v>#DIV/0!</v>
      </c>
      <c r="Z108" s="342" t="e">
        <f t="shared" ca="1" si="44"/>
        <v>#DIV/0!</v>
      </c>
      <c r="AA108" s="342" t="e">
        <f t="shared" ca="1" si="44"/>
        <v>#DIV/0!</v>
      </c>
      <c r="AB108" s="342" t="e">
        <f t="shared" ca="1" si="44"/>
        <v>#DIV/0!</v>
      </c>
      <c r="AC108" s="342" t="e">
        <f t="shared" ca="1" si="44"/>
        <v>#DIV/0!</v>
      </c>
      <c r="AD108" s="342" t="e">
        <f t="shared" ca="1" si="44"/>
        <v>#DIV/0!</v>
      </c>
      <c r="AE108" s="342" t="e">
        <f ca="1">HLOOKUP(1,S$6:AD108,ROW(AE108)-5,FALSE)</f>
        <v>#N/A</v>
      </c>
      <c r="AF108" s="342" t="e">
        <f ca="1">-AF52/AVERAGE(HLOOKUP(1,S$6:AD$15,ROW(AE$15)-5,FALSE),HLOOKUP(1,F$6:Q$15,ROW(AE$15)-5,FALSE))</f>
        <v>#N/A</v>
      </c>
      <c r="AH108" s="340" t="str">
        <f t="shared" si="42"/>
        <v>NA</v>
      </c>
      <c r="AJ108" s="342" t="e">
        <f ca="1">-AJ52/AVERAGE(R$15,AJ$15)</f>
        <v>#DIV/0!</v>
      </c>
      <c r="AK108" s="342" t="e">
        <f>-AK52/AVERAGE(AJ$15:AK$15)</f>
        <v>#DIV/0!</v>
      </c>
      <c r="AL108" s="342" t="e">
        <f>-AL52/AVERAGE(AK$15:AL$15)</f>
        <v>#DIV/0!</v>
      </c>
      <c r="AM108" s="342" t="e">
        <f>-AM52/AVERAGE(AL$15:AM$15)</f>
        <v>#DIV/0!</v>
      </c>
      <c r="AN108" s="342" t="e">
        <f>-AN52/AVERAGE(AM$15:AN$15)</f>
        <v>#DIV/0!</v>
      </c>
      <c r="AP108" s="340" t="str">
        <f t="shared" ca="1" si="43"/>
        <v>NA</v>
      </c>
    </row>
    <row r="109" spans="1:52" s="849" customFormat="1">
      <c r="A109" s="851" t="s">
        <v>538</v>
      </c>
      <c r="B109" s="848" t="s">
        <v>533</v>
      </c>
      <c r="C109" s="848" t="e">
        <f>-C45/AVERAGE(B$25+B$24,C$25+C$24)</f>
        <v>#DIV/0!</v>
      </c>
      <c r="D109" s="848" t="e">
        <f>-D45/AVERAGE(C$25+C$24,D$25+D$24)</f>
        <v>#DIV/0!</v>
      </c>
      <c r="E109" s="848" t="e">
        <f>-E45/AVERAGE(D$25+D$24,E$25+E$24)</f>
        <v>#DIV/0!</v>
      </c>
      <c r="F109" s="848" t="s">
        <v>533</v>
      </c>
      <c r="G109" s="848" t="s">
        <v>533</v>
      </c>
      <c r="H109" s="848" t="s">
        <v>533</v>
      </c>
      <c r="I109" s="848" t="s">
        <v>533</v>
      </c>
      <c r="J109" s="848" t="s">
        <v>533</v>
      </c>
      <c r="K109" s="848" t="s">
        <v>533</v>
      </c>
      <c r="L109" s="848" t="s">
        <v>533</v>
      </c>
      <c r="M109" s="848" t="s">
        <v>533</v>
      </c>
      <c r="N109" s="848" t="s">
        <v>533</v>
      </c>
      <c r="O109" s="848" t="s">
        <v>533</v>
      </c>
      <c r="P109" s="848" t="s">
        <v>533</v>
      </c>
      <c r="Q109" s="848" t="s">
        <v>533</v>
      </c>
      <c r="R109" s="848" t="e">
        <f ca="1">-R45/AVERAGE(E$25+E$24,R$25+R$24)</f>
        <v>#DIV/0!</v>
      </c>
      <c r="S109" s="848" t="e">
        <f t="shared" ref="S109:AD109" ca="1" si="45">-(S45*(12/S$5))/AVERAGE($R$25,S$25)</f>
        <v>#DIV/0!</v>
      </c>
      <c r="T109" s="848" t="e">
        <f t="shared" ca="1" si="45"/>
        <v>#DIV/0!</v>
      </c>
      <c r="U109" s="848" t="e">
        <f t="shared" ca="1" si="45"/>
        <v>#DIV/0!</v>
      </c>
      <c r="V109" s="848" t="e">
        <f t="shared" ca="1" si="45"/>
        <v>#DIV/0!</v>
      </c>
      <c r="W109" s="848" t="e">
        <f t="shared" ca="1" si="45"/>
        <v>#DIV/0!</v>
      </c>
      <c r="X109" s="848" t="e">
        <f t="shared" ca="1" si="45"/>
        <v>#DIV/0!</v>
      </c>
      <c r="Y109" s="848" t="e">
        <f t="shared" ca="1" si="45"/>
        <v>#DIV/0!</v>
      </c>
      <c r="Z109" s="848" t="e">
        <f t="shared" ca="1" si="45"/>
        <v>#DIV/0!</v>
      </c>
      <c r="AA109" s="848" t="e">
        <f t="shared" ca="1" si="45"/>
        <v>#DIV/0!</v>
      </c>
      <c r="AB109" s="848" t="e">
        <f t="shared" ca="1" si="45"/>
        <v>#DIV/0!</v>
      </c>
      <c r="AC109" s="848" t="e">
        <f t="shared" ca="1" si="45"/>
        <v>#DIV/0!</v>
      </c>
      <c r="AD109" s="848" t="e">
        <f t="shared" ca="1" si="45"/>
        <v>#DIV/0!</v>
      </c>
      <c r="AE109" s="848" t="e">
        <f ca="1">HLOOKUP(1,S$6:AD109,ROW(AE109)-5,FALSE)</f>
        <v>#N/A</v>
      </c>
      <c r="AF109" s="848" t="e">
        <f ca="1">-AF45/AVERAGE(HLOOKUP(1,S$6:AD$25,ROW(AE$25)-5,FALSE),HLOOKUP(1,F$6:Q$25,ROW(AE$25)-5,FALSE))</f>
        <v>#N/A</v>
      </c>
      <c r="AH109" s="850" t="str">
        <f t="shared" si="42"/>
        <v>NA</v>
      </c>
      <c r="AI109" s="855"/>
      <c r="AJ109" s="848" t="e">
        <f ca="1">-AJ45/AVERAGE(R$25+R$24,AJ$25+AJ$24)</f>
        <v>#DIV/0!</v>
      </c>
      <c r="AK109" s="848" t="e">
        <f>-AK45/AVERAGE(AJ$25+AJ$24,AK$25+AK$24)</f>
        <v>#DIV/0!</v>
      </c>
      <c r="AL109" s="848" t="e">
        <f>-AL45/AVERAGE(AK$25+AK$24,AL$25+AL$24)</f>
        <v>#DIV/0!</v>
      </c>
      <c r="AM109" s="848" t="e">
        <f>-AM45/AVERAGE(AL$25+AL$24,AM$25+AM$24)</f>
        <v>#DIV/0!</v>
      </c>
      <c r="AN109" s="848" t="e">
        <f>-AN45/AVERAGE(AM$25+AM$24,AN$25+AN$24)</f>
        <v>#DIV/0!</v>
      </c>
      <c r="AO109" s="852"/>
      <c r="AP109" s="850" t="str">
        <f t="shared" ca="1" si="43"/>
        <v>NA</v>
      </c>
    </row>
    <row r="110" spans="1:52" s="396" customFormat="1">
      <c r="A110" s="341" t="s">
        <v>565</v>
      </c>
      <c r="B110" s="342" t="str">
        <f>B64</f>
        <v/>
      </c>
      <c r="C110" s="342" t="str">
        <f>C64</f>
        <v/>
      </c>
      <c r="D110" s="342" t="str">
        <f t="shared" ref="D110:AN110" si="46">D64</f>
        <v/>
      </c>
      <c r="E110" s="342" t="str">
        <f t="shared" si="46"/>
        <v/>
      </c>
      <c r="F110" s="342" t="str">
        <f t="shared" ca="1" si="46"/>
        <v/>
      </c>
      <c r="G110" s="342" t="str">
        <f t="shared" ca="1" si="46"/>
        <v/>
      </c>
      <c r="H110" s="342" t="str">
        <f t="shared" ca="1" si="46"/>
        <v/>
      </c>
      <c r="I110" s="342" t="str">
        <f t="shared" ca="1" si="46"/>
        <v/>
      </c>
      <c r="J110" s="342" t="str">
        <f t="shared" ca="1" si="46"/>
        <v/>
      </c>
      <c r="K110" s="342" t="str">
        <f t="shared" ca="1" si="46"/>
        <v/>
      </c>
      <c r="L110" s="342" t="str">
        <f t="shared" ca="1" si="46"/>
        <v/>
      </c>
      <c r="M110" s="342" t="str">
        <f t="shared" ca="1" si="46"/>
        <v/>
      </c>
      <c r="N110" s="342" t="str">
        <f t="shared" ca="1" si="46"/>
        <v/>
      </c>
      <c r="O110" s="342" t="str">
        <f t="shared" ca="1" si="46"/>
        <v/>
      </c>
      <c r="P110" s="342" t="str">
        <f t="shared" ca="1" si="46"/>
        <v/>
      </c>
      <c r="Q110" s="342" t="str">
        <f t="shared" ca="1" si="46"/>
        <v/>
      </c>
      <c r="R110" s="342" t="str">
        <f t="shared" ca="1" si="46"/>
        <v/>
      </c>
      <c r="S110" s="342" t="str">
        <f t="shared" ca="1" si="46"/>
        <v/>
      </c>
      <c r="T110" s="342" t="str">
        <f t="shared" ca="1" si="46"/>
        <v/>
      </c>
      <c r="U110" s="342" t="str">
        <f t="shared" ca="1" si="46"/>
        <v/>
      </c>
      <c r="V110" s="342" t="str">
        <f t="shared" ca="1" si="46"/>
        <v/>
      </c>
      <c r="W110" s="342" t="str">
        <f t="shared" ca="1" si="46"/>
        <v/>
      </c>
      <c r="X110" s="342" t="str">
        <f t="shared" ca="1" si="46"/>
        <v/>
      </c>
      <c r="Y110" s="342" t="str">
        <f t="shared" ca="1" si="46"/>
        <v/>
      </c>
      <c r="Z110" s="342" t="str">
        <f t="shared" ca="1" si="46"/>
        <v/>
      </c>
      <c r="AA110" s="342" t="str">
        <f t="shared" ca="1" si="46"/>
        <v/>
      </c>
      <c r="AB110" s="342" t="str">
        <f t="shared" ca="1" si="46"/>
        <v/>
      </c>
      <c r="AC110" s="342" t="str">
        <f t="shared" ca="1" si="46"/>
        <v/>
      </c>
      <c r="AD110" s="342" t="str">
        <f t="shared" ca="1" si="46"/>
        <v/>
      </c>
      <c r="AE110" s="342" t="e">
        <f t="shared" ca="1" si="46"/>
        <v>#N/A</v>
      </c>
      <c r="AF110" s="342" t="e">
        <f t="shared" ca="1" si="46"/>
        <v>#N/A</v>
      </c>
      <c r="AG110" s="126"/>
      <c r="AH110" s="340" t="str">
        <f t="shared" ca="1" si="42"/>
        <v>NA</v>
      </c>
      <c r="AJ110" s="342" t="str">
        <f t="shared" si="46"/>
        <v/>
      </c>
      <c r="AK110" s="342" t="str">
        <f t="shared" si="46"/>
        <v/>
      </c>
      <c r="AL110" s="342" t="str">
        <f t="shared" si="46"/>
        <v/>
      </c>
      <c r="AM110" s="342" t="str">
        <f t="shared" si="46"/>
        <v/>
      </c>
      <c r="AN110" s="342" t="str">
        <f t="shared" si="46"/>
        <v/>
      </c>
      <c r="AP110" s="340" t="str">
        <f t="shared" si="43"/>
        <v>NA</v>
      </c>
    </row>
    <row r="111" spans="1:52">
      <c r="A111" s="341" t="s">
        <v>547</v>
      </c>
      <c r="B111" s="342" t="s">
        <v>533</v>
      </c>
      <c r="C111" s="342" t="e">
        <f>C71/C69</f>
        <v>#DIV/0!</v>
      </c>
      <c r="D111" s="342" t="e">
        <f t="shared" ref="D111:AN111" si="47">D71/D69</f>
        <v>#DIV/0!</v>
      </c>
      <c r="E111" s="342" t="e">
        <f t="shared" si="47"/>
        <v>#DIV/0!</v>
      </c>
      <c r="F111" s="342" t="e">
        <f t="shared" ca="1" si="47"/>
        <v>#DIV/0!</v>
      </c>
      <c r="G111" s="342" t="e">
        <f t="shared" ca="1" si="47"/>
        <v>#DIV/0!</v>
      </c>
      <c r="H111" s="342" t="e">
        <f t="shared" ca="1" si="47"/>
        <v>#DIV/0!</v>
      </c>
      <c r="I111" s="342" t="e">
        <f t="shared" ca="1" si="47"/>
        <v>#DIV/0!</v>
      </c>
      <c r="J111" s="342" t="e">
        <f t="shared" ca="1" si="47"/>
        <v>#DIV/0!</v>
      </c>
      <c r="K111" s="342" t="e">
        <f t="shared" ca="1" si="47"/>
        <v>#DIV/0!</v>
      </c>
      <c r="L111" s="342" t="e">
        <f t="shared" ca="1" si="47"/>
        <v>#DIV/0!</v>
      </c>
      <c r="M111" s="342" t="e">
        <f t="shared" ca="1" si="47"/>
        <v>#DIV/0!</v>
      </c>
      <c r="N111" s="342" t="e">
        <f t="shared" ca="1" si="47"/>
        <v>#DIV/0!</v>
      </c>
      <c r="O111" s="342" t="e">
        <f t="shared" ca="1" si="47"/>
        <v>#DIV/0!</v>
      </c>
      <c r="P111" s="342" t="e">
        <f t="shared" ca="1" si="47"/>
        <v>#DIV/0!</v>
      </c>
      <c r="Q111" s="342" t="e">
        <f t="shared" ca="1" si="47"/>
        <v>#DIV/0!</v>
      </c>
      <c r="R111" s="342" t="e">
        <f t="shared" ca="1" si="47"/>
        <v>#DIV/0!</v>
      </c>
      <c r="S111" s="342" t="e">
        <f t="shared" ca="1" si="47"/>
        <v>#DIV/0!</v>
      </c>
      <c r="T111" s="342" t="e">
        <f t="shared" ca="1" si="47"/>
        <v>#DIV/0!</v>
      </c>
      <c r="U111" s="342" t="e">
        <f t="shared" ca="1" si="47"/>
        <v>#DIV/0!</v>
      </c>
      <c r="V111" s="342" t="e">
        <f t="shared" ca="1" si="47"/>
        <v>#DIV/0!</v>
      </c>
      <c r="W111" s="342" t="e">
        <f t="shared" ca="1" si="47"/>
        <v>#DIV/0!</v>
      </c>
      <c r="X111" s="342" t="e">
        <f t="shared" ca="1" si="47"/>
        <v>#DIV/0!</v>
      </c>
      <c r="Y111" s="342" t="e">
        <f t="shared" ca="1" si="47"/>
        <v>#DIV/0!</v>
      </c>
      <c r="Z111" s="342" t="e">
        <f t="shared" ca="1" si="47"/>
        <v>#DIV/0!</v>
      </c>
      <c r="AA111" s="342" t="e">
        <f t="shared" ca="1" si="47"/>
        <v>#DIV/0!</v>
      </c>
      <c r="AB111" s="342" t="e">
        <f t="shared" ca="1" si="47"/>
        <v>#DIV/0!</v>
      </c>
      <c r="AC111" s="342" t="e">
        <f t="shared" ca="1" si="47"/>
        <v>#DIV/0!</v>
      </c>
      <c r="AD111" s="342" t="e">
        <f t="shared" ca="1" si="47"/>
        <v>#DIV/0!</v>
      </c>
      <c r="AE111" s="342" t="e">
        <f t="shared" ca="1" si="47"/>
        <v>#N/A</v>
      </c>
      <c r="AF111" s="342" t="e">
        <f t="shared" ca="1" si="47"/>
        <v>#N/A</v>
      </c>
      <c r="AH111" s="340" t="str">
        <f t="shared" si="42"/>
        <v>NA</v>
      </c>
      <c r="AJ111" s="342" t="e">
        <f t="shared" si="47"/>
        <v>#DIV/0!</v>
      </c>
      <c r="AK111" s="342" t="e">
        <f t="shared" si="47"/>
        <v>#DIV/0!</v>
      </c>
      <c r="AL111" s="342" t="e">
        <f t="shared" si="47"/>
        <v>#DIV/0!</v>
      </c>
      <c r="AM111" s="342" t="e">
        <f t="shared" si="47"/>
        <v>#DIV/0!</v>
      </c>
      <c r="AN111" s="342" t="e">
        <f t="shared" si="47"/>
        <v>#DIV/0!</v>
      </c>
      <c r="AP111" s="340" t="str">
        <f t="shared" si="43"/>
        <v>NA</v>
      </c>
    </row>
    <row r="112" spans="1:52">
      <c r="A112" s="341" t="s">
        <v>573</v>
      </c>
      <c r="B112" s="342" t="e">
        <f t="shared" ref="B112:AE112" si="48">B24/B15</f>
        <v>#DIV/0!</v>
      </c>
      <c r="C112" s="342" t="e">
        <f t="shared" si="48"/>
        <v>#DIV/0!</v>
      </c>
      <c r="D112" s="342" t="e">
        <f t="shared" si="48"/>
        <v>#DIV/0!</v>
      </c>
      <c r="E112" s="342" t="e">
        <f t="shared" si="48"/>
        <v>#DIV/0!</v>
      </c>
      <c r="F112" s="342" t="e">
        <f t="shared" ca="1" si="48"/>
        <v>#DIV/0!</v>
      </c>
      <c r="G112" s="342" t="e">
        <f t="shared" ca="1" si="48"/>
        <v>#DIV/0!</v>
      </c>
      <c r="H112" s="342" t="e">
        <f t="shared" ca="1" si="48"/>
        <v>#DIV/0!</v>
      </c>
      <c r="I112" s="342" t="e">
        <f t="shared" ca="1" si="48"/>
        <v>#DIV/0!</v>
      </c>
      <c r="J112" s="342" t="e">
        <f t="shared" ca="1" si="48"/>
        <v>#DIV/0!</v>
      </c>
      <c r="K112" s="342" t="e">
        <f t="shared" ca="1" si="48"/>
        <v>#DIV/0!</v>
      </c>
      <c r="L112" s="342" t="e">
        <f t="shared" ca="1" si="48"/>
        <v>#DIV/0!</v>
      </c>
      <c r="M112" s="342" t="e">
        <f t="shared" ca="1" si="48"/>
        <v>#DIV/0!</v>
      </c>
      <c r="N112" s="342" t="e">
        <f t="shared" ca="1" si="48"/>
        <v>#DIV/0!</v>
      </c>
      <c r="O112" s="342" t="e">
        <f t="shared" ca="1" si="48"/>
        <v>#DIV/0!</v>
      </c>
      <c r="P112" s="342" t="e">
        <f t="shared" ca="1" si="48"/>
        <v>#DIV/0!</v>
      </c>
      <c r="Q112" s="342" t="e">
        <f t="shared" ca="1" si="48"/>
        <v>#DIV/0!</v>
      </c>
      <c r="R112" s="342" t="e">
        <f t="shared" ca="1" si="48"/>
        <v>#DIV/0!</v>
      </c>
      <c r="S112" s="342" t="e">
        <f t="shared" ca="1" si="48"/>
        <v>#DIV/0!</v>
      </c>
      <c r="T112" s="342" t="e">
        <f t="shared" ca="1" si="48"/>
        <v>#DIV/0!</v>
      </c>
      <c r="U112" s="342" t="e">
        <f t="shared" ca="1" si="48"/>
        <v>#DIV/0!</v>
      </c>
      <c r="V112" s="342" t="e">
        <f t="shared" ca="1" si="48"/>
        <v>#DIV/0!</v>
      </c>
      <c r="W112" s="342" t="e">
        <f t="shared" ca="1" si="48"/>
        <v>#DIV/0!</v>
      </c>
      <c r="X112" s="342" t="e">
        <f t="shared" ca="1" si="48"/>
        <v>#DIV/0!</v>
      </c>
      <c r="Y112" s="342" t="e">
        <f t="shared" ca="1" si="48"/>
        <v>#DIV/0!</v>
      </c>
      <c r="Z112" s="342" t="e">
        <f t="shared" ca="1" si="48"/>
        <v>#DIV/0!</v>
      </c>
      <c r="AA112" s="342" t="e">
        <f t="shared" ca="1" si="48"/>
        <v>#DIV/0!</v>
      </c>
      <c r="AB112" s="342" t="e">
        <f t="shared" ca="1" si="48"/>
        <v>#DIV/0!</v>
      </c>
      <c r="AC112" s="342" t="e">
        <f t="shared" ca="1" si="48"/>
        <v>#DIV/0!</v>
      </c>
      <c r="AD112" s="342" t="e">
        <f t="shared" ca="1" si="48"/>
        <v>#DIV/0!</v>
      </c>
      <c r="AE112" s="342" t="e">
        <f t="shared" ca="1" si="48"/>
        <v>#N/A</v>
      </c>
      <c r="AF112" s="342" t="e">
        <f ca="1">AE112</f>
        <v>#N/A</v>
      </c>
      <c r="AH112" s="340" t="str">
        <f t="shared" si="42"/>
        <v>NA</v>
      </c>
      <c r="AJ112" s="342" t="e">
        <f>AJ24/AJ15</f>
        <v>#DIV/0!</v>
      </c>
      <c r="AK112" s="342" t="e">
        <f>AK24/AK15</f>
        <v>#DIV/0!</v>
      </c>
      <c r="AL112" s="342" t="e">
        <f>AL24/AL15</f>
        <v>#DIV/0!</v>
      </c>
      <c r="AM112" s="342" t="e">
        <f>AM24/AM15</f>
        <v>#DIV/0!</v>
      </c>
      <c r="AN112" s="342" t="e">
        <f>AN24/AN15</f>
        <v>#DIV/0!</v>
      </c>
      <c r="AP112" s="340" t="str">
        <f t="shared" si="43"/>
        <v>NA</v>
      </c>
    </row>
    <row r="113" spans="1:52">
      <c r="A113" s="341" t="s">
        <v>527</v>
      </c>
      <c r="B113" s="342" t="s">
        <v>533</v>
      </c>
      <c r="C113" s="342" t="e">
        <f>(C15/B15)-1</f>
        <v>#DIV/0!</v>
      </c>
      <c r="D113" s="342" t="e">
        <f>(D15/C15)-1</f>
        <v>#DIV/0!</v>
      </c>
      <c r="E113" s="342" t="e">
        <f>(E15/D15)-1</f>
        <v>#DIV/0!</v>
      </c>
      <c r="F113" s="342" t="s">
        <v>533</v>
      </c>
      <c r="G113" s="342" t="s">
        <v>533</v>
      </c>
      <c r="H113" s="342" t="s">
        <v>533</v>
      </c>
      <c r="I113" s="342" t="s">
        <v>533</v>
      </c>
      <c r="J113" s="342" t="s">
        <v>533</v>
      </c>
      <c r="K113" s="342" t="s">
        <v>533</v>
      </c>
      <c r="L113" s="342" t="s">
        <v>533</v>
      </c>
      <c r="M113" s="342" t="s">
        <v>533</v>
      </c>
      <c r="N113" s="342" t="s">
        <v>533</v>
      </c>
      <c r="O113" s="342" t="s">
        <v>533</v>
      </c>
      <c r="P113" s="342" t="s">
        <v>533</v>
      </c>
      <c r="Q113" s="342" t="s">
        <v>533</v>
      </c>
      <c r="R113" s="342" t="e">
        <f t="shared" ref="R113:AD113" ca="1" si="49">(R15/E15)-1</f>
        <v>#DIV/0!</v>
      </c>
      <c r="S113" s="342" t="e">
        <f t="shared" ca="1" si="49"/>
        <v>#DIV/0!</v>
      </c>
      <c r="T113" s="342" t="e">
        <f t="shared" ca="1" si="49"/>
        <v>#DIV/0!</v>
      </c>
      <c r="U113" s="342" t="e">
        <f t="shared" ca="1" si="49"/>
        <v>#DIV/0!</v>
      </c>
      <c r="V113" s="342" t="e">
        <f t="shared" ca="1" si="49"/>
        <v>#DIV/0!</v>
      </c>
      <c r="W113" s="342" t="e">
        <f t="shared" ca="1" si="49"/>
        <v>#DIV/0!</v>
      </c>
      <c r="X113" s="342" t="e">
        <f t="shared" ca="1" si="49"/>
        <v>#DIV/0!</v>
      </c>
      <c r="Y113" s="342" t="e">
        <f t="shared" ca="1" si="49"/>
        <v>#DIV/0!</v>
      </c>
      <c r="Z113" s="342" t="e">
        <f t="shared" ca="1" si="49"/>
        <v>#DIV/0!</v>
      </c>
      <c r="AA113" s="342" t="e">
        <f t="shared" ca="1" si="49"/>
        <v>#DIV/0!</v>
      </c>
      <c r="AB113" s="342" t="e">
        <f t="shared" ca="1" si="49"/>
        <v>#DIV/0!</v>
      </c>
      <c r="AC113" s="342" t="e">
        <f t="shared" ca="1" si="49"/>
        <v>#DIV/0!</v>
      </c>
      <c r="AD113" s="342" t="e">
        <f t="shared" ca="1" si="49"/>
        <v>#DIV/0!</v>
      </c>
      <c r="AE113" s="342" t="e">
        <f ca="1">HLOOKUP(1,S$6:AD113,ROW(AE113)-5,FALSE)</f>
        <v>#N/A</v>
      </c>
      <c r="AF113" s="342" t="e">
        <f ca="1">AE113</f>
        <v>#N/A</v>
      </c>
      <c r="AH113" s="340" t="str">
        <f t="shared" si="42"/>
        <v>NA</v>
      </c>
      <c r="AJ113" s="342" t="e">
        <f ca="1">(AJ15/R15)-1</f>
        <v>#DIV/0!</v>
      </c>
      <c r="AK113" s="342" t="e">
        <f>(AK15/AJ15)-1</f>
        <v>#DIV/0!</v>
      </c>
      <c r="AL113" s="342" t="e">
        <f>(AL15/AK15)-1</f>
        <v>#DIV/0!</v>
      </c>
      <c r="AM113" s="342" t="e">
        <f>(AM15/AL15)-1</f>
        <v>#DIV/0!</v>
      </c>
      <c r="AN113" s="342" t="e">
        <f>(AN15/AM15)-1</f>
        <v>#DIV/0!</v>
      </c>
      <c r="AP113" s="340" t="str">
        <f t="shared" ca="1" si="43"/>
        <v>NA</v>
      </c>
    </row>
    <row r="114" spans="1:52" s="170" customFormat="1">
      <c r="A114" s="430" t="s">
        <v>51</v>
      </c>
      <c r="B114" s="427" t="e">
        <f t="shared" ref="B114:AE114" si="50">B92/B$15</f>
        <v>#DIV/0!</v>
      </c>
      <c r="C114" s="427" t="e">
        <f t="shared" si="50"/>
        <v>#DIV/0!</v>
      </c>
      <c r="D114" s="427" t="e">
        <f t="shared" si="50"/>
        <v>#DIV/0!</v>
      </c>
      <c r="E114" s="427" t="e">
        <f t="shared" si="50"/>
        <v>#DIV/0!</v>
      </c>
      <c r="F114" s="427" t="e">
        <f t="shared" ca="1" si="50"/>
        <v>#DIV/0!</v>
      </c>
      <c r="G114" s="427" t="e">
        <f t="shared" ca="1" si="50"/>
        <v>#DIV/0!</v>
      </c>
      <c r="H114" s="427" t="e">
        <f t="shared" ca="1" si="50"/>
        <v>#DIV/0!</v>
      </c>
      <c r="I114" s="427" t="e">
        <f t="shared" ca="1" si="50"/>
        <v>#DIV/0!</v>
      </c>
      <c r="J114" s="427" t="e">
        <f t="shared" ca="1" si="50"/>
        <v>#DIV/0!</v>
      </c>
      <c r="K114" s="427" t="e">
        <f t="shared" ca="1" si="50"/>
        <v>#DIV/0!</v>
      </c>
      <c r="L114" s="427" t="e">
        <f t="shared" ca="1" si="50"/>
        <v>#DIV/0!</v>
      </c>
      <c r="M114" s="427" t="e">
        <f t="shared" ca="1" si="50"/>
        <v>#DIV/0!</v>
      </c>
      <c r="N114" s="427" t="e">
        <f t="shared" ca="1" si="50"/>
        <v>#DIV/0!</v>
      </c>
      <c r="O114" s="427" t="e">
        <f t="shared" ca="1" si="50"/>
        <v>#DIV/0!</v>
      </c>
      <c r="P114" s="427" t="e">
        <f t="shared" ca="1" si="50"/>
        <v>#DIV/0!</v>
      </c>
      <c r="Q114" s="427" t="e">
        <f t="shared" ca="1" si="50"/>
        <v>#DIV/0!</v>
      </c>
      <c r="R114" s="427" t="e">
        <f t="shared" ca="1" si="50"/>
        <v>#DIV/0!</v>
      </c>
      <c r="S114" s="427" t="e">
        <f t="shared" ca="1" si="50"/>
        <v>#DIV/0!</v>
      </c>
      <c r="T114" s="427" t="e">
        <f t="shared" ca="1" si="50"/>
        <v>#DIV/0!</v>
      </c>
      <c r="U114" s="427" t="e">
        <f t="shared" ca="1" si="50"/>
        <v>#DIV/0!</v>
      </c>
      <c r="V114" s="427" t="e">
        <f t="shared" ca="1" si="50"/>
        <v>#DIV/0!</v>
      </c>
      <c r="W114" s="427" t="e">
        <f t="shared" ca="1" si="50"/>
        <v>#DIV/0!</v>
      </c>
      <c r="X114" s="427" t="e">
        <f t="shared" ca="1" si="50"/>
        <v>#DIV/0!</v>
      </c>
      <c r="Y114" s="427" t="e">
        <f t="shared" ca="1" si="50"/>
        <v>#DIV/0!</v>
      </c>
      <c r="Z114" s="427" t="e">
        <f t="shared" ca="1" si="50"/>
        <v>#DIV/0!</v>
      </c>
      <c r="AA114" s="427" t="e">
        <f t="shared" ca="1" si="50"/>
        <v>#DIV/0!</v>
      </c>
      <c r="AB114" s="427" t="e">
        <f t="shared" ca="1" si="50"/>
        <v>#DIV/0!</v>
      </c>
      <c r="AC114" s="427" t="e">
        <f t="shared" ca="1" si="50"/>
        <v>#DIV/0!</v>
      </c>
      <c r="AD114" s="427" t="e">
        <f t="shared" ca="1" si="50"/>
        <v>#DIV/0!</v>
      </c>
      <c r="AE114" s="427" t="e">
        <f t="shared" ca="1" si="50"/>
        <v>#N/A</v>
      </c>
      <c r="AF114" s="427" t="e">
        <f ca="1">AE114</f>
        <v>#N/A</v>
      </c>
      <c r="AG114" s="126"/>
      <c r="AH114" s="427" t="str">
        <f t="shared" si="42"/>
        <v>NA</v>
      </c>
      <c r="AI114" s="427"/>
      <c r="AJ114" s="427" t="e">
        <f>AJ92/AJ$15</f>
        <v>#DIV/0!</v>
      </c>
      <c r="AK114" s="427" t="e">
        <f>AK92/AK$15</f>
        <v>#DIV/0!</v>
      </c>
      <c r="AL114" s="427" t="e">
        <f>AL92/AL$15</f>
        <v>#DIV/0!</v>
      </c>
      <c r="AM114" s="427" t="e">
        <f>AM92/AM$15</f>
        <v>#DIV/0!</v>
      </c>
      <c r="AN114" s="427" t="e">
        <f>AN92/AN$15</f>
        <v>#DIV/0!</v>
      </c>
      <c r="AO114" s="404"/>
      <c r="AP114" s="427" t="str">
        <f t="shared" si="43"/>
        <v>NA</v>
      </c>
      <c r="AQ114" s="404"/>
      <c r="AR114" s="404"/>
      <c r="AS114" s="404"/>
      <c r="AT114" s="127"/>
      <c r="AU114" s="404"/>
      <c r="AV114" s="404"/>
      <c r="AW114" s="404"/>
      <c r="AX114" s="404"/>
      <c r="AY114" s="404"/>
      <c r="AZ114" s="127"/>
    </row>
    <row r="115" spans="1:52">
      <c r="A115" s="430" t="s">
        <v>549</v>
      </c>
      <c r="B115" s="427" t="e">
        <f>#REF!</f>
        <v>#REF!</v>
      </c>
      <c r="C115" s="427" t="e">
        <f t="shared" ref="C115:AE115" si="51">C97/C92</f>
        <v>#DIV/0!</v>
      </c>
      <c r="D115" s="427" t="e">
        <f t="shared" si="51"/>
        <v>#DIV/0!</v>
      </c>
      <c r="E115" s="427" t="e">
        <f t="shared" si="51"/>
        <v>#DIV/0!</v>
      </c>
      <c r="F115" s="427" t="e">
        <f t="shared" ca="1" si="51"/>
        <v>#DIV/0!</v>
      </c>
      <c r="G115" s="427" t="e">
        <f t="shared" ca="1" si="51"/>
        <v>#DIV/0!</v>
      </c>
      <c r="H115" s="427" t="e">
        <f t="shared" ca="1" si="51"/>
        <v>#DIV/0!</v>
      </c>
      <c r="I115" s="427" t="e">
        <f t="shared" ca="1" si="51"/>
        <v>#DIV/0!</v>
      </c>
      <c r="J115" s="427" t="e">
        <f t="shared" ca="1" si="51"/>
        <v>#DIV/0!</v>
      </c>
      <c r="K115" s="427" t="e">
        <f t="shared" ca="1" si="51"/>
        <v>#DIV/0!</v>
      </c>
      <c r="L115" s="427" t="e">
        <f t="shared" ca="1" si="51"/>
        <v>#DIV/0!</v>
      </c>
      <c r="M115" s="427" t="e">
        <f t="shared" ca="1" si="51"/>
        <v>#DIV/0!</v>
      </c>
      <c r="N115" s="427" t="e">
        <f t="shared" ca="1" si="51"/>
        <v>#DIV/0!</v>
      </c>
      <c r="O115" s="427" t="e">
        <f t="shared" ca="1" si="51"/>
        <v>#DIV/0!</v>
      </c>
      <c r="P115" s="427" t="e">
        <f t="shared" ca="1" si="51"/>
        <v>#DIV/0!</v>
      </c>
      <c r="Q115" s="427" t="e">
        <f t="shared" ca="1" si="51"/>
        <v>#DIV/0!</v>
      </c>
      <c r="R115" s="427" t="e">
        <f t="shared" ca="1" si="51"/>
        <v>#DIV/0!</v>
      </c>
      <c r="S115" s="427" t="e">
        <f t="shared" ca="1" si="51"/>
        <v>#DIV/0!</v>
      </c>
      <c r="T115" s="427" t="e">
        <f t="shared" ca="1" si="51"/>
        <v>#DIV/0!</v>
      </c>
      <c r="U115" s="427" t="e">
        <f t="shared" ca="1" si="51"/>
        <v>#DIV/0!</v>
      </c>
      <c r="V115" s="427" t="e">
        <f t="shared" ca="1" si="51"/>
        <v>#DIV/0!</v>
      </c>
      <c r="W115" s="427" t="e">
        <f t="shared" ca="1" si="51"/>
        <v>#DIV/0!</v>
      </c>
      <c r="X115" s="427" t="e">
        <f t="shared" ca="1" si="51"/>
        <v>#DIV/0!</v>
      </c>
      <c r="Y115" s="427" t="e">
        <f t="shared" ca="1" si="51"/>
        <v>#DIV/0!</v>
      </c>
      <c r="Z115" s="427" t="e">
        <f t="shared" ca="1" si="51"/>
        <v>#DIV/0!</v>
      </c>
      <c r="AA115" s="427" t="e">
        <f t="shared" ca="1" si="51"/>
        <v>#DIV/0!</v>
      </c>
      <c r="AB115" s="427" t="e">
        <f t="shared" ca="1" si="51"/>
        <v>#DIV/0!</v>
      </c>
      <c r="AC115" s="427" t="e">
        <f t="shared" ca="1" si="51"/>
        <v>#DIV/0!</v>
      </c>
      <c r="AD115" s="427" t="e">
        <f t="shared" ca="1" si="51"/>
        <v>#DIV/0!</v>
      </c>
      <c r="AE115" s="427" t="e">
        <f t="shared" ca="1" si="51"/>
        <v>#N/A</v>
      </c>
      <c r="AF115" s="427" t="e">
        <f ca="1">AE115</f>
        <v>#N/A</v>
      </c>
      <c r="AG115"/>
      <c r="AH115" s="340" t="str">
        <f t="shared" si="42"/>
        <v>NA</v>
      </c>
      <c r="AJ115" s="427" t="e">
        <f>AJ97/AJ92</f>
        <v>#DIV/0!</v>
      </c>
      <c r="AK115" s="427" t="e">
        <f>AK97/AK92</f>
        <v>#DIV/0!</v>
      </c>
      <c r="AL115" s="427" t="e">
        <f>AL97/AL92</f>
        <v>#DIV/0!</v>
      </c>
      <c r="AM115" s="427" t="e">
        <f>AM97/AM92</f>
        <v>#DIV/0!</v>
      </c>
      <c r="AN115" s="427" t="e">
        <f>AN97/AN92</f>
        <v>#DIV/0!</v>
      </c>
      <c r="AO115" s="126"/>
      <c r="AP115" s="340" t="str">
        <f t="shared" si="43"/>
        <v>NA</v>
      </c>
    </row>
    <row r="116" spans="1:52">
      <c r="A116" s="430" t="s">
        <v>548</v>
      </c>
      <c r="B116" s="427" t="e">
        <f>B98/B$92</f>
        <v>#DIV/0!</v>
      </c>
      <c r="C116" s="427" t="e">
        <f t="shared" ref="C116:AE116" si="52">C98/SUM(C$92,C$97)</f>
        <v>#DIV/0!</v>
      </c>
      <c r="D116" s="427" t="e">
        <f t="shared" si="52"/>
        <v>#DIV/0!</v>
      </c>
      <c r="E116" s="427" t="e">
        <f t="shared" si="52"/>
        <v>#DIV/0!</v>
      </c>
      <c r="F116" s="427" t="e">
        <f t="shared" ca="1" si="52"/>
        <v>#DIV/0!</v>
      </c>
      <c r="G116" s="427" t="e">
        <f t="shared" ca="1" si="52"/>
        <v>#DIV/0!</v>
      </c>
      <c r="H116" s="427" t="e">
        <f t="shared" ca="1" si="52"/>
        <v>#DIV/0!</v>
      </c>
      <c r="I116" s="427" t="e">
        <f t="shared" ca="1" si="52"/>
        <v>#DIV/0!</v>
      </c>
      <c r="J116" s="427" t="e">
        <f t="shared" ca="1" si="52"/>
        <v>#DIV/0!</v>
      </c>
      <c r="K116" s="427" t="e">
        <f t="shared" ca="1" si="52"/>
        <v>#DIV/0!</v>
      </c>
      <c r="L116" s="427" t="e">
        <f t="shared" ca="1" si="52"/>
        <v>#DIV/0!</v>
      </c>
      <c r="M116" s="427" t="e">
        <f t="shared" ca="1" si="52"/>
        <v>#DIV/0!</v>
      </c>
      <c r="N116" s="427" t="e">
        <f t="shared" ca="1" si="52"/>
        <v>#DIV/0!</v>
      </c>
      <c r="O116" s="427" t="e">
        <f t="shared" ca="1" si="52"/>
        <v>#DIV/0!</v>
      </c>
      <c r="P116" s="427" t="e">
        <f t="shared" ca="1" si="52"/>
        <v>#DIV/0!</v>
      </c>
      <c r="Q116" s="427" t="e">
        <f t="shared" ca="1" si="52"/>
        <v>#DIV/0!</v>
      </c>
      <c r="R116" s="427" t="e">
        <f t="shared" ca="1" si="52"/>
        <v>#DIV/0!</v>
      </c>
      <c r="S116" s="427" t="e">
        <f t="shared" ca="1" si="52"/>
        <v>#DIV/0!</v>
      </c>
      <c r="T116" s="427" t="e">
        <f t="shared" ca="1" si="52"/>
        <v>#DIV/0!</v>
      </c>
      <c r="U116" s="427" t="e">
        <f t="shared" ca="1" si="52"/>
        <v>#DIV/0!</v>
      </c>
      <c r="V116" s="427" t="e">
        <f t="shared" ca="1" si="52"/>
        <v>#DIV/0!</v>
      </c>
      <c r="W116" s="427" t="e">
        <f t="shared" ca="1" si="52"/>
        <v>#DIV/0!</v>
      </c>
      <c r="X116" s="427" t="e">
        <f t="shared" ca="1" si="52"/>
        <v>#DIV/0!</v>
      </c>
      <c r="Y116" s="427" t="e">
        <f t="shared" ca="1" si="52"/>
        <v>#DIV/0!</v>
      </c>
      <c r="Z116" s="427" t="e">
        <f t="shared" ca="1" si="52"/>
        <v>#DIV/0!</v>
      </c>
      <c r="AA116" s="427" t="e">
        <f t="shared" ca="1" si="52"/>
        <v>#DIV/0!</v>
      </c>
      <c r="AB116" s="427" t="e">
        <f t="shared" ca="1" si="52"/>
        <v>#DIV/0!</v>
      </c>
      <c r="AC116" s="427" t="e">
        <f t="shared" ca="1" si="52"/>
        <v>#DIV/0!</v>
      </c>
      <c r="AD116" s="427" t="e">
        <f t="shared" ca="1" si="52"/>
        <v>#DIV/0!</v>
      </c>
      <c r="AE116" s="427" t="e">
        <f t="shared" ca="1" si="52"/>
        <v>#N/A</v>
      </c>
      <c r="AF116" s="427" t="e">
        <f ca="1">AF98/SUM(AE$92,AE$97)</f>
        <v>#N/A</v>
      </c>
      <c r="AG116"/>
      <c r="AH116" s="340" t="str">
        <f t="shared" si="42"/>
        <v>NA</v>
      </c>
      <c r="AJ116" s="427" t="e">
        <f>AJ98/SUM(AJ$92,AJ$97)</f>
        <v>#DIV/0!</v>
      </c>
      <c r="AK116" s="427" t="e">
        <f>AK98/SUM(AK$92,AK$97)</f>
        <v>#DIV/0!</v>
      </c>
      <c r="AL116" s="427" t="e">
        <f>AL98/SUM(AL$92,AL$97)</f>
        <v>#DIV/0!</v>
      </c>
      <c r="AM116" s="427" t="e">
        <f>AM98/SUM(AM$92,AM$97)</f>
        <v>#DIV/0!</v>
      </c>
      <c r="AN116" s="427" t="e">
        <f>AN98/SUM(AN$92,AN$97)</f>
        <v>#DIV/0!</v>
      </c>
      <c r="AO116" s="126"/>
      <c r="AP116" s="340" t="str">
        <f t="shared" si="43"/>
        <v>NA</v>
      </c>
    </row>
    <row r="117" spans="1:52">
      <c r="A117" s="430" t="s">
        <v>572</v>
      </c>
      <c r="B117" s="427" t="str">
        <f>IF(B99=0,"NA",B99/B$92)</f>
        <v>NA</v>
      </c>
      <c r="C117" s="431" t="str">
        <f t="shared" ref="C117:AF117" si="53">IF(C99=0,"NA",C99/C$98)</f>
        <v>NA</v>
      </c>
      <c r="D117" s="431" t="str">
        <f t="shared" si="53"/>
        <v>NA</v>
      </c>
      <c r="E117" s="431" t="str">
        <f t="shared" si="53"/>
        <v>NA</v>
      </c>
      <c r="F117" s="431" t="str">
        <f t="shared" ca="1" si="53"/>
        <v>NA</v>
      </c>
      <c r="G117" s="431" t="str">
        <f t="shared" ca="1" si="53"/>
        <v>NA</v>
      </c>
      <c r="H117" s="431" t="str">
        <f t="shared" ca="1" si="53"/>
        <v>NA</v>
      </c>
      <c r="I117" s="431" t="str">
        <f t="shared" ca="1" si="53"/>
        <v>NA</v>
      </c>
      <c r="J117" s="431" t="str">
        <f t="shared" ca="1" si="53"/>
        <v>NA</v>
      </c>
      <c r="K117" s="431" t="str">
        <f t="shared" ca="1" si="53"/>
        <v>NA</v>
      </c>
      <c r="L117" s="431" t="str">
        <f t="shared" ca="1" si="53"/>
        <v>NA</v>
      </c>
      <c r="M117" s="431" t="str">
        <f t="shared" ca="1" si="53"/>
        <v>NA</v>
      </c>
      <c r="N117" s="431" t="str">
        <f t="shared" ca="1" si="53"/>
        <v>NA</v>
      </c>
      <c r="O117" s="431" t="str">
        <f t="shared" ca="1" si="53"/>
        <v>NA</v>
      </c>
      <c r="P117" s="431" t="str">
        <f t="shared" ca="1" si="53"/>
        <v>NA</v>
      </c>
      <c r="Q117" s="431" t="str">
        <f t="shared" ca="1" si="53"/>
        <v>NA</v>
      </c>
      <c r="R117" s="431" t="str">
        <f t="shared" ca="1" si="53"/>
        <v>NA</v>
      </c>
      <c r="S117" s="431" t="str">
        <f t="shared" ca="1" si="53"/>
        <v>NA</v>
      </c>
      <c r="T117" s="431" t="str">
        <f t="shared" ca="1" si="53"/>
        <v>NA</v>
      </c>
      <c r="U117" s="431" t="str">
        <f t="shared" ca="1" si="53"/>
        <v>NA</v>
      </c>
      <c r="V117" s="431" t="str">
        <f t="shared" ca="1" si="53"/>
        <v>NA</v>
      </c>
      <c r="W117" s="431" t="str">
        <f t="shared" ca="1" si="53"/>
        <v>NA</v>
      </c>
      <c r="X117" s="431" t="str">
        <f t="shared" ca="1" si="53"/>
        <v>NA</v>
      </c>
      <c r="Y117" s="431" t="str">
        <f t="shared" ca="1" si="53"/>
        <v>NA</v>
      </c>
      <c r="Z117" s="431" t="str">
        <f t="shared" ca="1" si="53"/>
        <v>NA</v>
      </c>
      <c r="AA117" s="431" t="str">
        <f t="shared" ca="1" si="53"/>
        <v>NA</v>
      </c>
      <c r="AB117" s="431" t="str">
        <f t="shared" ca="1" si="53"/>
        <v>NA</v>
      </c>
      <c r="AC117" s="431" t="str">
        <f t="shared" ca="1" si="53"/>
        <v>NA</v>
      </c>
      <c r="AD117" s="431" t="str">
        <f t="shared" ca="1" si="53"/>
        <v>NA</v>
      </c>
      <c r="AE117" s="431" t="e">
        <f t="shared" ca="1" si="53"/>
        <v>#N/A</v>
      </c>
      <c r="AF117" s="431" t="e">
        <f t="shared" ca="1" si="53"/>
        <v>#N/A</v>
      </c>
      <c r="AG117"/>
      <c r="AH117" s="340" t="str">
        <f t="shared" ca="1" si="42"/>
        <v>NA</v>
      </c>
      <c r="AJ117" s="431" t="str">
        <f>IF(AJ99=0,"NA",AJ99/AJ$98)</f>
        <v>NA</v>
      </c>
      <c r="AK117" s="431" t="str">
        <f>IF(AK99=0,"NA",AK99/AK$98)</f>
        <v>NA</v>
      </c>
      <c r="AL117" s="431" t="str">
        <f>IF(AL99=0,"NA",AL99/AL$98)</f>
        <v>NA</v>
      </c>
      <c r="AM117" s="431" t="str">
        <f>IF(AM99=0,"NA",AM99/AM$98)</f>
        <v>NA</v>
      </c>
      <c r="AN117" s="431" t="str">
        <f>IF(AN99=0,"NA",AN99/AN$98)</f>
        <v>NA</v>
      </c>
      <c r="AO117" s="126"/>
      <c r="AP117" s="340" t="str">
        <f t="shared" si="43"/>
        <v>NA</v>
      </c>
    </row>
    <row r="118" spans="1:52">
      <c r="A118" s="430" t="s">
        <v>566</v>
      </c>
      <c r="B118" s="427" t="s">
        <v>533</v>
      </c>
      <c r="C118" s="427" t="e">
        <f>-C47/AVERAGE(SUM(B92,B97),SUM(C92,C97))</f>
        <v>#DIV/0!</v>
      </c>
      <c r="D118" s="427" t="e">
        <f>-D47/AVERAGE(SUM(C92,C97),SUM(D92,D97))</f>
        <v>#DIV/0!</v>
      </c>
      <c r="E118" s="427" t="e">
        <f>-E47/AVERAGE(SUM(D92,D97),SUM(E92,E97))</f>
        <v>#DIV/0!</v>
      </c>
      <c r="F118" s="427" t="s">
        <v>533</v>
      </c>
      <c r="G118" s="427" t="s">
        <v>533</v>
      </c>
      <c r="H118" s="427" t="s">
        <v>533</v>
      </c>
      <c r="I118" s="427" t="s">
        <v>533</v>
      </c>
      <c r="J118" s="427" t="s">
        <v>533</v>
      </c>
      <c r="K118" s="427" t="s">
        <v>533</v>
      </c>
      <c r="L118" s="427" t="s">
        <v>533</v>
      </c>
      <c r="M118" s="427" t="s">
        <v>533</v>
      </c>
      <c r="N118" s="427" t="s">
        <v>533</v>
      </c>
      <c r="O118" s="427" t="s">
        <v>533</v>
      </c>
      <c r="P118" s="427" t="s">
        <v>533</v>
      </c>
      <c r="Q118" s="427" t="s">
        <v>533</v>
      </c>
      <c r="R118" s="427" t="e">
        <f ca="1">-R47/AVERAGE(SUM(E92,E97),SUM(R92,R97))</f>
        <v>#DIV/0!</v>
      </c>
      <c r="S118" s="437" t="e">
        <f t="shared" ref="S118:AD118" ca="1" si="54">(-S47*(12/S$5))/AVERAGE(SUM(F92,F97),SUM(S92,S97))</f>
        <v>#DIV/0!</v>
      </c>
      <c r="T118" s="427" t="e">
        <f t="shared" ca="1" si="54"/>
        <v>#DIV/0!</v>
      </c>
      <c r="U118" s="427" t="e">
        <f t="shared" ca="1" si="54"/>
        <v>#DIV/0!</v>
      </c>
      <c r="V118" s="427" t="e">
        <f t="shared" ca="1" si="54"/>
        <v>#DIV/0!</v>
      </c>
      <c r="W118" s="427" t="e">
        <f t="shared" ca="1" si="54"/>
        <v>#DIV/0!</v>
      </c>
      <c r="X118" s="427" t="e">
        <f t="shared" ca="1" si="54"/>
        <v>#DIV/0!</v>
      </c>
      <c r="Y118" s="427" t="e">
        <f t="shared" ca="1" si="54"/>
        <v>#DIV/0!</v>
      </c>
      <c r="Z118" s="427" t="e">
        <f t="shared" ca="1" si="54"/>
        <v>#DIV/0!</v>
      </c>
      <c r="AA118" s="427" t="e">
        <f t="shared" ca="1" si="54"/>
        <v>#DIV/0!</v>
      </c>
      <c r="AB118" s="427" t="e">
        <f t="shared" ca="1" si="54"/>
        <v>#DIV/0!</v>
      </c>
      <c r="AC118" s="427" t="e">
        <f t="shared" ca="1" si="54"/>
        <v>#DIV/0!</v>
      </c>
      <c r="AD118" s="427" t="e">
        <f t="shared" ca="1" si="54"/>
        <v>#DIV/0!</v>
      </c>
      <c r="AE118" s="342" t="e">
        <f ca="1">HLOOKUP(1,S$6:AD118,ROW(AE118)-5,FALSE)</f>
        <v>#N/A</v>
      </c>
      <c r="AF118" s="342" t="e">
        <f ca="1">-AF47/AVERAGE(SUM(HLOOKUP(1,F$6:Q$92,ROW(AE$92)-5,FALSE),HLOOKUP(1,F$6:Q$97,ROW(AE$97)-5,FALSE)),SUM(AE92,AE97))</f>
        <v>#N/A</v>
      </c>
      <c r="AG118"/>
      <c r="AH118" s="340" t="str">
        <f t="shared" si="42"/>
        <v>NA</v>
      </c>
      <c r="AJ118" s="427" t="e">
        <f ca="1">-AJ47/AVERAGE(SUM(R92,R97),SUM(AJ92,AJ97))</f>
        <v>#DIV/0!</v>
      </c>
      <c r="AK118" s="427" t="e">
        <f>-AK47/AVERAGE(SUM(AJ92,AJ97),SUM(AK92,AK97))</f>
        <v>#DIV/0!</v>
      </c>
      <c r="AL118" s="427" t="e">
        <f>-AL47/AVERAGE(SUM(AK92,AK97),SUM(AL92,AL97))</f>
        <v>#DIV/0!</v>
      </c>
      <c r="AM118" s="427" t="e">
        <f>-AM47/AVERAGE(SUM(AL92,AL97),SUM(AM92,AM97))</f>
        <v>#DIV/0!</v>
      </c>
      <c r="AN118" s="427" t="e">
        <f>-AN47/AVERAGE(SUM(AM92,AM97),SUM(AN92,AN97))</f>
        <v>#DIV/0!</v>
      </c>
      <c r="AO118" s="126"/>
      <c r="AP118" s="340" t="str">
        <f t="shared" ca="1" si="43"/>
        <v>NA</v>
      </c>
    </row>
    <row r="119" spans="1:52">
      <c r="A119" s="430" t="s">
        <v>544</v>
      </c>
      <c r="B119" s="427" t="e">
        <f>-B17/(B92+B97)</f>
        <v>#DIV/0!</v>
      </c>
      <c r="C119" s="427" t="e">
        <f t="shared" ref="C119:AF119" si="55">-C17/(C92+C97)</f>
        <v>#DIV/0!</v>
      </c>
      <c r="D119" s="427" t="e">
        <f t="shared" si="55"/>
        <v>#DIV/0!</v>
      </c>
      <c r="E119" s="427" t="e">
        <f t="shared" si="55"/>
        <v>#DIV/0!</v>
      </c>
      <c r="F119" s="427" t="e">
        <f t="shared" ca="1" si="55"/>
        <v>#DIV/0!</v>
      </c>
      <c r="G119" s="427" t="e">
        <f t="shared" ca="1" si="55"/>
        <v>#DIV/0!</v>
      </c>
      <c r="H119" s="427" t="e">
        <f t="shared" ca="1" si="55"/>
        <v>#DIV/0!</v>
      </c>
      <c r="I119" s="427" t="e">
        <f t="shared" ca="1" si="55"/>
        <v>#DIV/0!</v>
      </c>
      <c r="J119" s="427" t="e">
        <f t="shared" ca="1" si="55"/>
        <v>#DIV/0!</v>
      </c>
      <c r="K119" s="427" t="e">
        <f t="shared" ca="1" si="55"/>
        <v>#DIV/0!</v>
      </c>
      <c r="L119" s="427" t="e">
        <f t="shared" ca="1" si="55"/>
        <v>#DIV/0!</v>
      </c>
      <c r="M119" s="427" t="e">
        <f t="shared" ca="1" si="55"/>
        <v>#DIV/0!</v>
      </c>
      <c r="N119" s="427" t="e">
        <f t="shared" ca="1" si="55"/>
        <v>#DIV/0!</v>
      </c>
      <c r="O119" s="427" t="e">
        <f t="shared" ca="1" si="55"/>
        <v>#DIV/0!</v>
      </c>
      <c r="P119" s="427" t="e">
        <f t="shared" ca="1" si="55"/>
        <v>#DIV/0!</v>
      </c>
      <c r="Q119" s="427" t="e">
        <f t="shared" ca="1" si="55"/>
        <v>#DIV/0!</v>
      </c>
      <c r="R119" s="427" t="e">
        <f t="shared" ca="1" si="55"/>
        <v>#DIV/0!</v>
      </c>
      <c r="S119" s="437" t="e">
        <f t="shared" ca="1" si="55"/>
        <v>#DIV/0!</v>
      </c>
      <c r="T119" s="427" t="e">
        <f t="shared" ca="1" si="55"/>
        <v>#DIV/0!</v>
      </c>
      <c r="U119" s="427" t="e">
        <f t="shared" ca="1" si="55"/>
        <v>#DIV/0!</v>
      </c>
      <c r="V119" s="427" t="e">
        <f t="shared" ca="1" si="55"/>
        <v>#DIV/0!</v>
      </c>
      <c r="W119" s="427" t="e">
        <f t="shared" ca="1" si="55"/>
        <v>#DIV/0!</v>
      </c>
      <c r="X119" s="427" t="e">
        <f t="shared" ca="1" si="55"/>
        <v>#DIV/0!</v>
      </c>
      <c r="Y119" s="427" t="e">
        <f t="shared" ca="1" si="55"/>
        <v>#DIV/0!</v>
      </c>
      <c r="Z119" s="427" t="e">
        <f t="shared" ca="1" si="55"/>
        <v>#DIV/0!</v>
      </c>
      <c r="AA119" s="427" t="e">
        <f t="shared" ca="1" si="55"/>
        <v>#DIV/0!</v>
      </c>
      <c r="AB119" s="427" t="e">
        <f t="shared" ca="1" si="55"/>
        <v>#DIV/0!</v>
      </c>
      <c r="AC119" s="427" t="e">
        <f t="shared" ca="1" si="55"/>
        <v>#DIV/0!</v>
      </c>
      <c r="AD119" s="427" t="e">
        <f t="shared" ca="1" si="55"/>
        <v>#DIV/0!</v>
      </c>
      <c r="AE119" s="342" t="e">
        <f t="shared" ca="1" si="55"/>
        <v>#N/A</v>
      </c>
      <c r="AF119" s="342" t="e">
        <f t="shared" ca="1" si="55"/>
        <v>#N/A</v>
      </c>
      <c r="AG119"/>
      <c r="AH119" s="340"/>
      <c r="AJ119" s="342" t="e">
        <f>-AJ17/(AJ92+AJ97)</f>
        <v>#DIV/0!</v>
      </c>
      <c r="AK119" s="342" t="e">
        <f>-AK17/(AK92+AK97)</f>
        <v>#DIV/0!</v>
      </c>
      <c r="AL119" s="342" t="e">
        <f>-AL17/(AL92+AL97)</f>
        <v>#DIV/0!</v>
      </c>
      <c r="AM119" s="342" t="e">
        <f>-AM17/(AM92+AM97)</f>
        <v>#DIV/0!</v>
      </c>
      <c r="AN119" s="342" t="e">
        <f>-AN17/(AN92+AN97)</f>
        <v>#DIV/0!</v>
      </c>
      <c r="AO119" s="126"/>
      <c r="AP119" s="340" t="str">
        <f t="shared" si="43"/>
        <v>NA</v>
      </c>
    </row>
    <row r="120" spans="1:52">
      <c r="A120" s="341" t="s">
        <v>571</v>
      </c>
      <c r="B120" s="342" t="e">
        <f>#REF!</f>
        <v>#REF!</v>
      </c>
      <c r="C120" s="342" t="e">
        <f t="shared" ref="C120:AE120" si="56">C10/C15</f>
        <v>#DIV/0!</v>
      </c>
      <c r="D120" s="342" t="e">
        <f t="shared" si="56"/>
        <v>#DIV/0!</v>
      </c>
      <c r="E120" s="342" t="e">
        <f t="shared" si="56"/>
        <v>#DIV/0!</v>
      </c>
      <c r="F120" s="342" t="e">
        <f t="shared" ca="1" si="56"/>
        <v>#DIV/0!</v>
      </c>
      <c r="G120" s="342" t="e">
        <f t="shared" ca="1" si="56"/>
        <v>#DIV/0!</v>
      </c>
      <c r="H120" s="342" t="e">
        <f t="shared" ca="1" si="56"/>
        <v>#DIV/0!</v>
      </c>
      <c r="I120" s="342" t="e">
        <f t="shared" ca="1" si="56"/>
        <v>#DIV/0!</v>
      </c>
      <c r="J120" s="342" t="e">
        <f t="shared" ca="1" si="56"/>
        <v>#DIV/0!</v>
      </c>
      <c r="K120" s="342" t="e">
        <f t="shared" ca="1" si="56"/>
        <v>#DIV/0!</v>
      </c>
      <c r="L120" s="342" t="e">
        <f t="shared" ca="1" si="56"/>
        <v>#DIV/0!</v>
      </c>
      <c r="M120" s="342" t="e">
        <f t="shared" ca="1" si="56"/>
        <v>#DIV/0!</v>
      </c>
      <c r="N120" s="342" t="e">
        <f t="shared" ca="1" si="56"/>
        <v>#DIV/0!</v>
      </c>
      <c r="O120" s="342" t="e">
        <f t="shared" ca="1" si="56"/>
        <v>#DIV/0!</v>
      </c>
      <c r="P120" s="342" t="e">
        <f t="shared" ca="1" si="56"/>
        <v>#DIV/0!</v>
      </c>
      <c r="Q120" s="342" t="e">
        <f t="shared" ca="1" si="56"/>
        <v>#DIV/0!</v>
      </c>
      <c r="R120" s="342" t="e">
        <f t="shared" ca="1" si="56"/>
        <v>#DIV/0!</v>
      </c>
      <c r="S120" s="342" t="e">
        <f t="shared" ca="1" si="56"/>
        <v>#DIV/0!</v>
      </c>
      <c r="T120" s="342" t="e">
        <f t="shared" ca="1" si="56"/>
        <v>#DIV/0!</v>
      </c>
      <c r="U120" s="342" t="e">
        <f t="shared" ca="1" si="56"/>
        <v>#DIV/0!</v>
      </c>
      <c r="V120" s="342" t="e">
        <f t="shared" ca="1" si="56"/>
        <v>#DIV/0!</v>
      </c>
      <c r="W120" s="342" t="e">
        <f t="shared" ca="1" si="56"/>
        <v>#DIV/0!</v>
      </c>
      <c r="X120" s="342" t="e">
        <f t="shared" ca="1" si="56"/>
        <v>#DIV/0!</v>
      </c>
      <c r="Y120" s="342" t="e">
        <f t="shared" ca="1" si="56"/>
        <v>#DIV/0!</v>
      </c>
      <c r="Z120" s="342" t="e">
        <f t="shared" ca="1" si="56"/>
        <v>#DIV/0!</v>
      </c>
      <c r="AA120" s="342" t="e">
        <f t="shared" ca="1" si="56"/>
        <v>#DIV/0!</v>
      </c>
      <c r="AB120" s="342" t="e">
        <f t="shared" ca="1" si="56"/>
        <v>#DIV/0!</v>
      </c>
      <c r="AC120" s="342" t="e">
        <f t="shared" ca="1" si="56"/>
        <v>#DIV/0!</v>
      </c>
      <c r="AD120" s="342" t="e">
        <f t="shared" ca="1" si="56"/>
        <v>#DIV/0!</v>
      </c>
      <c r="AE120" s="342" t="e">
        <f t="shared" ca="1" si="56"/>
        <v>#N/A</v>
      </c>
      <c r="AF120" s="342" t="e">
        <f ca="1">AE120</f>
        <v>#N/A</v>
      </c>
      <c r="AH120" s="340" t="str">
        <f>IFERROR(AVERAGE(C120:E120,R120),"NA")</f>
        <v>NA</v>
      </c>
      <c r="AJ120" s="342" t="e">
        <f>AJ10/AJ15</f>
        <v>#DIV/0!</v>
      </c>
      <c r="AK120" s="342" t="e">
        <f>AK10/AK15</f>
        <v>#DIV/0!</v>
      </c>
      <c r="AL120" s="342" t="e">
        <f>AL10/AL15</f>
        <v>#DIV/0!</v>
      </c>
      <c r="AM120" s="342" t="e">
        <f>AM10/AM15</f>
        <v>#DIV/0!</v>
      </c>
      <c r="AN120" s="342" t="e">
        <f>AN10/AN15</f>
        <v>#DIV/0!</v>
      </c>
      <c r="AP120" s="340" t="str">
        <f t="shared" si="43"/>
        <v>NA</v>
      </c>
    </row>
    <row r="121" spans="1:52">
      <c r="A121" s="341" t="s">
        <v>562</v>
      </c>
      <c r="B121" s="342" t="s">
        <v>533</v>
      </c>
      <c r="C121" s="342" t="e">
        <f>C46/AVERAGE(B$15:C$15)</f>
        <v>#DIV/0!</v>
      </c>
      <c r="D121" s="342" t="e">
        <f>D46/AVERAGE(C$15:D$15)</f>
        <v>#DIV/0!</v>
      </c>
      <c r="E121" s="342" t="e">
        <f>E46/AVERAGE(D$15:E$15)</f>
        <v>#DIV/0!</v>
      </c>
      <c r="F121" s="342" t="s">
        <v>533</v>
      </c>
      <c r="G121" s="342" t="s">
        <v>533</v>
      </c>
      <c r="H121" s="342" t="s">
        <v>533</v>
      </c>
      <c r="I121" s="342" t="s">
        <v>533</v>
      </c>
      <c r="J121" s="342" t="s">
        <v>533</v>
      </c>
      <c r="K121" s="342" t="s">
        <v>533</v>
      </c>
      <c r="L121" s="342" t="s">
        <v>533</v>
      </c>
      <c r="M121" s="342" t="s">
        <v>533</v>
      </c>
      <c r="N121" s="342" t="s">
        <v>533</v>
      </c>
      <c r="O121" s="342" t="s">
        <v>533</v>
      </c>
      <c r="P121" s="342" t="s">
        <v>533</v>
      </c>
      <c r="Q121" s="342" t="s">
        <v>533</v>
      </c>
      <c r="R121" s="342" t="e">
        <f ca="1">R46/AVERAGE(E$15,R$15)</f>
        <v>#DIV/0!</v>
      </c>
      <c r="S121" s="342" t="e">
        <f t="shared" ref="S121:AD121" ca="1" si="57">(S46*(12/S$5))/AVERAGE($R$15,S$15)</f>
        <v>#DIV/0!</v>
      </c>
      <c r="T121" s="342" t="e">
        <f t="shared" ca="1" si="57"/>
        <v>#DIV/0!</v>
      </c>
      <c r="U121" s="342" t="e">
        <f t="shared" ca="1" si="57"/>
        <v>#DIV/0!</v>
      </c>
      <c r="V121" s="342" t="e">
        <f t="shared" ca="1" si="57"/>
        <v>#DIV/0!</v>
      </c>
      <c r="W121" s="342" t="e">
        <f t="shared" ca="1" si="57"/>
        <v>#DIV/0!</v>
      </c>
      <c r="X121" s="342" t="e">
        <f t="shared" ca="1" si="57"/>
        <v>#DIV/0!</v>
      </c>
      <c r="Y121" s="342" t="e">
        <f t="shared" ca="1" si="57"/>
        <v>#DIV/0!</v>
      </c>
      <c r="Z121" s="342" t="e">
        <f t="shared" ca="1" si="57"/>
        <v>#DIV/0!</v>
      </c>
      <c r="AA121" s="342" t="e">
        <f t="shared" ca="1" si="57"/>
        <v>#DIV/0!</v>
      </c>
      <c r="AB121" s="342" t="e">
        <f t="shared" ca="1" si="57"/>
        <v>#DIV/0!</v>
      </c>
      <c r="AC121" s="342" t="e">
        <f t="shared" ca="1" si="57"/>
        <v>#DIV/0!</v>
      </c>
      <c r="AD121" s="342" t="e">
        <f t="shared" ca="1" si="57"/>
        <v>#DIV/0!</v>
      </c>
      <c r="AE121" s="342" t="e">
        <f ca="1">HLOOKUP(1,S$6:AD121,ROW(AE121)-5,FALSE)</f>
        <v>#N/A</v>
      </c>
      <c r="AF121" s="342" t="e">
        <f ca="1">AF46/AVERAGE(HLOOKUP(1,S$6:AD$15,ROW(AE$15)-5,FALSE),HLOOKUP(1,F$6:Q$15,ROW(AE$15)-5,FALSE))</f>
        <v>#N/A</v>
      </c>
      <c r="AH121" s="340" t="str">
        <f>IFERROR(AVERAGE(C121:E121,R121),"NA")</f>
        <v>NA</v>
      </c>
      <c r="AJ121" s="342" t="e">
        <f ca="1">AJ46/AVERAGE(R$15,AJ$15)</f>
        <v>#DIV/0!</v>
      </c>
      <c r="AK121" s="342" t="e">
        <f>AK46/AVERAGE(AJ$15:AK$15)</f>
        <v>#DIV/0!</v>
      </c>
      <c r="AL121" s="342" t="e">
        <f>AL46/AVERAGE(AK$15:AL$15)</f>
        <v>#DIV/0!</v>
      </c>
      <c r="AM121" s="342" t="e">
        <f>AM46/AVERAGE(AL$15:AM$15)</f>
        <v>#DIV/0!</v>
      </c>
      <c r="AN121" s="342" t="e">
        <f>AN46/AVERAGE(AM$15:AN$15)</f>
        <v>#DIV/0!</v>
      </c>
      <c r="AP121" s="340" t="str">
        <f t="shared" ca="1" si="43"/>
        <v>NA</v>
      </c>
    </row>
    <row r="122" spans="1:52">
      <c r="A122" s="341" t="s">
        <v>563</v>
      </c>
      <c r="B122" s="342" t="e">
        <f>B51/B44</f>
        <v>#DIV/0!</v>
      </c>
      <c r="C122" s="342" t="e">
        <f t="shared" ref="C122:AN122" si="58">C51/C44</f>
        <v>#DIV/0!</v>
      </c>
      <c r="D122" s="342" t="e">
        <f t="shared" si="58"/>
        <v>#DIV/0!</v>
      </c>
      <c r="E122" s="342" t="e">
        <f t="shared" si="58"/>
        <v>#DIV/0!</v>
      </c>
      <c r="F122" s="342" t="e">
        <f t="shared" ca="1" si="58"/>
        <v>#DIV/0!</v>
      </c>
      <c r="G122" s="342" t="e">
        <f t="shared" ca="1" si="58"/>
        <v>#DIV/0!</v>
      </c>
      <c r="H122" s="342" t="e">
        <f t="shared" ca="1" si="58"/>
        <v>#DIV/0!</v>
      </c>
      <c r="I122" s="342" t="e">
        <f t="shared" ca="1" si="58"/>
        <v>#DIV/0!</v>
      </c>
      <c r="J122" s="342" t="e">
        <f t="shared" ca="1" si="58"/>
        <v>#DIV/0!</v>
      </c>
      <c r="K122" s="342" t="e">
        <f t="shared" ca="1" si="58"/>
        <v>#DIV/0!</v>
      </c>
      <c r="L122" s="342" t="e">
        <f t="shared" ca="1" si="58"/>
        <v>#DIV/0!</v>
      </c>
      <c r="M122" s="342" t="e">
        <f t="shared" ca="1" si="58"/>
        <v>#DIV/0!</v>
      </c>
      <c r="N122" s="342" t="e">
        <f t="shared" ca="1" si="58"/>
        <v>#DIV/0!</v>
      </c>
      <c r="O122" s="342" t="e">
        <f t="shared" ca="1" si="58"/>
        <v>#DIV/0!</v>
      </c>
      <c r="P122" s="342" t="e">
        <f t="shared" ca="1" si="58"/>
        <v>#DIV/0!</v>
      </c>
      <c r="Q122" s="342" t="e">
        <f t="shared" ca="1" si="58"/>
        <v>#DIV/0!</v>
      </c>
      <c r="R122" s="342" t="e">
        <f t="shared" ca="1" si="58"/>
        <v>#DIV/0!</v>
      </c>
      <c r="S122" s="342" t="e">
        <f t="shared" ca="1" si="58"/>
        <v>#DIV/0!</v>
      </c>
      <c r="T122" s="342" t="e">
        <f t="shared" ca="1" si="58"/>
        <v>#DIV/0!</v>
      </c>
      <c r="U122" s="342" t="e">
        <f t="shared" ca="1" si="58"/>
        <v>#DIV/0!</v>
      </c>
      <c r="V122" s="342" t="e">
        <f t="shared" ca="1" si="58"/>
        <v>#DIV/0!</v>
      </c>
      <c r="W122" s="342" t="e">
        <f t="shared" ca="1" si="58"/>
        <v>#DIV/0!</v>
      </c>
      <c r="X122" s="342" t="e">
        <f t="shared" ca="1" si="58"/>
        <v>#DIV/0!</v>
      </c>
      <c r="Y122" s="342" t="e">
        <f t="shared" ca="1" si="58"/>
        <v>#DIV/0!</v>
      </c>
      <c r="Z122" s="342" t="e">
        <f t="shared" ca="1" si="58"/>
        <v>#DIV/0!</v>
      </c>
      <c r="AA122" s="342" t="e">
        <f t="shared" ca="1" si="58"/>
        <v>#DIV/0!</v>
      </c>
      <c r="AB122" s="342" t="e">
        <f t="shared" ca="1" si="58"/>
        <v>#DIV/0!</v>
      </c>
      <c r="AC122" s="342" t="e">
        <f t="shared" ca="1" si="58"/>
        <v>#DIV/0!</v>
      </c>
      <c r="AD122" s="342" t="e">
        <f t="shared" ca="1" si="58"/>
        <v>#DIV/0!</v>
      </c>
      <c r="AE122" s="342" t="e">
        <f t="shared" ca="1" si="58"/>
        <v>#N/A</v>
      </c>
      <c r="AF122" s="342" t="e">
        <f t="shared" ca="1" si="58"/>
        <v>#N/A</v>
      </c>
      <c r="AH122" s="340" t="str">
        <f>IFERROR(AVERAGE(C122:E122,R122),"NA")</f>
        <v>NA</v>
      </c>
      <c r="AJ122" s="342" t="e">
        <f t="shared" si="58"/>
        <v>#DIV/0!</v>
      </c>
      <c r="AK122" s="342" t="e">
        <f t="shared" si="58"/>
        <v>#DIV/0!</v>
      </c>
      <c r="AL122" s="342" t="e">
        <f t="shared" si="58"/>
        <v>#DIV/0!</v>
      </c>
      <c r="AM122" s="342" t="e">
        <f t="shared" si="58"/>
        <v>#DIV/0!</v>
      </c>
      <c r="AN122" s="342" t="e">
        <f t="shared" si="58"/>
        <v>#DIV/0!</v>
      </c>
      <c r="AP122" s="340" t="str">
        <f t="shared" si="43"/>
        <v>NA</v>
      </c>
    </row>
    <row r="123" spans="1:52">
      <c r="A123" s="338"/>
      <c r="B123" s="386"/>
      <c r="C123" s="386"/>
      <c r="D123" s="386"/>
      <c r="E123" s="386"/>
      <c r="F123" s="386"/>
      <c r="G123" s="386"/>
      <c r="H123" s="386"/>
      <c r="I123" s="386"/>
      <c r="J123" s="386"/>
      <c r="K123" s="386"/>
      <c r="L123" s="386"/>
      <c r="M123" s="386"/>
      <c r="N123" s="386"/>
      <c r="O123" s="386"/>
      <c r="P123" s="386"/>
      <c r="Q123" s="386"/>
      <c r="R123" s="386"/>
      <c r="S123" s="386"/>
      <c r="T123" s="386"/>
      <c r="U123" s="386"/>
      <c r="V123" s="386"/>
      <c r="W123" s="386"/>
      <c r="X123" s="339"/>
      <c r="Y123" s="339"/>
      <c r="Z123" s="339"/>
      <c r="AA123" s="339"/>
      <c r="AB123" s="339"/>
      <c r="AC123" s="339"/>
      <c r="AD123" s="339"/>
      <c r="AE123" s="339"/>
      <c r="AF123" s="339"/>
      <c r="AH123" s="387"/>
      <c r="AJ123" s="339"/>
      <c r="AK123" s="339"/>
      <c r="AL123" s="339"/>
      <c r="AM123" s="339"/>
      <c r="AN123" s="339"/>
      <c r="AO123" s="126"/>
      <c r="AP123" s="387"/>
    </row>
  </sheetData>
  <conditionalFormatting sqref="AH102 B102:AF102 AJ102:AN102 AP102">
    <cfRule type="cellIs" dxfId="1" priority="15" stopIfTrue="1" operator="greaterThan">
      <formula>0</formula>
    </cfRule>
    <cfRule type="cellIs" dxfId="0" priority="16" stopIfTrue="1" operator="equal">
      <formula>0</formula>
    </cfRule>
  </conditionalFormatting>
  <pageMargins left="0.42" right="0.54" top="1" bottom="1" header="0.5" footer="0.5"/>
  <pageSetup scale="32" orientation="landscape" r:id="rId1"/>
  <headerFooter alignWithMargins="0"/>
</worksheet>
</file>

<file path=xl/worksheets/sheet15.xml><?xml version="1.0" encoding="utf-8"?>
<worksheet xmlns="http://schemas.openxmlformats.org/spreadsheetml/2006/main" xmlns:r="http://schemas.openxmlformats.org/officeDocument/2006/relationships">
  <sheetPr codeName="Sheet20">
    <tabColor rgb="FF92D050"/>
  </sheetPr>
  <dimension ref="B8:C34"/>
  <sheetViews>
    <sheetView workbookViewId="0"/>
  </sheetViews>
  <sheetFormatPr defaultRowHeight="12.75"/>
  <cols>
    <col min="1" max="1" width="3.7109375" style="145" customWidth="1"/>
    <col min="2" max="2" width="4.28515625" style="146" customWidth="1"/>
    <col min="3" max="3" width="104.7109375" style="145" customWidth="1"/>
    <col min="4" max="16384" width="9.140625" style="145"/>
  </cols>
  <sheetData>
    <row r="8" spans="2:3">
      <c r="C8" s="148" t="s">
        <v>463</v>
      </c>
    </row>
    <row r="9" spans="2:3">
      <c r="C9" s="147" t="s">
        <v>912</v>
      </c>
    </row>
    <row r="10" spans="2:3" ht="25.5">
      <c r="C10" s="147" t="s">
        <v>462</v>
      </c>
    </row>
    <row r="11" spans="2:3">
      <c r="C11" s="147"/>
    </row>
    <row r="12" spans="2:3" ht="14.25" customHeight="1">
      <c r="B12" s="150">
        <v>1</v>
      </c>
      <c r="C12" s="148" t="s">
        <v>461</v>
      </c>
    </row>
    <row r="13" spans="2:3">
      <c r="C13" s="147" t="s">
        <v>460</v>
      </c>
    </row>
    <row r="14" spans="2:3">
      <c r="C14" s="147" t="s">
        <v>459</v>
      </c>
    </row>
    <row r="15" spans="2:3">
      <c r="C15" s="147" t="s">
        <v>458</v>
      </c>
    </row>
    <row r="16" spans="2:3">
      <c r="C16" s="147" t="s">
        <v>457</v>
      </c>
    </row>
    <row r="17" spans="2:3">
      <c r="C17" s="147"/>
    </row>
    <row r="18" spans="2:3" ht="13.5" customHeight="1">
      <c r="B18" s="150">
        <v>2</v>
      </c>
      <c r="C18" s="148" t="s">
        <v>456</v>
      </c>
    </row>
    <row r="19" spans="2:3" ht="14.25" customHeight="1">
      <c r="C19" s="147" t="s">
        <v>455</v>
      </c>
    </row>
    <row r="20" spans="2:3" ht="25.5">
      <c r="C20" s="147" t="s">
        <v>454</v>
      </c>
    </row>
    <row r="21" spans="2:3" ht="25.5">
      <c r="B21" s="150">
        <v>3</v>
      </c>
      <c r="C21" s="148" t="s">
        <v>453</v>
      </c>
    </row>
    <row r="22" spans="2:3" ht="25.5">
      <c r="B22" s="150">
        <v>4</v>
      </c>
      <c r="C22" s="148" t="s">
        <v>452</v>
      </c>
    </row>
    <row r="23" spans="2:3" ht="15.75" customHeight="1">
      <c r="B23" s="150">
        <v>5</v>
      </c>
      <c r="C23" s="148" t="s">
        <v>451</v>
      </c>
    </row>
    <row r="24" spans="2:3" ht="25.5" customHeight="1">
      <c r="B24" s="150">
        <v>6</v>
      </c>
      <c r="C24" s="148" t="s">
        <v>450</v>
      </c>
    </row>
    <row r="25" spans="2:3">
      <c r="C25" s="149"/>
    </row>
    <row r="26" spans="2:3">
      <c r="C26" s="148" t="s">
        <v>449</v>
      </c>
    </row>
    <row r="28" spans="2:3" ht="25.5">
      <c r="C28" s="147" t="s">
        <v>448</v>
      </c>
    </row>
    <row r="29" spans="2:3">
      <c r="C29" s="148"/>
    </row>
    <row r="30" spans="2:3">
      <c r="C30" s="148"/>
    </row>
    <row r="31" spans="2:3">
      <c r="C31" s="147"/>
    </row>
    <row r="33" spans="3:3" s="145" customFormat="1">
      <c r="C33" s="147"/>
    </row>
    <row r="34" spans="3:3" s="145" customFormat="1">
      <c r="C34" s="147"/>
    </row>
  </sheetData>
  <pageMargins left="0.75" right="0.75" top="1" bottom="1" header="0.5" footer="0.5"/>
  <pageSetup paperSize="9" orientation="portrait" r:id="rId1"/>
  <headerFooter alignWithMargins="0"/>
  <drawing r:id="rId2"/>
  <legacyDrawing r:id="rId3"/>
  <oleObjects>
    <oleObject progId="StaticMetafile" shapeId="2127873" r:id="rId4"/>
  </oleObjects>
</worksheet>
</file>

<file path=xl/worksheets/sheet16.xml><?xml version="1.0" encoding="utf-8"?>
<worksheet xmlns="http://schemas.openxmlformats.org/spreadsheetml/2006/main" xmlns:r="http://schemas.openxmlformats.org/officeDocument/2006/relationships">
  <sheetPr codeName="Sheet2">
    <tabColor rgb="FF92D050"/>
    <pageSetUpPr fitToPage="1"/>
  </sheetPr>
  <dimension ref="A1:N116"/>
  <sheetViews>
    <sheetView workbookViewId="0">
      <selection activeCell="C31" sqref="C31"/>
    </sheetView>
  </sheetViews>
  <sheetFormatPr defaultRowHeight="12.75"/>
  <cols>
    <col min="1" max="1" width="9.140625" style="598"/>
    <col min="2" max="2" width="76" style="700" customWidth="1"/>
    <col min="3" max="3" width="26.28515625" style="600" customWidth="1"/>
    <col min="4" max="4" width="25.7109375" style="599" customWidth="1"/>
    <col min="5" max="5" width="10.140625" style="598" customWidth="1"/>
    <col min="6" max="6" width="8.140625" style="598" customWidth="1"/>
    <col min="7" max="8" width="14.28515625" style="598" customWidth="1"/>
    <col min="9" max="9" width="28" style="598" customWidth="1"/>
    <col min="10" max="16384" width="9.140625" style="598"/>
  </cols>
  <sheetData>
    <row r="1" spans="2:14" ht="19.5" customHeight="1">
      <c r="B1" s="697" t="s">
        <v>464</v>
      </c>
      <c r="H1" s="645"/>
      <c r="I1" s="645"/>
      <c r="J1" s="645"/>
      <c r="K1" s="645"/>
    </row>
    <row r="2" spans="2:14" ht="19.5" customHeight="1">
      <c r="B2" s="697" t="s">
        <v>465</v>
      </c>
      <c r="G2" s="645" t="s">
        <v>466</v>
      </c>
      <c r="H2" s="645" t="s">
        <v>96</v>
      </c>
      <c r="I2" s="645" t="s">
        <v>371</v>
      </c>
      <c r="J2" s="645"/>
      <c r="K2" s="645"/>
    </row>
    <row r="3" spans="2:14" ht="16.5" customHeight="1">
      <c r="B3" s="681" t="s">
        <v>467</v>
      </c>
      <c r="C3" s="686">
        <f>'Gen Info'!B2</f>
        <v>0</v>
      </c>
      <c r="D3" s="636"/>
      <c r="E3" s="617"/>
      <c r="G3" s="645" t="s">
        <v>468</v>
      </c>
      <c r="H3" s="645" t="s">
        <v>469</v>
      </c>
      <c r="I3" s="645" t="s">
        <v>470</v>
      </c>
      <c r="J3" s="645"/>
      <c r="K3" s="645"/>
    </row>
    <row r="4" spans="2:14" ht="16.5" customHeight="1">
      <c r="B4" s="682" t="s">
        <v>471</v>
      </c>
      <c r="C4" s="686">
        <f>'Gen Info'!B3</f>
        <v>0</v>
      </c>
      <c r="D4" s="636"/>
      <c r="E4" s="617"/>
      <c r="G4" s="645" t="s">
        <v>472</v>
      </c>
      <c r="H4" s="645" t="s">
        <v>473</v>
      </c>
      <c r="I4" s="645" t="s">
        <v>474</v>
      </c>
      <c r="J4" s="645"/>
      <c r="K4" s="645"/>
    </row>
    <row r="5" spans="2:14" ht="16.5" customHeight="1">
      <c r="B5" s="682" t="s">
        <v>370</v>
      </c>
      <c r="C5" s="686">
        <f>'Gen Info'!B4</f>
        <v>0</v>
      </c>
      <c r="D5" s="636"/>
      <c r="E5" s="617"/>
      <c r="G5" s="645" t="s">
        <v>475</v>
      </c>
      <c r="H5" s="645" t="s">
        <v>476</v>
      </c>
      <c r="I5" s="645" t="s">
        <v>477</v>
      </c>
      <c r="J5" s="645"/>
      <c r="K5" s="645"/>
    </row>
    <row r="6" spans="2:14" ht="16.5" customHeight="1">
      <c r="B6" s="681" t="s">
        <v>478</v>
      </c>
      <c r="C6" s="686" t="str">
        <f>'Gen Info'!B5</f>
        <v/>
      </c>
      <c r="D6" s="636"/>
      <c r="E6" s="617"/>
      <c r="G6" s="645" t="s">
        <v>479</v>
      </c>
      <c r="H6" s="645" t="s">
        <v>480</v>
      </c>
      <c r="I6" s="645" t="s">
        <v>481</v>
      </c>
      <c r="J6" s="645"/>
      <c r="K6" s="645"/>
    </row>
    <row r="7" spans="2:14" ht="16.5" customHeight="1">
      <c r="B7" s="681" t="s">
        <v>482</v>
      </c>
      <c r="C7" s="686" t="str">
        <f>'Gen Info'!B7</f>
        <v/>
      </c>
      <c r="D7" s="636"/>
      <c r="E7" s="617"/>
      <c r="G7" s="645" t="s">
        <v>483</v>
      </c>
      <c r="H7" s="645" t="s">
        <v>484</v>
      </c>
      <c r="I7" s="645" t="s">
        <v>485</v>
      </c>
      <c r="J7" s="645"/>
      <c r="K7" s="645"/>
    </row>
    <row r="8" spans="2:14" ht="16.5" customHeight="1">
      <c r="B8" s="683" t="s">
        <v>486</v>
      </c>
      <c r="C8" s="687" t="e">
        <f ca="1">'Gen Info'!B8</f>
        <v>#DIV/0!</v>
      </c>
      <c r="D8" s="636"/>
      <c r="E8" s="617"/>
      <c r="G8" s="645" t="s">
        <v>487</v>
      </c>
      <c r="H8" s="645" t="s">
        <v>488</v>
      </c>
      <c r="I8" s="645" t="s">
        <v>489</v>
      </c>
      <c r="J8" s="645"/>
      <c r="K8" s="645"/>
    </row>
    <row r="9" spans="2:14" ht="14.25">
      <c r="B9" s="681" t="s">
        <v>490</v>
      </c>
      <c r="C9" s="688" t="str">
        <f>CONCATENATE('Gen Info'!C26,", ",'Gen Info'!G26,IF('Gen Info'!C27=0,"",CONCATENATE(" / ",'Gen Info'!C27,", ",'Gen Info'!G27)),IF('Gen Info'!C28=0,"",CONCATENATE(" / ",'Gen Info'!C28,", ",'Gen Info'!G28)))</f>
        <v>0, 0</v>
      </c>
      <c r="D9" s="647"/>
      <c r="E9" s="646"/>
      <c r="F9" s="598" t="s">
        <v>369</v>
      </c>
      <c r="G9" s="645" t="s">
        <v>491</v>
      </c>
      <c r="H9" s="645" t="s">
        <v>492</v>
      </c>
      <c r="I9" s="645" t="s">
        <v>493</v>
      </c>
      <c r="J9" s="645"/>
      <c r="K9" s="645"/>
    </row>
    <row r="10" spans="2:14" ht="16.5" customHeight="1">
      <c r="B10" s="681" t="s">
        <v>494</v>
      </c>
      <c r="C10" s="686">
        <f>'Gen Info'!B9</f>
        <v>0</v>
      </c>
      <c r="D10" s="636"/>
      <c r="E10" s="617"/>
      <c r="G10" s="645" t="s">
        <v>495</v>
      </c>
      <c r="H10" s="645" t="s">
        <v>495</v>
      </c>
      <c r="I10" s="645" t="s">
        <v>496</v>
      </c>
      <c r="J10" s="645"/>
      <c r="K10" s="645"/>
      <c r="M10" s="644"/>
      <c r="N10" s="644"/>
    </row>
    <row r="11" spans="2:14" ht="16.5" customHeight="1">
      <c r="B11" s="681"/>
      <c r="C11" s="686"/>
      <c r="E11" s="617"/>
    </row>
    <row r="12" spans="2:14" ht="16.5" customHeight="1">
      <c r="B12" s="681" t="s">
        <v>874</v>
      </c>
      <c r="C12" s="689">
        <f>'Gen Info'!G80</f>
        <v>0</v>
      </c>
      <c r="D12" s="643" t="s">
        <v>369</v>
      </c>
      <c r="E12" s="617"/>
    </row>
    <row r="13" spans="2:14">
      <c r="B13" s="681" t="s">
        <v>875</v>
      </c>
      <c r="C13" s="690" t="str">
        <f>CONCATENATE(IF('Gen Info'!E22=0,"None",CONCATENATE('Gen Info'!B22," (",TEXT('Gen Info'!E22,"###,###,###"),")")),IF('Gen Info'!E23=0,"",CONCATENATE(" / ",'Gen Info'!B23," (",TEXT('Gen Info'!E23,"###,###,###"),")")),IF('Gen Info'!E24=0,"",CONCATENATE(" / ",'Gen Info'!B24," (",TEXT('Gen Info'!E24,"###,###,###"),")")))</f>
        <v>None</v>
      </c>
      <c r="D13" s="636"/>
      <c r="E13" s="617"/>
      <c r="G13" s="609" t="s">
        <v>497</v>
      </c>
      <c r="H13" s="609"/>
      <c r="I13" s="609"/>
      <c r="K13" s="609"/>
      <c r="L13" s="609"/>
      <c r="M13" s="609"/>
      <c r="N13" s="609"/>
    </row>
    <row r="14" spans="2:14">
      <c r="B14" s="681" t="s">
        <v>498</v>
      </c>
      <c r="C14" s="690">
        <f>'Gen Info'!B10</f>
        <v>0</v>
      </c>
      <c r="D14" s="636"/>
      <c r="E14" s="617"/>
      <c r="G14" s="609" t="s">
        <v>499</v>
      </c>
      <c r="H14" s="609"/>
      <c r="I14" s="609"/>
      <c r="K14" s="609"/>
      <c r="L14" s="609"/>
      <c r="M14" s="609"/>
      <c r="N14" s="609"/>
    </row>
    <row r="15" spans="2:14" ht="16.5" customHeight="1">
      <c r="B15" s="681"/>
      <c r="C15" s="686"/>
      <c r="D15" s="636"/>
      <c r="E15" s="617"/>
      <c r="G15" s="609" t="s">
        <v>500</v>
      </c>
      <c r="H15" s="609"/>
      <c r="I15" s="609"/>
      <c r="J15" s="609"/>
      <c r="K15" s="609"/>
      <c r="L15" s="609"/>
      <c r="M15" s="609"/>
      <c r="N15" s="609"/>
    </row>
    <row r="16" spans="2:14" ht="16.5" customHeight="1">
      <c r="B16" s="681" t="s">
        <v>501</v>
      </c>
      <c r="C16" s="686">
        <f>'Gen Info'!B31</f>
        <v>0</v>
      </c>
      <c r="D16" s="636"/>
      <c r="E16" s="617"/>
      <c r="G16" s="609" t="s">
        <v>502</v>
      </c>
      <c r="H16" s="609"/>
      <c r="I16" s="609"/>
      <c r="J16" s="609"/>
      <c r="K16" s="609"/>
      <c r="L16" s="609"/>
      <c r="M16" s="609"/>
      <c r="N16" s="609"/>
    </row>
    <row r="17" spans="2:14" ht="16.5" customHeight="1">
      <c r="B17" s="681" t="s">
        <v>807</v>
      </c>
      <c r="C17" s="689">
        <f>'Gen Info'!B32</f>
        <v>0</v>
      </c>
      <c r="D17" s="636"/>
      <c r="E17" s="617"/>
      <c r="G17" s="609" t="s">
        <v>114</v>
      </c>
      <c r="H17" s="609"/>
      <c r="I17" s="609"/>
      <c r="J17" s="609"/>
      <c r="K17" s="609"/>
      <c r="L17" s="609"/>
      <c r="M17" s="609"/>
      <c r="N17" s="609"/>
    </row>
    <row r="18" spans="2:14" ht="16.5" customHeight="1">
      <c r="B18" s="681" t="s">
        <v>806</v>
      </c>
      <c r="C18" s="686">
        <f>'Gen Info'!B35</f>
        <v>0</v>
      </c>
      <c r="D18" s="636"/>
      <c r="E18" s="617"/>
    </row>
    <row r="19" spans="2:14" ht="16.5" customHeight="1">
      <c r="B19" s="681" t="s">
        <v>503</v>
      </c>
      <c r="C19" s="693">
        <f>'Gen Info'!B33</f>
        <v>0</v>
      </c>
      <c r="D19" s="636"/>
      <c r="E19" s="617"/>
    </row>
    <row r="20" spans="2:14" ht="16.5" customHeight="1">
      <c r="B20" s="684" t="s">
        <v>805</v>
      </c>
      <c r="C20" s="691"/>
      <c r="D20" s="636"/>
      <c r="E20" s="617"/>
    </row>
    <row r="21" spans="2:14" ht="16.5" customHeight="1">
      <c r="B21" s="684" t="s">
        <v>804</v>
      </c>
      <c r="C21" s="691"/>
      <c r="D21" s="636"/>
      <c r="E21" s="617"/>
    </row>
    <row r="22" spans="2:14" ht="25.5" customHeight="1">
      <c r="B22" s="685" t="s">
        <v>803</v>
      </c>
      <c r="C22" s="695">
        <f>'Gen Info'!B36</f>
        <v>0</v>
      </c>
      <c r="D22" s="642" t="s">
        <v>369</v>
      </c>
      <c r="E22" s="617"/>
    </row>
    <row r="23" spans="2:14" ht="25.5" customHeight="1">
      <c r="B23" s="685" t="s">
        <v>504</v>
      </c>
      <c r="C23" s="694">
        <f>'Gen Info'!B34</f>
        <v>0</v>
      </c>
      <c r="D23" s="636"/>
      <c r="E23" s="617"/>
    </row>
    <row r="24" spans="2:14" ht="25.5" customHeight="1">
      <c r="B24" s="685" t="s">
        <v>505</v>
      </c>
      <c r="C24" s="696">
        <f>'Gen Info'!B38</f>
        <v>0</v>
      </c>
      <c r="D24" s="636"/>
      <c r="E24" s="617"/>
    </row>
    <row r="25" spans="2:14" ht="16.5" customHeight="1">
      <c r="B25" s="685" t="s">
        <v>506</v>
      </c>
      <c r="C25" s="692">
        <f>'Gen Info'!B37</f>
        <v>0</v>
      </c>
      <c r="D25" s="636"/>
      <c r="E25" s="617"/>
    </row>
    <row r="26" spans="2:14" ht="16.5" customHeight="1">
      <c r="B26" s="681"/>
      <c r="C26" s="639"/>
      <c r="D26" s="636"/>
      <c r="E26" s="617"/>
    </row>
    <row r="27" spans="2:14">
      <c r="B27" s="681" t="s">
        <v>507</v>
      </c>
      <c r="C27" s="680" t="str">
        <f>CONCATENATE('Gen Info'!B12,", ",'Gen Info'!B13,", ",'Gen Info'!B14,", ",'Gen Info'!B15,", ",'Gen Info'!B16)</f>
        <v xml:space="preserve">, , , , </v>
      </c>
      <c r="D27" s="636"/>
      <c r="E27" s="617"/>
    </row>
    <row r="28" spans="2:14" ht="16.5" customHeight="1">
      <c r="B28" s="681" t="s">
        <v>508</v>
      </c>
      <c r="C28" s="639">
        <f>'Gen Info'!B18</f>
        <v>0</v>
      </c>
      <c r="D28" s="636"/>
      <c r="E28" s="617"/>
    </row>
    <row r="29" spans="2:14" ht="16.5" customHeight="1">
      <c r="B29" s="681" t="s">
        <v>509</v>
      </c>
      <c r="C29" s="639" t="str">
        <f>'Gen Info'!B6</f>
        <v/>
      </c>
      <c r="D29" s="636"/>
      <c r="E29" s="617"/>
    </row>
    <row r="30" spans="2:14" ht="16.5" customHeight="1">
      <c r="B30" s="681"/>
      <c r="C30" s="639"/>
      <c r="D30" s="636"/>
      <c r="E30" s="617"/>
    </row>
    <row r="31" spans="2:14" ht="16.5" customHeight="1">
      <c r="B31" s="685" t="s">
        <v>802</v>
      </c>
      <c r="C31" s="707" t="e">
        <f ca="1">CONCATENATE(TEXT('Gen Info'!B44,"#0.0%")," / ",TEXT(SUM('Fin Output'!AE200,'Fin Output'!AE201),"#0.0%"))</f>
        <v>#N/A</v>
      </c>
      <c r="D31" s="636"/>
      <c r="E31" s="617"/>
    </row>
    <row r="32" spans="2:14" ht="16.5" customHeight="1">
      <c r="B32" s="685" t="s">
        <v>801</v>
      </c>
      <c r="C32" s="707" t="e">
        <f ca="1">CONCATENATE(TEXT('Gen Info'!B45,"#0.0%")," / ",TEXT('Fin Output'!AF202,"#0.0%"))</f>
        <v>#N/A</v>
      </c>
      <c r="D32" s="636"/>
      <c r="E32" s="617"/>
    </row>
    <row r="33" spans="2:9" ht="16.5" customHeight="1">
      <c r="B33" s="685" t="s">
        <v>800</v>
      </c>
      <c r="C33" s="707" t="e">
        <f ca="1">CONCATENATE(TEXT('Gen Info'!B46,"#0.0%")," / ",TEXT('Fin Output'!AF140,"#0.0%"))</f>
        <v>#N/A</v>
      </c>
      <c r="D33" s="636"/>
      <c r="E33" s="617"/>
      <c r="G33" s="622"/>
      <c r="H33" s="621" t="s">
        <v>515</v>
      </c>
      <c r="I33" s="620"/>
    </row>
    <row r="34" spans="2:9" ht="16.5" customHeight="1">
      <c r="B34" s="685" t="s">
        <v>799</v>
      </c>
      <c r="C34" s="707" t="e">
        <f ca="1">CONCATENATE(TEXT('Gen Info'!B47,"#0.0%")," / ",TEXT('Fin Output'!AF147,"#0.0%"))</f>
        <v>#N/A</v>
      </c>
      <c r="D34" s="636"/>
      <c r="E34" s="617"/>
      <c r="G34" s="619" t="s">
        <v>516</v>
      </c>
      <c r="H34" s="710"/>
      <c r="I34" s="711"/>
    </row>
    <row r="35" spans="2:9" ht="16.5" customHeight="1">
      <c r="B35" s="681" t="s">
        <v>798</v>
      </c>
      <c r="C35" s="708"/>
      <c r="D35" s="636"/>
      <c r="E35" s="617"/>
      <c r="G35" s="618"/>
      <c r="H35" s="617"/>
      <c r="I35" s="616"/>
    </row>
    <row r="36" spans="2:9" ht="14.25">
      <c r="B36" s="681" t="s">
        <v>797</v>
      </c>
      <c r="C36" s="709"/>
      <c r="D36" s="636"/>
      <c r="E36" s="612"/>
      <c r="G36" s="615" t="s">
        <v>519</v>
      </c>
      <c r="H36" s="712"/>
      <c r="I36" s="713"/>
    </row>
    <row r="37" spans="2:9" ht="14.25">
      <c r="B37" s="681" t="s">
        <v>512</v>
      </c>
      <c r="C37" s="709"/>
      <c r="D37" s="636"/>
      <c r="E37" s="612"/>
      <c r="G37" s="610" t="s">
        <v>767</v>
      </c>
      <c r="H37" s="608" t="s">
        <v>796</v>
      </c>
    </row>
    <row r="38" spans="2:9" ht="14.25">
      <c r="B38" s="681" t="s">
        <v>513</v>
      </c>
      <c r="C38" s="709"/>
      <c r="D38" s="636"/>
      <c r="E38" s="612"/>
      <c r="G38" s="610" t="s">
        <v>765</v>
      </c>
      <c r="H38" s="608" t="s">
        <v>795</v>
      </c>
    </row>
    <row r="39" spans="2:9" ht="14.25">
      <c r="B39" s="681" t="s">
        <v>517</v>
      </c>
      <c r="C39" s="709"/>
      <c r="D39" s="636"/>
      <c r="E39" s="612"/>
      <c r="G39" s="609" t="s">
        <v>763</v>
      </c>
      <c r="H39" s="608" t="s">
        <v>794</v>
      </c>
    </row>
    <row r="40" spans="2:9" ht="14.25">
      <c r="B40" s="681" t="s">
        <v>518</v>
      </c>
      <c r="C40" s="639">
        <f>'Gen Info'!B20</f>
        <v>0</v>
      </c>
      <c r="D40" s="636"/>
      <c r="E40" s="612"/>
    </row>
    <row r="41" spans="2:9" ht="14.25">
      <c r="B41" s="698"/>
      <c r="C41" s="637"/>
      <c r="D41" s="636"/>
      <c r="E41" s="612"/>
    </row>
    <row r="42" spans="2:9" ht="16.5" customHeight="1">
      <c r="B42" s="699" t="s">
        <v>510</v>
      </c>
    </row>
    <row r="43" spans="2:9" ht="13.5" thickBot="1">
      <c r="C43" s="600" t="s">
        <v>793</v>
      </c>
      <c r="D43" s="714"/>
      <c r="E43" s="715"/>
    </row>
    <row r="44" spans="2:9" ht="16.5" thickTop="1" thickBot="1">
      <c r="B44" s="697" t="s">
        <v>792</v>
      </c>
      <c r="C44" s="635" t="s">
        <v>666</v>
      </c>
      <c r="D44" s="635" t="s">
        <v>428</v>
      </c>
      <c r="E44" s="633"/>
    </row>
    <row r="45" spans="2:9" ht="16.5" thickTop="1" thickBot="1">
      <c r="B45" s="701" t="s">
        <v>791</v>
      </c>
      <c r="C45" s="635"/>
      <c r="D45" s="635"/>
      <c r="E45" s="633"/>
    </row>
    <row r="46" spans="2:9" ht="16.5" thickTop="1" thickBot="1">
      <c r="B46" s="702" t="s">
        <v>877</v>
      </c>
      <c r="C46" s="627">
        <v>0</v>
      </c>
      <c r="D46" s="627">
        <v>0</v>
      </c>
      <c r="E46" s="633"/>
    </row>
    <row r="47" spans="2:9" ht="16.5" thickTop="1" thickBot="1">
      <c r="B47" s="702" t="s">
        <v>878</v>
      </c>
      <c r="C47" s="627">
        <v>0</v>
      </c>
      <c r="D47" s="627">
        <v>0</v>
      </c>
      <c r="E47" s="633"/>
    </row>
    <row r="48" spans="2:9" ht="16.5" thickTop="1" thickBot="1">
      <c r="B48" s="702" t="s">
        <v>879</v>
      </c>
      <c r="C48" s="634">
        <f>'Gen Info'!D41</f>
        <v>0</v>
      </c>
      <c r="D48" s="634">
        <f>'Gen Info'!E41</f>
        <v>0</v>
      </c>
      <c r="E48" s="633"/>
    </row>
    <row r="49" spans="2:5" ht="15.75" thickTop="1" thickBot="1">
      <c r="B49" s="702" t="s">
        <v>880</v>
      </c>
      <c r="C49" s="626">
        <f>'Gen Info'!E22</f>
        <v>0</v>
      </c>
      <c r="D49" s="626">
        <f>'Gen Info'!E23</f>
        <v>0</v>
      </c>
      <c r="E49" s="632"/>
    </row>
    <row r="50" spans="2:5" ht="15.75" thickTop="1" thickBot="1">
      <c r="B50" s="703" t="s">
        <v>881</v>
      </c>
      <c r="C50" s="627" t="e">
        <f ca="1">'Hist &amp; Proj'!AE25/'Hist &amp; Proj'!$AE$8</f>
        <v>#N/A</v>
      </c>
      <c r="D50" s="631" t="e">
        <f ca="1">C50</f>
        <v>#N/A</v>
      </c>
      <c r="E50" s="612"/>
    </row>
    <row r="51" spans="2:5" ht="15.75" thickTop="1" thickBot="1">
      <c r="B51" s="702" t="s">
        <v>511</v>
      </c>
      <c r="C51" s="627" t="e">
        <f ca="1">'Hist &amp; Proj'!AE41/'Hist &amp; Proj'!$AE$8</f>
        <v>#N/A</v>
      </c>
      <c r="D51" s="629" t="e">
        <f ca="1">C51</f>
        <v>#N/A</v>
      </c>
      <c r="E51" s="628"/>
    </row>
    <row r="52" spans="2:5" ht="15.75" thickTop="1" thickBot="1">
      <c r="B52" s="702" t="s">
        <v>790</v>
      </c>
      <c r="C52" s="717"/>
      <c r="D52" s="718" t="s">
        <v>369</v>
      </c>
      <c r="E52" s="628"/>
    </row>
    <row r="53" spans="2:5" ht="16.5" thickTop="1" thickBot="1">
      <c r="B53" s="697" t="s">
        <v>789</v>
      </c>
      <c r="C53" s="630"/>
      <c r="D53" s="629"/>
      <c r="E53" s="628"/>
    </row>
    <row r="54" spans="2:5" ht="15.75" thickTop="1" thickBot="1">
      <c r="B54" s="704" t="s">
        <v>788</v>
      </c>
      <c r="C54" s="607"/>
      <c r="D54" s="607"/>
      <c r="E54" s="612"/>
    </row>
    <row r="55" spans="2:5" ht="15.75" thickTop="1" thickBot="1">
      <c r="B55" s="703" t="s">
        <v>787</v>
      </c>
      <c r="C55" s="627" t="s">
        <v>369</v>
      </c>
      <c r="D55" s="627" t="s">
        <v>369</v>
      </c>
      <c r="E55" s="612"/>
    </row>
    <row r="56" spans="2:5" ht="15.75" thickTop="1" thickBot="1">
      <c r="B56" s="703" t="s">
        <v>786</v>
      </c>
      <c r="C56" s="627" t="s">
        <v>369</v>
      </c>
      <c r="D56" s="627" t="s">
        <v>369</v>
      </c>
      <c r="E56" s="612"/>
    </row>
    <row r="57" spans="2:5" ht="15.75" thickTop="1" thickBot="1">
      <c r="B57" s="703" t="s">
        <v>785</v>
      </c>
      <c r="C57" s="607" t="e">
        <f>C58-C56-C55</f>
        <v>#VALUE!</v>
      </c>
      <c r="D57" s="607" t="e">
        <f>D58-D56-D55</f>
        <v>#VALUE!</v>
      </c>
      <c r="E57" s="612"/>
    </row>
    <row r="58" spans="2:5" ht="15.75" thickTop="1" thickBot="1">
      <c r="B58" s="703" t="s">
        <v>514</v>
      </c>
      <c r="C58" s="627"/>
      <c r="D58" s="627" t="s">
        <v>369</v>
      </c>
      <c r="E58" s="612"/>
    </row>
    <row r="59" spans="2:5" ht="15.75" thickTop="1" thickBot="1">
      <c r="B59" s="703" t="s">
        <v>784</v>
      </c>
      <c r="C59" s="627"/>
      <c r="D59" s="627"/>
      <c r="E59" s="612"/>
    </row>
    <row r="60" spans="2:5" ht="15.75" thickTop="1" thickBot="1">
      <c r="B60" s="703" t="s">
        <v>783</v>
      </c>
      <c r="C60" s="626"/>
      <c r="D60" s="627" t="s">
        <v>369</v>
      </c>
      <c r="E60" s="612"/>
    </row>
    <row r="61" spans="2:5" ht="15.75" thickTop="1" thickBot="1">
      <c r="B61" s="703" t="s">
        <v>782</v>
      </c>
      <c r="C61" s="626"/>
      <c r="D61" s="627" t="s">
        <v>369</v>
      </c>
      <c r="E61" s="612"/>
    </row>
    <row r="62" spans="2:5" ht="15.75" thickTop="1" thickBot="1">
      <c r="B62" s="703" t="s">
        <v>781</v>
      </c>
      <c r="C62" s="627"/>
      <c r="D62" s="627" t="s">
        <v>369</v>
      </c>
      <c r="E62" s="612"/>
    </row>
    <row r="63" spans="2:5" ht="15.75" thickTop="1" thickBot="1">
      <c r="B63" s="703" t="s">
        <v>780</v>
      </c>
      <c r="C63" s="627"/>
      <c r="D63" s="627"/>
      <c r="E63" s="612"/>
    </row>
    <row r="64" spans="2:5" ht="15.75" thickTop="1" thickBot="1">
      <c r="B64" s="703" t="s">
        <v>779</v>
      </c>
      <c r="C64" s="626"/>
      <c r="D64" s="626" t="s">
        <v>369</v>
      </c>
      <c r="E64" s="612"/>
    </row>
    <row r="65" spans="2:10" ht="15.75" thickTop="1" thickBot="1">
      <c r="B65" s="703" t="s">
        <v>778</v>
      </c>
      <c r="C65" s="626"/>
      <c r="D65" s="626" t="s">
        <v>369</v>
      </c>
      <c r="E65" s="612"/>
    </row>
    <row r="66" spans="2:10" ht="15.75" thickTop="1" thickBot="1">
      <c r="B66" s="703" t="s">
        <v>777</v>
      </c>
      <c r="C66" s="626" t="s">
        <v>369</v>
      </c>
      <c r="D66" s="626" t="s">
        <v>369</v>
      </c>
      <c r="E66" s="612"/>
    </row>
    <row r="67" spans="2:10" ht="15.75" thickTop="1" thickBot="1">
      <c r="B67" s="703" t="s">
        <v>776</v>
      </c>
      <c r="C67" s="626" t="s">
        <v>369</v>
      </c>
      <c r="D67" s="626" t="s">
        <v>369</v>
      </c>
      <c r="E67" s="612"/>
    </row>
    <row r="68" spans="2:10" ht="15.75" thickTop="1" thickBot="1">
      <c r="B68" s="703"/>
      <c r="C68" s="625"/>
      <c r="D68" s="624"/>
      <c r="E68" s="612"/>
    </row>
    <row r="69" spans="2:10" ht="15.75" thickTop="1" thickBot="1">
      <c r="B69" s="703" t="s">
        <v>775</v>
      </c>
      <c r="C69" s="625" t="s">
        <v>369</v>
      </c>
      <c r="D69" s="624" t="s">
        <v>369</v>
      </c>
      <c r="E69" s="612"/>
    </row>
    <row r="70" spans="2:10" ht="15.75" thickTop="1" thickBot="1">
      <c r="B70" s="703" t="s">
        <v>774</v>
      </c>
      <c r="C70" s="625" t="s">
        <v>369</v>
      </c>
      <c r="D70" s="624"/>
      <c r="E70" s="612"/>
    </row>
    <row r="71" spans="2:10" ht="15.75" thickTop="1" thickBot="1">
      <c r="B71" s="703" t="s">
        <v>773</v>
      </c>
      <c r="C71" s="624" t="s">
        <v>369</v>
      </c>
      <c r="D71" s="624" t="s">
        <v>369</v>
      </c>
      <c r="E71" s="612"/>
    </row>
    <row r="72" spans="2:10" ht="15.75" thickTop="1" thickBot="1">
      <c r="B72" s="703" t="s">
        <v>772</v>
      </c>
      <c r="C72" s="623"/>
      <c r="D72" s="623"/>
      <c r="E72" s="612"/>
      <c r="H72" s="622"/>
      <c r="I72" s="621" t="s">
        <v>515</v>
      </c>
      <c r="J72" s="620"/>
    </row>
    <row r="73" spans="2:10" ht="15.75" thickTop="1" thickBot="1">
      <c r="B73" s="703" t="s">
        <v>771</v>
      </c>
      <c r="C73" s="607"/>
      <c r="D73" s="607"/>
      <c r="E73" s="612"/>
      <c r="H73" s="619" t="s">
        <v>516</v>
      </c>
      <c r="I73" s="617" t="s">
        <v>770</v>
      </c>
      <c r="J73" s="616"/>
    </row>
    <row r="74" spans="2:10" ht="15.75" thickTop="1" thickBot="1">
      <c r="B74" s="703"/>
      <c r="C74" s="607"/>
      <c r="D74" s="607"/>
      <c r="E74" s="612"/>
      <c r="H74" s="618"/>
      <c r="I74" s="617"/>
      <c r="J74" s="616"/>
    </row>
    <row r="75" spans="2:10" ht="15.75" thickTop="1" thickBot="1">
      <c r="B75" s="704" t="s">
        <v>769</v>
      </c>
      <c r="C75" s="607"/>
      <c r="D75" s="607"/>
      <c r="E75" s="612"/>
      <c r="H75" s="615" t="s">
        <v>519</v>
      </c>
      <c r="I75" s="614">
        <v>40287</v>
      </c>
      <c r="J75" s="613"/>
    </row>
    <row r="76" spans="2:10" ht="15.75" thickTop="1" thickBot="1">
      <c r="B76" s="703" t="s">
        <v>768</v>
      </c>
      <c r="C76" s="607"/>
      <c r="D76" s="607"/>
      <c r="E76" s="612"/>
      <c r="G76" s="611"/>
      <c r="H76" s="610" t="s">
        <v>767</v>
      </c>
      <c r="I76" s="608" t="s">
        <v>766</v>
      </c>
    </row>
    <row r="77" spans="2:10" ht="13.5" thickTop="1">
      <c r="D77" s="600"/>
      <c r="H77" s="610" t="s">
        <v>765</v>
      </c>
      <c r="I77" s="608" t="s">
        <v>764</v>
      </c>
    </row>
    <row r="78" spans="2:10">
      <c r="D78" s="600"/>
      <c r="H78" s="609" t="s">
        <v>763</v>
      </c>
      <c r="I78" s="608" t="s">
        <v>762</v>
      </c>
    </row>
    <row r="79" spans="2:10">
      <c r="D79" s="600"/>
    </row>
    <row r="80" spans="2:10">
      <c r="D80" s="600"/>
    </row>
    <row r="81" spans="1:8" ht="13.5" thickBot="1">
      <c r="D81" s="600"/>
    </row>
    <row r="82" spans="1:8" ht="15.75" thickTop="1" thickBot="1">
      <c r="B82" s="703"/>
      <c r="C82" s="607"/>
      <c r="D82" s="607"/>
      <c r="E82" s="606"/>
    </row>
    <row r="83" spans="1:8" ht="15.75" thickTop="1">
      <c r="B83" s="705" t="s">
        <v>761</v>
      </c>
      <c r="D83" s="600"/>
      <c r="H83" s="604"/>
    </row>
    <row r="84" spans="1:8" ht="14.25">
      <c r="A84" s="598">
        <v>1</v>
      </c>
      <c r="B84" s="706" t="s">
        <v>760</v>
      </c>
      <c r="C84" s="602" t="e">
        <f>(C55+C48)/C58</f>
        <v>#VALUE!</v>
      </c>
      <c r="D84" s="602" t="e">
        <f>D55/D58</f>
        <v>#VALUE!</v>
      </c>
      <c r="E84" s="598" t="s">
        <v>758</v>
      </c>
      <c r="H84" s="604"/>
    </row>
    <row r="85" spans="1:8" ht="14.25">
      <c r="B85" s="706" t="s">
        <v>759</v>
      </c>
      <c r="C85" s="602" t="e">
        <f>(C55+C48)/C59</f>
        <v>#VALUE!</v>
      </c>
      <c r="D85" s="602" t="e">
        <f>D55/D59</f>
        <v>#VALUE!</v>
      </c>
      <c r="E85" s="598" t="s">
        <v>758</v>
      </c>
      <c r="H85" s="604"/>
    </row>
    <row r="86" spans="1:8" ht="14.25">
      <c r="A86" s="598">
        <v>2</v>
      </c>
      <c r="B86" s="706" t="s">
        <v>757</v>
      </c>
      <c r="C86" s="602" t="e">
        <f>C56/C58</f>
        <v>#VALUE!</v>
      </c>
      <c r="D86" s="602" t="e">
        <f>D56/D58</f>
        <v>#VALUE!</v>
      </c>
      <c r="E86" s="598" t="s">
        <v>729</v>
      </c>
      <c r="H86" s="604"/>
    </row>
    <row r="87" spans="1:8" ht="14.25">
      <c r="B87" s="706" t="s">
        <v>756</v>
      </c>
      <c r="C87" s="602" t="e">
        <f>C56/C59</f>
        <v>#VALUE!</v>
      </c>
      <c r="D87" s="602" t="e">
        <f>D56/D59</f>
        <v>#VALUE!</v>
      </c>
      <c r="E87" s="598" t="s">
        <v>729</v>
      </c>
      <c r="H87" s="604"/>
    </row>
    <row r="88" spans="1:8" ht="14.25">
      <c r="A88" s="598">
        <v>3</v>
      </c>
      <c r="B88" s="706" t="s">
        <v>755</v>
      </c>
      <c r="C88" s="602" t="s">
        <v>369</v>
      </c>
      <c r="D88" s="600"/>
      <c r="E88" s="598" t="s">
        <v>747</v>
      </c>
      <c r="H88" s="604"/>
    </row>
    <row r="89" spans="1:8" ht="14.25">
      <c r="B89" s="706" t="s">
        <v>754</v>
      </c>
      <c r="C89" s="602" t="s">
        <v>369</v>
      </c>
      <c r="D89" s="600"/>
      <c r="E89" s="598" t="s">
        <v>747</v>
      </c>
      <c r="H89" s="604"/>
    </row>
    <row r="90" spans="1:8" ht="14.25">
      <c r="A90" s="598">
        <v>4</v>
      </c>
      <c r="B90" s="706" t="s">
        <v>753</v>
      </c>
      <c r="C90" s="605" t="e">
        <f>C61/C58</f>
        <v>#DIV/0!</v>
      </c>
      <c r="D90" s="605" t="e">
        <f>D61/D58</f>
        <v>#VALUE!</v>
      </c>
      <c r="E90" s="598" t="s">
        <v>729</v>
      </c>
      <c r="H90" s="604"/>
    </row>
    <row r="91" spans="1:8" ht="14.25">
      <c r="B91" s="706" t="s">
        <v>752</v>
      </c>
      <c r="C91" s="602" t="e">
        <f>C61/C59</f>
        <v>#DIV/0!</v>
      </c>
      <c r="D91" s="602" t="e">
        <f>D61/D59</f>
        <v>#VALUE!</v>
      </c>
      <c r="E91" s="598" t="s">
        <v>729</v>
      </c>
      <c r="H91" s="604"/>
    </row>
    <row r="92" spans="1:8" ht="14.25">
      <c r="A92" s="598">
        <v>5</v>
      </c>
      <c r="B92" s="706" t="s">
        <v>751</v>
      </c>
      <c r="C92" s="602" t="e">
        <f>(C46+C47+C48+C49)/C58</f>
        <v>#DIV/0!</v>
      </c>
      <c r="D92" s="602" t="e">
        <f>(D46+D47+D48+D49)/D58</f>
        <v>#VALUE!</v>
      </c>
      <c r="E92" s="598" t="s">
        <v>749</v>
      </c>
    </row>
    <row r="93" spans="1:8" ht="14.25">
      <c r="B93" s="706" t="s">
        <v>750</v>
      </c>
      <c r="C93" s="602" t="e">
        <f>C92*C58/C59</f>
        <v>#DIV/0!</v>
      </c>
      <c r="D93" s="602" t="e">
        <f>D92*D58/D59</f>
        <v>#VALUE!</v>
      </c>
      <c r="E93" s="598" t="s">
        <v>749</v>
      </c>
    </row>
    <row r="94" spans="1:8" ht="14.25">
      <c r="A94" s="598">
        <v>6</v>
      </c>
      <c r="B94" s="706" t="s">
        <v>748</v>
      </c>
      <c r="C94" s="602" t="e">
        <f ca="1">(C46+C47+C48+C49)/C50</f>
        <v>#N/A</v>
      </c>
      <c r="D94" s="602" t="e">
        <f ca="1">(D46+D47+D48+D49)/D50</f>
        <v>#N/A</v>
      </c>
      <c r="E94" s="598" t="s">
        <v>747</v>
      </c>
    </row>
    <row r="95" spans="1:8" ht="14.25">
      <c r="A95" s="598">
        <v>7</v>
      </c>
      <c r="B95" s="706" t="s">
        <v>746</v>
      </c>
      <c r="C95" s="602" t="e">
        <f ca="1">(C46+C47)/(C51+C46)</f>
        <v>#N/A</v>
      </c>
      <c r="D95" s="602" t="e">
        <f ca="1">(D46+D47)/(D51+D46)</f>
        <v>#N/A</v>
      </c>
      <c r="E95" s="598" t="s">
        <v>729</v>
      </c>
    </row>
    <row r="96" spans="1:8" ht="14.25">
      <c r="A96" s="598">
        <v>8</v>
      </c>
      <c r="B96" s="706" t="s">
        <v>372</v>
      </c>
      <c r="C96" s="602" t="e">
        <f ca="1">(C51+C46)/C50</f>
        <v>#N/A</v>
      </c>
      <c r="D96" s="602" t="e">
        <f ca="1">(D51+D46)/D50</f>
        <v>#N/A</v>
      </c>
      <c r="E96" s="598" t="s">
        <v>745</v>
      </c>
    </row>
    <row r="97" spans="1:5">
      <c r="D97" s="600"/>
      <c r="E97" s="598" t="s">
        <v>744</v>
      </c>
    </row>
    <row r="98" spans="1:5">
      <c r="D98" s="600"/>
      <c r="E98" s="598" t="s">
        <v>743</v>
      </c>
    </row>
    <row r="99" spans="1:5" ht="14.25">
      <c r="A99" s="598">
        <v>9</v>
      </c>
      <c r="B99" s="706" t="s">
        <v>742</v>
      </c>
      <c r="C99" s="602" t="e">
        <f>(C$64+C$46+C$48)/C58</f>
        <v>#DIV/0!</v>
      </c>
      <c r="D99" s="602" t="e">
        <f>(D$64+D$46+D$48)/D58</f>
        <v>#VALUE!</v>
      </c>
      <c r="E99" s="598" t="s">
        <v>740</v>
      </c>
    </row>
    <row r="100" spans="1:5" ht="14.25">
      <c r="B100" s="706" t="s">
        <v>741</v>
      </c>
      <c r="C100" s="602" t="e">
        <f>(C$64+C$46+C$48)/C59</f>
        <v>#DIV/0!</v>
      </c>
      <c r="D100" s="602" t="e">
        <f>(D$64+D$46+D$48)/D59</f>
        <v>#VALUE!</v>
      </c>
      <c r="E100" s="598" t="s">
        <v>740</v>
      </c>
    </row>
    <row r="101" spans="1:5" ht="14.25">
      <c r="A101" s="598">
        <v>10</v>
      </c>
      <c r="B101" s="706" t="s">
        <v>739</v>
      </c>
      <c r="C101" s="602" t="e">
        <f>($C$65+$C$46+$C$48)/C58</f>
        <v>#DIV/0!</v>
      </c>
      <c r="D101" s="602" t="e">
        <f>($C$65+$C$46+$C$48)/D58</f>
        <v>#VALUE!</v>
      </c>
      <c r="E101" s="598" t="s">
        <v>737</v>
      </c>
    </row>
    <row r="102" spans="1:5" ht="14.25">
      <c r="B102" s="706" t="s">
        <v>738</v>
      </c>
      <c r="C102" s="602" t="e">
        <f>($C$65+$C$46+$C$48)/C59</f>
        <v>#DIV/0!</v>
      </c>
      <c r="D102" s="602" t="e">
        <f>($C$65+$C$46+$C$48)/D59</f>
        <v>#DIV/0!</v>
      </c>
      <c r="E102" s="598" t="s">
        <v>737</v>
      </c>
    </row>
    <row r="103" spans="1:5" ht="14.25">
      <c r="A103" s="598">
        <v>11</v>
      </c>
      <c r="B103" s="706" t="s">
        <v>736</v>
      </c>
      <c r="C103" s="603" t="e">
        <f>(C66+C48)/C58</f>
        <v>#VALUE!</v>
      </c>
      <c r="D103" s="603" t="e">
        <f>(D66+D48)/D58</f>
        <v>#VALUE!</v>
      </c>
      <c r="E103" s="598" t="s">
        <v>732</v>
      </c>
    </row>
    <row r="104" spans="1:5" ht="14.25">
      <c r="B104" s="706" t="s">
        <v>735</v>
      </c>
      <c r="C104" s="603" t="e">
        <f>(C66+C48)/C59</f>
        <v>#VALUE!</v>
      </c>
      <c r="D104" s="603" t="e">
        <f>(D66+D48)/D59</f>
        <v>#VALUE!</v>
      </c>
      <c r="E104" s="598" t="s">
        <v>732</v>
      </c>
    </row>
    <row r="105" spans="1:5" ht="14.25">
      <c r="A105" s="598">
        <v>12</v>
      </c>
      <c r="B105" s="706" t="s">
        <v>734</v>
      </c>
      <c r="C105" s="603" t="e">
        <f>C67/C58</f>
        <v>#VALUE!</v>
      </c>
      <c r="D105" s="603" t="e">
        <f>D67/D58</f>
        <v>#VALUE!</v>
      </c>
      <c r="E105" s="598" t="s">
        <v>732</v>
      </c>
    </row>
    <row r="106" spans="1:5" ht="14.25">
      <c r="B106" s="706" t="s">
        <v>733</v>
      </c>
      <c r="C106" s="603" t="e">
        <f>C67/C59</f>
        <v>#VALUE!</v>
      </c>
      <c r="D106" s="603" t="e">
        <f>D67/D59</f>
        <v>#VALUE!</v>
      </c>
      <c r="E106" s="598" t="s">
        <v>732</v>
      </c>
    </row>
    <row r="107" spans="1:5" ht="14.25">
      <c r="B107" s="706"/>
      <c r="C107" s="602"/>
      <c r="D107" s="600"/>
    </row>
    <row r="108" spans="1:5" ht="14.25">
      <c r="A108" s="598">
        <v>13</v>
      </c>
      <c r="B108" s="706" t="s">
        <v>731</v>
      </c>
      <c r="C108" s="602"/>
      <c r="D108" s="600"/>
      <c r="E108" s="598" t="s">
        <v>729</v>
      </c>
    </row>
    <row r="109" spans="1:5" ht="14.25">
      <c r="B109" s="706" t="s">
        <v>730</v>
      </c>
      <c r="C109" s="602"/>
      <c r="D109" s="600"/>
      <c r="E109" s="598" t="s">
        <v>729</v>
      </c>
    </row>
    <row r="110" spans="1:5" ht="14.25">
      <c r="A110" s="598">
        <v>14</v>
      </c>
      <c r="B110" s="706" t="s">
        <v>728</v>
      </c>
      <c r="C110" s="602"/>
      <c r="D110" s="600"/>
      <c r="E110" s="598" t="s">
        <v>726</v>
      </c>
    </row>
    <row r="111" spans="1:5" ht="14.25">
      <c r="B111" s="706" t="s">
        <v>727</v>
      </c>
      <c r="C111" s="602"/>
      <c r="D111" s="600"/>
      <c r="E111" s="598" t="s">
        <v>726</v>
      </c>
    </row>
    <row r="112" spans="1:5" ht="14.25">
      <c r="A112" s="598">
        <v>15</v>
      </c>
      <c r="B112" s="706" t="s">
        <v>725</v>
      </c>
      <c r="D112" s="600"/>
      <c r="E112" s="598" t="s">
        <v>724</v>
      </c>
    </row>
    <row r="113" spans="1:4">
      <c r="D113" s="600"/>
    </row>
    <row r="114" spans="1:4" ht="14.25">
      <c r="A114" s="598">
        <v>16</v>
      </c>
      <c r="B114" s="706" t="s">
        <v>723</v>
      </c>
      <c r="C114" s="600" t="s">
        <v>722</v>
      </c>
      <c r="D114" s="600" t="s">
        <v>722</v>
      </c>
    </row>
    <row r="115" spans="1:4" ht="14.25">
      <c r="A115" s="598">
        <v>17</v>
      </c>
      <c r="B115" s="706" t="s">
        <v>721</v>
      </c>
    </row>
    <row r="116" spans="1:4" ht="14.25">
      <c r="A116" s="598">
        <v>18</v>
      </c>
      <c r="B116" s="706" t="s">
        <v>720</v>
      </c>
      <c r="C116" s="601" t="s">
        <v>369</v>
      </c>
    </row>
  </sheetData>
  <hyperlinks>
    <hyperlink ref="I76" r:id="rId1" display="Sinisa.Vukic@snsam.nl/Bart.vandeKamer@snsam.nl/Alexander.Lubeck@snsam.nl/Ruben.smit@snsam.nl"/>
    <hyperlink ref="I78" r:id="rId2" display="leontine.baars@snsam.nl/bob.vanderveen@snsam.nl/jeroen.verberk@snsam.nl"/>
    <hyperlink ref="H38" r:id="rId3" display="theo.brouwers@snsam.nl;"/>
    <hyperlink ref="H37" r:id="rId4"/>
    <hyperlink ref="H39" r:id="rId5" display="leontine.baars@snsam.nl/bob.vanderveen@snsam.nl/jeroen.verberk@snsam.nl"/>
  </hyperlinks>
  <pageMargins left="0.75" right="0.75" top="1" bottom="1" header="0.5" footer="0.5"/>
  <pageSetup paperSize="9" scale="39" orientation="portrait" r:id="rId6"/>
  <headerFooter alignWithMargins="0"/>
</worksheet>
</file>

<file path=xl/worksheets/sheet17.xml><?xml version="1.0" encoding="utf-8"?>
<worksheet xmlns="http://schemas.openxmlformats.org/spreadsheetml/2006/main" xmlns:r="http://schemas.openxmlformats.org/officeDocument/2006/relationships">
  <sheetPr codeName="Sheet3">
    <tabColor rgb="FF92D050"/>
  </sheetPr>
  <dimension ref="A1:F91"/>
  <sheetViews>
    <sheetView topLeftCell="A4" workbookViewId="0">
      <selection activeCell="E23" sqref="E23"/>
    </sheetView>
  </sheetViews>
  <sheetFormatPr defaultRowHeight="12.75"/>
  <cols>
    <col min="1" max="1" width="53.7109375" style="598" customWidth="1"/>
    <col min="2" max="2" width="42" style="598" customWidth="1"/>
    <col min="3" max="4" width="9.140625" style="598"/>
    <col min="5" max="5" width="19.42578125" style="598" customWidth="1"/>
    <col min="6" max="16384" width="9.140625" style="598"/>
  </cols>
  <sheetData>
    <row r="1" spans="1:6">
      <c r="A1" s="648" t="s">
        <v>904</v>
      </c>
      <c r="B1" s="677"/>
    </row>
    <row r="2" spans="1:6" ht="14.25">
      <c r="A2" s="676" t="s">
        <v>369</v>
      </c>
      <c r="B2" s="675"/>
    </row>
    <row r="3" spans="1:6" ht="15">
      <c r="A3" s="654"/>
      <c r="B3" s="653" t="s">
        <v>872</v>
      </c>
      <c r="D3" s="610" t="s">
        <v>767</v>
      </c>
      <c r="E3" s="608" t="s">
        <v>766</v>
      </c>
    </row>
    <row r="4" spans="1:6" ht="15.75">
      <c r="A4" s="663" t="s">
        <v>625</v>
      </c>
      <c r="B4" s="674">
        <f>'Gen Info'!B2:G2</f>
        <v>0</v>
      </c>
      <c r="D4" s="598" t="s">
        <v>520</v>
      </c>
      <c r="E4" s="608" t="s">
        <v>871</v>
      </c>
    </row>
    <row r="5" spans="1:6" ht="15.75">
      <c r="A5" s="663" t="s">
        <v>870</v>
      </c>
      <c r="B5" s="674"/>
      <c r="D5" s="598" t="s">
        <v>268</v>
      </c>
      <c r="E5" s="608" t="s">
        <v>869</v>
      </c>
    </row>
    <row r="6" spans="1:6" ht="15.75">
      <c r="A6" s="663" t="s">
        <v>868</v>
      </c>
      <c r="B6" s="674">
        <f>'Gen Info'!D41</f>
        <v>0</v>
      </c>
    </row>
    <row r="7" spans="1:6" ht="15.75">
      <c r="A7" s="663" t="s">
        <v>867</v>
      </c>
      <c r="B7" s="674">
        <f>'Gen Info'!E41</f>
        <v>0</v>
      </c>
    </row>
    <row r="8" spans="1:6" ht="15.75">
      <c r="A8" s="652"/>
      <c r="B8" s="674"/>
    </row>
    <row r="9" spans="1:6" ht="15.75">
      <c r="A9" s="663" t="s">
        <v>866</v>
      </c>
      <c r="B9" s="674">
        <f>'Gen Info'!B33</f>
        <v>0</v>
      </c>
      <c r="D9" s="611"/>
      <c r="E9" s="617"/>
      <c r="F9" s="617"/>
    </row>
    <row r="10" spans="1:6" ht="15">
      <c r="A10" s="663" t="s">
        <v>865</v>
      </c>
      <c r="B10" s="719"/>
      <c r="D10" s="617"/>
      <c r="E10" s="617"/>
      <c r="F10" s="617"/>
    </row>
    <row r="11" spans="1:6" ht="15">
      <c r="A11" s="662"/>
      <c r="B11" s="661"/>
      <c r="D11" s="617"/>
      <c r="E11" s="617"/>
      <c r="F11" s="617"/>
    </row>
    <row r="12" spans="1:6" ht="15.75">
      <c r="A12" s="673" t="s">
        <v>864</v>
      </c>
      <c r="B12" s="672"/>
      <c r="D12" s="611"/>
      <c r="E12" s="617"/>
      <c r="F12" s="617"/>
    </row>
    <row r="13" spans="1:6" ht="15.75">
      <c r="A13" s="671" t="s">
        <v>863</v>
      </c>
      <c r="B13" s="670" t="s">
        <v>862</v>
      </c>
      <c r="D13" s="617"/>
      <c r="E13" s="617"/>
      <c r="F13" s="617"/>
    </row>
    <row r="14" spans="1:6" ht="15.75">
      <c r="A14" s="663" t="s">
        <v>861</v>
      </c>
      <c r="B14" s="670"/>
    </row>
    <row r="15" spans="1:6" ht="15.75">
      <c r="A15" s="663" t="s">
        <v>905</v>
      </c>
      <c r="B15" s="670"/>
    </row>
    <row r="16" spans="1:6" ht="15.75">
      <c r="A16" s="663" t="s">
        <v>906</v>
      </c>
      <c r="B16" s="670"/>
    </row>
    <row r="17" spans="1:2" ht="15">
      <c r="A17" s="665"/>
      <c r="B17" s="669"/>
    </row>
    <row r="18" spans="1:2" ht="15">
      <c r="A18" s="663" t="s">
        <v>860</v>
      </c>
      <c r="B18" s="668"/>
    </row>
    <row r="19" spans="1:2" ht="14.25">
      <c r="A19" s="665"/>
      <c r="B19" s="664"/>
    </row>
    <row r="20" spans="1:2" ht="14.25">
      <c r="A20" s="652" t="s">
        <v>859</v>
      </c>
      <c r="B20" s="720"/>
    </row>
    <row r="21" spans="1:2" ht="14.25">
      <c r="A21" s="652" t="s">
        <v>858</v>
      </c>
      <c r="B21" s="721"/>
    </row>
    <row r="22" spans="1:2" ht="14.25">
      <c r="A22" s="652" t="s">
        <v>676</v>
      </c>
      <c r="B22" s="721"/>
    </row>
    <row r="23" spans="1:2" ht="15">
      <c r="A23" s="663" t="s">
        <v>857</v>
      </c>
      <c r="B23" s="722"/>
    </row>
    <row r="24" spans="1:2" ht="15">
      <c r="A24" s="663" t="s">
        <v>856</v>
      </c>
      <c r="B24" s="722"/>
    </row>
    <row r="25" spans="1:2" ht="14.25">
      <c r="A25" s="652" t="s">
        <v>855</v>
      </c>
      <c r="B25" s="723"/>
    </row>
    <row r="26" spans="1:2" ht="14.25">
      <c r="A26" s="652" t="s">
        <v>854</v>
      </c>
      <c r="B26" s="724"/>
    </row>
    <row r="27" spans="1:2" ht="15">
      <c r="A27" s="667" t="s">
        <v>853</v>
      </c>
      <c r="B27" s="725"/>
    </row>
    <row r="28" spans="1:2" ht="14.25">
      <c r="A28" s="666" t="s">
        <v>852</v>
      </c>
      <c r="B28" s="726"/>
    </row>
    <row r="29" spans="1:2" ht="15">
      <c r="A29" s="663" t="s">
        <v>851</v>
      </c>
      <c r="B29" s="727"/>
    </row>
    <row r="30" spans="1:2" ht="14.25">
      <c r="A30" s="652" t="s">
        <v>850</v>
      </c>
      <c r="B30" s="728"/>
    </row>
    <row r="31" spans="1:2" ht="15">
      <c r="A31" s="663" t="s">
        <v>849</v>
      </c>
      <c r="B31" s="719"/>
    </row>
    <row r="32" spans="1:2" ht="15">
      <c r="A32" s="663" t="s">
        <v>848</v>
      </c>
      <c r="B32" s="719"/>
    </row>
    <row r="33" spans="1:6" ht="14.25">
      <c r="A33" s="665"/>
      <c r="B33" s="664"/>
    </row>
    <row r="34" spans="1:6" ht="15">
      <c r="A34" s="663" t="s">
        <v>847</v>
      </c>
      <c r="B34" s="719"/>
      <c r="E34" s="644"/>
    </row>
    <row r="35" spans="1:6" ht="15">
      <c r="A35" s="663" t="s">
        <v>907</v>
      </c>
      <c r="B35" s="719"/>
      <c r="E35" s="644"/>
    </row>
    <row r="36" spans="1:6" ht="15">
      <c r="A36" s="663" t="s">
        <v>846</v>
      </c>
      <c r="B36" s="719"/>
      <c r="D36" s="622"/>
      <c r="E36" s="621" t="s">
        <v>515</v>
      </c>
      <c r="F36" s="620"/>
    </row>
    <row r="37" spans="1:6" ht="15">
      <c r="A37" s="663" t="s">
        <v>908</v>
      </c>
      <c r="B37" s="719"/>
      <c r="D37" s="619" t="s">
        <v>516</v>
      </c>
      <c r="E37" s="729"/>
      <c r="F37" s="616"/>
    </row>
    <row r="38" spans="1:6" ht="15">
      <c r="A38" s="663" t="s">
        <v>845</v>
      </c>
      <c r="B38" s="719"/>
      <c r="D38" s="618"/>
      <c r="E38" s="656"/>
      <c r="F38" s="616"/>
    </row>
    <row r="39" spans="1:6" ht="15">
      <c r="A39" s="663" t="s">
        <v>909</v>
      </c>
      <c r="B39" s="719"/>
      <c r="D39" s="615" t="s">
        <v>519</v>
      </c>
      <c r="E39" s="712"/>
      <c r="F39" s="613"/>
    </row>
    <row r="40" spans="1:6" ht="15">
      <c r="A40" s="663" t="s">
        <v>844</v>
      </c>
      <c r="B40" s="719"/>
      <c r="D40" s="598" t="s">
        <v>767</v>
      </c>
      <c r="E40" s="608" t="s">
        <v>843</v>
      </c>
    </row>
    <row r="41" spans="1:6" ht="15">
      <c r="A41" s="663" t="s">
        <v>910</v>
      </c>
      <c r="B41" s="719"/>
      <c r="E41" s="608" t="s">
        <v>842</v>
      </c>
    </row>
    <row r="42" spans="1:6" ht="15">
      <c r="A42" s="663" t="s">
        <v>841</v>
      </c>
      <c r="B42" s="719"/>
      <c r="D42" s="598" t="s">
        <v>520</v>
      </c>
      <c r="E42" s="608" t="s">
        <v>840</v>
      </c>
    </row>
    <row r="43" spans="1:6" ht="15">
      <c r="A43" s="663" t="s">
        <v>839</v>
      </c>
      <c r="B43" s="719"/>
      <c r="D43" s="598" t="s">
        <v>268</v>
      </c>
      <c r="E43" s="608" t="s">
        <v>838</v>
      </c>
    </row>
    <row r="44" spans="1:6" ht="15">
      <c r="A44" s="663" t="s">
        <v>911</v>
      </c>
      <c r="B44" s="719"/>
      <c r="E44" s="608"/>
    </row>
    <row r="45" spans="1:6" ht="15">
      <c r="A45" s="662"/>
      <c r="B45" s="661"/>
      <c r="E45" s="644"/>
    </row>
    <row r="46" spans="1:6" ht="15">
      <c r="A46" s="662"/>
      <c r="B46" s="661"/>
    </row>
    <row r="47" spans="1:6">
      <c r="B47" s="598" t="s">
        <v>369</v>
      </c>
    </row>
    <row r="48" spans="1:6" ht="14.25">
      <c r="A48" s="638"/>
      <c r="B48" s="612"/>
      <c r="D48" s="655"/>
    </row>
    <row r="49" spans="1:6" ht="15">
      <c r="A49" s="654"/>
      <c r="B49" s="659" t="s">
        <v>837</v>
      </c>
    </row>
    <row r="51" spans="1:6" ht="15">
      <c r="A51" s="660" t="s">
        <v>836</v>
      </c>
      <c r="B51" s="651"/>
    </row>
    <row r="52" spans="1:6" ht="15">
      <c r="A52" s="660" t="s">
        <v>835</v>
      </c>
      <c r="B52" s="651"/>
      <c r="D52" s="622"/>
      <c r="E52" s="621" t="s">
        <v>515</v>
      </c>
      <c r="F52" s="620"/>
    </row>
    <row r="53" spans="1:6" ht="15">
      <c r="A53" s="660" t="s">
        <v>834</v>
      </c>
      <c r="B53" s="651"/>
      <c r="D53" s="619" t="s">
        <v>516</v>
      </c>
      <c r="E53" s="617"/>
      <c r="F53" s="616"/>
    </row>
    <row r="54" spans="1:6" ht="15">
      <c r="A54" s="660" t="s">
        <v>833</v>
      </c>
      <c r="B54" s="640"/>
      <c r="D54" s="618"/>
      <c r="E54" s="617"/>
      <c r="F54" s="616"/>
    </row>
    <row r="55" spans="1:6" ht="15">
      <c r="A55" s="660" t="s">
        <v>832</v>
      </c>
      <c r="B55" s="640"/>
      <c r="D55" s="615" t="s">
        <v>519</v>
      </c>
      <c r="E55" s="641"/>
      <c r="F55" s="613"/>
    </row>
    <row r="56" spans="1:6" ht="15">
      <c r="A56" s="660" t="s">
        <v>831</v>
      </c>
      <c r="B56" s="640"/>
      <c r="D56" s="610" t="s">
        <v>767</v>
      </c>
      <c r="E56" s="608" t="s">
        <v>766</v>
      </c>
    </row>
    <row r="57" spans="1:6" ht="15">
      <c r="A57" s="660" t="s">
        <v>830</v>
      </c>
      <c r="B57" s="640"/>
      <c r="D57" s="610"/>
      <c r="E57" s="608"/>
    </row>
    <row r="58" spans="1:6" ht="15">
      <c r="A58" s="660" t="s">
        <v>829</v>
      </c>
      <c r="B58" s="640"/>
      <c r="D58" s="610" t="s">
        <v>765</v>
      </c>
      <c r="E58" s="608" t="s">
        <v>828</v>
      </c>
    </row>
    <row r="59" spans="1:6" ht="15">
      <c r="A59" s="660" t="s">
        <v>123</v>
      </c>
      <c r="B59" s="640"/>
      <c r="D59" s="609" t="s">
        <v>763</v>
      </c>
      <c r="E59" s="608" t="s">
        <v>764</v>
      </c>
    </row>
    <row r="60" spans="1:6" ht="15">
      <c r="A60" s="660" t="s">
        <v>827</v>
      </c>
      <c r="B60" s="640"/>
      <c r="E60" s="608" t="s">
        <v>794</v>
      </c>
    </row>
    <row r="61" spans="1:6" ht="14.25">
      <c r="A61" s="658" t="s">
        <v>826</v>
      </c>
      <c r="B61" s="651" t="s">
        <v>825</v>
      </c>
      <c r="E61" s="644"/>
    </row>
    <row r="62" spans="1:6">
      <c r="B62" s="600" t="s">
        <v>824</v>
      </c>
    </row>
    <row r="63" spans="1:6" ht="14.25">
      <c r="A63" s="638"/>
    </row>
    <row r="65" spans="1:6">
      <c r="A65" s="598" t="s">
        <v>369</v>
      </c>
      <c r="B65" s="600" t="s">
        <v>369</v>
      </c>
      <c r="D65" s="617"/>
      <c r="F65" s="617"/>
    </row>
    <row r="66" spans="1:6">
      <c r="D66" s="655"/>
      <c r="E66" s="617"/>
      <c r="F66" s="617"/>
    </row>
    <row r="67" spans="1:6" ht="15">
      <c r="A67" s="654"/>
      <c r="B67" s="659" t="s">
        <v>823</v>
      </c>
      <c r="D67" s="622"/>
      <c r="E67" s="621" t="s">
        <v>515</v>
      </c>
      <c r="F67" s="620"/>
    </row>
    <row r="68" spans="1:6">
      <c r="D68" s="619" t="s">
        <v>516</v>
      </c>
      <c r="E68" s="617"/>
      <c r="F68" s="616"/>
    </row>
    <row r="69" spans="1:6" ht="14.25">
      <c r="A69" s="652" t="s">
        <v>822</v>
      </c>
      <c r="B69" s="651"/>
      <c r="D69" s="618"/>
      <c r="E69" s="617"/>
      <c r="F69" s="616"/>
    </row>
    <row r="70" spans="1:6" ht="14.25">
      <c r="A70" s="658" t="s">
        <v>821</v>
      </c>
      <c r="B70" s="651"/>
      <c r="D70" s="615" t="s">
        <v>519</v>
      </c>
      <c r="E70" s="641"/>
      <c r="F70" s="613"/>
    </row>
    <row r="71" spans="1:6" ht="14.25">
      <c r="A71" s="638"/>
      <c r="B71" s="612" t="s">
        <v>820</v>
      </c>
      <c r="D71" s="609" t="s">
        <v>810</v>
      </c>
      <c r="E71" s="608" t="s">
        <v>819</v>
      </c>
    </row>
    <row r="72" spans="1:6">
      <c r="D72" s="609" t="s">
        <v>765</v>
      </c>
      <c r="E72" s="608" t="s">
        <v>764</v>
      </c>
    </row>
    <row r="73" spans="1:6">
      <c r="D73" s="609" t="s">
        <v>763</v>
      </c>
      <c r="E73" s="608" t="s">
        <v>818</v>
      </c>
    </row>
    <row r="74" spans="1:6">
      <c r="D74" s="657"/>
      <c r="E74" s="656"/>
      <c r="F74" s="655"/>
    </row>
    <row r="75" spans="1:6" ht="15">
      <c r="A75" s="654"/>
      <c r="B75" s="653" t="s">
        <v>817</v>
      </c>
      <c r="D75" s="622"/>
      <c r="E75" s="621" t="s">
        <v>515</v>
      </c>
      <c r="F75" s="620"/>
    </row>
    <row r="76" spans="1:6">
      <c r="D76" s="619" t="s">
        <v>516</v>
      </c>
      <c r="E76" s="617"/>
      <c r="F76" s="616"/>
    </row>
    <row r="77" spans="1:6">
      <c r="D77" s="618"/>
      <c r="E77" s="617"/>
      <c r="F77" s="616"/>
    </row>
    <row r="78" spans="1:6" ht="14.25">
      <c r="A78" s="652" t="s">
        <v>816</v>
      </c>
      <c r="B78" s="651"/>
      <c r="D78" s="618"/>
      <c r="E78" s="617"/>
      <c r="F78" s="616"/>
    </row>
    <row r="79" spans="1:6" ht="14.25">
      <c r="A79" s="652" t="s">
        <v>815</v>
      </c>
      <c r="B79" s="651"/>
      <c r="D79" s="615" t="s">
        <v>519</v>
      </c>
      <c r="E79" s="641"/>
      <c r="F79" s="613"/>
    </row>
    <row r="80" spans="1:6" ht="14.25">
      <c r="A80" s="650"/>
      <c r="B80" s="649" t="s">
        <v>814</v>
      </c>
      <c r="D80" s="609" t="s">
        <v>810</v>
      </c>
      <c r="E80" s="608" t="s">
        <v>764</v>
      </c>
    </row>
    <row r="81" spans="1:6">
      <c r="A81" s="617"/>
      <c r="B81" s="617"/>
      <c r="D81" s="609" t="s">
        <v>765</v>
      </c>
      <c r="E81" s="608" t="s">
        <v>809</v>
      </c>
    </row>
    <row r="82" spans="1:6">
      <c r="D82" s="609" t="s">
        <v>763</v>
      </c>
      <c r="E82" s="608" t="s">
        <v>808</v>
      </c>
    </row>
    <row r="83" spans="1:6" ht="15">
      <c r="A83" s="654"/>
      <c r="B83" s="653" t="s">
        <v>813</v>
      </c>
      <c r="D83" s="622"/>
      <c r="E83" s="621" t="s">
        <v>515</v>
      </c>
      <c r="F83" s="620"/>
    </row>
    <row r="84" spans="1:6">
      <c r="D84" s="619" t="s">
        <v>516</v>
      </c>
      <c r="E84" s="617"/>
      <c r="F84" s="616"/>
    </row>
    <row r="85" spans="1:6">
      <c r="D85" s="618"/>
      <c r="E85" s="617"/>
      <c r="F85" s="616"/>
    </row>
    <row r="86" spans="1:6" ht="14.25">
      <c r="A86" s="652" t="s">
        <v>812</v>
      </c>
      <c r="B86" s="651" t="s">
        <v>369</v>
      </c>
      <c r="D86" s="615" t="s">
        <v>519</v>
      </c>
      <c r="E86" s="641"/>
      <c r="F86" s="613"/>
    </row>
    <row r="87" spans="1:6" ht="14.25">
      <c r="A87" s="650"/>
      <c r="B87" s="649" t="s">
        <v>811</v>
      </c>
      <c r="D87" s="609" t="s">
        <v>810</v>
      </c>
      <c r="E87" s="608" t="s">
        <v>809</v>
      </c>
    </row>
    <row r="88" spans="1:6">
      <c r="D88" s="609" t="s">
        <v>765</v>
      </c>
      <c r="E88" s="608" t="s">
        <v>764</v>
      </c>
    </row>
    <row r="89" spans="1:6">
      <c r="D89" s="609" t="s">
        <v>763</v>
      </c>
      <c r="E89" s="608" t="s">
        <v>808</v>
      </c>
    </row>
    <row r="91" spans="1:6">
      <c r="D91" s="610" t="s">
        <v>369</v>
      </c>
    </row>
  </sheetData>
  <hyperlinks>
    <hyperlink ref="E4" r:id="rId1" display="Barbara@dwmarkets "/>
    <hyperlink ref="E5" r:id="rId2" display="Judy@dwmarkets"/>
    <hyperlink ref="E40" r:id="rId3"/>
    <hyperlink ref="E41" r:id="rId4"/>
    <hyperlink ref="E42" r:id="rId5" display="Theo.Brouwers@snsam.nl/sinisa.vukic@snsam.nl/alexander.lubeck@snsam.nl/leontine.baars@snsam.nl/bob.vanderveen@snsam.nl"/>
    <hyperlink ref="E43" r:id="rId6" display="Ruben.Smit@snsam.nl/bart.vandekamer@snsam.nl/jeroen.verberk@snsam.nl"/>
    <hyperlink ref="E58" r:id="rId7"/>
    <hyperlink ref="E56" r:id="rId8" display="Sinisa.Vukic@snsam.nl/Bart.vandeKamer@snsam.nl/Alexander.Lubeck@snsam.nl/Ruben.smit@snsam.nl"/>
    <hyperlink ref="E59" r:id="rId9" display="Judy@dwmarkets.com/joy@dwmarkets"/>
    <hyperlink ref="E71" r:id="rId10" display="leontine.baars@snsam.nl/bob.vanderveen@snsam.nl"/>
    <hyperlink ref="E80" r:id="rId11" display="Judy@dwmarkets.com/joy@dwmarkets"/>
    <hyperlink ref="E81" r:id="rId12"/>
    <hyperlink ref="E60" r:id="rId13" display="leontine.baars@snsam.nl/bob.vanderveen@snsam.nl/jeroen.verberk@snsam.nl"/>
    <hyperlink ref="E72" r:id="rId14" display="Judy@dwmarkets.com/joy@dwmarkets"/>
    <hyperlink ref="E73" r:id="rId15" display="Sinisa.Vukic@snsam.nl/Bart.vandeKamer@snsam.nl/Alexander.Lubeck@snsam.nl/Ruben.smit@snsam.nl"/>
    <hyperlink ref="E3" r:id="rId16" display="Sinisa.Vukic@snsam.nl/Bart.vandeKamer@snsam.nl/Alexander.Lubeck@snsam.nl/Ruben.smit@snsam.nl"/>
    <hyperlink ref="E88" r:id="rId17" display="Judy@dwmarkets.com/joy@dwmarkets"/>
    <hyperlink ref="E87" r:id="rId18"/>
  </hyperlinks>
  <pageMargins left="0.75" right="0.75" top="1" bottom="1" header="0.5" footer="0.5"/>
  <pageSetup paperSize="9" orientation="landscape" r:id="rId19"/>
  <headerFooter alignWithMargins="0"/>
</worksheet>
</file>

<file path=xl/worksheets/sheet2.xml><?xml version="1.0" encoding="utf-8"?>
<worksheet xmlns="http://schemas.openxmlformats.org/spreadsheetml/2006/main" xmlns:r="http://schemas.openxmlformats.org/officeDocument/2006/relationships">
  <sheetPr codeName="Sheet14">
    <tabColor theme="5" tint="-0.499984740745262"/>
  </sheetPr>
  <dimension ref="A1:AL50"/>
  <sheetViews>
    <sheetView zoomScale="80" zoomScaleNormal="80" workbookViewId="0">
      <pane xSplit="2" ySplit="1" topLeftCell="C2" activePane="bottomRight" state="frozen"/>
      <selection pane="topRight" activeCell="C1" sqref="C1"/>
      <selection pane="bottomLeft" activeCell="A2" sqref="A2"/>
      <selection pane="bottomRight" activeCell="E16" sqref="E16"/>
    </sheetView>
  </sheetViews>
  <sheetFormatPr defaultRowHeight="12.75"/>
  <cols>
    <col min="2" max="2" width="24.5703125" customWidth="1"/>
  </cols>
  <sheetData>
    <row r="1" spans="1:38" ht="15">
      <c r="A1" s="1082"/>
      <c r="B1" s="1083"/>
      <c r="C1" s="1084"/>
      <c r="D1" s="1084"/>
      <c r="E1" s="1084"/>
      <c r="F1" s="1084"/>
      <c r="G1" s="1084"/>
      <c r="H1" s="1084"/>
      <c r="I1" s="1084"/>
      <c r="J1" s="1084"/>
      <c r="K1" s="1084"/>
      <c r="L1" s="1084"/>
      <c r="M1" s="1084"/>
      <c r="N1" s="1084"/>
      <c r="O1" s="1084"/>
      <c r="P1" s="1084"/>
      <c r="Q1" s="1084"/>
      <c r="R1" s="1084"/>
      <c r="S1" s="1084"/>
      <c r="T1" s="1084"/>
      <c r="U1" s="1084"/>
      <c r="V1" s="1084"/>
      <c r="W1" s="1084"/>
      <c r="X1" s="1084"/>
      <c r="Y1" s="1084"/>
      <c r="Z1" s="1084"/>
      <c r="AA1" s="1084"/>
      <c r="AB1" s="1084"/>
      <c r="AC1" s="1084"/>
      <c r="AD1" s="1084"/>
      <c r="AE1" s="1084"/>
      <c r="AF1" s="1084"/>
      <c r="AG1" s="1084"/>
      <c r="AH1" s="1084"/>
      <c r="AI1" s="1084"/>
      <c r="AJ1" s="1084"/>
      <c r="AK1" s="1084"/>
      <c r="AL1" s="1084"/>
    </row>
    <row r="2" spans="1:38" ht="15">
      <c r="B2" s="1085"/>
      <c r="C2" s="1086"/>
      <c r="D2" s="1086"/>
      <c r="E2" s="1086"/>
      <c r="F2" s="1086"/>
      <c r="G2" s="1086"/>
      <c r="H2" s="1086"/>
      <c r="I2" s="1086"/>
      <c r="J2" s="1086"/>
      <c r="K2" s="1086"/>
      <c r="L2" s="1086"/>
      <c r="M2" s="1086"/>
      <c r="N2" s="1086"/>
      <c r="O2" s="1086"/>
      <c r="P2" s="1086"/>
      <c r="Q2" s="1086"/>
      <c r="R2" s="1086"/>
      <c r="S2" s="1086"/>
      <c r="T2" s="1086"/>
      <c r="U2" s="1086"/>
      <c r="V2" s="1086"/>
      <c r="W2" s="1086"/>
      <c r="X2" s="1086"/>
      <c r="Y2" s="1086"/>
      <c r="Z2" s="1086"/>
      <c r="AA2" s="1086"/>
      <c r="AB2" s="1086"/>
      <c r="AC2" s="1086"/>
      <c r="AD2" s="1086"/>
      <c r="AE2" s="1086"/>
      <c r="AF2" s="1086"/>
      <c r="AG2" s="1086"/>
      <c r="AH2" s="1086"/>
      <c r="AI2" s="1086"/>
      <c r="AJ2" s="1086"/>
      <c r="AK2" s="1086"/>
      <c r="AL2" s="1086"/>
    </row>
    <row r="3" spans="1:38" ht="15">
      <c r="A3" s="1087"/>
      <c r="B3" s="1085"/>
      <c r="C3" s="1086"/>
      <c r="D3" s="1086"/>
      <c r="E3" s="1086"/>
      <c r="F3" s="1086"/>
      <c r="G3" s="1086"/>
      <c r="H3" s="1086"/>
      <c r="I3" s="1086"/>
      <c r="J3" s="1086"/>
      <c r="K3" s="1086"/>
      <c r="L3" s="1086"/>
      <c r="M3" s="1086"/>
      <c r="N3" s="1086"/>
      <c r="O3" s="1086"/>
      <c r="P3" s="1086"/>
      <c r="Q3" s="1086"/>
      <c r="R3" s="1086"/>
      <c r="S3" s="1086"/>
      <c r="T3" s="1086"/>
      <c r="U3" s="1086"/>
      <c r="V3" s="1086"/>
      <c r="W3" s="1086"/>
      <c r="X3" s="1086"/>
      <c r="Y3" s="1086"/>
      <c r="Z3" s="1086"/>
      <c r="AA3" s="1086"/>
      <c r="AB3" s="1086"/>
      <c r="AC3" s="1086"/>
      <c r="AD3" s="1086"/>
      <c r="AE3" s="1086"/>
      <c r="AF3" s="1086"/>
      <c r="AG3" s="1086"/>
      <c r="AH3" s="1086"/>
      <c r="AI3" s="1086"/>
      <c r="AJ3" s="1086"/>
      <c r="AK3" s="1086"/>
      <c r="AL3" s="1086"/>
    </row>
    <row r="4" spans="1:38" ht="15">
      <c r="A4" s="1087"/>
      <c r="B4" s="1085"/>
      <c r="C4" s="1086"/>
      <c r="D4" s="1086"/>
      <c r="E4" s="1086"/>
      <c r="F4" s="1086"/>
      <c r="G4" s="1086"/>
      <c r="H4" s="1086"/>
      <c r="I4" s="1086"/>
      <c r="J4" s="1086"/>
      <c r="K4" s="1086"/>
      <c r="L4" s="1086"/>
      <c r="M4" s="1086"/>
      <c r="N4" s="1086"/>
      <c r="O4" s="1086"/>
      <c r="P4" s="1086"/>
      <c r="Q4" s="1086"/>
      <c r="R4" s="1086"/>
      <c r="S4" s="1086"/>
      <c r="T4" s="1086"/>
      <c r="U4" s="1086"/>
      <c r="V4" s="1086"/>
      <c r="W4" s="1086"/>
      <c r="X4" s="1086"/>
      <c r="Y4" s="1086"/>
      <c r="Z4" s="1086"/>
      <c r="AA4" s="1086"/>
      <c r="AB4" s="1086"/>
      <c r="AC4" s="1086"/>
      <c r="AD4" s="1086"/>
      <c r="AE4" s="1086"/>
      <c r="AF4" s="1086"/>
      <c r="AG4" s="1086"/>
      <c r="AH4" s="1086"/>
      <c r="AI4" s="1086"/>
      <c r="AJ4" s="1086"/>
      <c r="AK4" s="1086"/>
      <c r="AL4" s="1086"/>
    </row>
    <row r="5" spans="1:38" ht="15">
      <c r="A5" s="1082"/>
      <c r="B5" s="1088"/>
      <c r="C5" s="1084"/>
      <c r="D5" s="1084"/>
      <c r="E5" s="1084"/>
      <c r="F5" s="1084"/>
      <c r="G5" s="1084"/>
      <c r="H5" s="1084"/>
      <c r="I5" s="1084"/>
      <c r="J5" s="1084"/>
      <c r="K5" s="1084"/>
      <c r="L5" s="1084"/>
      <c r="M5" s="1084"/>
      <c r="N5" s="1084"/>
      <c r="O5" s="1084"/>
      <c r="P5" s="1084"/>
      <c r="Q5" s="1084"/>
      <c r="R5" s="1084"/>
      <c r="S5" s="1084"/>
      <c r="T5" s="1084"/>
      <c r="U5" s="1084"/>
      <c r="V5" s="1084"/>
      <c r="W5" s="1084"/>
      <c r="X5" s="1084"/>
      <c r="Y5" s="1084"/>
      <c r="Z5" s="1084"/>
      <c r="AA5" s="1084"/>
      <c r="AB5" s="1084"/>
      <c r="AC5" s="1084"/>
      <c r="AD5" s="1084"/>
      <c r="AE5" s="1084"/>
      <c r="AF5" s="1084"/>
      <c r="AG5" s="1084"/>
      <c r="AH5" s="1084"/>
      <c r="AI5" s="1084"/>
      <c r="AJ5" s="1084"/>
      <c r="AK5" s="1084"/>
      <c r="AL5" s="1084"/>
    </row>
    <row r="6" spans="1:38" ht="15">
      <c r="A6" s="1089"/>
      <c r="B6" s="1090"/>
      <c r="C6" s="1087"/>
      <c r="D6" s="1087"/>
      <c r="E6" s="1087"/>
      <c r="F6" s="1087"/>
      <c r="G6" s="1087"/>
      <c r="H6" s="1087"/>
      <c r="I6" s="1087"/>
      <c r="J6" s="1087"/>
      <c r="K6" s="1087"/>
      <c r="L6" s="1087"/>
      <c r="M6" s="1087"/>
      <c r="N6" s="1087"/>
      <c r="O6" s="1087"/>
      <c r="P6" s="1087"/>
      <c r="Q6" s="1087"/>
      <c r="R6" s="1087"/>
      <c r="S6" s="1087"/>
      <c r="T6" s="1087"/>
      <c r="U6" s="1087"/>
      <c r="V6" s="1087"/>
      <c r="W6" s="1087"/>
      <c r="X6" s="1087"/>
      <c r="Y6" s="1087"/>
      <c r="Z6" s="1087"/>
      <c r="AA6" s="1087"/>
      <c r="AB6" s="1087"/>
      <c r="AC6" s="1087"/>
      <c r="AD6" s="1087"/>
      <c r="AE6" s="1087"/>
      <c r="AF6" s="1087"/>
      <c r="AG6" s="1087"/>
      <c r="AH6" s="1087"/>
      <c r="AI6" s="1087"/>
      <c r="AJ6" s="1087"/>
      <c r="AK6" s="1087"/>
      <c r="AL6" s="1087"/>
    </row>
    <row r="7" spans="1:38" ht="15">
      <c r="A7" s="1089"/>
      <c r="B7" s="1090"/>
      <c r="C7" s="1087"/>
      <c r="D7" s="1087"/>
      <c r="E7" s="1087"/>
      <c r="F7" s="1087"/>
      <c r="G7" s="1087"/>
      <c r="H7" s="1087"/>
      <c r="I7" s="1087"/>
      <c r="J7" s="1087"/>
      <c r="K7" s="1087"/>
      <c r="L7" s="1087"/>
      <c r="M7" s="1087"/>
      <c r="N7" s="1087"/>
      <c r="O7" s="1087"/>
      <c r="P7" s="1087"/>
      <c r="Q7" s="1087"/>
      <c r="R7" s="1087"/>
      <c r="S7" s="1087"/>
      <c r="T7" s="1087"/>
      <c r="U7" s="1087"/>
      <c r="V7" s="1087"/>
      <c r="W7" s="1087"/>
      <c r="X7" s="1087"/>
      <c r="Y7" s="1087"/>
      <c r="Z7" s="1087"/>
      <c r="AA7" s="1087"/>
      <c r="AB7" s="1087"/>
      <c r="AC7" s="1087"/>
      <c r="AD7" s="1087"/>
      <c r="AE7" s="1087"/>
      <c r="AF7" s="1087"/>
      <c r="AG7" s="1087"/>
      <c r="AH7" s="1087"/>
      <c r="AI7" s="1087"/>
      <c r="AJ7" s="1087"/>
      <c r="AK7" s="1087"/>
      <c r="AL7" s="1087"/>
    </row>
    <row r="8" spans="1:38" ht="15">
      <c r="A8" s="1089"/>
      <c r="B8" s="1090"/>
      <c r="C8" s="1087"/>
      <c r="D8" s="1087"/>
      <c r="E8" s="1087"/>
      <c r="F8" s="1087"/>
      <c r="G8" s="1087"/>
      <c r="H8" s="1087"/>
      <c r="I8" s="1087"/>
      <c r="J8" s="1087"/>
      <c r="K8" s="1087"/>
      <c r="L8" s="1087"/>
      <c r="M8" s="1087"/>
      <c r="N8" s="1087"/>
      <c r="O8" s="1087"/>
      <c r="P8" s="1087"/>
      <c r="Q8" s="1087"/>
      <c r="R8" s="1087"/>
      <c r="S8" s="1087"/>
      <c r="T8" s="1087"/>
      <c r="U8" s="1087"/>
      <c r="V8" s="1087"/>
      <c r="W8" s="1087"/>
      <c r="X8" s="1087"/>
      <c r="Y8" s="1087"/>
      <c r="Z8" s="1087"/>
      <c r="AA8" s="1087"/>
      <c r="AB8" s="1087"/>
      <c r="AC8" s="1087"/>
      <c r="AD8" s="1087"/>
      <c r="AE8" s="1087"/>
      <c r="AF8" s="1087"/>
      <c r="AG8" s="1087"/>
      <c r="AH8" s="1087"/>
      <c r="AI8" s="1087"/>
      <c r="AJ8" s="1087"/>
      <c r="AK8" s="1087"/>
      <c r="AL8" s="1087"/>
    </row>
    <row r="9" spans="1:38" ht="15">
      <c r="A9" s="1089"/>
      <c r="B9" s="1091"/>
      <c r="C9" s="1087"/>
      <c r="D9" s="1087"/>
      <c r="E9" s="1087"/>
      <c r="F9" s="1087"/>
      <c r="G9" s="1087"/>
      <c r="H9" s="1087"/>
      <c r="I9" s="1087"/>
      <c r="J9" s="1087"/>
      <c r="K9" s="1087"/>
      <c r="L9" s="1087"/>
      <c r="M9" s="1087"/>
      <c r="N9" s="1087"/>
      <c r="O9" s="1087"/>
      <c r="P9" s="1087"/>
      <c r="Q9" s="1087"/>
      <c r="R9" s="1087"/>
      <c r="S9" s="1087"/>
      <c r="T9" s="1087"/>
      <c r="U9" s="1087"/>
      <c r="V9" s="1087"/>
      <c r="W9" s="1087"/>
      <c r="X9" s="1087"/>
      <c r="Y9" s="1087"/>
      <c r="Z9" s="1087"/>
      <c r="AA9" s="1087"/>
      <c r="AB9" s="1087"/>
      <c r="AC9" s="1087"/>
      <c r="AD9" s="1087"/>
      <c r="AE9" s="1087"/>
      <c r="AF9" s="1087"/>
      <c r="AG9" s="1087"/>
      <c r="AH9" s="1087"/>
      <c r="AI9" s="1087"/>
      <c r="AJ9" s="1087"/>
      <c r="AK9" s="1087"/>
      <c r="AL9" s="1087"/>
    </row>
    <row r="10" spans="1:38" ht="15">
      <c r="A10" s="1089"/>
      <c r="B10" s="1092"/>
      <c r="C10" s="1093"/>
      <c r="D10" s="1093"/>
      <c r="E10" s="1093"/>
      <c r="F10" s="1093"/>
      <c r="G10" s="1093"/>
      <c r="H10" s="1093"/>
      <c r="I10" s="1093"/>
      <c r="J10" s="1093"/>
      <c r="K10" s="1093"/>
      <c r="L10" s="1093"/>
      <c r="M10" s="1093"/>
      <c r="N10" s="1093"/>
      <c r="O10" s="1093"/>
      <c r="P10" s="1093"/>
      <c r="Q10" s="1093"/>
      <c r="R10" s="1093"/>
      <c r="S10" s="1093"/>
      <c r="T10" s="1093"/>
      <c r="U10" s="1093"/>
      <c r="V10" s="1093"/>
      <c r="W10" s="1093"/>
      <c r="X10" s="1093"/>
      <c r="Y10" s="1093"/>
      <c r="Z10" s="1093"/>
      <c r="AA10" s="1093"/>
      <c r="AB10" s="1093"/>
      <c r="AC10" s="1093"/>
      <c r="AD10" s="1093"/>
      <c r="AE10" s="1093"/>
      <c r="AF10" s="1093"/>
      <c r="AG10" s="1093"/>
      <c r="AH10" s="1093"/>
      <c r="AI10" s="1093"/>
      <c r="AJ10" s="1093"/>
      <c r="AK10" s="1093"/>
      <c r="AL10" s="1093"/>
    </row>
    <row r="11" spans="1:38" ht="15">
      <c r="A11" s="1089"/>
      <c r="B11" s="1094"/>
      <c r="C11" s="1093"/>
      <c r="D11" s="1093"/>
      <c r="E11" s="1093"/>
      <c r="F11" s="1093"/>
      <c r="G11" s="1093"/>
      <c r="H11" s="1093"/>
      <c r="I11" s="1093"/>
      <c r="J11" s="1093"/>
      <c r="K11" s="1093"/>
      <c r="L11" s="1093"/>
      <c r="M11" s="1093"/>
      <c r="N11" s="1093"/>
      <c r="O11" s="1093"/>
      <c r="P11" s="1093"/>
      <c r="Q11" s="1093"/>
      <c r="R11" s="1093"/>
      <c r="S11" s="1093"/>
      <c r="T11" s="1093"/>
      <c r="U11" s="1093"/>
      <c r="V11" s="1093"/>
      <c r="W11" s="1093"/>
      <c r="X11" s="1093"/>
      <c r="Y11" s="1093"/>
      <c r="Z11" s="1093"/>
      <c r="AA11" s="1093"/>
      <c r="AB11" s="1093"/>
      <c r="AC11" s="1093"/>
      <c r="AD11" s="1093"/>
      <c r="AE11" s="1093"/>
      <c r="AF11" s="1093"/>
      <c r="AG11" s="1093"/>
      <c r="AH11" s="1093"/>
      <c r="AI11" s="1093"/>
      <c r="AJ11" s="1093"/>
      <c r="AK11" s="1093"/>
      <c r="AL11" s="1093"/>
    </row>
    <row r="12" spans="1:38" ht="15">
      <c r="A12" s="1089"/>
      <c r="B12" s="1094"/>
      <c r="C12" s="1093"/>
      <c r="D12" s="1093"/>
      <c r="E12" s="1093"/>
      <c r="F12" s="1093"/>
      <c r="G12" s="1093"/>
      <c r="H12" s="1093"/>
      <c r="I12" s="1093"/>
      <c r="J12" s="1093"/>
      <c r="K12" s="1093"/>
      <c r="L12" s="1093"/>
      <c r="M12" s="1093"/>
      <c r="N12" s="1093"/>
      <c r="O12" s="1093"/>
      <c r="P12" s="1093"/>
      <c r="Q12" s="1093"/>
      <c r="R12" s="1093"/>
      <c r="S12" s="1093"/>
      <c r="T12" s="1093"/>
      <c r="U12" s="1093"/>
      <c r="V12" s="1093"/>
      <c r="W12" s="1093"/>
      <c r="X12" s="1093"/>
      <c r="Y12" s="1093"/>
      <c r="Z12" s="1093"/>
      <c r="AA12" s="1093"/>
      <c r="AB12" s="1093"/>
      <c r="AC12" s="1093"/>
      <c r="AD12" s="1093"/>
      <c r="AE12" s="1093"/>
      <c r="AF12" s="1093"/>
      <c r="AG12" s="1093"/>
      <c r="AH12" s="1093"/>
      <c r="AI12" s="1093"/>
      <c r="AJ12" s="1093"/>
      <c r="AK12" s="1093"/>
      <c r="AL12" s="1093"/>
    </row>
    <row r="13" spans="1:38" ht="15">
      <c r="A13" s="1089"/>
      <c r="B13" s="1094"/>
      <c r="C13" s="1093"/>
      <c r="D13" s="1093"/>
      <c r="E13" s="1093"/>
      <c r="F13" s="1093"/>
      <c r="G13" s="1093"/>
      <c r="H13" s="1093"/>
      <c r="I13" s="1093"/>
      <c r="J13" s="1093"/>
      <c r="K13" s="1093"/>
      <c r="L13" s="1093"/>
      <c r="M13" s="1093"/>
      <c r="N13" s="1093"/>
      <c r="O13" s="1093"/>
      <c r="P13" s="1093"/>
      <c r="Q13" s="1093"/>
      <c r="R13" s="1093"/>
      <c r="S13" s="1093"/>
      <c r="T13" s="1093"/>
      <c r="U13" s="1093"/>
      <c r="V13" s="1093"/>
      <c r="W13" s="1093"/>
      <c r="X13" s="1093"/>
      <c r="Y13" s="1093"/>
      <c r="Z13" s="1093"/>
      <c r="AA13" s="1093"/>
      <c r="AB13" s="1093"/>
      <c r="AC13" s="1093"/>
      <c r="AD13" s="1093"/>
      <c r="AE13" s="1093"/>
      <c r="AF13" s="1093"/>
      <c r="AG13" s="1093"/>
      <c r="AH13" s="1093"/>
      <c r="AI13" s="1093"/>
      <c r="AJ13" s="1093"/>
      <c r="AK13" s="1093"/>
      <c r="AL13" s="1093"/>
    </row>
    <row r="14" spans="1:38" ht="15">
      <c r="A14" s="1089"/>
      <c r="B14" s="1094"/>
      <c r="C14" s="1093"/>
      <c r="D14" s="1093"/>
      <c r="E14" s="1093"/>
      <c r="F14" s="1093"/>
      <c r="G14" s="1093"/>
      <c r="H14" s="1093"/>
      <c r="I14" s="1093"/>
      <c r="J14" s="1093"/>
      <c r="K14" s="1093"/>
      <c r="L14" s="1093"/>
      <c r="M14" s="1093"/>
      <c r="N14" s="1093"/>
      <c r="O14" s="1093"/>
      <c r="P14" s="1093"/>
      <c r="Q14" s="1093"/>
      <c r="R14" s="1093"/>
      <c r="S14" s="1093"/>
      <c r="T14" s="1093"/>
      <c r="U14" s="1093"/>
      <c r="V14" s="1093"/>
      <c r="W14" s="1093"/>
      <c r="X14" s="1093"/>
      <c r="Y14" s="1093"/>
      <c r="Z14" s="1093"/>
      <c r="AA14" s="1093"/>
      <c r="AB14" s="1093"/>
      <c r="AC14" s="1093"/>
      <c r="AD14" s="1093"/>
      <c r="AE14" s="1093"/>
      <c r="AF14" s="1093"/>
      <c r="AG14" s="1093"/>
      <c r="AH14" s="1093"/>
      <c r="AI14" s="1093"/>
      <c r="AJ14" s="1093"/>
      <c r="AK14" s="1093"/>
      <c r="AL14" s="1093"/>
    </row>
    <row r="15" spans="1:38" ht="15">
      <c r="A15" s="1089"/>
      <c r="B15" s="1094"/>
      <c r="C15" s="1093"/>
      <c r="D15" s="1093"/>
      <c r="E15" s="1093"/>
      <c r="F15" s="1093"/>
      <c r="G15" s="1093"/>
      <c r="H15" s="1093"/>
      <c r="I15" s="1093"/>
      <c r="J15" s="1093"/>
      <c r="K15" s="1093"/>
      <c r="L15" s="1093"/>
      <c r="M15" s="1093"/>
      <c r="N15" s="1093"/>
      <c r="O15" s="1093"/>
      <c r="P15" s="1093"/>
      <c r="Q15" s="1093"/>
      <c r="R15" s="1093"/>
      <c r="S15" s="1093"/>
      <c r="T15" s="1093"/>
      <c r="U15" s="1093"/>
      <c r="V15" s="1093"/>
      <c r="W15" s="1093"/>
      <c r="X15" s="1093"/>
      <c r="Y15" s="1093"/>
      <c r="Z15" s="1093"/>
      <c r="AA15" s="1093"/>
      <c r="AB15" s="1093"/>
      <c r="AC15" s="1093"/>
      <c r="AD15" s="1093"/>
      <c r="AE15" s="1093"/>
      <c r="AF15" s="1093"/>
      <c r="AG15" s="1093"/>
      <c r="AH15" s="1093"/>
      <c r="AI15" s="1093"/>
      <c r="AJ15" s="1093"/>
      <c r="AK15" s="1093"/>
      <c r="AL15" s="1093"/>
    </row>
    <row r="16" spans="1:38" ht="15">
      <c r="A16" s="1089"/>
      <c r="B16" s="1094"/>
      <c r="C16" s="1093"/>
      <c r="D16" s="1093"/>
      <c r="E16" s="1093"/>
      <c r="F16" s="1093"/>
      <c r="G16" s="1093"/>
      <c r="H16" s="1093"/>
      <c r="I16" s="1093"/>
      <c r="J16" s="1093"/>
      <c r="K16" s="1093"/>
      <c r="L16" s="1093"/>
      <c r="M16" s="1093"/>
      <c r="N16" s="1093"/>
      <c r="O16" s="1093"/>
      <c r="P16" s="1093"/>
      <c r="Q16" s="1093"/>
      <c r="R16" s="1093"/>
      <c r="S16" s="1093"/>
      <c r="T16" s="1093"/>
      <c r="U16" s="1093"/>
      <c r="V16" s="1093"/>
      <c r="W16" s="1093"/>
      <c r="X16" s="1093"/>
      <c r="Y16" s="1093"/>
      <c r="Z16" s="1093"/>
      <c r="AA16" s="1093"/>
      <c r="AB16" s="1093"/>
      <c r="AC16" s="1093"/>
      <c r="AD16" s="1093"/>
      <c r="AE16" s="1093"/>
      <c r="AF16" s="1093"/>
      <c r="AG16" s="1093"/>
      <c r="AH16" s="1093"/>
      <c r="AI16" s="1093"/>
      <c r="AJ16" s="1093"/>
      <c r="AK16" s="1093"/>
      <c r="AL16" s="1093"/>
    </row>
    <row r="17" spans="1:38" ht="15">
      <c r="A17" s="1089"/>
      <c r="B17" s="1094"/>
      <c r="C17" s="1093"/>
      <c r="D17" s="1093"/>
      <c r="E17" s="1093"/>
      <c r="F17" s="1093"/>
      <c r="G17" s="1093"/>
      <c r="H17" s="1093"/>
      <c r="I17" s="1093"/>
      <c r="J17" s="1093"/>
      <c r="K17" s="1093"/>
      <c r="L17" s="1093"/>
      <c r="M17" s="1093"/>
      <c r="N17" s="1093"/>
      <c r="O17" s="1093"/>
      <c r="P17" s="1093"/>
      <c r="Q17" s="1093"/>
      <c r="R17" s="1093"/>
      <c r="S17" s="1093"/>
      <c r="T17" s="1093"/>
      <c r="U17" s="1093"/>
      <c r="V17" s="1093"/>
      <c r="W17" s="1093"/>
      <c r="X17" s="1093"/>
      <c r="Y17" s="1093"/>
      <c r="Z17" s="1093"/>
      <c r="AA17" s="1093"/>
      <c r="AB17" s="1093"/>
      <c r="AC17" s="1093"/>
      <c r="AD17" s="1093"/>
      <c r="AE17" s="1093"/>
      <c r="AF17" s="1093"/>
      <c r="AG17" s="1093"/>
      <c r="AH17" s="1093"/>
      <c r="AI17" s="1093"/>
      <c r="AJ17" s="1093"/>
      <c r="AK17" s="1093"/>
      <c r="AL17" s="1093"/>
    </row>
    <row r="18" spans="1:38" ht="15">
      <c r="A18" s="1089"/>
      <c r="B18" s="1095"/>
      <c r="C18" s="1093"/>
      <c r="D18" s="1093"/>
      <c r="E18" s="1093"/>
      <c r="F18" s="1093"/>
      <c r="G18" s="1093"/>
      <c r="H18" s="1093"/>
      <c r="I18" s="1093"/>
      <c r="J18" s="1093"/>
      <c r="K18" s="1093"/>
      <c r="L18" s="1093"/>
      <c r="M18" s="1093"/>
      <c r="N18" s="1093"/>
      <c r="O18" s="1093"/>
      <c r="P18" s="1093"/>
      <c r="Q18" s="1093"/>
      <c r="R18" s="1093"/>
      <c r="S18" s="1093"/>
      <c r="T18" s="1093"/>
      <c r="U18" s="1093"/>
      <c r="V18" s="1093"/>
      <c r="W18" s="1093"/>
      <c r="X18" s="1093"/>
      <c r="Y18" s="1093"/>
      <c r="Z18" s="1093"/>
      <c r="AA18" s="1093"/>
      <c r="AB18" s="1093"/>
      <c r="AC18" s="1093"/>
      <c r="AD18" s="1093"/>
      <c r="AE18" s="1093"/>
      <c r="AF18" s="1093"/>
      <c r="AG18" s="1093"/>
      <c r="AH18" s="1093"/>
      <c r="AI18" s="1093"/>
      <c r="AJ18" s="1093"/>
      <c r="AK18" s="1093"/>
      <c r="AL18" s="1093"/>
    </row>
    <row r="19" spans="1:38" ht="15">
      <c r="A19" s="1089"/>
      <c r="B19" s="1095"/>
      <c r="C19" s="1093"/>
      <c r="D19" s="1093"/>
      <c r="E19" s="1093"/>
      <c r="F19" s="1093"/>
      <c r="G19" s="1093"/>
      <c r="H19" s="1093"/>
      <c r="I19" s="1093"/>
      <c r="J19" s="1093"/>
      <c r="K19" s="1093"/>
      <c r="L19" s="1093"/>
      <c r="M19" s="1093"/>
      <c r="N19" s="1093"/>
      <c r="O19" s="1093"/>
      <c r="P19" s="1093"/>
      <c r="Q19" s="1093"/>
      <c r="R19" s="1093"/>
      <c r="S19" s="1093"/>
      <c r="T19" s="1093"/>
      <c r="U19" s="1093"/>
      <c r="V19" s="1093"/>
      <c r="W19" s="1093"/>
      <c r="X19" s="1093"/>
      <c r="Y19" s="1093"/>
      <c r="Z19" s="1093"/>
      <c r="AA19" s="1093"/>
      <c r="AB19" s="1093"/>
      <c r="AC19" s="1093"/>
      <c r="AD19" s="1093"/>
      <c r="AE19" s="1093"/>
      <c r="AF19" s="1093"/>
      <c r="AG19" s="1093"/>
      <c r="AH19" s="1093"/>
      <c r="AI19" s="1093"/>
      <c r="AJ19" s="1093"/>
      <c r="AK19" s="1093"/>
      <c r="AL19" s="1093"/>
    </row>
    <row r="20" spans="1:38" ht="15">
      <c r="A20" s="1089"/>
      <c r="B20" s="1095"/>
      <c r="C20" s="1093"/>
      <c r="D20" s="1093"/>
      <c r="E20" s="1093"/>
      <c r="F20" s="1093"/>
      <c r="G20" s="1093"/>
      <c r="H20" s="1093"/>
      <c r="I20" s="1093"/>
      <c r="J20" s="1093"/>
      <c r="K20" s="1093"/>
      <c r="L20" s="1093"/>
      <c r="M20" s="1093"/>
      <c r="N20" s="1093"/>
      <c r="O20" s="1093"/>
      <c r="P20" s="1093"/>
      <c r="Q20" s="1093"/>
      <c r="R20" s="1093"/>
      <c r="S20" s="1093"/>
      <c r="T20" s="1093"/>
      <c r="U20" s="1093"/>
      <c r="V20" s="1093"/>
      <c r="W20" s="1093"/>
      <c r="X20" s="1093"/>
      <c r="Y20" s="1093"/>
      <c r="Z20" s="1093"/>
      <c r="AA20" s="1093"/>
      <c r="AB20" s="1093"/>
      <c r="AC20" s="1093"/>
      <c r="AD20" s="1093"/>
      <c r="AE20" s="1093"/>
      <c r="AF20" s="1093"/>
      <c r="AG20" s="1093"/>
      <c r="AH20" s="1093"/>
      <c r="AI20" s="1093"/>
      <c r="AJ20" s="1093"/>
      <c r="AK20" s="1093"/>
      <c r="AL20" s="1093"/>
    </row>
    <row r="21" spans="1:38" ht="15">
      <c r="A21" s="1089"/>
      <c r="B21" s="1095"/>
      <c r="C21" s="1093"/>
      <c r="D21" s="1093"/>
      <c r="E21" s="1093"/>
      <c r="F21" s="1093"/>
      <c r="G21" s="1093"/>
      <c r="H21" s="1093"/>
      <c r="I21" s="1093"/>
      <c r="J21" s="1093"/>
      <c r="K21" s="1093"/>
      <c r="L21" s="1093"/>
      <c r="M21" s="1093"/>
      <c r="N21" s="1093"/>
      <c r="O21" s="1093"/>
      <c r="P21" s="1093"/>
      <c r="Q21" s="1093"/>
      <c r="R21" s="1093"/>
      <c r="S21" s="1093"/>
      <c r="T21" s="1093"/>
      <c r="U21" s="1093"/>
      <c r="V21" s="1093"/>
      <c r="W21" s="1093"/>
      <c r="X21" s="1093"/>
      <c r="Y21" s="1093"/>
      <c r="Z21" s="1093"/>
      <c r="AA21" s="1093"/>
      <c r="AB21" s="1093"/>
      <c r="AC21" s="1093"/>
      <c r="AD21" s="1093"/>
      <c r="AE21" s="1093"/>
      <c r="AF21" s="1093"/>
      <c r="AG21" s="1093"/>
      <c r="AH21" s="1093"/>
      <c r="AI21" s="1093"/>
      <c r="AJ21" s="1093"/>
      <c r="AK21" s="1093"/>
      <c r="AL21" s="1093"/>
    </row>
    <row r="22" spans="1:38" ht="15">
      <c r="A22" s="1089"/>
      <c r="B22" s="1095"/>
      <c r="C22" s="1093"/>
      <c r="D22" s="1093"/>
      <c r="E22" s="1093"/>
      <c r="F22" s="1093"/>
      <c r="G22" s="1093"/>
      <c r="H22" s="1093"/>
      <c r="I22" s="1093"/>
      <c r="J22" s="1093"/>
      <c r="K22" s="1093"/>
      <c r="L22" s="1093"/>
      <c r="M22" s="1093"/>
      <c r="N22" s="1093"/>
      <c r="O22" s="1093"/>
      <c r="P22" s="1093"/>
      <c r="Q22" s="1093"/>
      <c r="R22" s="1093"/>
      <c r="S22" s="1093"/>
      <c r="T22" s="1093"/>
      <c r="U22" s="1093"/>
      <c r="V22" s="1093"/>
      <c r="W22" s="1093"/>
      <c r="X22" s="1093"/>
      <c r="Y22" s="1093"/>
      <c r="Z22" s="1093"/>
      <c r="AA22" s="1093"/>
      <c r="AB22" s="1093"/>
      <c r="AC22" s="1093"/>
      <c r="AD22" s="1093"/>
      <c r="AE22" s="1093"/>
      <c r="AF22" s="1093"/>
      <c r="AG22" s="1093"/>
      <c r="AH22" s="1093"/>
      <c r="AI22" s="1093"/>
      <c r="AJ22" s="1093"/>
      <c r="AK22" s="1093"/>
      <c r="AL22" s="1093"/>
    </row>
    <row r="23" spans="1:38" ht="15">
      <c r="A23" s="1089"/>
      <c r="B23" s="1095"/>
      <c r="C23" s="1093"/>
      <c r="D23" s="1093"/>
      <c r="E23" s="1093"/>
      <c r="F23" s="1093"/>
      <c r="G23" s="1093"/>
      <c r="H23" s="1093"/>
      <c r="I23" s="1093"/>
      <c r="J23" s="109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093"/>
      <c r="AG23" s="1093"/>
      <c r="AH23" s="1093"/>
      <c r="AI23" s="1093"/>
      <c r="AJ23" s="1093"/>
      <c r="AK23" s="1093"/>
      <c r="AL23" s="1093"/>
    </row>
    <row r="24" spans="1:38" ht="15">
      <c r="A24" s="1089"/>
      <c r="B24" s="1095"/>
      <c r="C24" s="1093"/>
      <c r="D24" s="1093"/>
      <c r="E24" s="1093"/>
      <c r="F24" s="1093"/>
      <c r="G24" s="1093"/>
      <c r="H24" s="1093"/>
      <c r="I24" s="1093"/>
      <c r="J24" s="109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093"/>
      <c r="AG24" s="1093"/>
      <c r="AH24" s="1093"/>
      <c r="AI24" s="1093"/>
      <c r="AJ24" s="1093"/>
      <c r="AK24" s="1093"/>
      <c r="AL24" s="1093"/>
    </row>
    <row r="25" spans="1:38" ht="15">
      <c r="A25" s="1089"/>
      <c r="B25" s="1095"/>
      <c r="C25" s="1093"/>
      <c r="D25" s="1093"/>
      <c r="E25" s="1093"/>
      <c r="F25" s="1093"/>
      <c r="G25" s="1093"/>
      <c r="H25" s="1093"/>
      <c r="I25" s="1093"/>
      <c r="J25" s="109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093"/>
      <c r="AG25" s="1093"/>
      <c r="AH25" s="1093"/>
      <c r="AI25" s="1093"/>
      <c r="AJ25" s="1093"/>
      <c r="AK25" s="1093"/>
      <c r="AL25" s="1093"/>
    </row>
    <row r="26" spans="1:38" ht="15">
      <c r="A26" s="1089"/>
      <c r="B26" s="1095"/>
      <c r="C26" s="1093"/>
      <c r="D26" s="1093"/>
      <c r="E26" s="1093"/>
      <c r="F26" s="1093"/>
      <c r="G26" s="1093"/>
      <c r="H26" s="1093"/>
      <c r="I26" s="1093"/>
      <c r="J26" s="109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093"/>
      <c r="AG26" s="1093"/>
      <c r="AH26" s="1093"/>
      <c r="AI26" s="1093"/>
      <c r="AJ26" s="1093"/>
      <c r="AK26" s="1093"/>
      <c r="AL26" s="1093"/>
    </row>
    <row r="27" spans="1:38" ht="15">
      <c r="A27" s="1089"/>
      <c r="B27" s="1095"/>
      <c r="C27" s="1093"/>
      <c r="D27" s="1093"/>
      <c r="E27" s="1093"/>
      <c r="F27" s="1093"/>
      <c r="G27" s="1093"/>
      <c r="H27" s="1093"/>
      <c r="I27" s="1093"/>
      <c r="J27" s="109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093"/>
      <c r="AG27" s="1093"/>
      <c r="AH27" s="1093"/>
      <c r="AI27" s="1093"/>
      <c r="AJ27" s="1093"/>
      <c r="AK27" s="1093"/>
      <c r="AL27" s="1093"/>
    </row>
    <row r="28" spans="1:38" ht="15">
      <c r="A28" s="1089"/>
      <c r="B28" s="1095"/>
      <c r="C28" s="1093"/>
      <c r="D28" s="1093"/>
      <c r="E28" s="1093"/>
      <c r="F28" s="1093"/>
      <c r="G28" s="1093"/>
      <c r="H28" s="1093"/>
      <c r="I28" s="1093"/>
      <c r="J28" s="109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093"/>
      <c r="AG28" s="1093"/>
      <c r="AH28" s="1093"/>
      <c r="AI28" s="1093"/>
      <c r="AJ28" s="1093"/>
      <c r="AK28" s="1093"/>
      <c r="AL28" s="1093"/>
    </row>
    <row r="29" spans="1:38" ht="15">
      <c r="A29" s="1089"/>
      <c r="B29" s="1095"/>
      <c r="C29" s="1093"/>
      <c r="D29" s="1093"/>
      <c r="E29" s="1093"/>
      <c r="F29" s="1093"/>
      <c r="G29" s="1093"/>
      <c r="H29" s="1093"/>
      <c r="I29" s="1093"/>
      <c r="J29" s="109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093"/>
      <c r="AG29" s="1093"/>
      <c r="AH29" s="1093"/>
      <c r="AI29" s="1093"/>
      <c r="AJ29" s="1093"/>
      <c r="AK29" s="1093"/>
      <c r="AL29" s="1093"/>
    </row>
    <row r="30" spans="1:38" ht="15">
      <c r="A30" s="1089"/>
      <c r="B30" s="1095"/>
      <c r="C30" s="1093"/>
      <c r="D30" s="1093"/>
      <c r="E30" s="1093"/>
      <c r="F30" s="1093"/>
      <c r="G30" s="1093"/>
      <c r="H30" s="1093"/>
      <c r="I30" s="1093"/>
      <c r="J30" s="109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093"/>
      <c r="AG30" s="1093"/>
      <c r="AH30" s="1093"/>
      <c r="AI30" s="1093"/>
      <c r="AJ30" s="1093"/>
      <c r="AK30" s="1093"/>
      <c r="AL30" s="1093"/>
    </row>
    <row r="31" spans="1:38" ht="15">
      <c r="A31" s="1089"/>
      <c r="B31" s="1096"/>
      <c r="C31" s="1093"/>
      <c r="D31" s="1093"/>
      <c r="E31" s="1093"/>
      <c r="F31" s="1093"/>
      <c r="G31" s="1093"/>
      <c r="H31" s="1093"/>
      <c r="I31" s="1093"/>
      <c r="J31" s="1093"/>
      <c r="K31" s="1093"/>
      <c r="L31" s="1093"/>
      <c r="M31" s="1093"/>
      <c r="N31" s="1093"/>
      <c r="O31" s="1093"/>
      <c r="P31" s="1093"/>
      <c r="Q31" s="1093"/>
      <c r="R31" s="1093"/>
      <c r="S31" s="1093"/>
      <c r="T31" s="1093"/>
      <c r="U31" s="1093"/>
      <c r="V31" s="1093"/>
      <c r="W31" s="1093"/>
      <c r="X31" s="1093"/>
      <c r="Y31" s="1093"/>
      <c r="Z31" s="1093"/>
      <c r="AA31" s="1093"/>
      <c r="AB31" s="1093"/>
      <c r="AC31" s="1093"/>
      <c r="AD31" s="1093"/>
      <c r="AE31" s="1093"/>
      <c r="AF31" s="1093"/>
      <c r="AG31" s="1093"/>
      <c r="AH31" s="1093"/>
      <c r="AI31" s="1093"/>
      <c r="AJ31" s="1093"/>
      <c r="AK31" s="1093"/>
      <c r="AL31" s="1093"/>
    </row>
    <row r="32" spans="1:38" ht="15">
      <c r="A32" s="1097"/>
      <c r="B32" s="1096"/>
      <c r="C32" s="1093"/>
      <c r="D32" s="1093"/>
      <c r="E32" s="1093"/>
      <c r="F32" s="1093"/>
      <c r="G32" s="1093"/>
      <c r="H32" s="1093"/>
      <c r="I32" s="1093"/>
      <c r="J32" s="1093"/>
      <c r="K32" s="1093"/>
      <c r="L32" s="1093"/>
      <c r="M32" s="1093"/>
      <c r="N32" s="1093"/>
      <c r="O32" s="1093"/>
      <c r="P32" s="1093"/>
      <c r="Q32" s="1093"/>
      <c r="R32" s="1093"/>
      <c r="S32" s="1093"/>
      <c r="T32" s="1093"/>
      <c r="U32" s="1093"/>
      <c r="V32" s="1093"/>
      <c r="W32" s="1093"/>
      <c r="X32" s="1093"/>
      <c r="Y32" s="1093"/>
      <c r="Z32" s="1093"/>
      <c r="AA32" s="1093"/>
      <c r="AB32" s="1093"/>
      <c r="AC32" s="1093"/>
      <c r="AD32" s="1093"/>
      <c r="AE32" s="1093"/>
      <c r="AF32" s="1093"/>
      <c r="AG32" s="1093"/>
      <c r="AH32" s="1093"/>
      <c r="AI32" s="1093"/>
      <c r="AJ32" s="1093"/>
      <c r="AK32" s="1093"/>
      <c r="AL32" s="1093"/>
    </row>
    <row r="33" spans="1:38" ht="15">
      <c r="A33" s="1097"/>
      <c r="B33" s="1096"/>
      <c r="C33" s="1093"/>
      <c r="D33" s="1093"/>
      <c r="E33" s="1093"/>
      <c r="F33" s="1093"/>
      <c r="G33" s="1093"/>
      <c r="H33" s="1093"/>
      <c r="I33" s="1093"/>
      <c r="J33" s="1093"/>
      <c r="K33" s="1093"/>
      <c r="L33" s="1093"/>
      <c r="M33" s="1093"/>
      <c r="N33" s="1093"/>
      <c r="O33" s="1093"/>
      <c r="P33" s="1093"/>
      <c r="Q33" s="1093"/>
      <c r="R33" s="1093"/>
      <c r="S33" s="1093"/>
      <c r="T33" s="1093"/>
      <c r="U33" s="1093"/>
      <c r="V33" s="1093"/>
      <c r="W33" s="1093"/>
      <c r="X33" s="1093"/>
      <c r="Y33" s="1093"/>
      <c r="Z33" s="1093"/>
      <c r="AA33" s="1093"/>
      <c r="AB33" s="1093"/>
      <c r="AC33" s="1093"/>
      <c r="AD33" s="1093"/>
      <c r="AE33" s="1093"/>
      <c r="AF33" s="1093"/>
      <c r="AG33" s="1093"/>
      <c r="AH33" s="1093"/>
      <c r="AI33" s="1093"/>
      <c r="AJ33" s="1093"/>
      <c r="AK33" s="1093"/>
      <c r="AL33" s="1093"/>
    </row>
    <row r="34" spans="1:38" ht="15">
      <c r="A34" s="1097"/>
      <c r="B34" s="1096"/>
      <c r="C34" s="1098"/>
      <c r="D34" s="1093"/>
      <c r="E34" s="1093"/>
      <c r="F34" s="1093"/>
      <c r="G34" s="1093"/>
      <c r="H34" s="1093"/>
      <c r="I34" s="1093"/>
      <c r="J34" s="1093"/>
      <c r="K34" s="1093"/>
      <c r="L34" s="1093"/>
      <c r="M34" s="1093"/>
      <c r="N34" s="1093"/>
      <c r="O34" s="1093"/>
      <c r="P34" s="1093"/>
      <c r="Q34" s="1093"/>
      <c r="R34" s="1093"/>
      <c r="S34" s="1093"/>
      <c r="T34" s="1093"/>
      <c r="U34" s="1093"/>
      <c r="V34" s="1093"/>
      <c r="W34" s="1093"/>
      <c r="X34" s="1093"/>
      <c r="Y34" s="1093"/>
      <c r="Z34" s="1093"/>
      <c r="AA34" s="1093"/>
      <c r="AB34" s="1093"/>
      <c r="AC34" s="1093"/>
      <c r="AD34" s="1093"/>
      <c r="AE34" s="1093"/>
      <c r="AF34" s="1093"/>
      <c r="AG34" s="1093"/>
      <c r="AH34" s="1093"/>
      <c r="AI34" s="1093"/>
      <c r="AJ34" s="1093"/>
      <c r="AK34" s="1093"/>
      <c r="AL34" s="1093"/>
    </row>
    <row r="35" spans="1:38" ht="15">
      <c r="A35" s="1097"/>
      <c r="B35" s="1096"/>
      <c r="C35" s="1093"/>
      <c r="D35" s="1093"/>
      <c r="E35" s="1093"/>
      <c r="F35" s="1093"/>
      <c r="G35" s="1093"/>
      <c r="H35" s="1093"/>
      <c r="I35" s="1093"/>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row>
    <row r="36" spans="1:38" ht="15">
      <c r="A36" s="1097"/>
      <c r="B36" s="1096"/>
      <c r="C36" s="1098"/>
      <c r="D36" s="1093"/>
      <c r="E36" s="1093"/>
      <c r="F36" s="1093"/>
      <c r="G36" s="1093"/>
      <c r="H36" s="1093"/>
      <c r="I36" s="1093"/>
      <c r="J36" s="1093"/>
      <c r="K36" s="1093"/>
      <c r="L36" s="1093"/>
      <c r="M36" s="1093"/>
      <c r="N36" s="1093"/>
      <c r="O36" s="1093"/>
      <c r="P36" s="1093"/>
      <c r="Q36" s="1093"/>
      <c r="R36" s="1093"/>
      <c r="S36" s="1093"/>
      <c r="T36" s="1093"/>
      <c r="U36" s="1093"/>
      <c r="V36" s="1093"/>
      <c r="W36" s="1093"/>
      <c r="X36" s="1093"/>
      <c r="Y36" s="1093"/>
      <c r="Z36" s="1093"/>
      <c r="AA36" s="1093"/>
      <c r="AB36" s="1093"/>
      <c r="AC36" s="1093"/>
      <c r="AD36" s="1093"/>
      <c r="AE36" s="1093"/>
      <c r="AF36" s="1093"/>
      <c r="AG36" s="1093"/>
      <c r="AH36" s="1093"/>
      <c r="AI36" s="1093"/>
      <c r="AJ36" s="1093"/>
      <c r="AK36" s="1093"/>
      <c r="AL36" s="1093"/>
    </row>
    <row r="37" spans="1:38" ht="15">
      <c r="A37" s="1097"/>
      <c r="B37" s="1096"/>
      <c r="C37" s="1098"/>
      <c r="D37" s="1093"/>
      <c r="E37" s="1093"/>
      <c r="F37" s="1093"/>
      <c r="G37" s="1093"/>
      <c r="H37" s="1093"/>
      <c r="I37" s="1093"/>
      <c r="J37" s="1093"/>
      <c r="K37" s="1093"/>
      <c r="L37" s="1093"/>
      <c r="M37" s="1093"/>
      <c r="N37" s="1093"/>
      <c r="O37" s="1093"/>
      <c r="P37" s="1093"/>
      <c r="Q37" s="1093"/>
      <c r="R37" s="1093"/>
      <c r="S37" s="1093"/>
      <c r="T37" s="1093"/>
      <c r="U37" s="1093"/>
      <c r="V37" s="1093"/>
      <c r="W37" s="1093"/>
      <c r="X37" s="1093"/>
      <c r="Y37" s="1093"/>
      <c r="Z37" s="1093"/>
      <c r="AA37" s="1093"/>
      <c r="AB37" s="1093"/>
      <c r="AC37" s="1093"/>
      <c r="AD37" s="1093"/>
      <c r="AE37" s="1093"/>
      <c r="AF37" s="1093"/>
      <c r="AG37" s="1093"/>
      <c r="AH37" s="1093"/>
      <c r="AI37" s="1093"/>
      <c r="AJ37" s="1093"/>
      <c r="AK37" s="1093"/>
      <c r="AL37" s="1093"/>
    </row>
    <row r="38" spans="1:38" ht="15">
      <c r="A38" s="1097"/>
      <c r="B38" s="1096"/>
      <c r="C38" s="1098"/>
      <c r="D38" s="1093"/>
      <c r="E38" s="1093"/>
      <c r="F38" s="1093"/>
      <c r="G38" s="1093"/>
      <c r="H38" s="1093"/>
      <c r="I38" s="1093"/>
      <c r="J38" s="1093"/>
      <c r="K38" s="1093"/>
      <c r="L38" s="1093"/>
      <c r="M38" s="1093"/>
      <c r="N38" s="1093"/>
      <c r="O38" s="1093"/>
      <c r="P38" s="1093"/>
      <c r="Q38" s="1093"/>
      <c r="R38" s="1093"/>
      <c r="S38" s="1093"/>
      <c r="T38" s="1093"/>
      <c r="U38" s="1093"/>
      <c r="V38" s="1093"/>
      <c r="W38" s="1093"/>
      <c r="X38" s="1093"/>
      <c r="Y38" s="1093"/>
      <c r="Z38" s="1093"/>
      <c r="AA38" s="1093"/>
      <c r="AB38" s="1093"/>
      <c r="AC38" s="1093"/>
      <c r="AD38" s="1093"/>
      <c r="AE38" s="1093"/>
      <c r="AF38" s="1093"/>
      <c r="AG38" s="1093"/>
      <c r="AH38" s="1093"/>
      <c r="AI38" s="1093"/>
      <c r="AJ38" s="1093"/>
      <c r="AK38" s="1093"/>
      <c r="AL38" s="1093"/>
    </row>
    <row r="39" spans="1:38" ht="15">
      <c r="A39" s="1097"/>
      <c r="B39" s="1096"/>
      <c r="C39" s="1098"/>
      <c r="D39" s="1093"/>
      <c r="E39" s="1093"/>
      <c r="F39" s="1093"/>
      <c r="G39" s="1093"/>
      <c r="H39" s="1093"/>
      <c r="I39" s="1093"/>
      <c r="J39" s="1093"/>
      <c r="K39" s="1093"/>
      <c r="L39" s="1093"/>
      <c r="M39" s="1093"/>
      <c r="N39" s="1093"/>
      <c r="O39" s="1093"/>
      <c r="P39" s="1093"/>
      <c r="Q39" s="1093"/>
      <c r="R39" s="1093"/>
      <c r="S39" s="1093"/>
      <c r="T39" s="1093"/>
      <c r="U39" s="1093"/>
      <c r="V39" s="1093"/>
      <c r="W39" s="1093"/>
      <c r="X39" s="1093"/>
      <c r="Y39" s="1093"/>
      <c r="Z39" s="1093"/>
      <c r="AA39" s="1093"/>
      <c r="AB39" s="1093"/>
      <c r="AC39" s="1093"/>
      <c r="AD39" s="1093"/>
      <c r="AE39" s="1093"/>
      <c r="AF39" s="1093"/>
      <c r="AG39" s="1093"/>
      <c r="AH39" s="1093"/>
      <c r="AI39" s="1093"/>
      <c r="AJ39" s="1093"/>
      <c r="AK39" s="1093"/>
      <c r="AL39" s="1093"/>
    </row>
    <row r="40" spans="1:38" ht="15">
      <c r="A40" s="1097"/>
      <c r="B40" s="1096"/>
      <c r="C40" s="1098"/>
      <c r="D40" s="1093"/>
      <c r="E40" s="1093"/>
      <c r="F40" s="1093"/>
      <c r="G40" s="1093"/>
      <c r="H40" s="1093"/>
      <c r="I40" s="1093"/>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3"/>
      <c r="AJ40" s="1093"/>
      <c r="AK40" s="1093"/>
      <c r="AL40" s="1093"/>
    </row>
    <row r="41" spans="1:38" ht="15">
      <c r="A41" s="1097"/>
      <c r="B41" s="1096"/>
      <c r="C41" s="1098"/>
      <c r="D41" s="1093"/>
      <c r="E41" s="1093"/>
      <c r="F41" s="1093"/>
      <c r="G41" s="1093"/>
      <c r="H41" s="1093"/>
      <c r="I41" s="1093"/>
      <c r="J41" s="1093"/>
      <c r="K41" s="1093"/>
      <c r="L41" s="1093"/>
      <c r="M41" s="1093"/>
      <c r="N41" s="1093"/>
      <c r="O41" s="1093"/>
      <c r="P41" s="1093"/>
      <c r="Q41" s="1093"/>
      <c r="R41" s="1093"/>
      <c r="S41" s="1093"/>
      <c r="T41" s="1093"/>
      <c r="U41" s="1093"/>
      <c r="V41" s="1093"/>
      <c r="W41" s="1093"/>
      <c r="X41" s="1093"/>
      <c r="Y41" s="1093"/>
      <c r="Z41" s="1093"/>
      <c r="AA41" s="1093"/>
      <c r="AB41" s="1093"/>
      <c r="AC41" s="1093"/>
      <c r="AD41" s="1093"/>
      <c r="AE41" s="1093"/>
      <c r="AF41" s="1093"/>
      <c r="AG41" s="1093"/>
      <c r="AH41" s="1093"/>
      <c r="AI41" s="1093"/>
      <c r="AJ41" s="1093"/>
      <c r="AK41" s="1093"/>
      <c r="AL41" s="1093"/>
    </row>
    <row r="42" spans="1:38" ht="15">
      <c r="A42" s="1097"/>
      <c r="B42" s="1096"/>
      <c r="C42" s="1098"/>
      <c r="D42" s="1093"/>
      <c r="E42" s="1093"/>
      <c r="F42" s="1093"/>
      <c r="G42" s="1093"/>
      <c r="H42" s="1093"/>
      <c r="I42" s="1093"/>
      <c r="J42" s="1093"/>
      <c r="K42" s="1093"/>
      <c r="L42" s="1093"/>
      <c r="M42" s="1093"/>
      <c r="N42" s="1093"/>
      <c r="O42" s="1093"/>
      <c r="P42" s="1093"/>
      <c r="Q42" s="1093"/>
      <c r="R42" s="1093"/>
      <c r="S42" s="1093"/>
      <c r="T42" s="1093"/>
      <c r="U42" s="1093"/>
      <c r="V42" s="1093"/>
      <c r="W42" s="1093"/>
      <c r="X42" s="1093"/>
      <c r="Y42" s="1093"/>
      <c r="Z42" s="1093"/>
      <c r="AA42" s="1093"/>
      <c r="AB42" s="1093"/>
      <c r="AC42" s="1093"/>
      <c r="AD42" s="1093"/>
      <c r="AE42" s="1093"/>
      <c r="AF42" s="1093"/>
      <c r="AG42" s="1093"/>
      <c r="AH42" s="1093"/>
      <c r="AI42" s="1093"/>
      <c r="AJ42" s="1093"/>
      <c r="AK42" s="1093"/>
      <c r="AL42" s="1093"/>
    </row>
    <row r="43" spans="1:38" ht="15">
      <c r="A43" s="1097"/>
      <c r="B43" s="1096"/>
      <c r="C43" s="1098"/>
      <c r="D43" s="1093"/>
      <c r="E43" s="1093"/>
      <c r="F43" s="1093"/>
      <c r="G43" s="1093"/>
      <c r="H43" s="1093"/>
      <c r="I43" s="1093"/>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row>
    <row r="44" spans="1:38" ht="15">
      <c r="A44" s="1097"/>
      <c r="B44" s="1096"/>
      <c r="C44" s="1098"/>
      <c r="D44" s="1093"/>
      <c r="E44" s="1093"/>
      <c r="F44" s="1093"/>
      <c r="G44" s="1093"/>
      <c r="H44" s="1093"/>
      <c r="I44" s="1093"/>
      <c r="J44" s="1093"/>
      <c r="K44" s="1093"/>
      <c r="L44" s="1093"/>
      <c r="M44" s="1093"/>
      <c r="N44" s="1093"/>
      <c r="O44" s="1093"/>
      <c r="P44" s="1093"/>
      <c r="Q44" s="1093"/>
      <c r="R44" s="1093"/>
      <c r="S44" s="1093"/>
      <c r="T44" s="1093"/>
      <c r="U44" s="1093"/>
      <c r="V44" s="1093"/>
      <c r="W44" s="1093"/>
      <c r="X44" s="1093"/>
      <c r="Y44" s="1093"/>
      <c r="Z44" s="1093"/>
      <c r="AA44" s="1093"/>
      <c r="AB44" s="1093"/>
      <c r="AC44" s="1093"/>
      <c r="AD44" s="1093"/>
      <c r="AE44" s="1093"/>
      <c r="AF44" s="1093"/>
      <c r="AG44" s="1093"/>
      <c r="AH44" s="1093"/>
      <c r="AI44" s="1093"/>
      <c r="AJ44" s="1093"/>
      <c r="AK44" s="1093"/>
      <c r="AL44" s="1093"/>
    </row>
    <row r="45" spans="1:38" ht="15">
      <c r="A45" s="1097"/>
      <c r="B45" s="1096"/>
      <c r="C45" s="1098"/>
      <c r="D45" s="1093"/>
      <c r="E45" s="1093"/>
      <c r="F45" s="1093"/>
      <c r="G45" s="1093"/>
      <c r="H45" s="1093"/>
      <c r="I45" s="1093"/>
      <c r="J45" s="1093"/>
      <c r="K45" s="1093"/>
      <c r="L45" s="1093"/>
      <c r="M45" s="1093"/>
      <c r="N45" s="1093"/>
      <c r="O45" s="1093"/>
      <c r="P45" s="1093"/>
      <c r="Q45" s="1093"/>
      <c r="R45" s="1093"/>
      <c r="S45" s="1093"/>
      <c r="T45" s="1093"/>
      <c r="U45" s="1093"/>
      <c r="V45" s="1093"/>
      <c r="W45" s="1093"/>
      <c r="X45" s="1093"/>
      <c r="Y45" s="1093"/>
      <c r="Z45" s="1093"/>
      <c r="AA45" s="1093"/>
      <c r="AB45" s="1093"/>
      <c r="AC45" s="1093"/>
      <c r="AD45" s="1093"/>
      <c r="AE45" s="1093"/>
      <c r="AF45" s="1093"/>
      <c r="AG45" s="1093"/>
      <c r="AH45" s="1093"/>
      <c r="AI45" s="1093"/>
      <c r="AJ45" s="1093"/>
      <c r="AK45" s="1093"/>
      <c r="AL45" s="1093"/>
    </row>
    <row r="46" spans="1:38" ht="15">
      <c r="A46" s="1097"/>
      <c r="B46" s="1096"/>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8"/>
      <c r="AA46" s="1098"/>
      <c r="AB46" s="1098"/>
      <c r="AC46" s="1098"/>
      <c r="AD46" s="1098"/>
      <c r="AE46" s="1098"/>
      <c r="AF46" s="1098"/>
      <c r="AG46" s="1098"/>
      <c r="AH46" s="1098"/>
      <c r="AI46" s="1098"/>
      <c r="AJ46" s="1098"/>
      <c r="AK46" s="1098"/>
      <c r="AL46" s="1098"/>
    </row>
    <row r="47" spans="1:38" ht="15">
      <c r="A47" s="1097"/>
      <c r="B47" s="1096"/>
      <c r="C47" s="1098"/>
      <c r="D47" s="1098"/>
      <c r="E47" s="1098"/>
      <c r="F47" s="1098"/>
      <c r="G47" s="1098"/>
      <c r="H47" s="1098"/>
      <c r="I47" s="1098"/>
      <c r="J47" s="1098"/>
      <c r="K47" s="1098"/>
      <c r="L47" s="1098"/>
      <c r="M47" s="1098"/>
      <c r="N47" s="1098"/>
      <c r="O47" s="1098"/>
      <c r="P47" s="1098"/>
      <c r="Q47" s="1098"/>
      <c r="R47" s="1098"/>
      <c r="S47" s="1098"/>
      <c r="T47" s="1098"/>
      <c r="U47" s="1098"/>
      <c r="V47" s="1098"/>
      <c r="W47" s="1098"/>
      <c r="X47" s="1098"/>
      <c r="Y47" s="1098"/>
      <c r="Z47" s="1098"/>
      <c r="AA47" s="1098"/>
      <c r="AB47" s="1098"/>
      <c r="AC47" s="1098"/>
      <c r="AD47" s="1098"/>
      <c r="AE47" s="1098"/>
      <c r="AF47" s="1098"/>
      <c r="AG47" s="1098"/>
      <c r="AH47" s="1098"/>
      <c r="AI47" s="1098"/>
      <c r="AJ47" s="1098"/>
      <c r="AK47" s="1098"/>
      <c r="AL47" s="1098"/>
    </row>
    <row r="48" spans="1:38" ht="15">
      <c r="A48" s="1087"/>
      <c r="B48" s="1096"/>
      <c r="C48" s="1098"/>
      <c r="D48" s="1093"/>
      <c r="E48" s="1093"/>
      <c r="F48" s="1093"/>
      <c r="G48" s="1093"/>
      <c r="H48" s="1093"/>
      <c r="I48" s="1093"/>
      <c r="J48" s="1093"/>
      <c r="K48" s="1093"/>
      <c r="L48" s="1093"/>
      <c r="M48" s="1093"/>
      <c r="N48" s="1093"/>
      <c r="O48" s="1093"/>
      <c r="P48" s="1093"/>
      <c r="Q48" s="1093"/>
      <c r="R48" s="1093"/>
      <c r="S48" s="1093"/>
      <c r="T48" s="1093"/>
      <c r="U48" s="1093"/>
      <c r="V48" s="1093"/>
      <c r="W48" s="1093"/>
      <c r="X48" s="1093"/>
      <c r="Y48" s="1093"/>
      <c r="Z48" s="1093"/>
      <c r="AA48" s="1093"/>
      <c r="AB48" s="1093"/>
      <c r="AC48" s="1093"/>
      <c r="AD48" s="1093"/>
      <c r="AE48" s="1093"/>
      <c r="AF48" s="1093"/>
      <c r="AG48" s="1099"/>
      <c r="AH48" s="1093"/>
      <c r="AI48" s="1093"/>
      <c r="AJ48" s="1093"/>
      <c r="AK48" s="1093"/>
      <c r="AL48" s="1093"/>
    </row>
    <row r="49" spans="1:38" ht="15">
      <c r="A49" s="1097"/>
      <c r="B49" s="1096"/>
      <c r="C49" s="1098"/>
      <c r="D49" s="1098"/>
      <c r="E49" s="1098"/>
      <c r="F49" s="1098"/>
      <c r="G49" s="1098"/>
      <c r="H49" s="1098"/>
      <c r="I49" s="1098"/>
      <c r="J49" s="1098"/>
      <c r="K49" s="1098"/>
      <c r="L49" s="1098"/>
      <c r="M49" s="1098"/>
      <c r="N49" s="1098"/>
      <c r="O49" s="1098"/>
      <c r="P49" s="1098"/>
      <c r="Q49" s="1098"/>
      <c r="R49" s="1098"/>
      <c r="S49" s="1098"/>
      <c r="T49" s="1098"/>
      <c r="U49" s="1098"/>
      <c r="V49" s="1098"/>
      <c r="W49" s="1098"/>
      <c r="X49" s="1098"/>
      <c r="Y49" s="1098"/>
      <c r="Z49" s="1098"/>
      <c r="AA49" s="1098"/>
      <c r="AB49" s="1098"/>
      <c r="AC49" s="1098"/>
      <c r="AD49" s="1098"/>
      <c r="AE49" s="1098"/>
      <c r="AF49" s="1098"/>
      <c r="AG49" s="1098"/>
      <c r="AH49" s="1098"/>
      <c r="AI49" s="1098"/>
      <c r="AJ49" s="1098"/>
      <c r="AK49" s="1098"/>
      <c r="AL49" s="1098"/>
    </row>
    <row r="50" spans="1:38" ht="15">
      <c r="A50" s="1097"/>
      <c r="B50" s="1096"/>
      <c r="C50" s="1098"/>
      <c r="D50" s="1098"/>
      <c r="E50" s="1098"/>
      <c r="F50" s="1098"/>
      <c r="G50" s="1098"/>
      <c r="H50" s="1098"/>
      <c r="I50" s="1098"/>
      <c r="J50" s="1098"/>
      <c r="K50" s="1098"/>
      <c r="L50" s="1098"/>
      <c r="M50" s="1098"/>
      <c r="N50" s="1098"/>
      <c r="O50" s="1098"/>
      <c r="P50" s="1098"/>
      <c r="Q50" s="1098"/>
      <c r="R50" s="1098"/>
      <c r="S50" s="1098"/>
      <c r="T50" s="1098"/>
      <c r="U50" s="1098"/>
      <c r="V50" s="1098"/>
      <c r="W50" s="1098"/>
      <c r="X50" s="1098"/>
      <c r="Y50" s="1098"/>
      <c r="Z50" s="1098"/>
      <c r="AA50" s="1098"/>
      <c r="AB50" s="1098"/>
      <c r="AC50" s="1098"/>
      <c r="AD50" s="1098"/>
      <c r="AE50" s="1098"/>
      <c r="AF50" s="1098"/>
      <c r="AG50" s="1098"/>
      <c r="AH50" s="1098"/>
      <c r="AI50" s="1098"/>
      <c r="AJ50" s="1098"/>
      <c r="AK50" s="1098"/>
      <c r="AL50" s="109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12">
    <tabColor theme="5" tint="-0.249977111117893"/>
  </sheetPr>
  <dimension ref="A1:D20"/>
  <sheetViews>
    <sheetView workbookViewId="0"/>
  </sheetViews>
  <sheetFormatPr defaultRowHeight="15" outlineLevelCol="1"/>
  <cols>
    <col min="1" max="1" width="23.42578125" style="1078" bestFit="1" customWidth="1"/>
    <col min="2" max="2" width="52.5703125" style="1078" customWidth="1"/>
    <col min="3" max="3" width="31.85546875" style="1079" hidden="1" customWidth="1" outlineLevel="1"/>
    <col min="4" max="4" width="9.140625" style="1078" collapsed="1"/>
    <col min="5" max="16384" width="9.140625" style="1078"/>
  </cols>
  <sheetData>
    <row r="1" spans="1:3">
      <c r="A1" s="1074" t="s">
        <v>950</v>
      </c>
      <c r="B1" s="1074"/>
      <c r="C1" s="1075" t="s">
        <v>951</v>
      </c>
    </row>
    <row r="2" spans="1:3">
      <c r="A2" s="1076" t="s">
        <v>952</v>
      </c>
      <c r="B2" s="1077" t="s">
        <v>980</v>
      </c>
      <c r="C2" s="1075" t="s">
        <v>953</v>
      </c>
    </row>
    <row r="3" spans="1:3">
      <c r="A3" s="1076" t="s">
        <v>954</v>
      </c>
      <c r="B3" s="1077">
        <v>1</v>
      </c>
      <c r="C3" s="1075" t="s">
        <v>955</v>
      </c>
    </row>
    <row r="4" spans="1:3">
      <c r="A4" s="1076" t="s">
        <v>956</v>
      </c>
      <c r="B4" s="1077"/>
      <c r="C4" s="1075" t="s">
        <v>957</v>
      </c>
    </row>
    <row r="5" spans="1:3">
      <c r="A5" s="1080"/>
    </row>
    <row r="6" spans="1:3">
      <c r="A6" s="1074" t="s">
        <v>958</v>
      </c>
      <c r="B6" s="1074"/>
      <c r="C6" s="1075"/>
    </row>
    <row r="7" spans="1:3">
      <c r="A7" s="1076"/>
      <c r="B7" s="1076"/>
      <c r="C7" s="1075" t="s">
        <v>959</v>
      </c>
    </row>
    <row r="8" spans="1:3">
      <c r="A8" s="1080"/>
    </row>
    <row r="9" spans="1:3">
      <c r="A9" s="1074" t="s">
        <v>960</v>
      </c>
      <c r="B9" s="1074"/>
      <c r="C9" s="1075"/>
    </row>
    <row r="10" spans="1:3">
      <c r="A10" s="1076" t="s">
        <v>88</v>
      </c>
      <c r="B10" s="1077"/>
      <c r="C10" s="1075" t="s">
        <v>961</v>
      </c>
    </row>
    <row r="11" spans="1:3">
      <c r="A11" s="1076" t="s">
        <v>962</v>
      </c>
      <c r="B11" s="1077"/>
      <c r="C11" s="1075" t="s">
        <v>963</v>
      </c>
    </row>
    <row r="12" spans="1:3">
      <c r="A12" s="1076" t="s">
        <v>964</v>
      </c>
      <c r="B12" s="1077"/>
      <c r="C12" s="1075" t="s">
        <v>965</v>
      </c>
    </row>
    <row r="13" spans="1:3">
      <c r="A13" s="1076" t="s">
        <v>873</v>
      </c>
      <c r="B13" s="1077"/>
      <c r="C13" s="1075" t="s">
        <v>966</v>
      </c>
    </row>
    <row r="14" spans="1:3">
      <c r="A14" s="1076" t="s">
        <v>371</v>
      </c>
      <c r="B14" s="1077"/>
      <c r="C14" s="1075" t="s">
        <v>967</v>
      </c>
    </row>
    <row r="15" spans="1:3">
      <c r="A15" s="1076" t="s">
        <v>968</v>
      </c>
      <c r="B15" s="1077"/>
      <c r="C15" s="1075" t="s">
        <v>969</v>
      </c>
    </row>
    <row r="16" spans="1:3">
      <c r="A16" s="1076" t="s">
        <v>970</v>
      </c>
      <c r="B16" s="1077"/>
      <c r="C16" s="1075" t="s">
        <v>971</v>
      </c>
    </row>
    <row r="17" spans="1:3">
      <c r="A17" s="1076" t="s">
        <v>972</v>
      </c>
      <c r="B17" s="1077"/>
      <c r="C17" s="1075" t="s">
        <v>973</v>
      </c>
    </row>
    <row r="18" spans="1:3">
      <c r="A18" s="1076" t="s">
        <v>974</v>
      </c>
      <c r="B18" s="1077"/>
      <c r="C18" s="1075" t="s">
        <v>975</v>
      </c>
    </row>
    <row r="19" spans="1:3">
      <c r="A19" s="1076" t="s">
        <v>976</v>
      </c>
      <c r="B19" s="1077"/>
      <c r="C19" s="1075" t="s">
        <v>977</v>
      </c>
    </row>
    <row r="20" spans="1:3">
      <c r="A20" s="1076" t="s">
        <v>978</v>
      </c>
      <c r="B20" s="1077"/>
      <c r="C20" s="1075" t="s">
        <v>979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8">
    <tabColor theme="3" tint="0.59999389629810485"/>
    <pageSetUpPr autoPageBreaks="0"/>
  </sheetPr>
  <dimension ref="A1:N82"/>
  <sheetViews>
    <sheetView zoomScale="115" zoomScaleNormal="115" workbookViewId="0">
      <selection activeCell="B12" sqref="B12:D12"/>
    </sheetView>
  </sheetViews>
  <sheetFormatPr defaultRowHeight="12" outlineLevelRow="1"/>
  <cols>
    <col min="1" max="1" width="38.28515625" style="119" bestFit="1" customWidth="1"/>
    <col min="2" max="2" width="10.140625" style="119" customWidth="1"/>
    <col min="3" max="3" width="9.7109375" style="119" customWidth="1"/>
    <col min="4" max="4" width="9" style="119" bestFit="1" customWidth="1"/>
    <col min="5" max="6" width="8.7109375" style="119" customWidth="1"/>
    <col min="7" max="7" width="11.140625" style="119" customWidth="1"/>
    <col min="8" max="11" width="9.140625" style="119"/>
    <col min="12" max="12" width="11.140625" style="119" bestFit="1" customWidth="1"/>
    <col min="13" max="16384" width="9.140625" style="119"/>
  </cols>
  <sheetData>
    <row r="1" spans="1:14" ht="24.75" customHeight="1">
      <c r="A1" s="1161" t="s">
        <v>411</v>
      </c>
      <c r="B1" s="1162"/>
      <c r="C1" s="1162"/>
      <c r="D1" s="1162"/>
      <c r="E1" s="1162"/>
      <c r="F1" s="1162"/>
      <c r="G1" s="1163"/>
    </row>
    <row r="2" spans="1:14">
      <c r="A2" s="120" t="s">
        <v>88</v>
      </c>
      <c r="B2" s="1104">
        <f>Config!B10</f>
        <v>0</v>
      </c>
      <c r="C2" s="1104"/>
      <c r="D2" s="1104"/>
      <c r="E2" s="1104"/>
      <c r="F2" s="1104"/>
      <c r="G2" s="1104"/>
    </row>
    <row r="3" spans="1:14">
      <c r="A3" s="120" t="s">
        <v>873</v>
      </c>
      <c r="B3" s="1155">
        <f>Config!B13</f>
        <v>0</v>
      </c>
      <c r="C3" s="1156"/>
      <c r="D3" s="1156"/>
      <c r="E3" s="1156"/>
      <c r="F3" s="1156"/>
      <c r="G3" s="1157"/>
    </row>
    <row r="4" spans="1:14">
      <c r="A4" s="120" t="s">
        <v>371</v>
      </c>
      <c r="B4" s="1155">
        <f>Config!B14</f>
        <v>0</v>
      </c>
      <c r="C4" s="1156"/>
      <c r="D4" s="1156"/>
      <c r="E4" s="1156"/>
      <c r="F4" s="1156"/>
      <c r="G4" s="1157"/>
    </row>
    <row r="5" spans="1:14">
      <c r="A5" s="120" t="s">
        <v>412</v>
      </c>
      <c r="B5" s="1155" t="str">
        <f>IF(ISBLANK(Config!B18),"",Config!B18)</f>
        <v/>
      </c>
      <c r="C5" s="1156"/>
      <c r="D5" s="1156"/>
      <c r="E5" s="1156"/>
      <c r="F5" s="1156"/>
      <c r="G5" s="1157"/>
      <c r="H5" s="842"/>
    </row>
    <row r="6" spans="1:14">
      <c r="A6" s="120" t="s">
        <v>413</v>
      </c>
      <c r="B6" s="1104" t="str">
        <f>IF(ISBLANK(Config!B16),"",Config!B16)</f>
        <v/>
      </c>
      <c r="C6" s="1104"/>
      <c r="D6" s="1104"/>
      <c r="E6" s="1104"/>
      <c r="F6" s="1104"/>
      <c r="G6" s="1104"/>
      <c r="H6" s="842"/>
    </row>
    <row r="7" spans="1:14">
      <c r="A7" s="120" t="s">
        <v>414</v>
      </c>
      <c r="B7" s="1104" t="str">
        <f>IF(ISBLANK(Config!B17),"",YEAR(Config!B17))</f>
        <v/>
      </c>
      <c r="C7" s="1104"/>
      <c r="D7" s="1104"/>
      <c r="E7" s="1104"/>
      <c r="F7" s="1104"/>
      <c r="G7" s="1104"/>
      <c r="H7" s="842"/>
    </row>
    <row r="8" spans="1:14">
      <c r="A8" s="120" t="s">
        <v>366</v>
      </c>
      <c r="B8" s="1164" t="e">
        <f ca="1">Rating!A7</f>
        <v>#DIV/0!</v>
      </c>
      <c r="C8" s="1164"/>
      <c r="D8" s="1165"/>
      <c r="E8" s="1165"/>
      <c r="F8" s="1165"/>
      <c r="G8" s="1165"/>
    </row>
    <row r="9" spans="1:14">
      <c r="A9" s="120" t="s">
        <v>119</v>
      </c>
      <c r="B9" s="1104"/>
      <c r="C9" s="1104"/>
      <c r="D9" s="1104"/>
      <c r="E9" s="1104"/>
      <c r="F9" s="1104"/>
      <c r="G9" s="1104"/>
      <c r="H9" s="842"/>
    </row>
    <row r="10" spans="1:14">
      <c r="A10" s="120" t="s">
        <v>521</v>
      </c>
      <c r="B10" s="1155"/>
      <c r="C10" s="1156"/>
      <c r="D10" s="1156"/>
      <c r="E10" s="1156"/>
      <c r="F10" s="1156"/>
      <c r="G10" s="1157"/>
      <c r="H10" s="842"/>
    </row>
    <row r="11" spans="1:14" ht="13.5" customHeight="1">
      <c r="A11" s="530" t="s">
        <v>415</v>
      </c>
      <c r="B11" s="1158" t="s">
        <v>660</v>
      </c>
      <c r="C11" s="1159"/>
      <c r="D11" s="1160"/>
      <c r="E11" s="1153" t="s">
        <v>716</v>
      </c>
      <c r="F11" s="1154"/>
      <c r="G11" s="896" t="s">
        <v>661</v>
      </c>
    </row>
    <row r="12" spans="1:14">
      <c r="A12" s="531"/>
      <c r="B12" s="1105"/>
      <c r="C12" s="1105"/>
      <c r="D12" s="1105"/>
      <c r="E12" s="1106"/>
      <c r="F12" s="1106"/>
      <c r="G12" s="897"/>
      <c r="H12" s="842"/>
      <c r="L12" s="895"/>
      <c r="N12" s="894"/>
    </row>
    <row r="13" spans="1:14">
      <c r="A13" s="531"/>
      <c r="B13" s="1105"/>
      <c r="C13" s="1105"/>
      <c r="D13" s="1105"/>
      <c r="E13" s="1106"/>
      <c r="F13" s="1106"/>
      <c r="G13" s="897"/>
      <c r="L13" s="895"/>
      <c r="N13" s="894"/>
    </row>
    <row r="14" spans="1:14">
      <c r="A14" s="531"/>
      <c r="B14" s="1105"/>
      <c r="C14" s="1105"/>
      <c r="D14" s="1105"/>
      <c r="E14" s="1106"/>
      <c r="F14" s="1106"/>
      <c r="G14" s="897"/>
      <c r="L14" s="895"/>
      <c r="N14" s="894"/>
    </row>
    <row r="15" spans="1:14">
      <c r="A15" s="531"/>
      <c r="B15" s="1105"/>
      <c r="C15" s="1105"/>
      <c r="D15" s="1105"/>
      <c r="E15" s="1106"/>
      <c r="F15" s="1106"/>
      <c r="G15" s="897"/>
      <c r="L15" s="895"/>
      <c r="N15" s="894"/>
    </row>
    <row r="16" spans="1:14">
      <c r="A16" s="531"/>
      <c r="B16" s="1105"/>
      <c r="C16" s="1105"/>
      <c r="D16" s="1105"/>
      <c r="E16" s="1106"/>
      <c r="F16" s="1106"/>
      <c r="G16" s="897"/>
      <c r="L16" s="895"/>
      <c r="N16" s="894"/>
    </row>
    <row r="17" spans="1:14" outlineLevel="1">
      <c r="A17" s="531"/>
      <c r="B17" s="1105"/>
      <c r="C17" s="1105"/>
      <c r="D17" s="1105"/>
      <c r="E17" s="1106"/>
      <c r="F17" s="1106"/>
      <c r="G17" s="897"/>
      <c r="L17" s="895"/>
      <c r="N17" s="894"/>
    </row>
    <row r="18" spans="1:14">
      <c r="A18" s="120" t="s">
        <v>416</v>
      </c>
      <c r="B18" s="1152"/>
      <c r="C18" s="1152"/>
      <c r="D18" s="1152"/>
      <c r="E18" s="1104"/>
      <c r="F18" s="1104"/>
      <c r="G18" s="1104"/>
      <c r="H18" s="842"/>
    </row>
    <row r="19" spans="1:14">
      <c r="A19" s="120" t="s">
        <v>417</v>
      </c>
      <c r="B19" s="1102"/>
      <c r="C19" s="1103"/>
      <c r="D19" s="1104"/>
      <c r="E19" s="1104"/>
      <c r="F19" s="1104"/>
      <c r="G19" s="1104"/>
      <c r="H19" s="842"/>
    </row>
    <row r="20" spans="1:14">
      <c r="A20" s="533" t="s">
        <v>418</v>
      </c>
      <c r="B20" s="1104"/>
      <c r="C20" s="1104"/>
      <c r="D20" s="1104"/>
      <c r="E20" s="1104"/>
      <c r="F20" s="1104"/>
      <c r="G20" s="1104"/>
    </row>
    <row r="21" spans="1:14" ht="13.5" customHeight="1" thickBot="1">
      <c r="A21" s="533" t="s">
        <v>419</v>
      </c>
      <c r="B21" s="532" t="s">
        <v>662</v>
      </c>
      <c r="C21" s="532" t="s">
        <v>408</v>
      </c>
      <c r="D21" s="532" t="s">
        <v>663</v>
      </c>
      <c r="E21" s="1100" t="s">
        <v>716</v>
      </c>
      <c r="F21" s="1101"/>
      <c r="G21" s="532" t="s">
        <v>424</v>
      </c>
    </row>
    <row r="22" spans="1:14" ht="12.75">
      <c r="A22" s="535"/>
      <c r="B22" s="716"/>
      <c r="C22" s="596"/>
      <c r="D22" s="900"/>
      <c r="E22" s="1114"/>
      <c r="F22" s="1115"/>
      <c r="G22" s="597"/>
      <c r="H22" s="901"/>
      <c r="I22" s="898"/>
      <c r="K22" s="899"/>
    </row>
    <row r="23" spans="1:14" ht="12.75">
      <c r="A23" s="535"/>
      <c r="B23" s="716"/>
      <c r="C23" s="596"/>
      <c r="D23" s="900"/>
      <c r="E23" s="1121"/>
      <c r="F23" s="1122"/>
      <c r="G23" s="597"/>
      <c r="H23" s="901"/>
    </row>
    <row r="24" spans="1:14" ht="12.75" outlineLevel="1">
      <c r="A24" s="535"/>
      <c r="B24" s="716"/>
      <c r="C24" s="596"/>
      <c r="D24" s="900"/>
      <c r="E24" s="1121"/>
      <c r="F24" s="1122"/>
      <c r="G24" s="597"/>
      <c r="H24" s="901"/>
      <c r="K24" s="899"/>
    </row>
    <row r="25" spans="1:14" ht="12.75" hidden="1" customHeight="1">
      <c r="A25" s="537" t="s">
        <v>217</v>
      </c>
      <c r="B25" s="544" t="s">
        <v>408</v>
      </c>
      <c r="C25" s="1108" t="s">
        <v>420</v>
      </c>
      <c r="D25" s="1109"/>
      <c r="E25" s="1109"/>
      <c r="F25" s="1110"/>
      <c r="G25" s="536" t="s">
        <v>421</v>
      </c>
    </row>
    <row r="26" spans="1:14" ht="12.75" hidden="1" customHeight="1">
      <c r="A26" s="538"/>
      <c r="B26" s="545">
        <f>'Port &amp; Other'!B146</f>
        <v>0</v>
      </c>
      <c r="C26" s="1116">
        <f>'Port &amp; Other'!C146</f>
        <v>0</v>
      </c>
      <c r="D26" s="1117"/>
      <c r="E26" s="1117"/>
      <c r="F26" s="1118"/>
      <c r="G26" s="543">
        <f>'Port &amp; Other'!D146</f>
        <v>0</v>
      </c>
    </row>
    <row r="27" spans="1:14" ht="12.75" hidden="1" customHeight="1" outlineLevel="1">
      <c r="A27" s="538"/>
      <c r="B27" s="545">
        <f>'Port &amp; Other'!B147</f>
        <v>0</v>
      </c>
      <c r="C27" s="1116">
        <f>'Port &amp; Other'!C147</f>
        <v>0</v>
      </c>
      <c r="D27" s="1117"/>
      <c r="E27" s="1117"/>
      <c r="F27" s="1118"/>
      <c r="G27" s="543">
        <f>'Port &amp; Other'!D147</f>
        <v>0</v>
      </c>
    </row>
    <row r="28" spans="1:14" ht="12.75" hidden="1" customHeight="1" outlineLevel="1">
      <c r="A28" s="539"/>
      <c r="B28" s="545">
        <f>'Port &amp; Other'!B148</f>
        <v>0</v>
      </c>
      <c r="C28" s="1116">
        <f>'Port &amp; Other'!C148</f>
        <v>0</v>
      </c>
      <c r="D28" s="1117"/>
      <c r="E28" s="1117"/>
      <c r="F28" s="1118"/>
      <c r="G28" s="543">
        <f>'Port &amp; Other'!D148</f>
        <v>0</v>
      </c>
    </row>
    <row r="29" spans="1:14" ht="8.25" customHeight="1" collapsed="1">
      <c r="A29" s="546"/>
      <c r="B29" s="546" t="s">
        <v>369</v>
      </c>
      <c r="C29" s="546"/>
      <c r="D29" s="546"/>
      <c r="E29" s="546"/>
      <c r="F29" s="546"/>
      <c r="G29" s="546"/>
    </row>
    <row r="30" spans="1:14">
      <c r="A30" s="1120" t="s">
        <v>422</v>
      </c>
      <c r="B30" s="1120"/>
      <c r="C30" s="1120"/>
      <c r="D30" s="1120"/>
      <c r="E30" s="1120"/>
      <c r="F30" s="1120"/>
      <c r="G30" s="1120"/>
    </row>
    <row r="31" spans="1:14">
      <c r="A31" s="121" t="s">
        <v>423</v>
      </c>
      <c r="B31" s="1107"/>
      <c r="C31" s="1107"/>
      <c r="D31" s="1107"/>
      <c r="E31" s="1107"/>
      <c r="F31" s="1107"/>
      <c r="G31" s="1107"/>
    </row>
    <row r="32" spans="1:14">
      <c r="A32" s="121" t="s">
        <v>692</v>
      </c>
      <c r="B32" s="1119"/>
      <c r="C32" s="1119"/>
      <c r="D32" s="1107"/>
      <c r="E32" s="1107"/>
      <c r="F32" s="1107"/>
      <c r="G32" s="1107"/>
    </row>
    <row r="33" spans="1:9">
      <c r="A33" s="121" t="s">
        <v>299</v>
      </c>
      <c r="B33" s="1119"/>
      <c r="C33" s="1119"/>
      <c r="D33" s="1107"/>
      <c r="E33" s="1107"/>
      <c r="F33" s="1107"/>
      <c r="G33" s="1107"/>
    </row>
    <row r="34" spans="1:9">
      <c r="A34" s="121" t="s">
        <v>424</v>
      </c>
      <c r="B34" s="1111"/>
      <c r="C34" s="1107"/>
      <c r="D34" s="1107"/>
      <c r="E34" s="1107"/>
      <c r="F34" s="1107"/>
      <c r="G34" s="1107"/>
    </row>
    <row r="35" spans="1:9">
      <c r="A35" s="121" t="s">
        <v>425</v>
      </c>
      <c r="B35" s="1107"/>
      <c r="C35" s="1107"/>
      <c r="D35" s="1107"/>
      <c r="E35" s="1107"/>
      <c r="F35" s="1107"/>
      <c r="G35" s="1107"/>
      <c r="I35" s="122"/>
    </row>
    <row r="36" spans="1:9">
      <c r="A36" s="121" t="s">
        <v>664</v>
      </c>
      <c r="B36" s="1107"/>
      <c r="C36" s="1107"/>
      <c r="D36" s="1107"/>
      <c r="E36" s="1107"/>
      <c r="F36" s="1107"/>
      <c r="G36" s="1107"/>
      <c r="I36" s="122"/>
    </row>
    <row r="37" spans="1:9">
      <c r="A37" s="121" t="s">
        <v>117</v>
      </c>
      <c r="B37" s="1111"/>
      <c r="C37" s="1111"/>
      <c r="D37" s="1111"/>
      <c r="E37" s="1111"/>
      <c r="F37" s="1111"/>
      <c r="G37" s="1111"/>
    </row>
    <row r="38" spans="1:9">
      <c r="A38" s="121" t="s">
        <v>118</v>
      </c>
      <c r="B38" s="1107"/>
      <c r="C38" s="1107"/>
      <c r="D38" s="1107"/>
      <c r="E38" s="1107"/>
      <c r="F38" s="1107"/>
      <c r="G38" s="1107"/>
    </row>
    <row r="39" spans="1:9">
      <c r="A39" s="537" t="s">
        <v>426</v>
      </c>
      <c r="B39" s="1112" t="s">
        <v>662</v>
      </c>
      <c r="C39" s="1113"/>
      <c r="D39" s="594"/>
      <c r="E39" s="1116"/>
      <c r="F39" s="1118"/>
      <c r="G39" s="594"/>
    </row>
    <row r="40" spans="1:9">
      <c r="A40" s="538" t="s">
        <v>369</v>
      </c>
      <c r="B40" s="1112" t="s">
        <v>665</v>
      </c>
      <c r="C40" s="1113"/>
      <c r="D40" s="679"/>
      <c r="E40" s="1140"/>
      <c r="F40" s="1141"/>
      <c r="G40" s="679"/>
      <c r="H40" s="842"/>
    </row>
    <row r="41" spans="1:9">
      <c r="A41" s="539"/>
      <c r="B41" s="1112" t="s">
        <v>717</v>
      </c>
      <c r="C41" s="1113"/>
      <c r="D41" s="678"/>
      <c r="E41" s="1147"/>
      <c r="F41" s="1148"/>
      <c r="G41" s="678"/>
    </row>
    <row r="42" spans="1:9">
      <c r="B42" s="123"/>
      <c r="C42" s="123"/>
      <c r="D42" s="123"/>
      <c r="E42" s="123"/>
      <c r="F42" s="123"/>
    </row>
    <row r="43" spans="1:9">
      <c r="A43" s="1120" t="s">
        <v>430</v>
      </c>
      <c r="B43" s="1120"/>
      <c r="C43" s="1120"/>
      <c r="D43" s="1120"/>
      <c r="E43" s="1120"/>
      <c r="F43" s="1120"/>
      <c r="G43" s="1120"/>
    </row>
    <row r="44" spans="1:9">
      <c r="A44" s="121" t="s">
        <v>876</v>
      </c>
      <c r="B44" s="1145"/>
      <c r="C44" s="1145"/>
      <c r="D44" s="1145"/>
      <c r="E44" s="1145"/>
      <c r="F44" s="1145"/>
      <c r="G44" s="1145"/>
    </row>
    <row r="45" spans="1:9">
      <c r="A45" s="121" t="s">
        <v>142</v>
      </c>
      <c r="B45" s="1146"/>
      <c r="C45" s="1146"/>
      <c r="D45" s="1146"/>
      <c r="E45" s="1146"/>
      <c r="F45" s="1146"/>
      <c r="G45" s="1146"/>
    </row>
    <row r="46" spans="1:9">
      <c r="A46" s="121" t="s">
        <v>372</v>
      </c>
      <c r="B46" s="1146"/>
      <c r="C46" s="1146"/>
      <c r="D46" s="1146"/>
      <c r="E46" s="1146"/>
      <c r="F46" s="1146"/>
      <c r="G46" s="1146"/>
    </row>
    <row r="47" spans="1:9" ht="24" customHeight="1">
      <c r="A47" s="121" t="s">
        <v>431</v>
      </c>
      <c r="B47" s="1142"/>
      <c r="C47" s="1143"/>
      <c r="D47" s="1143"/>
      <c r="E47" s="1143"/>
      <c r="F47" s="1143"/>
      <c r="G47" s="1144"/>
    </row>
    <row r="49" spans="1:8">
      <c r="A49" s="1149" t="s">
        <v>432</v>
      </c>
      <c r="B49" s="1150"/>
      <c r="C49" s="1150"/>
      <c r="D49" s="1150"/>
      <c r="E49" s="1150"/>
      <c r="F49" s="1150"/>
      <c r="G49" s="1151"/>
    </row>
    <row r="50" spans="1:8">
      <c r="A50" s="124" t="s">
        <v>445</v>
      </c>
      <c r="B50" s="1107">
        <f>Config!B12</f>
        <v>0</v>
      </c>
      <c r="C50" s="1107"/>
      <c r="D50" s="1107"/>
      <c r="E50" s="1107"/>
      <c r="F50" s="1107"/>
      <c r="G50" s="1107"/>
    </row>
    <row r="51" spans="1:8">
      <c r="A51" s="124" t="e">
        <f ca="1">CONCATENATE(B50," / ",'Hist &amp; Proj'!A8," Exchange Rate as of ",TEXT('Hist &amp; Proj'!AE7,"mmm-yy"))</f>
        <v>#N/A</v>
      </c>
      <c r="B51" s="1138" t="e">
        <f ca="1">'Hist &amp; Proj'!$AE$8</f>
        <v>#N/A</v>
      </c>
      <c r="C51" s="1139"/>
      <c r="D51" s="1139"/>
      <c r="E51" s="1139"/>
      <c r="F51" s="1139"/>
      <c r="G51" s="1139"/>
    </row>
    <row r="52" spans="1:8" ht="13.5" customHeight="1" thickBot="1">
      <c r="A52" s="1134"/>
      <c r="B52" s="1132"/>
      <c r="C52" s="1137"/>
      <c r="D52" s="540" t="s">
        <v>224</v>
      </c>
      <c r="E52" s="1126" t="s">
        <v>60</v>
      </c>
      <c r="F52" s="1127"/>
      <c r="G52" s="540" t="s">
        <v>61</v>
      </c>
    </row>
    <row r="53" spans="1:8">
      <c r="A53" s="1135"/>
      <c r="B53" s="1132" t="s">
        <v>623</v>
      </c>
      <c r="C53" s="1133"/>
      <c r="D53" s="541"/>
      <c r="E53" s="1128"/>
      <c r="F53" s="1129"/>
      <c r="G53" s="542"/>
      <c r="H53" s="842"/>
    </row>
    <row r="54" spans="1:8">
      <c r="A54" s="1135"/>
      <c r="B54" s="1132" t="s">
        <v>667</v>
      </c>
      <c r="C54" s="1133"/>
      <c r="D54" s="890"/>
      <c r="E54" s="1130"/>
      <c r="F54" s="1131"/>
      <c r="G54" s="889"/>
    </row>
    <row r="55" spans="1:8">
      <c r="A55" s="1136"/>
      <c r="B55" s="1132" t="s">
        <v>668</v>
      </c>
      <c r="C55" s="1133"/>
      <c r="D55" s="890"/>
      <c r="E55" s="1130"/>
      <c r="F55" s="1131"/>
      <c r="G55" s="889"/>
    </row>
    <row r="56" spans="1:8" hidden="1">
      <c r="A56" s="1123" t="s">
        <v>718</v>
      </c>
      <c r="B56" s="1124"/>
      <c r="C56" s="1124"/>
      <c r="D56" s="1124"/>
      <c r="E56" s="1124"/>
      <c r="F56" s="1124"/>
      <c r="G56" s="1125"/>
    </row>
    <row r="57" spans="1:8" ht="6" hidden="1" customHeight="1">
      <c r="A57" s="534"/>
      <c r="B57" s="547"/>
      <c r="C57" s="547"/>
      <c r="D57" s="547"/>
      <c r="E57" s="547"/>
      <c r="F57" s="547"/>
      <c r="G57" s="553"/>
    </row>
    <row r="58" spans="1:8" ht="12" hidden="1" customHeight="1">
      <c r="A58" s="534" t="s">
        <v>118</v>
      </c>
      <c r="B58" s="548" t="s">
        <v>427</v>
      </c>
      <c r="C58" s="548" t="s">
        <v>428</v>
      </c>
      <c r="D58" s="548" t="s">
        <v>429</v>
      </c>
      <c r="E58" s="548" t="s">
        <v>433</v>
      </c>
      <c r="F58" s="548" t="s">
        <v>675</v>
      </c>
      <c r="G58" s="552" t="s">
        <v>33</v>
      </c>
    </row>
    <row r="59" spans="1:8" ht="12" hidden="1" customHeight="1">
      <c r="A59" s="555" t="s">
        <v>94</v>
      </c>
      <c r="B59" s="556">
        <v>0</v>
      </c>
      <c r="C59" s="556">
        <v>0</v>
      </c>
      <c r="D59" s="556">
        <v>0</v>
      </c>
      <c r="E59" s="556">
        <v>0</v>
      </c>
      <c r="F59" s="556">
        <v>0</v>
      </c>
      <c r="G59" s="557">
        <f t="shared" ref="G59:G70" si="0">SUM(B59:F59)</f>
        <v>0</v>
      </c>
      <c r="H59" s="842"/>
    </row>
    <row r="60" spans="1:8" s="122" customFormat="1" ht="12" hidden="1" customHeight="1" outlineLevel="1">
      <c r="A60" s="554" t="s">
        <v>94</v>
      </c>
      <c r="B60" s="558">
        <v>0</v>
      </c>
      <c r="C60" s="558">
        <v>0</v>
      </c>
      <c r="D60" s="558">
        <v>0</v>
      </c>
      <c r="E60" s="558">
        <v>0</v>
      </c>
      <c r="F60" s="558">
        <v>0</v>
      </c>
      <c r="G60" s="559">
        <f t="shared" si="0"/>
        <v>0</v>
      </c>
    </row>
    <row r="61" spans="1:8" s="122" customFormat="1" ht="12" hidden="1" customHeight="1" outlineLevel="1">
      <c r="A61" s="554" t="s">
        <v>94</v>
      </c>
      <c r="B61" s="558">
        <v>0</v>
      </c>
      <c r="C61" s="558">
        <v>0</v>
      </c>
      <c r="D61" s="558">
        <v>0</v>
      </c>
      <c r="E61" s="558">
        <v>0</v>
      </c>
      <c r="F61" s="558">
        <v>0</v>
      </c>
      <c r="G61" s="559">
        <f t="shared" si="0"/>
        <v>0</v>
      </c>
    </row>
    <row r="62" spans="1:8" s="122" customFormat="1" ht="12" hidden="1" customHeight="1" outlineLevel="1">
      <c r="A62" s="554" t="s">
        <v>94</v>
      </c>
      <c r="B62" s="558">
        <v>0</v>
      </c>
      <c r="C62" s="558">
        <v>0</v>
      </c>
      <c r="D62" s="558">
        <v>0</v>
      </c>
      <c r="E62" s="558">
        <v>0</v>
      </c>
      <c r="F62" s="558">
        <v>0</v>
      </c>
      <c r="G62" s="559">
        <f t="shared" si="0"/>
        <v>0</v>
      </c>
    </row>
    <row r="63" spans="1:8" s="122" customFormat="1" ht="12" hidden="1" customHeight="1" outlineLevel="1">
      <c r="A63" s="554" t="s">
        <v>94</v>
      </c>
      <c r="B63" s="558">
        <v>0</v>
      </c>
      <c r="C63" s="558">
        <v>0</v>
      </c>
      <c r="D63" s="558">
        <v>0</v>
      </c>
      <c r="E63" s="558">
        <v>0</v>
      </c>
      <c r="F63" s="558">
        <v>0</v>
      </c>
      <c r="G63" s="559">
        <f t="shared" si="0"/>
        <v>0</v>
      </c>
    </row>
    <row r="64" spans="1:8" s="122" customFormat="1" ht="12" hidden="1" customHeight="1" outlineLevel="1">
      <c r="A64" s="554" t="s">
        <v>94</v>
      </c>
      <c r="B64" s="558">
        <v>0</v>
      </c>
      <c r="C64" s="558">
        <v>0</v>
      </c>
      <c r="D64" s="558">
        <v>0</v>
      </c>
      <c r="E64" s="558">
        <v>0</v>
      </c>
      <c r="F64" s="558">
        <v>0</v>
      </c>
      <c r="G64" s="559">
        <f t="shared" si="0"/>
        <v>0</v>
      </c>
    </row>
    <row r="65" spans="1:8" s="122" customFormat="1" ht="12" hidden="1" customHeight="1" outlineLevel="1">
      <c r="A65" s="554" t="s">
        <v>94</v>
      </c>
      <c r="B65" s="558">
        <v>0</v>
      </c>
      <c r="C65" s="558">
        <v>0</v>
      </c>
      <c r="D65" s="558">
        <v>0</v>
      </c>
      <c r="E65" s="558">
        <v>0</v>
      </c>
      <c r="F65" s="558">
        <v>0</v>
      </c>
      <c r="G65" s="559">
        <f t="shared" si="0"/>
        <v>0</v>
      </c>
    </row>
    <row r="66" spans="1:8" s="122" customFormat="1" ht="12" hidden="1" customHeight="1" outlineLevel="1">
      <c r="A66" s="554" t="s">
        <v>94</v>
      </c>
      <c r="B66" s="558">
        <v>0</v>
      </c>
      <c r="C66" s="558">
        <v>0</v>
      </c>
      <c r="D66" s="558">
        <v>0</v>
      </c>
      <c r="E66" s="558">
        <v>0</v>
      </c>
      <c r="F66" s="558">
        <v>0</v>
      </c>
      <c r="G66" s="559">
        <f t="shared" si="0"/>
        <v>0</v>
      </c>
    </row>
    <row r="67" spans="1:8" s="122" customFormat="1" ht="12" hidden="1" customHeight="1" outlineLevel="1">
      <c r="A67" s="554" t="s">
        <v>94</v>
      </c>
      <c r="B67" s="558">
        <v>0</v>
      </c>
      <c r="C67" s="558">
        <v>0</v>
      </c>
      <c r="D67" s="558">
        <v>0</v>
      </c>
      <c r="E67" s="558">
        <v>0</v>
      </c>
      <c r="F67" s="558">
        <v>0</v>
      </c>
      <c r="G67" s="559">
        <f t="shared" si="0"/>
        <v>0</v>
      </c>
    </row>
    <row r="68" spans="1:8" ht="12" hidden="1" customHeight="1" outlineLevel="1">
      <c r="A68" s="554" t="s">
        <v>94</v>
      </c>
      <c r="B68" s="558"/>
      <c r="C68" s="558"/>
      <c r="D68" s="558"/>
      <c r="E68" s="558"/>
      <c r="F68" s="558"/>
      <c r="G68" s="559">
        <f t="shared" si="0"/>
        <v>0</v>
      </c>
    </row>
    <row r="69" spans="1:8" ht="12" hidden="1" customHeight="1" outlineLevel="1">
      <c r="A69" s="554" t="s">
        <v>94</v>
      </c>
      <c r="B69" s="558"/>
      <c r="C69" s="558"/>
      <c r="D69" s="558"/>
      <c r="E69" s="558"/>
      <c r="F69" s="558"/>
      <c r="G69" s="559">
        <f t="shared" si="0"/>
        <v>0</v>
      </c>
    </row>
    <row r="70" spans="1:8" ht="12" hidden="1" customHeight="1" outlineLevel="1">
      <c r="A70" s="554" t="s">
        <v>94</v>
      </c>
      <c r="B70" s="558"/>
      <c r="C70" s="558"/>
      <c r="D70" s="558"/>
      <c r="E70" s="558"/>
      <c r="F70" s="558"/>
      <c r="G70" s="559">
        <f t="shared" si="0"/>
        <v>0</v>
      </c>
    </row>
    <row r="71" spans="1:8" s="549" customFormat="1" ht="12" hidden="1" customHeight="1">
      <c r="A71" s="534" t="s">
        <v>672</v>
      </c>
      <c r="B71" s="560">
        <f t="shared" ref="B71:G71" si="1">SUM(B59:B70)</f>
        <v>0</v>
      </c>
      <c r="C71" s="560">
        <f t="shared" si="1"/>
        <v>0</v>
      </c>
      <c r="D71" s="560">
        <f t="shared" si="1"/>
        <v>0</v>
      </c>
      <c r="E71" s="560">
        <f t="shared" si="1"/>
        <v>0</v>
      </c>
      <c r="F71" s="560">
        <f t="shared" si="1"/>
        <v>0</v>
      </c>
      <c r="G71" s="561">
        <f t="shared" si="1"/>
        <v>0</v>
      </c>
    </row>
    <row r="72" spans="1:8" ht="6" hidden="1" customHeight="1">
      <c r="A72" s="534"/>
      <c r="B72" s="562"/>
      <c r="C72" s="562"/>
      <c r="D72" s="562"/>
      <c r="E72" s="562"/>
      <c r="F72" s="562"/>
      <c r="G72" s="559"/>
    </row>
    <row r="73" spans="1:8" ht="12" hidden="1" customHeight="1">
      <c r="A73" s="555" t="s">
        <v>94</v>
      </c>
      <c r="B73" s="558">
        <v>0</v>
      </c>
      <c r="C73" s="558">
        <v>0</v>
      </c>
      <c r="D73" s="558">
        <v>0</v>
      </c>
      <c r="E73" s="558">
        <v>0</v>
      </c>
      <c r="F73" s="558">
        <v>0</v>
      </c>
      <c r="G73" s="559">
        <f>SUM(B73:F73)</f>
        <v>0</v>
      </c>
      <c r="H73" s="842"/>
    </row>
    <row r="74" spans="1:8" s="122" customFormat="1" ht="12" hidden="1" customHeight="1" outlineLevel="1">
      <c r="A74" s="554" t="s">
        <v>94</v>
      </c>
      <c r="B74" s="558">
        <v>0</v>
      </c>
      <c r="C74" s="558">
        <v>0</v>
      </c>
      <c r="D74" s="558">
        <v>0</v>
      </c>
      <c r="E74" s="558">
        <v>0</v>
      </c>
      <c r="F74" s="558">
        <v>0</v>
      </c>
      <c r="G74" s="559">
        <f>SUM(B74:F74)</f>
        <v>0</v>
      </c>
    </row>
    <row r="75" spans="1:8" s="122" customFormat="1" ht="12" hidden="1" customHeight="1" outlineLevel="1">
      <c r="A75" s="554" t="s">
        <v>94</v>
      </c>
      <c r="B75" s="558"/>
      <c r="C75" s="558"/>
      <c r="D75" s="558"/>
      <c r="E75" s="558"/>
      <c r="F75" s="558"/>
      <c r="G75" s="559">
        <f>SUM(B75:F75)</f>
        <v>0</v>
      </c>
    </row>
    <row r="76" spans="1:8" ht="12" hidden="1" customHeight="1" outlineLevel="1">
      <c r="A76" s="554" t="s">
        <v>94</v>
      </c>
      <c r="B76" s="558"/>
      <c r="C76" s="558"/>
      <c r="D76" s="558"/>
      <c r="E76" s="558"/>
      <c r="F76" s="558"/>
      <c r="G76" s="559">
        <f>SUM(B76:F76)</f>
        <v>0</v>
      </c>
    </row>
    <row r="77" spans="1:8" ht="12" hidden="1" customHeight="1" outlineLevel="1">
      <c r="A77" s="554" t="s">
        <v>94</v>
      </c>
      <c r="B77" s="558"/>
      <c r="C77" s="558"/>
      <c r="D77" s="558"/>
      <c r="E77" s="558"/>
      <c r="F77" s="558"/>
      <c r="G77" s="559">
        <f>SUM(B77:F77)</f>
        <v>0</v>
      </c>
    </row>
    <row r="78" spans="1:8" s="549" customFormat="1" ht="12" hidden="1" customHeight="1">
      <c r="A78" s="534" t="s">
        <v>673</v>
      </c>
      <c r="B78" s="560">
        <f t="shared" ref="B78:G78" si="2">SUM(B73:B77)</f>
        <v>0</v>
      </c>
      <c r="C78" s="560">
        <f t="shared" si="2"/>
        <v>0</v>
      </c>
      <c r="D78" s="560">
        <f t="shared" si="2"/>
        <v>0</v>
      </c>
      <c r="E78" s="560">
        <f t="shared" si="2"/>
        <v>0</v>
      </c>
      <c r="F78" s="560">
        <f t="shared" si="2"/>
        <v>0</v>
      </c>
      <c r="G78" s="561">
        <f t="shared" si="2"/>
        <v>0</v>
      </c>
    </row>
    <row r="79" spans="1:8" ht="6" hidden="1" customHeight="1">
      <c r="A79" s="534"/>
      <c r="B79" s="562"/>
      <c r="C79" s="562"/>
      <c r="D79" s="562"/>
      <c r="E79" s="562"/>
      <c r="F79" s="562"/>
      <c r="G79" s="559"/>
    </row>
    <row r="80" spans="1:8" s="549" customFormat="1" ht="12" hidden="1" customHeight="1">
      <c r="A80" s="550" t="s">
        <v>674</v>
      </c>
      <c r="B80" s="563">
        <f t="shared" ref="B80:G80" si="3">SUM(B71,B78)</f>
        <v>0</v>
      </c>
      <c r="C80" s="563">
        <f t="shared" si="3"/>
        <v>0</v>
      </c>
      <c r="D80" s="563">
        <f t="shared" si="3"/>
        <v>0</v>
      </c>
      <c r="E80" s="563">
        <f t="shared" si="3"/>
        <v>0</v>
      </c>
      <c r="F80" s="563">
        <f t="shared" si="3"/>
        <v>0</v>
      </c>
      <c r="G80" s="564">
        <f t="shared" si="3"/>
        <v>0</v>
      </c>
    </row>
    <row r="81" spans="1:7" hidden="1">
      <c r="A81" s="551"/>
      <c r="B81" s="551"/>
      <c r="C81" s="551"/>
      <c r="D81" s="551"/>
      <c r="E81" s="551"/>
      <c r="F81" s="551"/>
      <c r="G81" s="551"/>
    </row>
    <row r="82" spans="1:7" hidden="1"/>
  </sheetData>
  <mergeCells count="68">
    <mergeCell ref="A1:G1"/>
    <mergeCell ref="B5:G5"/>
    <mergeCell ref="B6:G6"/>
    <mergeCell ref="B7:G7"/>
    <mergeCell ref="B8:G8"/>
    <mergeCell ref="B2:G2"/>
    <mergeCell ref="B4:G4"/>
    <mergeCell ref="B3:G3"/>
    <mergeCell ref="B9:G9"/>
    <mergeCell ref="B18:G18"/>
    <mergeCell ref="B12:D12"/>
    <mergeCell ref="E11:F11"/>
    <mergeCell ref="B10:G10"/>
    <mergeCell ref="B11:D11"/>
    <mergeCell ref="E12:F12"/>
    <mergeCell ref="B13:D13"/>
    <mergeCell ref="E13:F13"/>
    <mergeCell ref="E14:F14"/>
    <mergeCell ref="E15:F15"/>
    <mergeCell ref="E16:F16"/>
    <mergeCell ref="B51:G51"/>
    <mergeCell ref="B36:G36"/>
    <mergeCell ref="E40:F40"/>
    <mergeCell ref="B47:G47"/>
    <mergeCell ref="B50:G50"/>
    <mergeCell ref="B37:G37"/>
    <mergeCell ref="B38:G38"/>
    <mergeCell ref="A43:G43"/>
    <mergeCell ref="B44:G44"/>
    <mergeCell ref="B45:G45"/>
    <mergeCell ref="B46:G46"/>
    <mergeCell ref="E41:F41"/>
    <mergeCell ref="B41:C41"/>
    <mergeCell ref="E39:F39"/>
    <mergeCell ref="A49:G49"/>
    <mergeCell ref="A56:G56"/>
    <mergeCell ref="E52:F52"/>
    <mergeCell ref="E53:F53"/>
    <mergeCell ref="E54:F54"/>
    <mergeCell ref="E55:F55"/>
    <mergeCell ref="B53:C53"/>
    <mergeCell ref="A52:A55"/>
    <mergeCell ref="B54:C54"/>
    <mergeCell ref="B55:C55"/>
    <mergeCell ref="B52:C52"/>
    <mergeCell ref="E22:F22"/>
    <mergeCell ref="C28:F28"/>
    <mergeCell ref="C27:F27"/>
    <mergeCell ref="B33:G33"/>
    <mergeCell ref="B32:G32"/>
    <mergeCell ref="A30:G30"/>
    <mergeCell ref="B31:G31"/>
    <mergeCell ref="E23:F23"/>
    <mergeCell ref="E24:F24"/>
    <mergeCell ref="C26:F26"/>
    <mergeCell ref="B35:G35"/>
    <mergeCell ref="C25:F25"/>
    <mergeCell ref="B34:G34"/>
    <mergeCell ref="B39:C39"/>
    <mergeCell ref="B40:C40"/>
    <mergeCell ref="E21:F21"/>
    <mergeCell ref="B19:G19"/>
    <mergeCell ref="B20:G20"/>
    <mergeCell ref="B14:D14"/>
    <mergeCell ref="B15:D15"/>
    <mergeCell ref="B16:D16"/>
    <mergeCell ref="B17:D17"/>
    <mergeCell ref="E17:F17"/>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13" enableFormatConditionsCalculation="0">
    <tabColor theme="3" tint="0.59999389629810485"/>
  </sheetPr>
  <dimension ref="A1:CP154"/>
  <sheetViews>
    <sheetView showGridLines="0" zoomScale="70" zoomScaleNormal="70" workbookViewId="0">
      <pane xSplit="1" topLeftCell="B1" activePane="topRight" state="frozen"/>
      <selection pane="topRight"/>
    </sheetView>
  </sheetViews>
  <sheetFormatPr defaultRowHeight="12.75" outlineLevelRow="1" outlineLevelCol="1"/>
  <cols>
    <col min="1" max="1" width="41.85546875" style="213" customWidth="1"/>
    <col min="2" max="5" width="18" style="213" customWidth="1"/>
    <col min="6" max="17" width="18" style="213" customWidth="1" outlineLevel="1"/>
    <col min="18" max="18" width="18" style="213" customWidth="1"/>
    <col min="19" max="30" width="18" style="213" customWidth="1" outlineLevel="1"/>
    <col min="31" max="32" width="18" style="213" customWidth="1"/>
    <col min="33" max="33" width="3.5703125" style="159" customWidth="1"/>
    <col min="34" max="35" width="16.7109375" style="169" customWidth="1"/>
    <col min="36" max="38" width="17.5703125" style="169" hidden="1" customWidth="1"/>
    <col min="39" max="45" width="18.7109375" style="159" customWidth="1"/>
    <col min="46" max="46" width="4.42578125" style="159" customWidth="1"/>
    <col min="47" max="51" width="18.7109375" style="159" customWidth="1"/>
    <col min="52" max="52" width="9.140625" style="159"/>
    <col min="53" max="16384" width="9.140625" style="169"/>
  </cols>
  <sheetData>
    <row r="1" spans="1:52" ht="21.75" thickBot="1">
      <c r="A1" s="497">
        <f>'Gen Info'!B2</f>
        <v>0</v>
      </c>
      <c r="B1" s="1068" t="s">
        <v>948</v>
      </c>
      <c r="C1" s="1069" t="s">
        <v>109</v>
      </c>
      <c r="D1" s="1066" t="s">
        <v>109</v>
      </c>
      <c r="R1" s="241"/>
      <c r="AH1" s="213"/>
      <c r="AI1" s="213"/>
      <c r="AJ1" s="213"/>
      <c r="AK1" s="213"/>
      <c r="AL1" s="213"/>
    </row>
    <row r="2" spans="1:52" ht="4.5" customHeight="1" thickBot="1">
      <c r="A2" s="482"/>
      <c r="B2" s="482"/>
      <c r="C2" s="482"/>
      <c r="D2" s="1067" t="s">
        <v>100</v>
      </c>
      <c r="E2" s="482"/>
      <c r="F2" s="482"/>
      <c r="G2" s="482"/>
      <c r="H2" s="482"/>
      <c r="I2" s="482"/>
      <c r="J2" s="482"/>
      <c r="K2" s="482"/>
      <c r="L2" s="482"/>
      <c r="M2" s="482"/>
      <c r="N2" s="482"/>
      <c r="O2" s="482"/>
      <c r="P2" s="482"/>
      <c r="Q2" s="482"/>
      <c r="R2" s="482"/>
      <c r="S2" s="482"/>
      <c r="T2" s="482"/>
      <c r="U2" s="482"/>
      <c r="V2" s="482"/>
      <c r="W2" s="482"/>
      <c r="X2" s="482"/>
      <c r="Y2" s="482"/>
      <c r="Z2" s="482"/>
      <c r="AA2" s="482"/>
      <c r="AB2" s="482"/>
      <c r="AC2" s="482"/>
      <c r="AD2" s="482"/>
      <c r="AE2" s="482"/>
      <c r="AF2" s="482"/>
      <c r="AG2" s="482"/>
      <c r="AH2" s="482"/>
      <c r="AI2" s="482"/>
      <c r="AJ2" s="482"/>
      <c r="AK2" s="482"/>
      <c r="AL2" s="482"/>
    </row>
    <row r="4" spans="1:52" ht="21">
      <c r="A4" s="499" t="s">
        <v>627</v>
      </c>
      <c r="B4" s="1064">
        <f>YEAR(B5)</f>
        <v>1900</v>
      </c>
      <c r="F4" s="884"/>
      <c r="AE4" s="241"/>
      <c r="AF4" s="241"/>
      <c r="AK4" s="213"/>
      <c r="AL4" s="213"/>
      <c r="AW4" s="177"/>
      <c r="AZ4" s="169"/>
    </row>
    <row r="5" spans="1:52">
      <c r="A5" s="231"/>
      <c r="B5" s="1063">
        <f>Data_Formatting!B2</f>
        <v>0</v>
      </c>
      <c r="AG5" s="169"/>
      <c r="AI5" s="216"/>
      <c r="AJ5" s="213"/>
      <c r="AK5" s="213"/>
      <c r="AL5" s="159"/>
      <c r="AV5" s="177"/>
      <c r="AY5" s="169"/>
      <c r="AZ5" s="169"/>
    </row>
    <row r="6" spans="1:52" s="199" customFormat="1">
      <c r="A6" s="875" t="s">
        <v>926</v>
      </c>
      <c r="B6" s="876"/>
      <c r="C6" s="876"/>
      <c r="D6" s="876"/>
      <c r="E6" s="876"/>
      <c r="F6" s="874">
        <f t="shared" ref="F6:Q6" ca="1" si="0">S6</f>
        <v>0</v>
      </c>
      <c r="G6" s="874">
        <f t="shared" ca="1" si="0"/>
        <v>0</v>
      </c>
      <c r="H6" s="874">
        <f t="shared" ca="1" si="0"/>
        <v>0</v>
      </c>
      <c r="I6" s="874">
        <f t="shared" ca="1" si="0"/>
        <v>0</v>
      </c>
      <c r="J6" s="874">
        <f t="shared" ca="1" si="0"/>
        <v>0</v>
      </c>
      <c r="K6" s="874">
        <f t="shared" ca="1" si="0"/>
        <v>0</v>
      </c>
      <c r="L6" s="874">
        <f t="shared" ca="1" si="0"/>
        <v>0</v>
      </c>
      <c r="M6" s="874">
        <f t="shared" ca="1" si="0"/>
        <v>0</v>
      </c>
      <c r="N6" s="874">
        <f t="shared" ca="1" si="0"/>
        <v>0</v>
      </c>
      <c r="O6" s="874">
        <f t="shared" ca="1" si="0"/>
        <v>0</v>
      </c>
      <c r="P6" s="874">
        <f t="shared" ca="1" si="0"/>
        <v>0</v>
      </c>
      <c r="Q6" s="874">
        <f t="shared" ca="1" si="0"/>
        <v>0</v>
      </c>
      <c r="R6" s="874"/>
      <c r="S6" s="874">
        <f ca="1">IF(SUM(T6:$AD6)=1,0,IF(S22=0,0,1))</f>
        <v>0</v>
      </c>
      <c r="T6" s="874">
        <f ca="1">IF(SUM(U6:$AD6)=1,0,IF(T22=0,0,1))</f>
        <v>0</v>
      </c>
      <c r="U6" s="874">
        <f ca="1">IF(SUM(V6:$AD6)=1,0,IF(U22=0,0,1))</f>
        <v>0</v>
      </c>
      <c r="V6" s="874">
        <f ca="1">IF(SUM(W6:$AD6)=1,0,IF(V22=0,0,1))</f>
        <v>0</v>
      </c>
      <c r="W6" s="874">
        <f ca="1">IF(SUM(X6:$AD6)=1,0,IF(W22=0,0,1))</f>
        <v>0</v>
      </c>
      <c r="X6" s="874">
        <f ca="1">IF(SUM(Y6:$AD6)=1,0,IF(X22=0,0,1))</f>
        <v>0</v>
      </c>
      <c r="Y6" s="874">
        <f ca="1">IF(SUM(Z6:$AD6)=1,0,IF(Y22=0,0,1))</f>
        <v>0</v>
      </c>
      <c r="Z6" s="874">
        <f ca="1">IF(SUM(AA6:$AD6)=1,0,IF(Z22=0,0,1))</f>
        <v>0</v>
      </c>
      <c r="AA6" s="874">
        <f ca="1">IF(SUM(AB6:$AD6)=1,0,IF(AA22=0,0,1))</f>
        <v>0</v>
      </c>
      <c r="AB6" s="874">
        <f ca="1">IF(SUM(AC6:$AD6)=1,0,IF(AB22=0,0,1))</f>
        <v>0</v>
      </c>
      <c r="AC6" s="874">
        <f ca="1">IF(SUM(AD6:$AD6)=1,0,IF(AC22=0,0,1))</f>
        <v>0</v>
      </c>
      <c r="AD6" s="874">
        <f ca="1">IF(AD22=0,0,1)</f>
        <v>0</v>
      </c>
      <c r="AE6" s="200"/>
      <c r="AF6" s="200"/>
      <c r="AG6" s="201"/>
      <c r="AL6" s="200"/>
      <c r="AM6" s="201"/>
      <c r="AN6" s="201"/>
      <c r="AO6" s="201"/>
      <c r="AP6" s="201"/>
      <c r="AQ6" s="201"/>
      <c r="AR6" s="201"/>
      <c r="AS6" s="201"/>
      <c r="AT6" s="201"/>
      <c r="AU6" s="201"/>
      <c r="AV6" s="201"/>
      <c r="AW6" s="337"/>
      <c r="AX6" s="201"/>
      <c r="AY6" s="201"/>
      <c r="AZ6" s="201"/>
    </row>
    <row r="7" spans="1:52" s="249" customFormat="1">
      <c r="A7" s="244"/>
      <c r="B7" s="907">
        <f>DATE(YEAR(C7)-1,MONTH(C7),DAY(C7))</f>
        <v>692501</v>
      </c>
      <c r="C7" s="907">
        <f>DATE(YEAR(D7)-1,MONTH(D7),DAY(D7))</f>
        <v>692867</v>
      </c>
      <c r="D7" s="1070">
        <f>DATE(YEAR(E7)-1,MONTH(E7),DAY(E7))</f>
        <v>693232</v>
      </c>
      <c r="E7" s="737">
        <f>IF(C1="March",DATE(IF(MONTH(AE7)&lt;3,$B$4-2,$B$4-1),3,31),IF(C1="December",DATE($B$4-2,12,31),"Select Year End"))</f>
        <v>693597</v>
      </c>
      <c r="F7" s="246">
        <f t="shared" ref="F7:O7" ca="1" si="1">EOMONTH(G7,-1)</f>
        <v>693628</v>
      </c>
      <c r="G7" s="246">
        <f t="shared" ca="1" si="1"/>
        <v>693656</v>
      </c>
      <c r="H7" s="246">
        <f t="shared" ca="1" si="1"/>
        <v>693687</v>
      </c>
      <c r="I7" s="246">
        <f t="shared" ca="1" si="1"/>
        <v>693717</v>
      </c>
      <c r="J7" s="246">
        <f t="shared" ca="1" si="1"/>
        <v>693748</v>
      </c>
      <c r="K7" s="246">
        <f t="shared" ca="1" si="1"/>
        <v>693778</v>
      </c>
      <c r="L7" s="246">
        <f t="shared" ca="1" si="1"/>
        <v>693809</v>
      </c>
      <c r="M7" s="246">
        <f t="shared" ca="1" si="1"/>
        <v>693840</v>
      </c>
      <c r="N7" s="246">
        <f t="shared" ca="1" si="1"/>
        <v>693870</v>
      </c>
      <c r="O7" s="246">
        <f t="shared" ca="1" si="1"/>
        <v>693901</v>
      </c>
      <c r="P7" s="246">
        <f ca="1">EOMONTH(Q7,-1)</f>
        <v>693931</v>
      </c>
      <c r="Q7" s="246">
        <f ca="1">IF(C1="March",DATE(IF(MONTH(TODAY())&lt;3,$B$4-1,$B$4),3,31),IF(C1="December",DATE($B$4-1,12,31),"Choose Year End"))</f>
        <v>693962</v>
      </c>
      <c r="R7" s="906">
        <f ca="1">Q7</f>
        <v>693962</v>
      </c>
      <c r="S7" s="246">
        <f t="shared" ref="S7:AB7" ca="1" si="2">EOMONTH(T7,-1)</f>
        <v>31</v>
      </c>
      <c r="T7" s="246">
        <f t="shared" ca="1" si="2"/>
        <v>59</v>
      </c>
      <c r="U7" s="246">
        <f t="shared" ca="1" si="2"/>
        <v>91</v>
      </c>
      <c r="V7" s="246">
        <f t="shared" ca="1" si="2"/>
        <v>121</v>
      </c>
      <c r="W7" s="246">
        <f t="shared" ca="1" si="2"/>
        <v>152</v>
      </c>
      <c r="X7" s="246">
        <f t="shared" ca="1" si="2"/>
        <v>182</v>
      </c>
      <c r="Y7" s="246">
        <f t="shared" ca="1" si="2"/>
        <v>213</v>
      </c>
      <c r="Z7" s="246">
        <f t="shared" ca="1" si="2"/>
        <v>244</v>
      </c>
      <c r="AA7" s="246">
        <f t="shared" ca="1" si="2"/>
        <v>274</v>
      </c>
      <c r="AB7" s="246">
        <f t="shared" ca="1" si="2"/>
        <v>305</v>
      </c>
      <c r="AC7" s="246">
        <f ca="1">EOMONTH(AD7,-1)</f>
        <v>335</v>
      </c>
      <c r="AD7" s="246">
        <f ca="1">IF(C1="December", DATE($B$4,12,31), IF(C1="March",DATE(IF(MONTH(TODAY())&lt;3,$B$4,$B$4+1),3,31),"N/A"))</f>
        <v>366</v>
      </c>
      <c r="AE7" s="247" t="e">
        <f ca="1">HLOOKUP(1,S$6:AD7,ROW(AE7)-5,FALSE)</f>
        <v>#N/A</v>
      </c>
      <c r="AF7" s="242"/>
      <c r="AG7" s="248"/>
      <c r="AH7" s="737">
        <f ca="1">R7+365</f>
        <v>694327</v>
      </c>
      <c r="AI7" s="737">
        <f ca="1">AH7+365</f>
        <v>694692</v>
      </c>
      <c r="AJ7" s="737">
        <f ca="1">AI7+365</f>
        <v>695057</v>
      </c>
      <c r="AK7" s="737">
        <f ca="1">AJ7+365</f>
        <v>695422</v>
      </c>
      <c r="AL7" s="737">
        <f ca="1">AK7+365</f>
        <v>695787</v>
      </c>
    </row>
    <row r="8" spans="1:52" s="213" customFormat="1">
      <c r="A8" s="250" t="s">
        <v>79</v>
      </c>
      <c r="B8" s="251"/>
      <c r="C8" s="196"/>
      <c r="D8" s="196"/>
      <c r="E8" s="196"/>
      <c r="F8" s="196"/>
      <c r="G8" s="196"/>
      <c r="H8" s="196"/>
      <c r="I8" s="196"/>
      <c r="J8" s="196"/>
      <c r="K8" s="196"/>
      <c r="L8" s="196"/>
      <c r="M8" s="196"/>
      <c r="N8" s="196"/>
      <c r="O8" s="196"/>
      <c r="P8" s="196"/>
      <c r="Q8" s="196"/>
      <c r="R8" s="196"/>
      <c r="S8" s="196"/>
      <c r="T8" s="196"/>
      <c r="U8" s="196"/>
      <c r="V8" s="196"/>
      <c r="W8" s="196"/>
      <c r="X8" s="196"/>
      <c r="Y8" s="196"/>
      <c r="Z8" s="196"/>
      <c r="AA8" s="196"/>
      <c r="AB8" s="196"/>
      <c r="AC8" s="196"/>
      <c r="AD8" s="196"/>
      <c r="AE8" s="202" t="e">
        <f ca="1">HLOOKUP(1,S$6:AD8,ROW(AE8)-5,FALSE)</f>
        <v>#N/A</v>
      </c>
      <c r="AF8" s="242"/>
      <c r="AG8" s="197"/>
      <c r="AH8" s="202" t="e">
        <f ca="1">AE8</f>
        <v>#N/A</v>
      </c>
      <c r="AI8" s="202" t="e">
        <f ca="1">AH8</f>
        <v>#N/A</v>
      </c>
      <c r="AJ8" s="202" t="e">
        <f ca="1">AI8</f>
        <v>#N/A</v>
      </c>
      <c r="AK8" s="202" t="e">
        <f ca="1">AJ8</f>
        <v>#N/A</v>
      </c>
      <c r="AL8" s="202" t="e">
        <f ca="1">AK8</f>
        <v>#N/A</v>
      </c>
      <c r="AM8" s="197"/>
      <c r="AN8" s="197"/>
      <c r="AO8" s="197"/>
      <c r="AP8" s="197"/>
      <c r="AQ8" s="197"/>
      <c r="AR8" s="197"/>
      <c r="AS8" s="197"/>
      <c r="AT8" s="197"/>
      <c r="AU8" s="197"/>
      <c r="AV8" s="197"/>
      <c r="AW8" s="197"/>
      <c r="AX8" s="197"/>
      <c r="AY8" s="197"/>
      <c r="AZ8" s="159"/>
    </row>
    <row r="9" spans="1:52">
      <c r="A9" s="206" t="s">
        <v>534</v>
      </c>
      <c r="B9" s="202" t="s">
        <v>533</v>
      </c>
      <c r="C9" s="202" t="e">
        <f>AVERAGE(B8:C8)</f>
        <v>#DIV/0!</v>
      </c>
      <c r="D9" s="202" t="e">
        <f>AVERAGE(C8:D8)</f>
        <v>#DIV/0!</v>
      </c>
      <c r="E9" s="202" t="e">
        <f>AVERAGE(D8:E8)</f>
        <v>#DIV/0!</v>
      </c>
      <c r="F9" s="202" t="s">
        <v>533</v>
      </c>
      <c r="G9" s="202" t="s">
        <v>533</v>
      </c>
      <c r="H9" s="202" t="s">
        <v>533</v>
      </c>
      <c r="I9" s="202" t="s">
        <v>533</v>
      </c>
      <c r="J9" s="202" t="s">
        <v>533</v>
      </c>
      <c r="K9" s="202" t="s">
        <v>533</v>
      </c>
      <c r="L9" s="202" t="s">
        <v>533</v>
      </c>
      <c r="M9" s="202" t="s">
        <v>533</v>
      </c>
      <c r="N9" s="202" t="s">
        <v>533</v>
      </c>
      <c r="O9" s="202" t="s">
        <v>533</v>
      </c>
      <c r="P9" s="202" t="s">
        <v>533</v>
      </c>
      <c r="Q9" s="202" t="s">
        <v>533</v>
      </c>
      <c r="R9" s="202" t="e">
        <f>AVERAGE(E8,R8)</f>
        <v>#DIV/0!</v>
      </c>
      <c r="S9" s="202" t="str">
        <f>IF(S8&gt;0,AVERAGE(F8,S8),"")</f>
        <v/>
      </c>
      <c r="T9" s="202" t="str">
        <f t="shared" ref="T9:AC9" si="3">IF(T8&gt;0,AVERAGE(G8,T8),"")</f>
        <v/>
      </c>
      <c r="U9" s="202" t="str">
        <f t="shared" si="3"/>
        <v/>
      </c>
      <c r="V9" s="202" t="str">
        <f t="shared" si="3"/>
        <v/>
      </c>
      <c r="W9" s="202" t="str">
        <f t="shared" si="3"/>
        <v/>
      </c>
      <c r="X9" s="202" t="str">
        <f t="shared" si="3"/>
        <v/>
      </c>
      <c r="Y9" s="202" t="str">
        <f t="shared" si="3"/>
        <v/>
      </c>
      <c r="Z9" s="202" t="str">
        <f t="shared" si="3"/>
        <v/>
      </c>
      <c r="AA9" s="202" t="str">
        <f t="shared" si="3"/>
        <v/>
      </c>
      <c r="AB9" s="202" t="str">
        <f t="shared" si="3"/>
        <v/>
      </c>
      <c r="AC9" s="202" t="str">
        <f t="shared" si="3"/>
        <v/>
      </c>
      <c r="AD9" s="202"/>
      <c r="AE9" s="202" t="e">
        <f ca="1">HLOOKUP(1,S$6:AD9,ROW(AE9)-5,FALSE)</f>
        <v>#N/A</v>
      </c>
      <c r="AF9" s="242"/>
      <c r="AG9" s="197"/>
      <c r="AH9" s="202" t="e">
        <f ca="1">AVERAGE(R8,AH8)</f>
        <v>#N/A</v>
      </c>
      <c r="AI9" s="202" t="e">
        <f ca="1">AVERAGE(AH8:AI8)</f>
        <v>#N/A</v>
      </c>
      <c r="AJ9" s="202" t="e">
        <f ca="1">AVERAGE(AI8:AJ8)</f>
        <v>#N/A</v>
      </c>
      <c r="AK9" s="202" t="e">
        <f ca="1">AVERAGE(AJ8:AK8)</f>
        <v>#N/A</v>
      </c>
      <c r="AL9" s="202" t="e">
        <f ca="1">AVERAGE(AK8:AL8)</f>
        <v>#N/A</v>
      </c>
      <c r="AM9" s="197"/>
      <c r="AN9" s="197"/>
      <c r="AO9" s="197"/>
      <c r="AP9" s="197"/>
      <c r="AQ9" s="197"/>
      <c r="AR9" s="197"/>
      <c r="AS9" s="197"/>
      <c r="AT9" s="197"/>
      <c r="AU9" s="197"/>
      <c r="AV9" s="197"/>
      <c r="AW9" s="197"/>
      <c r="AX9" s="197"/>
      <c r="AY9" s="197"/>
    </row>
    <row r="10" spans="1:52">
      <c r="A10" s="203" t="s">
        <v>535</v>
      </c>
      <c r="B10" s="202" t="s">
        <v>533</v>
      </c>
      <c r="C10" s="202" t="s">
        <v>533</v>
      </c>
      <c r="D10" s="202" t="s">
        <v>533</v>
      </c>
      <c r="E10" s="202" t="s">
        <v>533</v>
      </c>
      <c r="F10" s="202" t="e">
        <f>AVERAGE($F$8:F8)</f>
        <v>#DIV/0!</v>
      </c>
      <c r="G10" s="202" t="e">
        <f>AVERAGE($F$8:G8)</f>
        <v>#DIV/0!</v>
      </c>
      <c r="H10" s="202" t="e">
        <f>AVERAGE($F$8:H8)</f>
        <v>#DIV/0!</v>
      </c>
      <c r="I10" s="202" t="e">
        <f>AVERAGE($F$8:I8)</f>
        <v>#DIV/0!</v>
      </c>
      <c r="J10" s="202" t="e">
        <f>AVERAGE($F$8:J8)</f>
        <v>#DIV/0!</v>
      </c>
      <c r="K10" s="202" t="e">
        <f>AVERAGE($F$8:K8)</f>
        <v>#DIV/0!</v>
      </c>
      <c r="L10" s="202" t="e">
        <f>AVERAGE($F$8:L8)</f>
        <v>#DIV/0!</v>
      </c>
      <c r="M10" s="202" t="e">
        <f>AVERAGE($F$8:M8)</f>
        <v>#DIV/0!</v>
      </c>
      <c r="N10" s="202" t="e">
        <f>AVERAGE($F$8:N8)</f>
        <v>#DIV/0!</v>
      </c>
      <c r="O10" s="202" t="e">
        <f>AVERAGE($F$8:O8)</f>
        <v>#DIV/0!</v>
      </c>
      <c r="P10" s="202" t="e">
        <f>AVERAGE($F$8:P8)</f>
        <v>#DIV/0!</v>
      </c>
      <c r="Q10" s="202" t="e">
        <f>AVERAGE($F$8:Q8)</f>
        <v>#DIV/0!</v>
      </c>
      <c r="R10" s="202" t="e">
        <f>Q10</f>
        <v>#DIV/0!</v>
      </c>
      <c r="S10" s="202" t="str">
        <f>IF(S8&gt;0,AVERAGE($R$8,S8),"")</f>
        <v/>
      </c>
      <c r="T10" s="202" t="str">
        <f>IF(T8&gt;0,AVERAGE($R$8,T8),"")</f>
        <v/>
      </c>
      <c r="U10" s="202" t="str">
        <f t="shared" ref="U10:AD10" si="4">IF(U8&gt;0,AVERAGE($R$8,U8),"")</f>
        <v/>
      </c>
      <c r="V10" s="202" t="str">
        <f t="shared" si="4"/>
        <v/>
      </c>
      <c r="W10" s="202" t="str">
        <f t="shared" si="4"/>
        <v/>
      </c>
      <c r="X10" s="202" t="str">
        <f t="shared" si="4"/>
        <v/>
      </c>
      <c r="Y10" s="202" t="str">
        <f t="shared" si="4"/>
        <v/>
      </c>
      <c r="Z10" s="202" t="str">
        <f t="shared" si="4"/>
        <v/>
      </c>
      <c r="AA10" s="202" t="str">
        <f t="shared" si="4"/>
        <v/>
      </c>
      <c r="AB10" s="202" t="str">
        <f t="shared" si="4"/>
        <v/>
      </c>
      <c r="AC10" s="202" t="str">
        <f t="shared" si="4"/>
        <v/>
      </c>
      <c r="AD10" s="202" t="str">
        <f t="shared" si="4"/>
        <v/>
      </c>
      <c r="AE10" s="202" t="e">
        <f ca="1">HLOOKUP(1,S$6:AD10,ROW(AE10)-5,FALSE)</f>
        <v>#N/A</v>
      </c>
      <c r="AF10" s="242"/>
      <c r="AG10" s="197"/>
      <c r="AH10" s="202" t="s">
        <v>533</v>
      </c>
      <c r="AI10" s="202" t="s">
        <v>533</v>
      </c>
      <c r="AJ10" s="202" t="s">
        <v>533</v>
      </c>
      <c r="AK10" s="202" t="s">
        <v>533</v>
      </c>
      <c r="AL10" s="202" t="s">
        <v>533</v>
      </c>
      <c r="AM10" s="197"/>
      <c r="AN10" s="197"/>
      <c r="AO10" s="197"/>
      <c r="AP10" s="197"/>
      <c r="AQ10" s="197"/>
      <c r="AR10" s="197"/>
      <c r="AS10" s="197"/>
      <c r="AT10" s="197"/>
      <c r="AU10" s="197"/>
      <c r="AV10" s="197"/>
      <c r="AW10" s="197"/>
      <c r="AX10" s="197"/>
      <c r="AY10" s="197"/>
    </row>
    <row r="11" spans="1:52" s="214" customFormat="1">
      <c r="AF11" s="242"/>
    </row>
    <row r="12" spans="1:52" s="214" customFormat="1" ht="15.75">
      <c r="A12" s="252" t="s">
        <v>74</v>
      </c>
      <c r="AH12" s="217" t="s">
        <v>567</v>
      </c>
      <c r="AI12" s="243"/>
      <c r="AJ12" s="219" t="s">
        <v>112</v>
      </c>
      <c r="AK12" s="204">
        <v>0</v>
      </c>
    </row>
    <row r="13" spans="1:52">
      <c r="A13" s="508">
        <f>'Gen Info'!$B$50</f>
        <v>0</v>
      </c>
      <c r="B13" s="737"/>
      <c r="C13" s="737"/>
      <c r="D13" s="737"/>
      <c r="E13" s="737"/>
      <c r="F13" s="1166">
        <f>E14+365</f>
        <v>693962</v>
      </c>
      <c r="G13" s="1167"/>
      <c r="H13" s="1167"/>
      <c r="I13" s="1167"/>
      <c r="J13" s="1167"/>
      <c r="K13" s="1167"/>
      <c r="L13" s="1167"/>
      <c r="M13" s="1167"/>
      <c r="N13" s="1167"/>
      <c r="O13" s="1167"/>
      <c r="P13" s="1167"/>
      <c r="Q13" s="1167"/>
      <c r="R13" s="906" t="s">
        <v>367</v>
      </c>
      <c r="S13" s="1166">
        <f>F13+365</f>
        <v>694327</v>
      </c>
      <c r="T13" s="1167"/>
      <c r="U13" s="1167"/>
      <c r="V13" s="1167"/>
      <c r="W13" s="1167"/>
      <c r="X13" s="1167"/>
      <c r="Y13" s="1167"/>
      <c r="Z13" s="1167"/>
      <c r="AA13" s="1167"/>
      <c r="AB13" s="1167"/>
      <c r="AC13" s="1167"/>
      <c r="AD13" s="1167"/>
      <c r="AE13" s="595"/>
      <c r="AF13" s="214"/>
      <c r="AG13" s="253"/>
      <c r="AH13" s="737">
        <f ca="1">AH$7</f>
        <v>694327</v>
      </c>
      <c r="AI13" s="737">
        <f ca="1">AI$7</f>
        <v>694692</v>
      </c>
      <c r="AJ13" s="737">
        <f ca="1">AJ$7</f>
        <v>695057</v>
      </c>
      <c r="AK13" s="737">
        <f ca="1">AK$7</f>
        <v>695422</v>
      </c>
      <c r="AL13" s="737">
        <f ca="1">AL$7</f>
        <v>695787</v>
      </c>
      <c r="AM13" s="254"/>
      <c r="AN13" s="254"/>
      <c r="AO13" s="254"/>
      <c r="AP13" s="254"/>
      <c r="AQ13" s="254"/>
      <c r="AR13" s="254"/>
      <c r="AS13" s="255"/>
      <c r="AU13" s="255"/>
      <c r="AV13" s="255"/>
      <c r="AW13" s="255"/>
      <c r="AX13" s="255"/>
      <c r="AY13" s="255"/>
    </row>
    <row r="14" spans="1:52">
      <c r="A14" s="256"/>
      <c r="B14" s="1070">
        <f>B$7</f>
        <v>692501</v>
      </c>
      <c r="C14" s="1070">
        <f>C$7</f>
        <v>692867</v>
      </c>
      <c r="D14" s="1070">
        <f>D$7</f>
        <v>693232</v>
      </c>
      <c r="E14" s="1070">
        <f>E$7</f>
        <v>693597</v>
      </c>
      <c r="F14" s="246">
        <f ca="1">F$7</f>
        <v>693628</v>
      </c>
      <c r="G14" s="246">
        <f t="shared" ref="G14:AE14" ca="1" si="5">G$7</f>
        <v>693656</v>
      </c>
      <c r="H14" s="246">
        <f t="shared" ca="1" si="5"/>
        <v>693687</v>
      </c>
      <c r="I14" s="246">
        <f t="shared" ca="1" si="5"/>
        <v>693717</v>
      </c>
      <c r="J14" s="246">
        <f t="shared" ca="1" si="5"/>
        <v>693748</v>
      </c>
      <c r="K14" s="246">
        <f t="shared" ca="1" si="5"/>
        <v>693778</v>
      </c>
      <c r="L14" s="246">
        <f t="shared" ca="1" si="5"/>
        <v>693809</v>
      </c>
      <c r="M14" s="246">
        <f t="shared" ca="1" si="5"/>
        <v>693840</v>
      </c>
      <c r="N14" s="246">
        <f t="shared" ca="1" si="5"/>
        <v>693870</v>
      </c>
      <c r="O14" s="246">
        <f t="shared" ca="1" si="5"/>
        <v>693901</v>
      </c>
      <c r="P14" s="246">
        <f t="shared" ca="1" si="5"/>
        <v>693931</v>
      </c>
      <c r="Q14" s="246">
        <f t="shared" ca="1" si="5"/>
        <v>693962</v>
      </c>
      <c r="R14" s="906">
        <f ca="1">R7</f>
        <v>693962</v>
      </c>
      <c r="S14" s="246">
        <f t="shared" ca="1" si="5"/>
        <v>31</v>
      </c>
      <c r="T14" s="246">
        <f t="shared" ca="1" si="5"/>
        <v>59</v>
      </c>
      <c r="U14" s="246">
        <f t="shared" ca="1" si="5"/>
        <v>91</v>
      </c>
      <c r="V14" s="246">
        <f t="shared" ca="1" si="5"/>
        <v>121</v>
      </c>
      <c r="W14" s="246">
        <f t="shared" ca="1" si="5"/>
        <v>152</v>
      </c>
      <c r="X14" s="246">
        <f t="shared" ca="1" si="5"/>
        <v>182</v>
      </c>
      <c r="Y14" s="246">
        <f t="shared" ca="1" si="5"/>
        <v>213</v>
      </c>
      <c r="Z14" s="246">
        <f t="shared" ca="1" si="5"/>
        <v>244</v>
      </c>
      <c r="AA14" s="246">
        <f t="shared" ca="1" si="5"/>
        <v>274</v>
      </c>
      <c r="AB14" s="246">
        <f t="shared" ca="1" si="5"/>
        <v>305</v>
      </c>
      <c r="AC14" s="246">
        <f t="shared" ca="1" si="5"/>
        <v>335</v>
      </c>
      <c r="AD14" s="246">
        <f t="shared" ca="1" si="5"/>
        <v>366</v>
      </c>
      <c r="AE14" s="246" t="e">
        <f t="shared" ca="1" si="5"/>
        <v>#N/A</v>
      </c>
      <c r="AF14" s="214"/>
      <c r="AG14" s="257"/>
      <c r="AH14" s="441"/>
      <c r="AI14" s="441"/>
      <c r="AJ14" s="441"/>
      <c r="AK14" s="441"/>
      <c r="AL14" s="441"/>
      <c r="AM14" s="258"/>
      <c r="AN14" s="258"/>
      <c r="AO14" s="258"/>
      <c r="AP14" s="258"/>
      <c r="AQ14" s="258"/>
      <c r="AR14" s="258"/>
      <c r="AS14" s="259"/>
      <c r="AU14" s="255"/>
      <c r="AV14" s="255"/>
      <c r="AW14" s="255"/>
      <c r="AX14" s="255"/>
      <c r="AY14" s="255"/>
    </row>
    <row r="15" spans="1:52">
      <c r="A15" s="203" t="s">
        <v>91</v>
      </c>
      <c r="B15" s="742" t="s">
        <v>92</v>
      </c>
      <c r="C15" s="742" t="s">
        <v>92</v>
      </c>
      <c r="D15" s="742" t="s">
        <v>92</v>
      </c>
      <c r="E15" s="742" t="s">
        <v>92</v>
      </c>
      <c r="F15" s="743" t="s">
        <v>93</v>
      </c>
      <c r="G15" s="743" t="s">
        <v>93</v>
      </c>
      <c r="H15" s="743" t="s">
        <v>93</v>
      </c>
      <c r="I15" s="743" t="s">
        <v>93</v>
      </c>
      <c r="J15" s="743" t="s">
        <v>93</v>
      </c>
      <c r="K15" s="743" t="s">
        <v>93</v>
      </c>
      <c r="L15" s="743" t="s">
        <v>93</v>
      </c>
      <c r="M15" s="743" t="s">
        <v>93</v>
      </c>
      <c r="N15" s="743" t="s">
        <v>93</v>
      </c>
      <c r="O15" s="743" t="s">
        <v>93</v>
      </c>
      <c r="P15" s="743" t="s">
        <v>93</v>
      </c>
      <c r="Q15" s="743" t="s">
        <v>93</v>
      </c>
      <c r="R15" s="743" t="s">
        <v>92</v>
      </c>
      <c r="S15" s="743" t="s">
        <v>93</v>
      </c>
      <c r="T15" s="743" t="s">
        <v>93</v>
      </c>
      <c r="U15" s="743" t="s">
        <v>93</v>
      </c>
      <c r="V15" s="743" t="s">
        <v>93</v>
      </c>
      <c r="W15" s="743" t="s">
        <v>93</v>
      </c>
      <c r="X15" s="743" t="s">
        <v>93</v>
      </c>
      <c r="Y15" s="743" t="s">
        <v>93</v>
      </c>
      <c r="Z15" s="743" t="s">
        <v>93</v>
      </c>
      <c r="AA15" s="743" t="s">
        <v>93</v>
      </c>
      <c r="AB15" s="743" t="s">
        <v>93</v>
      </c>
      <c r="AC15" s="743" t="s">
        <v>93</v>
      </c>
      <c r="AD15" s="743" t="s">
        <v>93</v>
      </c>
      <c r="AE15" s="743" t="s">
        <v>93</v>
      </c>
      <c r="AF15" s="214"/>
      <c r="AG15" s="257"/>
      <c r="AH15" s="441" t="s">
        <v>307</v>
      </c>
      <c r="AI15" s="441" t="s">
        <v>307</v>
      </c>
      <c r="AJ15" s="441" t="s">
        <v>307</v>
      </c>
      <c r="AK15" s="441" t="s">
        <v>307</v>
      </c>
      <c r="AL15" s="441" t="s">
        <v>307</v>
      </c>
      <c r="AM15" s="158"/>
      <c r="AN15" s="158"/>
      <c r="AO15" s="158"/>
      <c r="AP15" s="158"/>
      <c r="AQ15" s="158"/>
      <c r="AR15" s="158"/>
      <c r="AS15" s="158"/>
      <c r="AU15" s="255"/>
      <c r="AV15" s="255"/>
      <c r="AW15" s="255"/>
      <c r="AX15" s="255"/>
      <c r="AY15" s="255"/>
    </row>
    <row r="16" spans="1:52">
      <c r="A16" s="260"/>
      <c r="B16" s="261"/>
      <c r="C16" s="261"/>
      <c r="D16" s="261"/>
      <c r="E16" s="261"/>
      <c r="F16" s="261"/>
      <c r="G16" s="261"/>
      <c r="H16" s="261"/>
      <c r="I16" s="261"/>
      <c r="J16" s="261"/>
      <c r="K16" s="261"/>
      <c r="L16" s="261"/>
      <c r="M16" s="261"/>
      <c r="N16" s="261"/>
      <c r="O16" s="261"/>
      <c r="P16" s="261"/>
      <c r="Q16" s="261"/>
      <c r="R16" s="261"/>
      <c r="S16" s="260"/>
      <c r="T16" s="260"/>
      <c r="U16" s="260"/>
      <c r="V16" s="260"/>
      <c r="W16" s="260"/>
      <c r="X16" s="260"/>
      <c r="Y16" s="260"/>
      <c r="Z16" s="260"/>
      <c r="AA16" s="260"/>
      <c r="AB16" s="260"/>
      <c r="AC16" s="260"/>
      <c r="AD16" s="260"/>
      <c r="AE16" s="260"/>
      <c r="AF16" s="214"/>
      <c r="AG16" s="257"/>
      <c r="AH16" s="260"/>
      <c r="AI16" s="260"/>
      <c r="AJ16" s="260"/>
      <c r="AK16" s="260"/>
      <c r="AL16" s="260"/>
    </row>
    <row r="17" spans="1:52">
      <c r="A17" s="263" t="s">
        <v>0</v>
      </c>
      <c r="B17" s="261"/>
      <c r="C17" s="261"/>
      <c r="D17" s="261"/>
      <c r="E17" s="261"/>
      <c r="F17" s="261"/>
      <c r="G17" s="261"/>
      <c r="H17" s="261"/>
      <c r="I17" s="261"/>
      <c r="J17" s="261"/>
      <c r="K17" s="261"/>
      <c r="L17" s="261"/>
      <c r="M17" s="261"/>
      <c r="N17" s="261"/>
      <c r="O17" s="261"/>
      <c r="P17" s="261"/>
      <c r="Q17" s="261"/>
      <c r="R17" s="261"/>
      <c r="S17" s="260"/>
      <c r="T17" s="260"/>
      <c r="U17" s="260"/>
      <c r="V17" s="260"/>
      <c r="W17" s="260"/>
      <c r="X17" s="260"/>
      <c r="Y17" s="260"/>
      <c r="Z17" s="260"/>
      <c r="AA17" s="260"/>
      <c r="AB17" s="260"/>
      <c r="AC17" s="260"/>
      <c r="AD17" s="260"/>
      <c r="AE17" s="260"/>
      <c r="AF17" s="214"/>
      <c r="AG17" s="262"/>
      <c r="AH17" s="260"/>
      <c r="AI17" s="260"/>
      <c r="AJ17" s="260"/>
      <c r="AK17" s="260"/>
      <c r="AL17" s="260"/>
    </row>
    <row r="18" spans="1:52">
      <c r="A18" s="203" t="s">
        <v>67</v>
      </c>
      <c r="B18" s="264">
        <f>SUM(B19:B21)</f>
        <v>0</v>
      </c>
      <c r="C18" s="264">
        <f t="shared" ref="C18:AE18" si="6">SUM(C19:C21)</f>
        <v>0</v>
      </c>
      <c r="D18" s="264">
        <f t="shared" si="6"/>
        <v>0</v>
      </c>
      <c r="E18" s="264">
        <f t="shared" si="6"/>
        <v>0</v>
      </c>
      <c r="F18" s="264">
        <f t="shared" ca="1" si="6"/>
        <v>0</v>
      </c>
      <c r="G18" s="264">
        <f t="shared" ca="1" si="6"/>
        <v>0</v>
      </c>
      <c r="H18" s="264">
        <f t="shared" ca="1" si="6"/>
        <v>0</v>
      </c>
      <c r="I18" s="264">
        <f t="shared" ca="1" si="6"/>
        <v>0</v>
      </c>
      <c r="J18" s="264">
        <f t="shared" ca="1" si="6"/>
        <v>0</v>
      </c>
      <c r="K18" s="264">
        <f t="shared" ca="1" si="6"/>
        <v>0</v>
      </c>
      <c r="L18" s="264">
        <f t="shared" ca="1" si="6"/>
        <v>0</v>
      </c>
      <c r="M18" s="264">
        <f t="shared" ca="1" si="6"/>
        <v>0</v>
      </c>
      <c r="N18" s="264">
        <f t="shared" ca="1" si="6"/>
        <v>0</v>
      </c>
      <c r="O18" s="264">
        <f t="shared" ca="1" si="6"/>
        <v>0</v>
      </c>
      <c r="P18" s="264">
        <f t="shared" ca="1" si="6"/>
        <v>0</v>
      </c>
      <c r="Q18" s="264">
        <f t="shared" ca="1" si="6"/>
        <v>0</v>
      </c>
      <c r="R18" s="264">
        <f ca="1">SUM(R19:R21)</f>
        <v>0</v>
      </c>
      <c r="S18" s="264">
        <f t="shared" ca="1" si="6"/>
        <v>0</v>
      </c>
      <c r="T18" s="264">
        <f t="shared" ca="1" si="6"/>
        <v>0</v>
      </c>
      <c r="U18" s="264">
        <f t="shared" ca="1" si="6"/>
        <v>0</v>
      </c>
      <c r="V18" s="264">
        <f t="shared" ca="1" si="6"/>
        <v>0</v>
      </c>
      <c r="W18" s="264">
        <f t="shared" ca="1" si="6"/>
        <v>0</v>
      </c>
      <c r="X18" s="264">
        <f t="shared" ca="1" si="6"/>
        <v>0</v>
      </c>
      <c r="Y18" s="264">
        <f t="shared" ca="1" si="6"/>
        <v>0</v>
      </c>
      <c r="Z18" s="264">
        <f t="shared" ca="1" si="6"/>
        <v>0</v>
      </c>
      <c r="AA18" s="264">
        <f t="shared" ca="1" si="6"/>
        <v>0</v>
      </c>
      <c r="AB18" s="264">
        <f t="shared" ca="1" si="6"/>
        <v>0</v>
      </c>
      <c r="AC18" s="264">
        <f t="shared" ca="1" si="6"/>
        <v>0</v>
      </c>
      <c r="AD18" s="264">
        <f t="shared" ca="1" si="6"/>
        <v>0</v>
      </c>
      <c r="AE18" s="264" t="e">
        <f t="shared" ca="1" si="6"/>
        <v>#N/A</v>
      </c>
      <c r="AF18" s="214"/>
      <c r="AG18" s="265"/>
      <c r="AH18" s="264">
        <f>SUM(AH19:AH21)</f>
        <v>0</v>
      </c>
      <c r="AI18" s="264">
        <f>SUM(AI19:AI21)</f>
        <v>0</v>
      </c>
      <c r="AJ18" s="264">
        <f>SUM(AJ19:AJ21)</f>
        <v>0</v>
      </c>
      <c r="AK18" s="264">
        <f>SUM(AK19:AK21)</f>
        <v>0</v>
      </c>
      <c r="AL18" s="264">
        <f>SUM(AL19:AL21)</f>
        <v>0</v>
      </c>
      <c r="AN18" s="160"/>
      <c r="AS18" s="161"/>
      <c r="AU18" s="160"/>
      <c r="AV18" s="160"/>
      <c r="AW18" s="160"/>
    </row>
    <row r="19" spans="1:52">
      <c r="A19" s="266" t="s">
        <v>395</v>
      </c>
      <c r="B19" s="168">
        <f>IFERROR(HLOOKUP(B$14,Data_Formatting!$AQ$122:$AU$148,ROW(B19)-ROW(B$14)-1,FALSE),0)</f>
        <v>0</v>
      </c>
      <c r="C19" s="168">
        <f>IFERROR(HLOOKUP(C$14,Data_Formatting!$AQ$122:$AU$148,ROW(C19)-ROW(C$14)-1,FALSE),0)</f>
        <v>0</v>
      </c>
      <c r="D19" s="168">
        <f>IFERROR(HLOOKUP(D$14,Data_Formatting!$AQ$122:$AU$148,ROW(D19)-ROW(D$14)-1,FALSE),0)</f>
        <v>0</v>
      </c>
      <c r="E19" s="168">
        <f>IFERROR(HLOOKUP(E$14,Data_Formatting!$AQ$122:$AU$148,ROW(E19)-ROW(E$14)-1,FALSE),0)</f>
        <v>0</v>
      </c>
      <c r="F19" s="168">
        <f ca="1">IFERROR(HLOOKUP(F$14,Data_Formatting!$E$122:$AN$148,ROW(F19)-ROW(F$14)-1,FALSE),0)</f>
        <v>0</v>
      </c>
      <c r="G19" s="168">
        <f ca="1">IFERROR(HLOOKUP(G$14,Data_Formatting!$E$122:$AN$148,ROW(G19)-ROW(G$14)-1,FALSE),0)</f>
        <v>0</v>
      </c>
      <c r="H19" s="168">
        <f ca="1">IFERROR(HLOOKUP(H$14,Data_Formatting!$E$122:$AN$148,ROW(H19)-ROW(H$14)-1,FALSE),0)</f>
        <v>0</v>
      </c>
      <c r="I19" s="168">
        <f ca="1">IFERROR(HLOOKUP(I$14,Data_Formatting!$E$122:$AN$148,ROW(I19)-ROW(I$14)-1,FALSE),0)</f>
        <v>0</v>
      </c>
      <c r="J19" s="168">
        <f ca="1">IFERROR(HLOOKUP(J$14,Data_Formatting!$E$122:$AN$148,ROW(J19)-ROW(J$14)-1,FALSE),0)</f>
        <v>0</v>
      </c>
      <c r="K19" s="168">
        <f ca="1">IFERROR(HLOOKUP(K$14,Data_Formatting!$E$122:$AN$148,ROW(K19)-ROW(K$14)-1,FALSE),0)</f>
        <v>0</v>
      </c>
      <c r="L19" s="168">
        <f ca="1">IFERROR(HLOOKUP(L$14,Data_Formatting!$E$122:$AN$148,ROW(L19)-ROW(L$14)-1,FALSE),0)</f>
        <v>0</v>
      </c>
      <c r="M19" s="168">
        <f ca="1">IFERROR(HLOOKUP(M$14,Data_Formatting!$E$122:$AN$148,ROW(M19)-ROW(M$14)-1,FALSE),0)</f>
        <v>0</v>
      </c>
      <c r="N19" s="168">
        <f ca="1">IFERROR(HLOOKUP(N$14,Data_Formatting!$E$122:$AN$148,ROW(N19)-ROW(N$14)-1,FALSE),0)</f>
        <v>0</v>
      </c>
      <c r="O19" s="168">
        <f ca="1">IFERROR(HLOOKUP(O$14,Data_Formatting!$E$122:$AN$148,ROW(O19)-ROW(O$14)-1,FALSE),0)</f>
        <v>0</v>
      </c>
      <c r="P19" s="168">
        <f ca="1">IFERROR(HLOOKUP(P$14,Data_Formatting!$E$122:$AN$148,ROW(P19)-ROW(P$14)-1,FALSE),0)</f>
        <v>0</v>
      </c>
      <c r="Q19" s="168">
        <f ca="1">IFERROR(HLOOKUP(Q$14,Data_Formatting!$E$122:$AN$148,ROW(Q19)-ROW(Q$14)-1,FALSE),0)</f>
        <v>0</v>
      </c>
      <c r="R19" s="168">
        <f ca="1">IFERROR(HLOOKUP(R$14,Data_Formatting!$AQ$122:$AU$148,ROW(R19)-ROW(R$14)-1,FALSE),0)</f>
        <v>0</v>
      </c>
      <c r="S19" s="168">
        <f ca="1">IFERROR(HLOOKUP(S$14,Data_Formatting!$E$122:$AN$148,ROW(S19)-ROW(S$14)-1,FALSE),0)</f>
        <v>0</v>
      </c>
      <c r="T19" s="168">
        <f ca="1">IFERROR(HLOOKUP(T$14,Data_Formatting!$E$122:$AN$148,ROW(T19)-ROW(T$14)-1,FALSE),0)</f>
        <v>0</v>
      </c>
      <c r="U19" s="168">
        <f ca="1">IFERROR(HLOOKUP(U$14,Data_Formatting!$E$122:$AN$148,ROW(U19)-ROW(U$14)-1,FALSE),0)</f>
        <v>0</v>
      </c>
      <c r="V19" s="168">
        <f ca="1">IFERROR(HLOOKUP(V$14,Data_Formatting!$E$122:$AN$148,ROW(V19)-ROW(V$14)-1,FALSE),0)</f>
        <v>0</v>
      </c>
      <c r="W19" s="168">
        <f ca="1">IFERROR(HLOOKUP(W$14,Data_Formatting!$E$122:$AN$148,ROW(W19)-ROW(W$14)-1,FALSE),0)</f>
        <v>0</v>
      </c>
      <c r="X19" s="168">
        <f ca="1">IFERROR(HLOOKUP(X$14,Data_Formatting!$E$122:$AN$148,ROW(X19)-ROW(X$14)-1,FALSE),0)</f>
        <v>0</v>
      </c>
      <c r="Y19" s="168">
        <f ca="1">IFERROR(HLOOKUP(Y$14,Data_Formatting!$E$122:$AN$148,ROW(Y19)-ROW(Y$14)-1,FALSE),0)</f>
        <v>0</v>
      </c>
      <c r="Z19" s="168">
        <f ca="1">IFERROR(HLOOKUP(Z$14,Data_Formatting!$E$122:$AN$148,ROW(Z19)-ROW(Z$14)-1,FALSE),0)</f>
        <v>0</v>
      </c>
      <c r="AA19" s="168">
        <f ca="1">IFERROR(HLOOKUP(AA$14,Data_Formatting!$E$122:$AN$148,ROW(AA19)-ROW(AA$14)-1,FALSE),0)</f>
        <v>0</v>
      </c>
      <c r="AB19" s="168">
        <f ca="1">IFERROR(HLOOKUP(AB$14,Data_Formatting!$E$122:$AN$148,ROW(AB19)-ROW(AB$14)-1,FALSE),0)</f>
        <v>0</v>
      </c>
      <c r="AC19" s="168">
        <f ca="1">IFERROR(HLOOKUP(AC$14,Data_Formatting!$E$122:$AN$148,ROW(AC19)-ROW(AC$14)-1,FALSE),0)</f>
        <v>0</v>
      </c>
      <c r="AD19" s="168">
        <f ca="1">IFERROR(HLOOKUP(AD$14,Data_Formatting!$E$122:$AN$148,ROW(AD19)-ROW(AD$14)-1,FALSE),0)</f>
        <v>0</v>
      </c>
      <c r="AE19" s="267" t="e">
        <f ca="1">HLOOKUP(1,S$6:AD19,ROW(AE19)-5,FALSE)</f>
        <v>#N/A</v>
      </c>
      <c r="AF19" s="214"/>
      <c r="AG19" s="265"/>
      <c r="AH19" s="168"/>
      <c r="AI19" s="168"/>
      <c r="AJ19" s="168">
        <v>0</v>
      </c>
      <c r="AK19" s="168">
        <v>0</v>
      </c>
      <c r="AL19" s="168">
        <v>0</v>
      </c>
      <c r="AN19" s="160"/>
      <c r="AS19" s="161"/>
      <c r="AU19" s="160"/>
      <c r="AV19" s="160"/>
      <c r="AW19" s="160"/>
    </row>
    <row r="20" spans="1:52">
      <c r="A20" s="266" t="s">
        <v>396</v>
      </c>
      <c r="B20" s="168">
        <f>IFERROR(HLOOKUP(B$14,Data_Formatting!$AQ$122:$AU$148,ROW(B20)-ROW(B$14)-1,FALSE),0)</f>
        <v>0</v>
      </c>
      <c r="C20" s="168">
        <f>IFERROR(HLOOKUP(C$14,Data_Formatting!$AQ$122:$AU$148,ROW(C20)-ROW(C$14)-1,FALSE),0)</f>
        <v>0</v>
      </c>
      <c r="D20" s="168">
        <f>IFERROR(HLOOKUP(D$14,Data_Formatting!$AQ$122:$AU$148,ROW(D20)-ROW(D$14)-1,FALSE),0)</f>
        <v>0</v>
      </c>
      <c r="E20" s="168">
        <f>IFERROR(HLOOKUP(E$14,Data_Formatting!$AQ$122:$AU$148,ROW(E20)-ROW(E$14)-1,FALSE),0)</f>
        <v>0</v>
      </c>
      <c r="F20" s="168">
        <f ca="1">IFERROR(HLOOKUP(F$14,Data_Formatting!$E$122:$AN$148,ROW(F20)-ROW(F$14)-1,FALSE),0)</f>
        <v>0</v>
      </c>
      <c r="G20" s="168">
        <f ca="1">IFERROR(HLOOKUP(G$14,Data_Formatting!$E$122:$AN$148,ROW(G20)-ROW(G$14)-1,FALSE),0)</f>
        <v>0</v>
      </c>
      <c r="H20" s="168">
        <f ca="1">IFERROR(HLOOKUP(H$14,Data_Formatting!$E$122:$AN$148,ROW(H20)-ROW(H$14)-1,FALSE),0)</f>
        <v>0</v>
      </c>
      <c r="I20" s="168">
        <f ca="1">IFERROR(HLOOKUP(I$14,Data_Formatting!$E$122:$AN$148,ROW(I20)-ROW(I$14)-1,FALSE),0)</f>
        <v>0</v>
      </c>
      <c r="J20" s="168">
        <f ca="1">IFERROR(HLOOKUP(J$14,Data_Formatting!$E$122:$AN$148,ROW(J20)-ROW(J$14)-1,FALSE),0)</f>
        <v>0</v>
      </c>
      <c r="K20" s="168">
        <f ca="1">IFERROR(HLOOKUP(K$14,Data_Formatting!$E$122:$AN$148,ROW(K20)-ROW(K$14)-1,FALSE),0)</f>
        <v>0</v>
      </c>
      <c r="L20" s="168">
        <f ca="1">IFERROR(HLOOKUP(L$14,Data_Formatting!$E$122:$AN$148,ROW(L20)-ROW(L$14)-1,FALSE),0)</f>
        <v>0</v>
      </c>
      <c r="M20" s="168">
        <f ca="1">IFERROR(HLOOKUP(M$14,Data_Formatting!$E$122:$AN$148,ROW(M20)-ROW(M$14)-1,FALSE),0)</f>
        <v>0</v>
      </c>
      <c r="N20" s="168">
        <f ca="1">IFERROR(HLOOKUP(N$14,Data_Formatting!$E$122:$AN$148,ROW(N20)-ROW(N$14)-1,FALSE),0)</f>
        <v>0</v>
      </c>
      <c r="O20" s="168">
        <f ca="1">IFERROR(HLOOKUP(O$14,Data_Formatting!$E$122:$AN$148,ROW(O20)-ROW(O$14)-1,FALSE),0)</f>
        <v>0</v>
      </c>
      <c r="P20" s="168">
        <f ca="1">IFERROR(HLOOKUP(P$14,Data_Formatting!$E$122:$AN$148,ROW(P20)-ROW(P$14)-1,FALSE),0)</f>
        <v>0</v>
      </c>
      <c r="Q20" s="168">
        <f ca="1">IFERROR(HLOOKUP(Q$14,Data_Formatting!$E$122:$AN$148,ROW(Q20)-ROW(Q$14)-1,FALSE),0)</f>
        <v>0</v>
      </c>
      <c r="R20" s="168">
        <f ca="1">IFERROR(HLOOKUP(R$14,Data_Formatting!$AQ$122:$AU$148,ROW(R20)-ROW(R$14)-1,FALSE),0)</f>
        <v>0</v>
      </c>
      <c r="S20" s="168">
        <f ca="1">IFERROR(HLOOKUP(S$14,Data_Formatting!$E$122:$AN$148,ROW(S20)-ROW(S$14)-1,FALSE),0)</f>
        <v>0</v>
      </c>
      <c r="T20" s="168">
        <f ca="1">IFERROR(HLOOKUP(T$14,Data_Formatting!$E$122:$AN$148,ROW(T20)-ROW(T$14)-1,FALSE),0)</f>
        <v>0</v>
      </c>
      <c r="U20" s="168">
        <f ca="1">IFERROR(HLOOKUP(U$14,Data_Formatting!$E$122:$AN$148,ROW(U20)-ROW(U$14)-1,FALSE),0)</f>
        <v>0</v>
      </c>
      <c r="V20" s="168">
        <f ca="1">IFERROR(HLOOKUP(V$14,Data_Formatting!$E$122:$AN$148,ROW(V20)-ROW(V$14)-1,FALSE),0)</f>
        <v>0</v>
      </c>
      <c r="W20" s="168">
        <f ca="1">IFERROR(HLOOKUP(W$14,Data_Formatting!$E$122:$AN$148,ROW(W20)-ROW(W$14)-1,FALSE),0)</f>
        <v>0</v>
      </c>
      <c r="X20" s="168">
        <f ca="1">IFERROR(HLOOKUP(X$14,Data_Formatting!$E$122:$AN$148,ROW(X20)-ROW(X$14)-1,FALSE),0)</f>
        <v>0</v>
      </c>
      <c r="Y20" s="168">
        <f ca="1">IFERROR(HLOOKUP(Y$14,Data_Formatting!$E$122:$AN$148,ROW(Y20)-ROW(Y$14)-1,FALSE),0)</f>
        <v>0</v>
      </c>
      <c r="Z20" s="168">
        <f ca="1">IFERROR(HLOOKUP(Z$14,Data_Formatting!$E$122:$AN$148,ROW(Z20)-ROW(Z$14)-1,FALSE),0)</f>
        <v>0</v>
      </c>
      <c r="AA20" s="168">
        <f ca="1">IFERROR(HLOOKUP(AA$14,Data_Formatting!$E$122:$AN$148,ROW(AA20)-ROW(AA$14)-1,FALSE),0)</f>
        <v>0</v>
      </c>
      <c r="AB20" s="168">
        <f ca="1">IFERROR(HLOOKUP(AB$14,Data_Formatting!$E$122:$AN$148,ROW(AB20)-ROW(AB$14)-1,FALSE),0)</f>
        <v>0</v>
      </c>
      <c r="AC20" s="168">
        <f ca="1">IFERROR(HLOOKUP(AC$14,Data_Formatting!$E$122:$AN$148,ROW(AC20)-ROW(AC$14)-1,FALSE),0)</f>
        <v>0</v>
      </c>
      <c r="AD20" s="168">
        <f ca="1">IFERROR(HLOOKUP(AD$14,Data_Formatting!$E$122:$AN$148,ROW(AD20)-ROW(AD$14)-1,FALSE),0)</f>
        <v>0</v>
      </c>
      <c r="AE20" s="267" t="e">
        <f ca="1">HLOOKUP(1,S$6:AD20,ROW(AE20)-5,FALSE)</f>
        <v>#N/A</v>
      </c>
      <c r="AF20" s="214"/>
      <c r="AG20" s="265"/>
      <c r="AH20" s="168"/>
      <c r="AI20" s="168"/>
      <c r="AJ20" s="168">
        <v>0</v>
      </c>
      <c r="AK20" s="168">
        <v>0</v>
      </c>
      <c r="AL20" s="168">
        <v>0</v>
      </c>
      <c r="AN20" s="160"/>
      <c r="AS20" s="161"/>
      <c r="AU20" s="160"/>
      <c r="AV20" s="160"/>
      <c r="AW20" s="160"/>
    </row>
    <row r="21" spans="1:52">
      <c r="A21" s="266" t="s">
        <v>397</v>
      </c>
      <c r="B21" s="168">
        <f>IFERROR(HLOOKUP(B$14,Data_Formatting!$AQ$122:$AU$148,ROW(B21)-ROW(B$14)-1,FALSE),0)</f>
        <v>0</v>
      </c>
      <c r="C21" s="168">
        <f>IFERROR(HLOOKUP(C$14,Data_Formatting!$AQ$122:$AU$148,ROW(C21)-ROW(C$14)-1,FALSE),0)</f>
        <v>0</v>
      </c>
      <c r="D21" s="168">
        <f>IFERROR(HLOOKUP(D$14,Data_Formatting!$AQ$122:$AU$148,ROW(D21)-ROW(D$14)-1,FALSE),0)</f>
        <v>0</v>
      </c>
      <c r="E21" s="168">
        <f>IFERROR(HLOOKUP(E$14,Data_Formatting!$AQ$122:$AU$148,ROW(E21)-ROW(E$14)-1,FALSE),0)</f>
        <v>0</v>
      </c>
      <c r="F21" s="168">
        <f ca="1">IFERROR(HLOOKUP(F$14,Data_Formatting!$E$122:$AN$148,ROW(F21)-ROW(F$14)-1,FALSE),0)</f>
        <v>0</v>
      </c>
      <c r="G21" s="168">
        <f ca="1">IFERROR(HLOOKUP(G$14,Data_Formatting!$E$122:$AN$148,ROW(G21)-ROW(G$14)-1,FALSE),0)</f>
        <v>0</v>
      </c>
      <c r="H21" s="168">
        <f ca="1">IFERROR(HLOOKUP(H$14,Data_Formatting!$E$122:$AN$148,ROW(H21)-ROW(H$14)-1,FALSE),0)</f>
        <v>0</v>
      </c>
      <c r="I21" s="168">
        <f ca="1">IFERROR(HLOOKUP(I$14,Data_Formatting!$E$122:$AN$148,ROW(I21)-ROW(I$14)-1,FALSE),0)</f>
        <v>0</v>
      </c>
      <c r="J21" s="168">
        <f ca="1">IFERROR(HLOOKUP(J$14,Data_Formatting!$E$122:$AN$148,ROW(J21)-ROW(J$14)-1,FALSE),0)</f>
        <v>0</v>
      </c>
      <c r="K21" s="168">
        <f ca="1">IFERROR(HLOOKUP(K$14,Data_Formatting!$E$122:$AN$148,ROW(K21)-ROW(K$14)-1,FALSE),0)</f>
        <v>0</v>
      </c>
      <c r="L21" s="168">
        <f ca="1">IFERROR(HLOOKUP(L$14,Data_Formatting!$E$122:$AN$148,ROW(L21)-ROW(L$14)-1,FALSE),0)</f>
        <v>0</v>
      </c>
      <c r="M21" s="168">
        <f ca="1">IFERROR(HLOOKUP(M$14,Data_Formatting!$E$122:$AN$148,ROW(M21)-ROW(M$14)-1,FALSE),0)</f>
        <v>0</v>
      </c>
      <c r="N21" s="168">
        <f ca="1">IFERROR(HLOOKUP(N$14,Data_Formatting!$E$122:$AN$148,ROW(N21)-ROW(N$14)-1,FALSE),0)</f>
        <v>0</v>
      </c>
      <c r="O21" s="168">
        <f ca="1">IFERROR(HLOOKUP(O$14,Data_Formatting!$E$122:$AN$148,ROW(O21)-ROW(O$14)-1,FALSE),0)</f>
        <v>0</v>
      </c>
      <c r="P21" s="168">
        <f ca="1">IFERROR(HLOOKUP(P$14,Data_Formatting!$E$122:$AN$148,ROW(P21)-ROW(P$14)-1,FALSE),0)</f>
        <v>0</v>
      </c>
      <c r="Q21" s="168">
        <f ca="1">IFERROR(HLOOKUP(Q$14,Data_Formatting!$E$122:$AN$148,ROW(Q21)-ROW(Q$14)-1,FALSE),0)</f>
        <v>0</v>
      </c>
      <c r="R21" s="168">
        <f ca="1">IFERROR(HLOOKUP(R$14,Data_Formatting!$AQ$122:$AU$148,ROW(R21)-ROW(R$14)-1,FALSE),0)</f>
        <v>0</v>
      </c>
      <c r="S21" s="168">
        <f ca="1">IFERROR(HLOOKUP(S$14,Data_Formatting!$E$122:$AN$148,ROW(S21)-ROW(S$14)-1,FALSE),0)</f>
        <v>0</v>
      </c>
      <c r="T21" s="168">
        <f ca="1">IFERROR(HLOOKUP(T$14,Data_Formatting!$E$122:$AN$148,ROW(T21)-ROW(T$14)-1,FALSE),0)</f>
        <v>0</v>
      </c>
      <c r="U21" s="168">
        <f ca="1">IFERROR(HLOOKUP(U$14,Data_Formatting!$E$122:$AN$148,ROW(U21)-ROW(U$14)-1,FALSE),0)</f>
        <v>0</v>
      </c>
      <c r="V21" s="168">
        <f ca="1">IFERROR(HLOOKUP(V$14,Data_Formatting!$E$122:$AN$148,ROW(V21)-ROW(V$14)-1,FALSE),0)</f>
        <v>0</v>
      </c>
      <c r="W21" s="168">
        <f ca="1">IFERROR(HLOOKUP(W$14,Data_Formatting!$E$122:$AN$148,ROW(W21)-ROW(W$14)-1,FALSE),0)</f>
        <v>0</v>
      </c>
      <c r="X21" s="168">
        <f ca="1">IFERROR(HLOOKUP(X$14,Data_Formatting!$E$122:$AN$148,ROW(X21)-ROW(X$14)-1,FALSE),0)</f>
        <v>0</v>
      </c>
      <c r="Y21" s="168">
        <f ca="1">IFERROR(HLOOKUP(Y$14,Data_Formatting!$E$122:$AN$148,ROW(Y21)-ROW(Y$14)-1,FALSE),0)</f>
        <v>0</v>
      </c>
      <c r="Z21" s="168">
        <f ca="1">IFERROR(HLOOKUP(Z$14,Data_Formatting!$E$122:$AN$148,ROW(Z21)-ROW(Z$14)-1,FALSE),0)</f>
        <v>0</v>
      </c>
      <c r="AA21" s="168">
        <f ca="1">IFERROR(HLOOKUP(AA$14,Data_Formatting!$E$122:$AN$148,ROW(AA21)-ROW(AA$14)-1,FALSE),0)</f>
        <v>0</v>
      </c>
      <c r="AB21" s="168">
        <f ca="1">IFERROR(HLOOKUP(AB$14,Data_Formatting!$E$122:$AN$148,ROW(AB21)-ROW(AB$14)-1,FALSE),0)</f>
        <v>0</v>
      </c>
      <c r="AC21" s="168">
        <f ca="1">IFERROR(HLOOKUP(AC$14,Data_Formatting!$E$122:$AN$148,ROW(AC21)-ROW(AC$14)-1,FALSE),0)</f>
        <v>0</v>
      </c>
      <c r="AD21" s="168">
        <f ca="1">IFERROR(HLOOKUP(AD$14,Data_Formatting!$E$122:$AN$148,ROW(AD21)-ROW(AD$14)-1,FALSE),0)</f>
        <v>0</v>
      </c>
      <c r="AE21" s="267" t="e">
        <f ca="1">HLOOKUP(1,S$6:AD21,ROW(AE21)-5,FALSE)</f>
        <v>#N/A</v>
      </c>
      <c r="AF21" s="214"/>
      <c r="AG21" s="265"/>
      <c r="AH21" s="168"/>
      <c r="AI21" s="168"/>
      <c r="AJ21" s="168">
        <v>0</v>
      </c>
      <c r="AK21" s="168">
        <v>0</v>
      </c>
      <c r="AL21" s="168">
        <v>0</v>
      </c>
      <c r="AN21" s="160"/>
      <c r="AS21" s="161"/>
      <c r="AU21" s="160"/>
      <c r="AV21" s="160"/>
      <c r="AW21" s="160"/>
    </row>
    <row r="22" spans="1:52">
      <c r="A22" s="268" t="s">
        <v>68</v>
      </c>
      <c r="B22" s="168">
        <f>IFERROR(HLOOKUP(B$14,Data_Formatting!$AQ$122:$AU$148,ROW(B22)-ROW(B$14)-1,FALSE),0)</f>
        <v>0</v>
      </c>
      <c r="C22" s="168">
        <f>IFERROR(HLOOKUP(C$14,Data_Formatting!$AQ$122:$AU$148,ROW(C22)-ROW(C$14)-1,FALSE),0)</f>
        <v>0</v>
      </c>
      <c r="D22" s="168">
        <f>IFERROR(HLOOKUP(D$14,Data_Formatting!$AQ$122:$AU$148,ROW(D22)-ROW(D$14)-1,FALSE),0)</f>
        <v>0</v>
      </c>
      <c r="E22" s="168">
        <f>IFERROR(HLOOKUP(E$14,Data_Formatting!$AQ$122:$AU$148,ROW(E22)-ROW(E$14)-1,FALSE),0)</f>
        <v>0</v>
      </c>
      <c r="F22" s="168">
        <f ca="1">IFERROR(HLOOKUP(F$14,Data_Formatting!$E$122:$AN$148,ROW(F22)-ROW(F$14)-1,FALSE),0)</f>
        <v>0</v>
      </c>
      <c r="G22" s="168">
        <f ca="1">IFERROR(HLOOKUP(G$14,Data_Formatting!$E$122:$AN$148,ROW(G22)-ROW(G$14)-1,FALSE),0)</f>
        <v>0</v>
      </c>
      <c r="H22" s="168">
        <f ca="1">IFERROR(HLOOKUP(H$14,Data_Formatting!$E$122:$AN$148,ROW(H22)-ROW(H$14)-1,FALSE),0)</f>
        <v>0</v>
      </c>
      <c r="I22" s="168">
        <f ca="1">IFERROR(HLOOKUP(I$14,Data_Formatting!$E$122:$AN$148,ROW(I22)-ROW(I$14)-1,FALSE),0)</f>
        <v>0</v>
      </c>
      <c r="J22" s="168">
        <f ca="1">IFERROR(HLOOKUP(J$14,Data_Formatting!$E$122:$AN$148,ROW(J22)-ROW(J$14)-1,FALSE),0)</f>
        <v>0</v>
      </c>
      <c r="K22" s="168">
        <f ca="1">IFERROR(HLOOKUP(K$14,Data_Formatting!$E$122:$AN$148,ROW(K22)-ROW(K$14)-1,FALSE),0)</f>
        <v>0</v>
      </c>
      <c r="L22" s="168">
        <f ca="1">IFERROR(HLOOKUP(L$14,Data_Formatting!$E$122:$AN$148,ROW(L22)-ROW(L$14)-1,FALSE),0)</f>
        <v>0</v>
      </c>
      <c r="M22" s="168">
        <f ca="1">IFERROR(HLOOKUP(M$14,Data_Formatting!$E$122:$AN$148,ROW(M22)-ROW(M$14)-1,FALSE),0)</f>
        <v>0</v>
      </c>
      <c r="N22" s="168">
        <f ca="1">IFERROR(HLOOKUP(N$14,Data_Formatting!$E$122:$AN$148,ROW(N22)-ROW(N$14)-1,FALSE),0)</f>
        <v>0</v>
      </c>
      <c r="O22" s="168">
        <f ca="1">IFERROR(HLOOKUP(O$14,Data_Formatting!$E$122:$AN$148,ROW(O22)-ROW(O$14)-1,FALSE),0)</f>
        <v>0</v>
      </c>
      <c r="P22" s="168">
        <f ca="1">IFERROR(HLOOKUP(P$14,Data_Formatting!$E$122:$AN$148,ROW(P22)-ROW(P$14)-1,FALSE),0)</f>
        <v>0</v>
      </c>
      <c r="Q22" s="168">
        <f ca="1">IFERROR(HLOOKUP(Q$14,Data_Formatting!$E$122:$AN$148,ROW(Q22)-ROW(Q$14)-1,FALSE),0)</f>
        <v>0</v>
      </c>
      <c r="R22" s="168">
        <f ca="1">IFERROR(HLOOKUP(R$14,Data_Formatting!$AQ$122:$AU$148,ROW(R22)-ROW(R$14)-1,FALSE),0)</f>
        <v>0</v>
      </c>
      <c r="S22" s="168">
        <f ca="1">IFERROR(HLOOKUP(S$14,Data_Formatting!$E$122:$AN$148,ROW(S22)-ROW(S$14)-1,FALSE),0)</f>
        <v>0</v>
      </c>
      <c r="T22" s="168">
        <f ca="1">IFERROR(HLOOKUP(T$14,Data_Formatting!$E$122:$AN$148,ROW(T22)-ROW(T$14)-1,FALSE),0)</f>
        <v>0</v>
      </c>
      <c r="U22" s="168">
        <f ca="1">IFERROR(HLOOKUP(U$14,Data_Formatting!$E$122:$AN$148,ROW(U22)-ROW(U$14)-1,FALSE),0)</f>
        <v>0</v>
      </c>
      <c r="V22" s="168">
        <f ca="1">IFERROR(HLOOKUP(V$14,Data_Formatting!$E$122:$AN$148,ROW(V22)-ROW(V$14)-1,FALSE),0)</f>
        <v>0</v>
      </c>
      <c r="W22" s="168">
        <f ca="1">IFERROR(HLOOKUP(W$14,Data_Formatting!$E$122:$AN$148,ROW(W22)-ROW(W$14)-1,FALSE),0)</f>
        <v>0</v>
      </c>
      <c r="X22" s="168">
        <f ca="1">IFERROR(HLOOKUP(X$14,Data_Formatting!$E$122:$AN$148,ROW(X22)-ROW(X$14)-1,FALSE),0)</f>
        <v>0</v>
      </c>
      <c r="Y22" s="168">
        <f ca="1">IFERROR(HLOOKUP(Y$14,Data_Formatting!$E$122:$AN$148,ROW(Y22)-ROW(Y$14)-1,FALSE),0)</f>
        <v>0</v>
      </c>
      <c r="Z22" s="168">
        <f ca="1">IFERROR(HLOOKUP(Z$14,Data_Formatting!$E$122:$AN$148,ROW(Z22)-ROW(Z$14)-1,FALSE),0)</f>
        <v>0</v>
      </c>
      <c r="AA22" s="168">
        <f ca="1">IFERROR(HLOOKUP(AA$14,Data_Formatting!$E$122:$AN$148,ROW(AA22)-ROW(AA$14)-1,FALSE),0)</f>
        <v>0</v>
      </c>
      <c r="AB22" s="168">
        <f ca="1">IFERROR(HLOOKUP(AB$14,Data_Formatting!$E$122:$AN$148,ROW(AB22)-ROW(AB$14)-1,FALSE),0)</f>
        <v>0</v>
      </c>
      <c r="AC22" s="168">
        <f ca="1">IFERROR(HLOOKUP(AC$14,Data_Formatting!$E$122:$AN$148,ROW(AC22)-ROW(AC$14)-1,FALSE),0)</f>
        <v>0</v>
      </c>
      <c r="AD22" s="168">
        <f ca="1">IFERROR(HLOOKUP(AD$14,Data_Formatting!$E$122:$AN$148,ROW(AD22)-ROW(AD$14)-1,FALSE),0)</f>
        <v>0</v>
      </c>
      <c r="AE22" s="267" t="e">
        <f ca="1">HLOOKUP(1,S$6:AD22,ROW(AE22)-5,FALSE)</f>
        <v>#N/A</v>
      </c>
      <c r="AF22" s="214"/>
      <c r="AG22" s="265"/>
      <c r="AH22" s="168"/>
      <c r="AI22" s="168"/>
      <c r="AJ22" s="168">
        <v>0</v>
      </c>
      <c r="AK22" s="168">
        <v>0</v>
      </c>
      <c r="AL22" s="168">
        <v>0</v>
      </c>
      <c r="AN22" s="160"/>
      <c r="AS22" s="161"/>
      <c r="AU22" s="160"/>
      <c r="AV22" s="160"/>
      <c r="AW22" s="160"/>
    </row>
    <row r="23" spans="1:52">
      <c r="A23" s="268" t="s">
        <v>69</v>
      </c>
      <c r="B23" s="168">
        <f>IFERROR(HLOOKUP(B$14,Data_Formatting!$AQ$122:$AU$148,ROW(B23)-ROW(B$14)-1,FALSE),0)</f>
        <v>0</v>
      </c>
      <c r="C23" s="168">
        <f>IFERROR(HLOOKUP(C$14,Data_Formatting!$AQ$122:$AU$148,ROW(C23)-ROW(C$14)-1,FALSE),0)</f>
        <v>0</v>
      </c>
      <c r="D23" s="168">
        <f>IFERROR(HLOOKUP(D$14,Data_Formatting!$AQ$122:$AU$148,ROW(D23)-ROW(D$14)-1,FALSE),0)</f>
        <v>0</v>
      </c>
      <c r="E23" s="168">
        <f>IFERROR(HLOOKUP(E$14,Data_Formatting!$AQ$122:$AU$148,ROW(E23)-ROW(E$14)-1,FALSE),0)</f>
        <v>0</v>
      </c>
      <c r="F23" s="168">
        <f ca="1">IFERROR(HLOOKUP(F$14,Data_Formatting!$E$122:$AN$148,ROW(F23)-ROW(F$14)-1,FALSE),0)</f>
        <v>0</v>
      </c>
      <c r="G23" s="168">
        <f ca="1">IFERROR(HLOOKUP(G$14,Data_Formatting!$E$122:$AN$148,ROW(G23)-ROW(G$14)-1,FALSE),0)</f>
        <v>0</v>
      </c>
      <c r="H23" s="168">
        <f ca="1">IFERROR(HLOOKUP(H$14,Data_Formatting!$E$122:$AN$148,ROW(H23)-ROW(H$14)-1,FALSE),0)</f>
        <v>0</v>
      </c>
      <c r="I23" s="168">
        <f ca="1">IFERROR(HLOOKUP(I$14,Data_Formatting!$E$122:$AN$148,ROW(I23)-ROW(I$14)-1,FALSE),0)</f>
        <v>0</v>
      </c>
      <c r="J23" s="168">
        <f ca="1">IFERROR(HLOOKUP(J$14,Data_Formatting!$E$122:$AN$148,ROW(J23)-ROW(J$14)-1,FALSE),0)</f>
        <v>0</v>
      </c>
      <c r="K23" s="168">
        <f ca="1">IFERROR(HLOOKUP(K$14,Data_Formatting!$E$122:$AN$148,ROW(K23)-ROW(K$14)-1,FALSE),0)</f>
        <v>0</v>
      </c>
      <c r="L23" s="168">
        <f ca="1">IFERROR(HLOOKUP(L$14,Data_Formatting!$E$122:$AN$148,ROW(L23)-ROW(L$14)-1,FALSE),0)</f>
        <v>0</v>
      </c>
      <c r="M23" s="168">
        <f ca="1">IFERROR(HLOOKUP(M$14,Data_Formatting!$E$122:$AN$148,ROW(M23)-ROW(M$14)-1,FALSE),0)</f>
        <v>0</v>
      </c>
      <c r="N23" s="168">
        <f ca="1">IFERROR(HLOOKUP(N$14,Data_Formatting!$E$122:$AN$148,ROW(N23)-ROW(N$14)-1,FALSE),0)</f>
        <v>0</v>
      </c>
      <c r="O23" s="168">
        <f ca="1">IFERROR(HLOOKUP(O$14,Data_Formatting!$E$122:$AN$148,ROW(O23)-ROW(O$14)-1,FALSE),0)</f>
        <v>0</v>
      </c>
      <c r="P23" s="168">
        <f ca="1">IFERROR(HLOOKUP(P$14,Data_Formatting!$E$122:$AN$148,ROW(P23)-ROW(P$14)-1,FALSE),0)</f>
        <v>0</v>
      </c>
      <c r="Q23" s="168">
        <f ca="1">IFERROR(HLOOKUP(Q$14,Data_Formatting!$E$122:$AN$148,ROW(Q23)-ROW(Q$14)-1,FALSE),0)</f>
        <v>0</v>
      </c>
      <c r="R23" s="168">
        <f ca="1">IFERROR(HLOOKUP(R$14,Data_Formatting!$AQ$122:$AU$148,ROW(R23)-ROW(R$14)-1,FALSE),0)</f>
        <v>0</v>
      </c>
      <c r="S23" s="168">
        <f ca="1">IFERROR(HLOOKUP(S$14,Data_Formatting!$E$122:$AN$148,ROW(S23)-ROW(S$14)-1,FALSE),0)</f>
        <v>0</v>
      </c>
      <c r="T23" s="168">
        <f ca="1">IFERROR(HLOOKUP(T$14,Data_Formatting!$E$122:$AN$148,ROW(T23)-ROW(T$14)-1,FALSE),0)</f>
        <v>0</v>
      </c>
      <c r="U23" s="168">
        <f ca="1">IFERROR(HLOOKUP(U$14,Data_Formatting!$E$122:$AN$148,ROW(U23)-ROW(U$14)-1,FALSE),0)</f>
        <v>0</v>
      </c>
      <c r="V23" s="168">
        <f ca="1">IFERROR(HLOOKUP(V$14,Data_Formatting!$E$122:$AN$148,ROW(V23)-ROW(V$14)-1,FALSE),0)</f>
        <v>0</v>
      </c>
      <c r="W23" s="168">
        <f ca="1">IFERROR(HLOOKUP(W$14,Data_Formatting!$E$122:$AN$148,ROW(W23)-ROW(W$14)-1,FALSE),0)</f>
        <v>0</v>
      </c>
      <c r="X23" s="168">
        <f ca="1">IFERROR(HLOOKUP(X$14,Data_Formatting!$E$122:$AN$148,ROW(X23)-ROW(X$14)-1,FALSE),0)</f>
        <v>0</v>
      </c>
      <c r="Y23" s="168">
        <f ca="1">IFERROR(HLOOKUP(Y$14,Data_Formatting!$E$122:$AN$148,ROW(Y23)-ROW(Y$14)-1,FALSE),0)</f>
        <v>0</v>
      </c>
      <c r="Z23" s="168">
        <f ca="1">IFERROR(HLOOKUP(Z$14,Data_Formatting!$E$122:$AN$148,ROW(Z23)-ROW(Z$14)-1,FALSE),0)</f>
        <v>0</v>
      </c>
      <c r="AA23" s="168">
        <f ca="1">IFERROR(HLOOKUP(AA$14,Data_Formatting!$E$122:$AN$148,ROW(AA23)-ROW(AA$14)-1,FALSE),0)</f>
        <v>0</v>
      </c>
      <c r="AB23" s="168">
        <f ca="1">IFERROR(HLOOKUP(AB$14,Data_Formatting!$E$122:$AN$148,ROW(AB23)-ROW(AB$14)-1,FALSE),0)</f>
        <v>0</v>
      </c>
      <c r="AC23" s="168">
        <f ca="1">IFERROR(HLOOKUP(AC$14,Data_Formatting!$E$122:$AN$148,ROW(AC23)-ROW(AC$14)-1,FALSE),0)</f>
        <v>0</v>
      </c>
      <c r="AD23" s="168">
        <f ca="1">IFERROR(HLOOKUP(AD$14,Data_Formatting!$E$122:$AN$148,ROW(AD23)-ROW(AD$14)-1,FALSE),0)</f>
        <v>0</v>
      </c>
      <c r="AE23" s="267" t="e">
        <f ca="1">HLOOKUP(1,S$6:AD23,ROW(AE23)-5,FALSE)</f>
        <v>#N/A</v>
      </c>
      <c r="AF23" s="214"/>
      <c r="AG23" s="265"/>
      <c r="AH23" s="168"/>
      <c r="AI23" s="168"/>
      <c r="AJ23" s="168">
        <v>0</v>
      </c>
      <c r="AK23" s="168">
        <v>0</v>
      </c>
      <c r="AL23" s="168">
        <v>0</v>
      </c>
      <c r="AN23" s="160"/>
      <c r="AS23" s="161"/>
      <c r="AU23" s="160"/>
      <c r="AV23" s="160"/>
      <c r="AW23" s="160"/>
    </row>
    <row r="24" spans="1:52" ht="15">
      <c r="A24" s="203" t="s">
        <v>1</v>
      </c>
      <c r="B24" s="168">
        <f>IFERROR(HLOOKUP(B$14,Data_Formatting!$AQ$122:$AU$148,ROW(B24)-ROW(B$14)-1,FALSE),0)</f>
        <v>0</v>
      </c>
      <c r="C24" s="168">
        <f>IFERROR(HLOOKUP(C$14,Data_Formatting!$AQ$122:$AU$148,ROW(C24)-ROW(C$14)-1,FALSE),0)</f>
        <v>0</v>
      </c>
      <c r="D24" s="168">
        <f>IFERROR(HLOOKUP(D$14,Data_Formatting!$AQ$122:$AU$148,ROW(D24)-ROW(D$14)-1,FALSE),0)</f>
        <v>0</v>
      </c>
      <c r="E24" s="168">
        <f>IFERROR(HLOOKUP(E$14,Data_Formatting!$AQ$122:$AU$148,ROW(E24)-ROW(E$14)-1,FALSE),0)</f>
        <v>0</v>
      </c>
      <c r="F24" s="168">
        <f ca="1">IFERROR(HLOOKUP(F$14,Data_Formatting!$E$122:$AN$148,ROW(F24)-ROW(F$14)-1,FALSE),0)</f>
        <v>0</v>
      </c>
      <c r="G24" s="168">
        <f ca="1">IFERROR(HLOOKUP(G$14,Data_Formatting!$E$122:$AN$148,ROW(G24)-ROW(G$14)-1,FALSE),0)</f>
        <v>0</v>
      </c>
      <c r="H24" s="168">
        <f ca="1">IFERROR(HLOOKUP(H$14,Data_Formatting!$E$122:$AN$148,ROW(H24)-ROW(H$14)-1,FALSE),0)</f>
        <v>0</v>
      </c>
      <c r="I24" s="168">
        <f ca="1">IFERROR(HLOOKUP(I$14,Data_Formatting!$E$122:$AN$148,ROW(I24)-ROW(I$14)-1,FALSE),0)</f>
        <v>0</v>
      </c>
      <c r="J24" s="168">
        <f ca="1">IFERROR(HLOOKUP(J$14,Data_Formatting!$E$122:$AN$148,ROW(J24)-ROW(J$14)-1,FALSE),0)</f>
        <v>0</v>
      </c>
      <c r="K24" s="168">
        <f ca="1">IFERROR(HLOOKUP(K$14,Data_Formatting!$E$122:$AN$148,ROW(K24)-ROW(K$14)-1,FALSE),0)</f>
        <v>0</v>
      </c>
      <c r="L24" s="168">
        <f ca="1">IFERROR(HLOOKUP(L$14,Data_Formatting!$E$122:$AN$148,ROW(L24)-ROW(L$14)-1,FALSE),0)</f>
        <v>0</v>
      </c>
      <c r="M24" s="168">
        <f ca="1">IFERROR(HLOOKUP(M$14,Data_Formatting!$E$122:$AN$148,ROW(M24)-ROW(M$14)-1,FALSE),0)</f>
        <v>0</v>
      </c>
      <c r="N24" s="168">
        <f ca="1">IFERROR(HLOOKUP(N$14,Data_Formatting!$E$122:$AN$148,ROW(N24)-ROW(N$14)-1,FALSE),0)</f>
        <v>0</v>
      </c>
      <c r="O24" s="168">
        <f ca="1">IFERROR(HLOOKUP(O$14,Data_Formatting!$E$122:$AN$148,ROW(O24)-ROW(O$14)-1,FALSE),0)</f>
        <v>0</v>
      </c>
      <c r="P24" s="168">
        <f ca="1">IFERROR(HLOOKUP(P$14,Data_Formatting!$E$122:$AN$148,ROW(P24)-ROW(P$14)-1,FALSE),0)</f>
        <v>0</v>
      </c>
      <c r="Q24" s="168">
        <f ca="1">IFERROR(HLOOKUP(Q$14,Data_Formatting!$E$122:$AN$148,ROW(Q24)-ROW(Q$14)-1,FALSE),0)</f>
        <v>0</v>
      </c>
      <c r="R24" s="168">
        <f ca="1">IFERROR(HLOOKUP(R$14,Data_Formatting!$AQ$122:$AU$148,ROW(R24)-ROW(R$14)-1,FALSE),0)</f>
        <v>0</v>
      </c>
      <c r="S24" s="168">
        <f ca="1">IFERROR(HLOOKUP(S$14,Data_Formatting!$E$122:$AN$148,ROW(S24)-ROW(S$14)-1,FALSE),0)</f>
        <v>0</v>
      </c>
      <c r="T24" s="168">
        <f ca="1">IFERROR(HLOOKUP(T$14,Data_Formatting!$E$122:$AN$148,ROW(T24)-ROW(T$14)-1,FALSE),0)</f>
        <v>0</v>
      </c>
      <c r="U24" s="168">
        <f ca="1">IFERROR(HLOOKUP(U$14,Data_Formatting!$E$122:$AN$148,ROW(U24)-ROW(U$14)-1,FALSE),0)</f>
        <v>0</v>
      </c>
      <c r="V24" s="168">
        <f ca="1">IFERROR(HLOOKUP(V$14,Data_Formatting!$E$122:$AN$148,ROW(V24)-ROW(V$14)-1,FALSE),0)</f>
        <v>0</v>
      </c>
      <c r="W24" s="168">
        <f ca="1">IFERROR(HLOOKUP(W$14,Data_Formatting!$E$122:$AN$148,ROW(W24)-ROW(W$14)-1,FALSE),0)</f>
        <v>0</v>
      </c>
      <c r="X24" s="168">
        <f ca="1">IFERROR(HLOOKUP(X$14,Data_Formatting!$E$122:$AN$148,ROW(X24)-ROW(X$14)-1,FALSE),0)</f>
        <v>0</v>
      </c>
      <c r="Y24" s="168">
        <f ca="1">IFERROR(HLOOKUP(Y$14,Data_Formatting!$E$122:$AN$148,ROW(Y24)-ROW(Y$14)-1,FALSE),0)</f>
        <v>0</v>
      </c>
      <c r="Z24" s="168">
        <f ca="1">IFERROR(HLOOKUP(Z$14,Data_Formatting!$E$122:$AN$148,ROW(Z24)-ROW(Z$14)-1,FALSE),0)</f>
        <v>0</v>
      </c>
      <c r="AA24" s="168">
        <f ca="1">IFERROR(HLOOKUP(AA$14,Data_Formatting!$E$122:$AN$148,ROW(AA24)-ROW(AA$14)-1,FALSE),0)</f>
        <v>0</v>
      </c>
      <c r="AB24" s="168">
        <f ca="1">IFERROR(HLOOKUP(AB$14,Data_Formatting!$E$122:$AN$148,ROW(AB24)-ROW(AB$14)-1,FALSE),0)</f>
        <v>0</v>
      </c>
      <c r="AC24" s="168">
        <f ca="1">IFERROR(HLOOKUP(AC$14,Data_Formatting!$E$122:$AN$148,ROW(AC24)-ROW(AC$14)-1,FALSE),0)</f>
        <v>0</v>
      </c>
      <c r="AD24" s="168">
        <f ca="1">IFERROR(HLOOKUP(AD$14,Data_Formatting!$E$122:$AN$148,ROW(AD24)-ROW(AD$14)-1,FALSE),0)</f>
        <v>0</v>
      </c>
      <c r="AE24" s="267" t="e">
        <f ca="1">HLOOKUP(1,S$6:AD24,ROW(AE24)-5,FALSE)</f>
        <v>#N/A</v>
      </c>
      <c r="AF24" s="214"/>
      <c r="AG24" s="265"/>
      <c r="AH24" s="168"/>
      <c r="AI24" s="168"/>
      <c r="AJ24" s="168">
        <v>0</v>
      </c>
      <c r="AK24" s="168">
        <v>0</v>
      </c>
      <c r="AL24" s="168">
        <v>0</v>
      </c>
      <c r="AM24" s="162"/>
      <c r="AN24" s="163"/>
      <c r="AO24" s="162"/>
      <c r="AP24" s="162"/>
      <c r="AQ24" s="162"/>
      <c r="AR24" s="162"/>
      <c r="AS24" s="161"/>
      <c r="AT24" s="162"/>
      <c r="AU24" s="160"/>
      <c r="AV24" s="160"/>
      <c r="AW24" s="160"/>
      <c r="AX24" s="162"/>
      <c r="AY24" s="162"/>
    </row>
    <row r="25" spans="1:52" s="274" customFormat="1">
      <c r="A25" s="269" t="s">
        <v>2</v>
      </c>
      <c r="B25" s="270">
        <f t="shared" ref="B25:AE25" si="7">SUM(B18,B22:B24)</f>
        <v>0</v>
      </c>
      <c r="C25" s="270">
        <f>SUM(C18,C22:C24)</f>
        <v>0</v>
      </c>
      <c r="D25" s="270">
        <f t="shared" si="7"/>
        <v>0</v>
      </c>
      <c r="E25" s="270">
        <f t="shared" si="7"/>
        <v>0</v>
      </c>
      <c r="F25" s="270">
        <f t="shared" ca="1" si="7"/>
        <v>0</v>
      </c>
      <c r="G25" s="270">
        <f t="shared" ca="1" si="7"/>
        <v>0</v>
      </c>
      <c r="H25" s="270">
        <f t="shared" ca="1" si="7"/>
        <v>0</v>
      </c>
      <c r="I25" s="270">
        <f t="shared" ca="1" si="7"/>
        <v>0</v>
      </c>
      <c r="J25" s="270">
        <f t="shared" ca="1" si="7"/>
        <v>0</v>
      </c>
      <c r="K25" s="270">
        <f t="shared" ca="1" si="7"/>
        <v>0</v>
      </c>
      <c r="L25" s="270">
        <f t="shared" ca="1" si="7"/>
        <v>0</v>
      </c>
      <c r="M25" s="270">
        <f t="shared" ca="1" si="7"/>
        <v>0</v>
      </c>
      <c r="N25" s="270">
        <f t="shared" ca="1" si="7"/>
        <v>0</v>
      </c>
      <c r="O25" s="270">
        <f t="shared" ca="1" si="7"/>
        <v>0</v>
      </c>
      <c r="P25" s="270">
        <f t="shared" ca="1" si="7"/>
        <v>0</v>
      </c>
      <c r="Q25" s="270">
        <f t="shared" ca="1" si="7"/>
        <v>0</v>
      </c>
      <c r="R25" s="270">
        <f ca="1">SUM(R18,R22:R24)</f>
        <v>0</v>
      </c>
      <c r="S25" s="270">
        <f t="shared" ca="1" si="7"/>
        <v>0</v>
      </c>
      <c r="T25" s="270">
        <f t="shared" ca="1" si="7"/>
        <v>0</v>
      </c>
      <c r="U25" s="270">
        <f t="shared" ca="1" si="7"/>
        <v>0</v>
      </c>
      <c r="V25" s="270">
        <f t="shared" ca="1" si="7"/>
        <v>0</v>
      </c>
      <c r="W25" s="270">
        <f t="shared" ca="1" si="7"/>
        <v>0</v>
      </c>
      <c r="X25" s="270">
        <f t="shared" ca="1" si="7"/>
        <v>0</v>
      </c>
      <c r="Y25" s="270">
        <f t="shared" ca="1" si="7"/>
        <v>0</v>
      </c>
      <c r="Z25" s="270">
        <f t="shared" ca="1" si="7"/>
        <v>0</v>
      </c>
      <c r="AA25" s="270">
        <f t="shared" ca="1" si="7"/>
        <v>0</v>
      </c>
      <c r="AB25" s="270">
        <f t="shared" ca="1" si="7"/>
        <v>0</v>
      </c>
      <c r="AC25" s="270">
        <f t="shared" ca="1" si="7"/>
        <v>0</v>
      </c>
      <c r="AD25" s="270">
        <f t="shared" ca="1" si="7"/>
        <v>0</v>
      </c>
      <c r="AE25" s="270" t="e">
        <f t="shared" ca="1" si="7"/>
        <v>#N/A</v>
      </c>
      <c r="AF25" s="214"/>
      <c r="AG25" s="265"/>
      <c r="AH25" s="271">
        <f>SUM(AH18,AH22:AH24)</f>
        <v>0</v>
      </c>
      <c r="AI25" s="271">
        <f>SUM(AI18,AI22:AI24)</f>
        <v>0</v>
      </c>
      <c r="AJ25" s="271">
        <f>SUM(AJ18,AJ22:AJ24)</f>
        <v>0</v>
      </c>
      <c r="AK25" s="271">
        <f>SUM(AK18,AK22:AK24)</f>
        <v>0</v>
      </c>
      <c r="AL25" s="271">
        <f>SUM(AL18,AL22:AL24)</f>
        <v>0</v>
      </c>
      <c r="AM25" s="272"/>
      <c r="AN25" s="272"/>
      <c r="AO25" s="272"/>
      <c r="AP25" s="272"/>
      <c r="AQ25" s="272"/>
      <c r="AR25" s="272"/>
      <c r="AS25" s="272"/>
      <c r="AT25" s="273"/>
      <c r="AU25" s="272"/>
      <c r="AV25" s="272"/>
      <c r="AW25" s="272"/>
      <c r="AX25" s="272"/>
      <c r="AY25" s="272"/>
      <c r="AZ25" s="273"/>
    </row>
    <row r="26" spans="1:52" s="274" customFormat="1">
      <c r="A26" s="275"/>
      <c r="B26" s="261"/>
      <c r="C26" s="902" t="e">
        <f>C24/C22</f>
        <v>#DIV/0!</v>
      </c>
      <c r="D26" s="902" t="e">
        <f>D24/D22</f>
        <v>#DIV/0!</v>
      </c>
      <c r="E26" s="902" t="e">
        <f>E24/E22</f>
        <v>#DIV/0!</v>
      </c>
      <c r="F26" s="261"/>
      <c r="G26" s="261"/>
      <c r="H26" s="261"/>
      <c r="I26" s="261"/>
      <c r="J26" s="261"/>
      <c r="K26" s="261"/>
      <c r="L26" s="261"/>
      <c r="M26" s="261"/>
      <c r="N26" s="261"/>
      <c r="O26" s="261"/>
      <c r="P26" s="261"/>
      <c r="Q26" s="261"/>
      <c r="R26" s="902" t="e">
        <f t="shared" ref="R26:W26" ca="1" si="8">R24/R22</f>
        <v>#DIV/0!</v>
      </c>
      <c r="S26" s="902" t="e">
        <f t="shared" ca="1" si="8"/>
        <v>#DIV/0!</v>
      </c>
      <c r="T26" s="902" t="e">
        <f t="shared" ca="1" si="8"/>
        <v>#DIV/0!</v>
      </c>
      <c r="U26" s="902" t="e">
        <f t="shared" ca="1" si="8"/>
        <v>#DIV/0!</v>
      </c>
      <c r="V26" s="902" t="e">
        <f t="shared" ca="1" si="8"/>
        <v>#DIV/0!</v>
      </c>
      <c r="W26" s="902" t="e">
        <f t="shared" ca="1" si="8"/>
        <v>#DIV/0!</v>
      </c>
      <c r="X26" s="261"/>
      <c r="Y26" s="261"/>
      <c r="Z26" s="261"/>
      <c r="AA26" s="261"/>
      <c r="AB26" s="261"/>
      <c r="AC26" s="261"/>
      <c r="AD26" s="261"/>
      <c r="AE26" s="261"/>
      <c r="AF26" s="214"/>
      <c r="AG26" s="265"/>
      <c r="AH26" s="275"/>
      <c r="AI26" s="275"/>
      <c r="AJ26" s="275"/>
      <c r="AK26" s="275"/>
      <c r="AL26" s="275"/>
      <c r="AM26" s="273"/>
      <c r="AN26" s="273"/>
      <c r="AO26" s="273"/>
      <c r="AP26" s="273"/>
      <c r="AQ26" s="273"/>
      <c r="AR26" s="273"/>
      <c r="AS26" s="273"/>
      <c r="AT26" s="273"/>
      <c r="AU26" s="273"/>
      <c r="AV26" s="273"/>
      <c r="AW26" s="273"/>
      <c r="AX26" s="273"/>
      <c r="AY26" s="273"/>
      <c r="AZ26" s="273"/>
    </row>
    <row r="27" spans="1:52" s="274" customFormat="1">
      <c r="A27" s="276" t="s">
        <v>3</v>
      </c>
      <c r="B27" s="261"/>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1"/>
      <c r="AA27" s="261"/>
      <c r="AB27" s="261"/>
      <c r="AC27" s="261"/>
      <c r="AD27" s="261"/>
      <c r="AE27" s="261"/>
      <c r="AF27" s="214"/>
      <c r="AG27" s="265"/>
      <c r="AH27" s="275"/>
      <c r="AI27" s="275"/>
      <c r="AJ27" s="275"/>
      <c r="AK27" s="275"/>
      <c r="AL27" s="275"/>
      <c r="AM27" s="273"/>
      <c r="AN27" s="273"/>
      <c r="AO27" s="273"/>
      <c r="AP27" s="273"/>
      <c r="AQ27" s="273"/>
      <c r="AR27" s="273"/>
      <c r="AS27" s="273"/>
      <c r="AT27" s="273"/>
      <c r="AU27" s="273"/>
      <c r="AV27" s="273"/>
      <c r="AW27" s="273"/>
      <c r="AX27" s="273"/>
      <c r="AY27" s="273"/>
      <c r="AZ27" s="273"/>
    </row>
    <row r="28" spans="1:52">
      <c r="A28" s="203" t="s">
        <v>70</v>
      </c>
      <c r="B28" s="168">
        <f>IFERROR(HLOOKUP(B$14,Data_Formatting!$AQ$122:$AU$148,ROW(B28)-ROW(B$14)-1,FALSE),0)</f>
        <v>0</v>
      </c>
      <c r="C28" s="168">
        <f>IFERROR(HLOOKUP(C$14,Data_Formatting!$AQ$122:$AU$148,ROW(C28)-ROW(C$14)-1,FALSE),0)</f>
        <v>0</v>
      </c>
      <c r="D28" s="168">
        <f>IFERROR(HLOOKUP(D$14,Data_Formatting!$AQ$122:$AU$148,ROW(D28)-ROW(D$14)-1,FALSE),0)</f>
        <v>0</v>
      </c>
      <c r="E28" s="168">
        <f>IFERROR(HLOOKUP(E$14,Data_Formatting!$AQ$122:$AU$148,ROW(E28)-ROW(E$14)-1,FALSE),0)</f>
        <v>0</v>
      </c>
      <c r="F28" s="168">
        <f ca="1">IFERROR(HLOOKUP(F$14,Data_Formatting!$E$122:$AN$148,ROW(F28)-ROW(F$14)-1,FALSE),0)</f>
        <v>0</v>
      </c>
      <c r="G28" s="168">
        <f ca="1">IFERROR(HLOOKUP(G$14,Data_Formatting!$E$122:$AN$148,ROW(G28)-ROW(G$14)-1,FALSE),0)</f>
        <v>0</v>
      </c>
      <c r="H28" s="168">
        <f ca="1">IFERROR(HLOOKUP(H$14,Data_Formatting!$E$122:$AN$148,ROW(H28)-ROW(H$14)-1,FALSE),0)</f>
        <v>0</v>
      </c>
      <c r="I28" s="168">
        <f ca="1">IFERROR(HLOOKUP(I$14,Data_Formatting!$E$122:$AN$148,ROW(I28)-ROW(I$14)-1,FALSE),0)</f>
        <v>0</v>
      </c>
      <c r="J28" s="168">
        <f ca="1">IFERROR(HLOOKUP(J$14,Data_Formatting!$E$122:$AN$148,ROW(J28)-ROW(J$14)-1,FALSE),0)</f>
        <v>0</v>
      </c>
      <c r="K28" s="168">
        <f ca="1">IFERROR(HLOOKUP(K$14,Data_Formatting!$E$122:$AN$148,ROW(K28)-ROW(K$14)-1,FALSE),0)</f>
        <v>0</v>
      </c>
      <c r="L28" s="168">
        <f ca="1">IFERROR(HLOOKUP(L$14,Data_Formatting!$E$122:$AN$148,ROW(L28)-ROW(L$14)-1,FALSE),0)</f>
        <v>0</v>
      </c>
      <c r="M28" s="168">
        <f ca="1">IFERROR(HLOOKUP(M$14,Data_Formatting!$E$122:$AN$148,ROW(M28)-ROW(M$14)-1,FALSE),0)</f>
        <v>0</v>
      </c>
      <c r="N28" s="168">
        <f ca="1">IFERROR(HLOOKUP(N$14,Data_Formatting!$E$122:$AN$148,ROW(N28)-ROW(N$14)-1,FALSE),0)</f>
        <v>0</v>
      </c>
      <c r="O28" s="168">
        <f ca="1">IFERROR(HLOOKUP(O$14,Data_Formatting!$E$122:$AN$148,ROW(O28)-ROW(O$14)-1,FALSE),0)</f>
        <v>0</v>
      </c>
      <c r="P28" s="168">
        <f ca="1">IFERROR(HLOOKUP(P$14,Data_Formatting!$E$122:$AN$148,ROW(P28)-ROW(P$14)-1,FALSE),0)</f>
        <v>0</v>
      </c>
      <c r="Q28" s="168">
        <f ca="1">IFERROR(HLOOKUP(Q$14,Data_Formatting!$E$122:$AN$148,ROW(Q28)-ROW(Q$14)-1,FALSE),0)</f>
        <v>0</v>
      </c>
      <c r="R28" s="168">
        <f ca="1">IFERROR(HLOOKUP(R$14,Data_Formatting!$AQ$122:$AU$148,ROW(R28)-ROW(R$14)-1,FALSE),0)</f>
        <v>0</v>
      </c>
      <c r="S28" s="168">
        <f ca="1">IFERROR(HLOOKUP(S$14,Data_Formatting!$E$122:$AN$148,ROW(S28)-ROW(S$14)-1,FALSE),0)</f>
        <v>0</v>
      </c>
      <c r="T28" s="168">
        <f ca="1">IFERROR(HLOOKUP(T$14,Data_Formatting!$E$122:$AN$148,ROW(T28)-ROW(T$14)-1,FALSE),0)</f>
        <v>0</v>
      </c>
      <c r="U28" s="168">
        <f ca="1">IFERROR(HLOOKUP(U$14,Data_Formatting!$E$122:$AN$148,ROW(U28)-ROW(U$14)-1,FALSE),0)</f>
        <v>0</v>
      </c>
      <c r="V28" s="168">
        <f ca="1">IFERROR(HLOOKUP(V$14,Data_Formatting!$E$122:$AN$148,ROW(V28)-ROW(V$14)-1,FALSE),0)</f>
        <v>0</v>
      </c>
      <c r="W28" s="168">
        <f ca="1">IFERROR(HLOOKUP(W$14,Data_Formatting!$E$122:$AN$148,ROW(W28)-ROW(W$14)-1,FALSE),0)</f>
        <v>0</v>
      </c>
      <c r="X28" s="168">
        <f ca="1">IFERROR(HLOOKUP(X$14,Data_Formatting!$E$122:$AN$148,ROW(X28)-ROW(X$14)-1,FALSE),0)</f>
        <v>0</v>
      </c>
      <c r="Y28" s="168">
        <f ca="1">IFERROR(HLOOKUP(Y$14,Data_Formatting!$E$122:$AN$148,ROW(Y28)-ROW(Y$14)-1,FALSE),0)</f>
        <v>0</v>
      </c>
      <c r="Z28" s="168">
        <f ca="1">IFERROR(HLOOKUP(Z$14,Data_Formatting!$E$122:$AN$148,ROW(Z28)-ROW(Z$14)-1,FALSE),0)</f>
        <v>0</v>
      </c>
      <c r="AA28" s="168">
        <f ca="1">IFERROR(HLOOKUP(AA$14,Data_Formatting!$E$122:$AN$148,ROW(AA28)-ROW(AA$14)-1,FALSE),0)</f>
        <v>0</v>
      </c>
      <c r="AB28" s="168">
        <f ca="1">IFERROR(HLOOKUP(AB$14,Data_Formatting!$E$122:$AN$148,ROW(AB28)-ROW(AB$14)-1,FALSE),0)</f>
        <v>0</v>
      </c>
      <c r="AC28" s="168">
        <f ca="1">IFERROR(HLOOKUP(AC$14,Data_Formatting!$E$122:$AN$148,ROW(AC28)-ROW(AC$14)-1,FALSE),0)</f>
        <v>0</v>
      </c>
      <c r="AD28" s="168">
        <f ca="1">IFERROR(HLOOKUP(AD$14,Data_Formatting!$E$122:$AN$148,ROW(AD28)-ROW(AD$14)-1,FALSE),0)</f>
        <v>0</v>
      </c>
      <c r="AE28" s="267" t="e">
        <f ca="1">HLOOKUP(1,S$6:AD28,ROW(AE28)-5,FALSE)</f>
        <v>#N/A</v>
      </c>
      <c r="AF28" s="214"/>
      <c r="AG28" s="265"/>
      <c r="AH28" s="168"/>
      <c r="AI28" s="168"/>
      <c r="AJ28" s="168">
        <v>0</v>
      </c>
      <c r="AK28" s="168">
        <v>0</v>
      </c>
      <c r="AL28" s="168">
        <v>0</v>
      </c>
    </row>
    <row r="29" spans="1:52" s="227" customFormat="1">
      <c r="A29" s="277" t="s">
        <v>4</v>
      </c>
      <c r="B29" s="267">
        <f>SUM(B30:B31)</f>
        <v>0</v>
      </c>
      <c r="C29" s="267">
        <f>SUM(C30:C31)</f>
        <v>0</v>
      </c>
      <c r="D29" s="267">
        <f t="shared" ref="D29:AE29" si="9">SUM(D30:D31)</f>
        <v>0</v>
      </c>
      <c r="E29" s="267">
        <f t="shared" si="9"/>
        <v>0</v>
      </c>
      <c r="F29" s="267">
        <f t="shared" ca="1" si="9"/>
        <v>0</v>
      </c>
      <c r="G29" s="267">
        <f t="shared" ca="1" si="9"/>
        <v>0</v>
      </c>
      <c r="H29" s="267">
        <f t="shared" ca="1" si="9"/>
        <v>0</v>
      </c>
      <c r="I29" s="267">
        <f t="shared" ca="1" si="9"/>
        <v>0</v>
      </c>
      <c r="J29" s="267">
        <f t="shared" ca="1" si="9"/>
        <v>0</v>
      </c>
      <c r="K29" s="267">
        <f t="shared" ca="1" si="9"/>
        <v>0</v>
      </c>
      <c r="L29" s="267">
        <f t="shared" ca="1" si="9"/>
        <v>0</v>
      </c>
      <c r="M29" s="267">
        <f t="shared" ca="1" si="9"/>
        <v>0</v>
      </c>
      <c r="N29" s="267">
        <f t="shared" ca="1" si="9"/>
        <v>0</v>
      </c>
      <c r="O29" s="267">
        <f t="shared" ca="1" si="9"/>
        <v>0</v>
      </c>
      <c r="P29" s="267">
        <f t="shared" ca="1" si="9"/>
        <v>0</v>
      </c>
      <c r="Q29" s="267">
        <f t="shared" ca="1" si="9"/>
        <v>0</v>
      </c>
      <c r="R29" s="267">
        <f ca="1">SUM(R30:R31)</f>
        <v>0</v>
      </c>
      <c r="S29" s="267">
        <f t="shared" ca="1" si="9"/>
        <v>0</v>
      </c>
      <c r="T29" s="267">
        <f t="shared" ca="1" si="9"/>
        <v>0</v>
      </c>
      <c r="U29" s="267">
        <f t="shared" ca="1" si="9"/>
        <v>0</v>
      </c>
      <c r="V29" s="267">
        <f t="shared" ca="1" si="9"/>
        <v>0</v>
      </c>
      <c r="W29" s="267">
        <f t="shared" ca="1" si="9"/>
        <v>0</v>
      </c>
      <c r="X29" s="267">
        <f t="shared" ca="1" si="9"/>
        <v>0</v>
      </c>
      <c r="Y29" s="267">
        <f t="shared" ca="1" si="9"/>
        <v>0</v>
      </c>
      <c r="Z29" s="267">
        <f t="shared" ca="1" si="9"/>
        <v>0</v>
      </c>
      <c r="AA29" s="267">
        <f t="shared" ca="1" si="9"/>
        <v>0</v>
      </c>
      <c r="AB29" s="267">
        <f t="shared" ca="1" si="9"/>
        <v>0</v>
      </c>
      <c r="AC29" s="267">
        <f t="shared" ca="1" si="9"/>
        <v>0</v>
      </c>
      <c r="AD29" s="267">
        <f t="shared" ca="1" si="9"/>
        <v>0</v>
      </c>
      <c r="AE29" s="267" t="e">
        <f t="shared" ca="1" si="9"/>
        <v>#N/A</v>
      </c>
      <c r="AF29" s="214"/>
      <c r="AG29" s="278"/>
      <c r="AH29" s="267">
        <f>SUM(AH30:AH31)</f>
        <v>0</v>
      </c>
      <c r="AI29" s="267">
        <f>SUM(AI30:AI31)</f>
        <v>0</v>
      </c>
      <c r="AJ29" s="267">
        <f>SUM(AJ30:AJ31)</f>
        <v>0</v>
      </c>
      <c r="AK29" s="267">
        <f>SUM(AK30:AK31)</f>
        <v>0</v>
      </c>
      <c r="AL29" s="267">
        <f>SUM(AL30:AL31)</f>
        <v>0</v>
      </c>
      <c r="AM29" s="279"/>
      <c r="AN29" s="279"/>
      <c r="AO29" s="279"/>
      <c r="AP29" s="279"/>
      <c r="AQ29" s="279"/>
      <c r="AR29" s="279"/>
      <c r="AS29" s="279"/>
      <c r="AT29" s="280"/>
      <c r="AU29" s="279"/>
      <c r="AV29" s="279"/>
      <c r="AW29" s="279"/>
      <c r="AX29" s="279"/>
      <c r="AY29" s="279"/>
      <c r="AZ29" s="280"/>
    </row>
    <row r="30" spans="1:52">
      <c r="A30" s="266" t="s">
        <v>398</v>
      </c>
      <c r="B30" s="168">
        <f>IFERROR(HLOOKUP(B$14,Data_Formatting!$AQ$122:$AU$148,ROW(B30)-ROW(B$14)-1,FALSE),0)</f>
        <v>0</v>
      </c>
      <c r="C30" s="168">
        <f>IFERROR(HLOOKUP(C$14,Data_Formatting!$AQ$122:$AU$148,ROW(C30)-ROW(C$14)-1,FALSE),0)</f>
        <v>0</v>
      </c>
      <c r="D30" s="168">
        <f>IFERROR(HLOOKUP(D$14,Data_Formatting!$AQ$122:$AU$148,ROW(D30)-ROW(D$14)-1,FALSE),0)</f>
        <v>0</v>
      </c>
      <c r="E30" s="168">
        <f>IFERROR(HLOOKUP(E$14,Data_Formatting!$AQ$122:$AU$148,ROW(E30)-ROW(E$14)-1,FALSE),0)</f>
        <v>0</v>
      </c>
      <c r="F30" s="168">
        <f ca="1">IFERROR(HLOOKUP(F$14,Data_Formatting!$E$122:$AN$148,ROW(F30)-ROW(F$14)-1,FALSE),0)</f>
        <v>0</v>
      </c>
      <c r="G30" s="168">
        <f ca="1">IFERROR(HLOOKUP(G$14,Data_Formatting!$E$122:$AN$148,ROW(G30)-ROW(G$14)-1,FALSE),0)</f>
        <v>0</v>
      </c>
      <c r="H30" s="168">
        <f ca="1">IFERROR(HLOOKUP(H$14,Data_Formatting!$E$122:$AN$148,ROW(H30)-ROW(H$14)-1,FALSE),0)</f>
        <v>0</v>
      </c>
      <c r="I30" s="168">
        <f ca="1">IFERROR(HLOOKUP(I$14,Data_Formatting!$E$122:$AN$148,ROW(I30)-ROW(I$14)-1,FALSE),0)</f>
        <v>0</v>
      </c>
      <c r="J30" s="168">
        <f ca="1">IFERROR(HLOOKUP(J$14,Data_Formatting!$E$122:$AN$148,ROW(J30)-ROW(J$14)-1,FALSE),0)</f>
        <v>0</v>
      </c>
      <c r="K30" s="168">
        <f ca="1">IFERROR(HLOOKUP(K$14,Data_Formatting!$E$122:$AN$148,ROW(K30)-ROW(K$14)-1,FALSE),0)</f>
        <v>0</v>
      </c>
      <c r="L30" s="168">
        <f ca="1">IFERROR(HLOOKUP(L$14,Data_Formatting!$E$122:$AN$148,ROW(L30)-ROW(L$14)-1,FALSE),0)</f>
        <v>0</v>
      </c>
      <c r="M30" s="168">
        <f ca="1">IFERROR(HLOOKUP(M$14,Data_Formatting!$E$122:$AN$148,ROW(M30)-ROW(M$14)-1,FALSE),0)</f>
        <v>0</v>
      </c>
      <c r="N30" s="168">
        <f ca="1">IFERROR(HLOOKUP(N$14,Data_Formatting!$E$122:$AN$148,ROW(N30)-ROW(N$14)-1,FALSE),0)</f>
        <v>0</v>
      </c>
      <c r="O30" s="168">
        <f ca="1">IFERROR(HLOOKUP(O$14,Data_Formatting!$E$122:$AN$148,ROW(O30)-ROW(O$14)-1,FALSE),0)</f>
        <v>0</v>
      </c>
      <c r="P30" s="168">
        <f ca="1">IFERROR(HLOOKUP(P$14,Data_Formatting!$E$122:$AN$148,ROW(P30)-ROW(P$14)-1,FALSE),0)</f>
        <v>0</v>
      </c>
      <c r="Q30" s="168">
        <f ca="1">IFERROR(HLOOKUP(Q$14,Data_Formatting!$E$122:$AN$148,ROW(Q30)-ROW(Q$14)-1,FALSE),0)</f>
        <v>0</v>
      </c>
      <c r="R30" s="168">
        <f ca="1">IFERROR(HLOOKUP(R$14,Data_Formatting!$AQ$122:$AU$148,ROW(R30)-ROW(R$14)-1,FALSE),0)</f>
        <v>0</v>
      </c>
      <c r="S30" s="168">
        <f ca="1">IFERROR(HLOOKUP(S$14,Data_Formatting!$E$122:$AN$148,ROW(S30)-ROW(S$14)-1,FALSE),0)</f>
        <v>0</v>
      </c>
      <c r="T30" s="168">
        <f ca="1">IFERROR(HLOOKUP(T$14,Data_Formatting!$E$122:$AN$148,ROW(T30)-ROW(T$14)-1,FALSE),0)</f>
        <v>0</v>
      </c>
      <c r="U30" s="168">
        <f ca="1">IFERROR(HLOOKUP(U$14,Data_Formatting!$E$122:$AN$148,ROW(U30)-ROW(U$14)-1,FALSE),0)</f>
        <v>0</v>
      </c>
      <c r="V30" s="168">
        <f ca="1">IFERROR(HLOOKUP(V$14,Data_Formatting!$E$122:$AN$148,ROW(V30)-ROW(V$14)-1,FALSE),0)</f>
        <v>0</v>
      </c>
      <c r="W30" s="168">
        <f ca="1">IFERROR(HLOOKUP(W$14,Data_Formatting!$E$122:$AN$148,ROW(W30)-ROW(W$14)-1,FALSE),0)</f>
        <v>0</v>
      </c>
      <c r="X30" s="168">
        <f ca="1">IFERROR(HLOOKUP(X$14,Data_Formatting!$E$122:$AN$148,ROW(X30)-ROW(X$14)-1,FALSE),0)</f>
        <v>0</v>
      </c>
      <c r="Y30" s="168">
        <f ca="1">IFERROR(HLOOKUP(Y$14,Data_Formatting!$E$122:$AN$148,ROW(Y30)-ROW(Y$14)-1,FALSE),0)</f>
        <v>0</v>
      </c>
      <c r="Z30" s="168">
        <f ca="1">IFERROR(HLOOKUP(Z$14,Data_Formatting!$E$122:$AN$148,ROW(Z30)-ROW(Z$14)-1,FALSE),0)</f>
        <v>0</v>
      </c>
      <c r="AA30" s="168">
        <f ca="1">IFERROR(HLOOKUP(AA$14,Data_Formatting!$E$122:$AN$148,ROW(AA30)-ROW(AA$14)-1,FALSE),0)</f>
        <v>0</v>
      </c>
      <c r="AB30" s="168">
        <f ca="1">IFERROR(HLOOKUP(AB$14,Data_Formatting!$E$122:$AN$148,ROW(AB30)-ROW(AB$14)-1,FALSE),0)</f>
        <v>0</v>
      </c>
      <c r="AC30" s="168">
        <f ca="1">IFERROR(HLOOKUP(AC$14,Data_Formatting!$E$122:$AN$148,ROW(AC30)-ROW(AC$14)-1,FALSE),0)</f>
        <v>0</v>
      </c>
      <c r="AD30" s="168">
        <f ca="1">IFERROR(HLOOKUP(AD$14,Data_Formatting!$E$122:$AN$148,ROW(AD30)-ROW(AD$14)-1,FALSE),0)</f>
        <v>0</v>
      </c>
      <c r="AE30" s="267" t="e">
        <f ca="1">HLOOKUP(1,S$6:AD30,ROW(AE30)-5,FALSE)</f>
        <v>#N/A</v>
      </c>
      <c r="AF30" s="214"/>
      <c r="AG30" s="265"/>
      <c r="AH30" s="168"/>
      <c r="AI30" s="168"/>
      <c r="AJ30" s="168">
        <f>AI30</f>
        <v>0</v>
      </c>
      <c r="AK30" s="168">
        <f>AJ30</f>
        <v>0</v>
      </c>
      <c r="AL30" s="168">
        <f>AK30</f>
        <v>0</v>
      </c>
      <c r="AM30" s="160"/>
      <c r="AN30" s="160"/>
      <c r="AO30" s="160"/>
      <c r="AP30" s="160"/>
      <c r="AQ30" s="160"/>
      <c r="AR30" s="160"/>
      <c r="AS30" s="160"/>
      <c r="AU30" s="160"/>
      <c r="AV30" s="160"/>
      <c r="AW30" s="160"/>
      <c r="AX30" s="160"/>
      <c r="AY30" s="160"/>
    </row>
    <row r="31" spans="1:52">
      <c r="A31" s="266" t="s">
        <v>399</v>
      </c>
      <c r="B31" s="267">
        <f>IFERROR(HLOOKUP(B$14,Data_Formatting!$AQ$122:$AU$148,ROW(B31)-ROW(B$14)-1,FALSE),0)</f>
        <v>0</v>
      </c>
      <c r="C31" s="267">
        <f>IFERROR(HLOOKUP(C$14,Data_Formatting!$AQ$122:$AU$148,ROW(C31)-ROW(C$14)-1,FALSE),0)</f>
        <v>0</v>
      </c>
      <c r="D31" s="267">
        <f>IFERROR(HLOOKUP(D$14,Data_Formatting!$AQ$122:$AU$148,ROW(D31)-ROW(D$14)-1,FALSE),0)</f>
        <v>0</v>
      </c>
      <c r="E31" s="267">
        <f>IFERROR(HLOOKUP(E$14,Data_Formatting!$AQ$122:$AU$148,ROW(E31)-ROW(E$14)-1,FALSE),0)</f>
        <v>0</v>
      </c>
      <c r="F31" s="267">
        <f ca="1">IFERROR(HLOOKUP(F$14,Data_Formatting!$E$122:$AN$148,ROW(F31)-ROW(F$14)-1,FALSE),0)</f>
        <v>0</v>
      </c>
      <c r="G31" s="267">
        <f ca="1">IFERROR(HLOOKUP(G$14,Data_Formatting!$E$122:$AN$148,ROW(G31)-ROW(G$14)-1,FALSE),0)</f>
        <v>0</v>
      </c>
      <c r="H31" s="267">
        <f ca="1">IFERROR(HLOOKUP(H$14,Data_Formatting!$E$122:$AN$148,ROW(H31)-ROW(H$14)-1,FALSE),0)</f>
        <v>0</v>
      </c>
      <c r="I31" s="267">
        <f ca="1">IFERROR(HLOOKUP(I$14,Data_Formatting!$E$122:$AN$148,ROW(I31)-ROW(I$14)-1,FALSE),0)</f>
        <v>0</v>
      </c>
      <c r="J31" s="267">
        <f ca="1">IFERROR(HLOOKUP(J$14,Data_Formatting!$E$122:$AN$148,ROW(J31)-ROW(J$14)-1,FALSE),0)</f>
        <v>0</v>
      </c>
      <c r="K31" s="267">
        <f ca="1">IFERROR(HLOOKUP(K$14,Data_Formatting!$E$122:$AN$148,ROW(K31)-ROW(K$14)-1,FALSE),0)</f>
        <v>0</v>
      </c>
      <c r="L31" s="267">
        <f ca="1">IFERROR(HLOOKUP(L$14,Data_Formatting!$E$122:$AN$148,ROW(L31)-ROW(L$14)-1,FALSE),0)</f>
        <v>0</v>
      </c>
      <c r="M31" s="267">
        <f ca="1">IFERROR(HLOOKUP(M$14,Data_Formatting!$E$122:$AN$148,ROW(M31)-ROW(M$14)-1,FALSE),0)</f>
        <v>0</v>
      </c>
      <c r="N31" s="267">
        <f ca="1">IFERROR(HLOOKUP(N$14,Data_Formatting!$E$122:$AN$148,ROW(N31)-ROW(N$14)-1,FALSE),0)</f>
        <v>0</v>
      </c>
      <c r="O31" s="267">
        <f ca="1">IFERROR(HLOOKUP(O$14,Data_Formatting!$E$122:$AN$148,ROW(O31)-ROW(O$14)-1,FALSE),0)</f>
        <v>0</v>
      </c>
      <c r="P31" s="267">
        <f ca="1">IFERROR(HLOOKUP(P$14,Data_Formatting!$E$122:$AN$148,ROW(P31)-ROW(P$14)-1,FALSE),0)</f>
        <v>0</v>
      </c>
      <c r="Q31" s="267">
        <f ca="1">IFERROR(HLOOKUP(Q$14,Data_Formatting!$E$122:$AN$148,ROW(Q31)-ROW(Q$14)-1,FALSE),0)</f>
        <v>0</v>
      </c>
      <c r="R31" s="267">
        <f ca="1">IFERROR(HLOOKUP(R$14,Data_Formatting!$AQ$122:$AU$148,ROW(R31)-ROW(R$14)-1,FALSE),0)</f>
        <v>0</v>
      </c>
      <c r="S31" s="267">
        <f ca="1">IFERROR(HLOOKUP(S$14,Data_Formatting!$E$122:$AN$148,ROW(S31)-ROW(S$14)-1,FALSE),0)</f>
        <v>0</v>
      </c>
      <c r="T31" s="267">
        <f ca="1">IFERROR(HLOOKUP(T$14,Data_Formatting!$E$122:$AN$148,ROW(T31)-ROW(T$14)-1,FALSE),0)</f>
        <v>0</v>
      </c>
      <c r="U31" s="267">
        <f ca="1">IFERROR(HLOOKUP(U$14,Data_Formatting!$E$122:$AN$148,ROW(U31)-ROW(U$14)-1,FALSE),0)</f>
        <v>0</v>
      </c>
      <c r="V31" s="267">
        <f ca="1">IFERROR(HLOOKUP(V$14,Data_Formatting!$E$122:$AN$148,ROW(V31)-ROW(V$14)-1,FALSE),0)</f>
        <v>0</v>
      </c>
      <c r="W31" s="267">
        <f ca="1">IFERROR(HLOOKUP(W$14,Data_Formatting!$E$122:$AN$148,ROW(W31)-ROW(W$14)-1,FALSE),0)</f>
        <v>0</v>
      </c>
      <c r="X31" s="267">
        <f ca="1">IFERROR(HLOOKUP(X$14,Data_Formatting!$E$122:$AN$148,ROW(X31)-ROW(X$14)-1,FALSE),0)</f>
        <v>0</v>
      </c>
      <c r="Y31" s="267">
        <f ca="1">IFERROR(HLOOKUP(Y$14,Data_Formatting!$E$122:$AN$148,ROW(Y31)-ROW(Y$14)-1,FALSE),0)</f>
        <v>0</v>
      </c>
      <c r="Z31" s="267">
        <f ca="1">IFERROR(HLOOKUP(Z$14,Data_Formatting!$E$122:$AN$148,ROW(Z31)-ROW(Z$14)-1,FALSE),0)</f>
        <v>0</v>
      </c>
      <c r="AA31" s="267">
        <f ca="1">IFERROR(HLOOKUP(AA$14,Data_Formatting!$E$122:$AN$148,ROW(AA31)-ROW(AA$14)-1,FALSE),0)</f>
        <v>0</v>
      </c>
      <c r="AB31" s="267">
        <f ca="1">IFERROR(HLOOKUP(AB$14,Data_Formatting!$E$122:$AN$148,ROW(AB31)-ROW(AB$14)-1,FALSE),0)</f>
        <v>0</v>
      </c>
      <c r="AC31" s="267">
        <f ca="1">IFERROR(HLOOKUP(AC$14,Data_Formatting!$E$122:$AN$148,ROW(AC31)-ROW(AC$14)-1,FALSE),0)</f>
        <v>0</v>
      </c>
      <c r="AD31" s="267">
        <f ca="1">IFERROR(HLOOKUP(AD$14,Data_Formatting!$E$122:$AN$148,ROW(AD31)-ROW(AD$14)-1,FALSE),0)</f>
        <v>0</v>
      </c>
      <c r="AE31" s="267" t="e">
        <f ca="1">HLOOKUP(1,S$6:AD31,ROW(AE31)-5,FALSE)</f>
        <v>#N/A</v>
      </c>
      <c r="AF31" s="214"/>
      <c r="AG31" s="265"/>
      <c r="AH31" s="267">
        <f>SUM(AH32:AH34)</f>
        <v>0</v>
      </c>
      <c r="AI31" s="267">
        <f>SUM(AI32:AI34)</f>
        <v>0</v>
      </c>
      <c r="AJ31" s="267">
        <f>SUM(AJ32:AJ34)</f>
        <v>0</v>
      </c>
      <c r="AK31" s="267">
        <f>SUM(AK32:AK34)</f>
        <v>0</v>
      </c>
      <c r="AL31" s="267">
        <f>SUM(AL32:AL34)</f>
        <v>0</v>
      </c>
      <c r="AM31" s="160"/>
      <c r="AN31" s="160"/>
      <c r="AO31" s="160"/>
      <c r="AP31" s="160"/>
      <c r="AQ31" s="160"/>
      <c r="AR31" s="160"/>
      <c r="AS31" s="160"/>
      <c r="AU31" s="160"/>
      <c r="AV31" s="160"/>
      <c r="AW31" s="160"/>
      <c r="AX31" s="160"/>
      <c r="AY31" s="160"/>
    </row>
    <row r="32" spans="1:52">
      <c r="A32" s="281" t="s">
        <v>400</v>
      </c>
      <c r="B32" s="168">
        <f>IFERROR(HLOOKUP(B$14,Data_Formatting!$AQ$122:$AU$148,ROW(B32)-ROW(B$14)-1,FALSE),0)</f>
        <v>0</v>
      </c>
      <c r="C32" s="168">
        <f>IFERROR(HLOOKUP(C$14,Data_Formatting!$AQ$122:$AU$148,ROW(C32)-ROW(C$14)-1,FALSE),0)</f>
        <v>0</v>
      </c>
      <c r="D32" s="168">
        <f>IFERROR(HLOOKUP(D$14,Data_Formatting!$AQ$122:$AU$148,ROW(D32)-ROW(D$14)-1,FALSE),0)</f>
        <v>0</v>
      </c>
      <c r="E32" s="168">
        <f>IFERROR(HLOOKUP(E$14,Data_Formatting!$AQ$122:$AU$148,ROW(E32)-ROW(E$14)-1,FALSE),0)</f>
        <v>0</v>
      </c>
      <c r="F32" s="168">
        <f ca="1">IFERROR(HLOOKUP(F$14,Data_Formatting!$E$122:$AN$148,ROW(F32)-ROW(F$14)-1,FALSE),0)</f>
        <v>0</v>
      </c>
      <c r="G32" s="168">
        <f ca="1">IFERROR(HLOOKUP(G$14,Data_Formatting!$E$122:$AN$148,ROW(G32)-ROW(G$14)-1,FALSE),0)</f>
        <v>0</v>
      </c>
      <c r="H32" s="168">
        <f ca="1">IFERROR(HLOOKUP(H$14,Data_Formatting!$E$122:$AN$148,ROW(H32)-ROW(H$14)-1,FALSE),0)</f>
        <v>0</v>
      </c>
      <c r="I32" s="168">
        <f ca="1">IFERROR(HLOOKUP(I$14,Data_Formatting!$E$122:$AN$148,ROW(I32)-ROW(I$14)-1,FALSE),0)</f>
        <v>0</v>
      </c>
      <c r="J32" s="168">
        <f ca="1">IFERROR(HLOOKUP(J$14,Data_Formatting!$E$122:$AN$148,ROW(J32)-ROW(J$14)-1,FALSE),0)</f>
        <v>0</v>
      </c>
      <c r="K32" s="168">
        <f ca="1">IFERROR(HLOOKUP(K$14,Data_Formatting!$E$122:$AN$148,ROW(K32)-ROW(K$14)-1,FALSE),0)</f>
        <v>0</v>
      </c>
      <c r="L32" s="168">
        <f ca="1">IFERROR(HLOOKUP(L$14,Data_Formatting!$E$122:$AN$148,ROW(L32)-ROW(L$14)-1,FALSE),0)</f>
        <v>0</v>
      </c>
      <c r="M32" s="168">
        <f ca="1">IFERROR(HLOOKUP(M$14,Data_Formatting!$E$122:$AN$148,ROW(M32)-ROW(M$14)-1,FALSE),0)</f>
        <v>0</v>
      </c>
      <c r="N32" s="168">
        <f ca="1">IFERROR(HLOOKUP(N$14,Data_Formatting!$E$122:$AN$148,ROW(N32)-ROW(N$14)-1,FALSE),0)</f>
        <v>0</v>
      </c>
      <c r="O32" s="168">
        <f ca="1">IFERROR(HLOOKUP(O$14,Data_Formatting!$E$122:$AN$148,ROW(O32)-ROW(O$14)-1,FALSE),0)</f>
        <v>0</v>
      </c>
      <c r="P32" s="168">
        <f ca="1">IFERROR(HLOOKUP(P$14,Data_Formatting!$E$122:$AN$148,ROW(P32)-ROW(P$14)-1,FALSE),0)</f>
        <v>0</v>
      </c>
      <c r="Q32" s="168">
        <f ca="1">IFERROR(HLOOKUP(Q$14,Data_Formatting!$E$122:$AN$148,ROW(Q32)-ROW(Q$14)-1,FALSE),0)</f>
        <v>0</v>
      </c>
      <c r="R32" s="168">
        <f ca="1">IFERROR(HLOOKUP(R$14,Data_Formatting!$AQ$122:$AU$148,ROW(R32)-ROW(R$14)-1,FALSE),0)</f>
        <v>0</v>
      </c>
      <c r="S32" s="168">
        <f ca="1">IFERROR(HLOOKUP(S$14,Data_Formatting!$E$122:$AN$148,ROW(S32)-ROW(S$14)-1,FALSE),0)</f>
        <v>0</v>
      </c>
      <c r="T32" s="168">
        <f ca="1">IFERROR(HLOOKUP(T$14,Data_Formatting!$E$122:$AN$148,ROW(T32)-ROW(T$14)-1,FALSE),0)</f>
        <v>0</v>
      </c>
      <c r="U32" s="168">
        <f ca="1">IFERROR(HLOOKUP(U$14,Data_Formatting!$E$122:$AN$148,ROW(U32)-ROW(U$14)-1,FALSE),0)</f>
        <v>0</v>
      </c>
      <c r="V32" s="168">
        <f ca="1">IFERROR(HLOOKUP(V$14,Data_Formatting!$E$122:$AN$148,ROW(V32)-ROW(V$14)-1,FALSE),0)</f>
        <v>0</v>
      </c>
      <c r="W32" s="168">
        <f ca="1">IFERROR(HLOOKUP(W$14,Data_Formatting!$E$122:$AN$148,ROW(W32)-ROW(W$14)-1,FALSE),0)</f>
        <v>0</v>
      </c>
      <c r="X32" s="168">
        <f ca="1">IFERROR(HLOOKUP(X$14,Data_Formatting!$E$122:$AN$148,ROW(X32)-ROW(X$14)-1,FALSE),0)</f>
        <v>0</v>
      </c>
      <c r="Y32" s="168">
        <f ca="1">IFERROR(HLOOKUP(Y$14,Data_Formatting!$E$122:$AN$148,ROW(Y32)-ROW(Y$14)-1,FALSE),0)</f>
        <v>0</v>
      </c>
      <c r="Z32" s="168">
        <f ca="1">IFERROR(HLOOKUP(Z$14,Data_Formatting!$E$122:$AN$148,ROW(Z32)-ROW(Z$14)-1,FALSE),0)</f>
        <v>0</v>
      </c>
      <c r="AA32" s="168">
        <f ca="1">IFERROR(HLOOKUP(AA$14,Data_Formatting!$E$122:$AN$148,ROW(AA32)-ROW(AA$14)-1,FALSE),0)</f>
        <v>0</v>
      </c>
      <c r="AB32" s="168">
        <f ca="1">IFERROR(HLOOKUP(AB$14,Data_Formatting!$E$122:$AN$148,ROW(AB32)-ROW(AB$14)-1,FALSE),0)</f>
        <v>0</v>
      </c>
      <c r="AC32" s="168">
        <f ca="1">IFERROR(HLOOKUP(AC$14,Data_Formatting!$E$122:$AN$148,ROW(AC32)-ROW(AC$14)-1,FALSE),0)</f>
        <v>0</v>
      </c>
      <c r="AD32" s="168">
        <f ca="1">IFERROR(HLOOKUP(AD$14,Data_Formatting!$E$122:$AN$148,ROW(AD32)-ROW(AD$14)-1,FALSE),0)</f>
        <v>0</v>
      </c>
      <c r="AE32" s="267" t="e">
        <f ca="1">HLOOKUP(1,S$6:AD32,ROW(AE32)-5,FALSE)</f>
        <v>#N/A</v>
      </c>
      <c r="AF32" s="214"/>
      <c r="AG32" s="265"/>
      <c r="AH32" s="168"/>
      <c r="AI32" s="168"/>
      <c r="AJ32" s="168">
        <v>0</v>
      </c>
      <c r="AK32" s="168">
        <v>0</v>
      </c>
      <c r="AL32" s="168">
        <v>0</v>
      </c>
      <c r="AM32" s="160"/>
      <c r="AN32" s="160"/>
      <c r="AO32" s="160"/>
      <c r="AP32" s="160"/>
      <c r="AQ32" s="160"/>
      <c r="AR32" s="160"/>
      <c r="AS32" s="160"/>
      <c r="AU32" s="160"/>
      <c r="AV32" s="160"/>
      <c r="AW32" s="160"/>
      <c r="AX32" s="160"/>
      <c r="AY32" s="160"/>
    </row>
    <row r="33" spans="1:52">
      <c r="A33" s="281" t="s">
        <v>401</v>
      </c>
      <c r="B33" s="168">
        <f>IFERROR(HLOOKUP(B$14,Data_Formatting!$AQ$122:$AU$148,ROW(B33)-ROW(B$14)-1,FALSE),0)</f>
        <v>0</v>
      </c>
      <c r="C33" s="168">
        <f>IFERROR(HLOOKUP(C$14,Data_Formatting!$AQ$122:$AU$148,ROW(C33)-ROW(C$14)-1,FALSE),0)</f>
        <v>0</v>
      </c>
      <c r="D33" s="168">
        <f>IFERROR(HLOOKUP(D$14,Data_Formatting!$AQ$122:$AU$148,ROW(D33)-ROW(D$14)-1,FALSE),0)</f>
        <v>0</v>
      </c>
      <c r="E33" s="168">
        <f>IFERROR(HLOOKUP(E$14,Data_Formatting!$AQ$122:$AU$148,ROW(E33)-ROW(E$14)-1,FALSE),0)</f>
        <v>0</v>
      </c>
      <c r="F33" s="168">
        <f ca="1">IFERROR(HLOOKUP(F$14,Data_Formatting!$E$122:$AN$148,ROW(F33)-ROW(F$14)-1,FALSE),0)</f>
        <v>0</v>
      </c>
      <c r="G33" s="168">
        <f ca="1">IFERROR(HLOOKUP(G$14,Data_Formatting!$E$122:$AN$148,ROW(G33)-ROW(G$14)-1,FALSE),0)</f>
        <v>0</v>
      </c>
      <c r="H33" s="168">
        <f ca="1">IFERROR(HLOOKUP(H$14,Data_Formatting!$E$122:$AN$148,ROW(H33)-ROW(H$14)-1,FALSE),0)</f>
        <v>0</v>
      </c>
      <c r="I33" s="168">
        <f ca="1">IFERROR(HLOOKUP(I$14,Data_Formatting!$E$122:$AN$148,ROW(I33)-ROW(I$14)-1,FALSE),0)</f>
        <v>0</v>
      </c>
      <c r="J33" s="168">
        <f ca="1">IFERROR(HLOOKUP(J$14,Data_Formatting!$E$122:$AN$148,ROW(J33)-ROW(J$14)-1,FALSE),0)</f>
        <v>0</v>
      </c>
      <c r="K33" s="168">
        <f ca="1">IFERROR(HLOOKUP(K$14,Data_Formatting!$E$122:$AN$148,ROW(K33)-ROW(K$14)-1,FALSE),0)</f>
        <v>0</v>
      </c>
      <c r="L33" s="168">
        <f ca="1">IFERROR(HLOOKUP(L$14,Data_Formatting!$E$122:$AN$148,ROW(L33)-ROW(L$14)-1,FALSE),0)</f>
        <v>0</v>
      </c>
      <c r="M33" s="168">
        <f ca="1">IFERROR(HLOOKUP(M$14,Data_Formatting!$E$122:$AN$148,ROW(M33)-ROW(M$14)-1,FALSE),0)</f>
        <v>0</v>
      </c>
      <c r="N33" s="168">
        <f ca="1">IFERROR(HLOOKUP(N$14,Data_Formatting!$E$122:$AN$148,ROW(N33)-ROW(N$14)-1,FALSE),0)</f>
        <v>0</v>
      </c>
      <c r="O33" s="168">
        <f ca="1">IFERROR(HLOOKUP(O$14,Data_Formatting!$E$122:$AN$148,ROW(O33)-ROW(O$14)-1,FALSE),0)</f>
        <v>0</v>
      </c>
      <c r="P33" s="168">
        <f ca="1">IFERROR(HLOOKUP(P$14,Data_Formatting!$E$122:$AN$148,ROW(P33)-ROW(P$14)-1,FALSE),0)</f>
        <v>0</v>
      </c>
      <c r="Q33" s="168">
        <f ca="1">IFERROR(HLOOKUP(Q$14,Data_Formatting!$E$122:$AN$148,ROW(Q33)-ROW(Q$14)-1,FALSE),0)</f>
        <v>0</v>
      </c>
      <c r="R33" s="168">
        <f ca="1">IFERROR(HLOOKUP(R$14,Data_Formatting!$AQ$122:$AU$148,ROW(R33)-ROW(R$14)-1,FALSE),0)</f>
        <v>0</v>
      </c>
      <c r="S33" s="168">
        <f ca="1">IFERROR(HLOOKUP(S$14,Data_Formatting!$E$122:$AN$148,ROW(S33)-ROW(S$14)-1,FALSE),0)</f>
        <v>0</v>
      </c>
      <c r="T33" s="168">
        <f ca="1">IFERROR(HLOOKUP(T$14,Data_Formatting!$E$122:$AN$148,ROW(T33)-ROW(T$14)-1,FALSE),0)</f>
        <v>0</v>
      </c>
      <c r="U33" s="168">
        <f ca="1">IFERROR(HLOOKUP(U$14,Data_Formatting!$E$122:$AN$148,ROW(U33)-ROW(U$14)-1,FALSE),0)</f>
        <v>0</v>
      </c>
      <c r="V33" s="168">
        <f ca="1">IFERROR(HLOOKUP(V$14,Data_Formatting!$E$122:$AN$148,ROW(V33)-ROW(V$14)-1,FALSE),0)</f>
        <v>0</v>
      </c>
      <c r="W33" s="168">
        <f ca="1">IFERROR(HLOOKUP(W$14,Data_Formatting!$E$122:$AN$148,ROW(W33)-ROW(W$14)-1,FALSE),0)</f>
        <v>0</v>
      </c>
      <c r="X33" s="168">
        <f ca="1">IFERROR(HLOOKUP(X$14,Data_Formatting!$E$122:$AN$148,ROW(X33)-ROW(X$14)-1,FALSE),0)</f>
        <v>0</v>
      </c>
      <c r="Y33" s="168">
        <f ca="1">IFERROR(HLOOKUP(Y$14,Data_Formatting!$E$122:$AN$148,ROW(Y33)-ROW(Y$14)-1,FALSE),0)</f>
        <v>0</v>
      </c>
      <c r="Z33" s="168">
        <f ca="1">IFERROR(HLOOKUP(Z$14,Data_Formatting!$E$122:$AN$148,ROW(Z33)-ROW(Z$14)-1,FALSE),0)</f>
        <v>0</v>
      </c>
      <c r="AA33" s="168">
        <f ca="1">IFERROR(HLOOKUP(AA$14,Data_Formatting!$E$122:$AN$148,ROW(AA33)-ROW(AA$14)-1,FALSE),0)</f>
        <v>0</v>
      </c>
      <c r="AB33" s="168">
        <f ca="1">IFERROR(HLOOKUP(AB$14,Data_Formatting!$E$122:$AN$148,ROW(AB33)-ROW(AB$14)-1,FALSE),0)</f>
        <v>0</v>
      </c>
      <c r="AC33" s="168">
        <f ca="1">IFERROR(HLOOKUP(AC$14,Data_Formatting!$E$122:$AN$148,ROW(AC33)-ROW(AC$14)-1,FALSE),0)</f>
        <v>0</v>
      </c>
      <c r="AD33" s="168">
        <f ca="1">IFERROR(HLOOKUP(AD$14,Data_Formatting!$E$122:$AN$148,ROW(AD33)-ROW(AD$14)-1,FALSE),0)</f>
        <v>0</v>
      </c>
      <c r="AE33" s="267" t="e">
        <f ca="1">HLOOKUP(1,S$6:AD33,ROW(AE33)-5,FALSE)</f>
        <v>#N/A</v>
      </c>
      <c r="AF33" s="214"/>
      <c r="AG33" s="265"/>
      <c r="AH33" s="168"/>
      <c r="AI33" s="168"/>
      <c r="AJ33" s="168"/>
      <c r="AK33" s="168"/>
      <c r="AL33" s="168"/>
      <c r="AM33" s="160"/>
      <c r="AN33" s="160"/>
      <c r="AO33" s="160"/>
      <c r="AP33" s="160"/>
      <c r="AQ33" s="160"/>
      <c r="AR33" s="160"/>
      <c r="AS33" s="160"/>
      <c r="AU33" s="160"/>
      <c r="AV33" s="160"/>
      <c r="AW33" s="160"/>
      <c r="AX33" s="160"/>
      <c r="AY33" s="160"/>
    </row>
    <row r="34" spans="1:52">
      <c r="A34" s="281" t="s">
        <v>402</v>
      </c>
      <c r="B34" s="168">
        <f>IFERROR(HLOOKUP(B$14,Data_Formatting!$AQ$122:$AU$148,ROW(B34)-ROW(B$14)-1,FALSE),0)</f>
        <v>0</v>
      </c>
      <c r="C34" s="168">
        <f>IFERROR(HLOOKUP(C$14,Data_Formatting!$AQ$122:$AU$148,ROW(C34)-ROW(C$14)-1,FALSE),0)</f>
        <v>0</v>
      </c>
      <c r="D34" s="168">
        <f>IFERROR(HLOOKUP(D$14,Data_Formatting!$AQ$122:$AU$148,ROW(D34)-ROW(D$14)-1,FALSE),0)</f>
        <v>0</v>
      </c>
      <c r="E34" s="168">
        <f>IFERROR(HLOOKUP(E$14,Data_Formatting!$AQ$122:$AU$148,ROW(E34)-ROW(E$14)-1,FALSE),0)</f>
        <v>0</v>
      </c>
      <c r="F34" s="168">
        <f ca="1">IFERROR(HLOOKUP(F$14,Data_Formatting!$E$122:$AN$148,ROW(F34)-ROW(F$14)-1,FALSE),0)</f>
        <v>0</v>
      </c>
      <c r="G34" s="168">
        <f ca="1">IFERROR(HLOOKUP(G$14,Data_Formatting!$E$122:$AN$148,ROW(G34)-ROW(G$14)-1,FALSE),0)</f>
        <v>0</v>
      </c>
      <c r="H34" s="168">
        <f ca="1">IFERROR(HLOOKUP(H$14,Data_Formatting!$E$122:$AN$148,ROW(H34)-ROW(H$14)-1,FALSE),0)</f>
        <v>0</v>
      </c>
      <c r="I34" s="168">
        <f ca="1">IFERROR(HLOOKUP(I$14,Data_Formatting!$E$122:$AN$148,ROW(I34)-ROW(I$14)-1,FALSE),0)</f>
        <v>0</v>
      </c>
      <c r="J34" s="168">
        <f ca="1">IFERROR(HLOOKUP(J$14,Data_Formatting!$E$122:$AN$148,ROW(J34)-ROW(J$14)-1,FALSE),0)</f>
        <v>0</v>
      </c>
      <c r="K34" s="168">
        <f ca="1">IFERROR(HLOOKUP(K$14,Data_Formatting!$E$122:$AN$148,ROW(K34)-ROW(K$14)-1,FALSE),0)</f>
        <v>0</v>
      </c>
      <c r="L34" s="168">
        <f ca="1">IFERROR(HLOOKUP(L$14,Data_Formatting!$E$122:$AN$148,ROW(L34)-ROW(L$14)-1,FALSE),0)</f>
        <v>0</v>
      </c>
      <c r="M34" s="168">
        <f ca="1">IFERROR(HLOOKUP(M$14,Data_Formatting!$E$122:$AN$148,ROW(M34)-ROW(M$14)-1,FALSE),0)</f>
        <v>0</v>
      </c>
      <c r="N34" s="168">
        <f ca="1">IFERROR(HLOOKUP(N$14,Data_Formatting!$E$122:$AN$148,ROW(N34)-ROW(N$14)-1,FALSE),0)</f>
        <v>0</v>
      </c>
      <c r="O34" s="168">
        <f ca="1">IFERROR(HLOOKUP(O$14,Data_Formatting!$E$122:$AN$148,ROW(O34)-ROW(O$14)-1,FALSE),0)</f>
        <v>0</v>
      </c>
      <c r="P34" s="168">
        <f ca="1">IFERROR(HLOOKUP(P$14,Data_Formatting!$E$122:$AN$148,ROW(P34)-ROW(P$14)-1,FALSE),0)</f>
        <v>0</v>
      </c>
      <c r="Q34" s="168">
        <f ca="1">IFERROR(HLOOKUP(Q$14,Data_Formatting!$E$122:$AN$148,ROW(Q34)-ROW(Q$14)-1,FALSE),0)</f>
        <v>0</v>
      </c>
      <c r="R34" s="168">
        <f ca="1">IFERROR(HLOOKUP(R$14,Data_Formatting!$AQ$122:$AU$148,ROW(R34)-ROW(R$14)-1,FALSE),0)</f>
        <v>0</v>
      </c>
      <c r="S34" s="168">
        <f ca="1">IFERROR(HLOOKUP(S$14,Data_Formatting!$E$122:$AN$148,ROW(S34)-ROW(S$14)-1,FALSE),0)</f>
        <v>0</v>
      </c>
      <c r="T34" s="168">
        <f ca="1">IFERROR(HLOOKUP(T$14,Data_Formatting!$E$122:$AN$148,ROW(T34)-ROW(T$14)-1,FALSE),0)</f>
        <v>0</v>
      </c>
      <c r="U34" s="168">
        <f ca="1">IFERROR(HLOOKUP(U$14,Data_Formatting!$E$122:$AN$148,ROW(U34)-ROW(U$14)-1,FALSE),0)</f>
        <v>0</v>
      </c>
      <c r="V34" s="168">
        <f ca="1">IFERROR(HLOOKUP(V$14,Data_Formatting!$E$122:$AN$148,ROW(V34)-ROW(V$14)-1,FALSE),0)</f>
        <v>0</v>
      </c>
      <c r="W34" s="168">
        <f ca="1">IFERROR(HLOOKUP(W$14,Data_Formatting!$E$122:$AN$148,ROW(W34)-ROW(W$14)-1,FALSE),0)</f>
        <v>0</v>
      </c>
      <c r="X34" s="168">
        <f ca="1">IFERROR(HLOOKUP(X$14,Data_Formatting!$E$122:$AN$148,ROW(X34)-ROW(X$14)-1,FALSE),0)</f>
        <v>0</v>
      </c>
      <c r="Y34" s="168">
        <f ca="1">IFERROR(HLOOKUP(Y$14,Data_Formatting!$E$122:$AN$148,ROW(Y34)-ROW(Y$14)-1,FALSE),0)</f>
        <v>0</v>
      </c>
      <c r="Z34" s="168">
        <f ca="1">IFERROR(HLOOKUP(Z$14,Data_Formatting!$E$122:$AN$148,ROW(Z34)-ROW(Z$14)-1,FALSE),0)</f>
        <v>0</v>
      </c>
      <c r="AA34" s="168">
        <f ca="1">IFERROR(HLOOKUP(AA$14,Data_Formatting!$E$122:$AN$148,ROW(AA34)-ROW(AA$14)-1,FALSE),0)</f>
        <v>0</v>
      </c>
      <c r="AB34" s="168">
        <f ca="1">IFERROR(HLOOKUP(AB$14,Data_Formatting!$E$122:$AN$148,ROW(AB34)-ROW(AB$14)-1,FALSE),0)</f>
        <v>0</v>
      </c>
      <c r="AC34" s="168">
        <f ca="1">IFERROR(HLOOKUP(AC$14,Data_Formatting!$E$122:$AN$148,ROW(AC34)-ROW(AC$14)-1,FALSE),0)</f>
        <v>0</v>
      </c>
      <c r="AD34" s="168">
        <f ca="1">IFERROR(HLOOKUP(AD$14,Data_Formatting!$E$122:$AN$148,ROW(AD34)-ROW(AD$14)-1,FALSE),0)</f>
        <v>0</v>
      </c>
      <c r="AE34" s="267" t="e">
        <f ca="1">HLOOKUP(1,S$6:AD34,ROW(AE34)-5,FALSE)</f>
        <v>#N/A</v>
      </c>
      <c r="AF34" s="214"/>
      <c r="AG34" s="265"/>
      <c r="AH34" s="168"/>
      <c r="AI34" s="168"/>
      <c r="AJ34" s="168">
        <f>AI34</f>
        <v>0</v>
      </c>
      <c r="AK34" s="168">
        <f>AJ34</f>
        <v>0</v>
      </c>
      <c r="AL34" s="168">
        <f>AK34</f>
        <v>0</v>
      </c>
      <c r="AM34" s="160"/>
      <c r="AN34" s="160"/>
      <c r="AO34" s="160"/>
      <c r="AP34" s="160"/>
      <c r="AQ34" s="160"/>
      <c r="AR34" s="160"/>
      <c r="AS34" s="160"/>
      <c r="AU34" s="160"/>
      <c r="AV34" s="160"/>
      <c r="AW34" s="160"/>
      <c r="AX34" s="160"/>
      <c r="AY34" s="160"/>
    </row>
    <row r="35" spans="1:52">
      <c r="A35" s="203" t="s">
        <v>5</v>
      </c>
      <c r="B35" s="168">
        <f>IFERROR(HLOOKUP(B$14,Data_Formatting!$AQ$122:$AU$148,ROW(B35)-ROW(B$14)-1,FALSE),0)</f>
        <v>0</v>
      </c>
      <c r="C35" s="168">
        <f>IFERROR(HLOOKUP(C$14,Data_Formatting!$AQ$122:$AU$148,ROW(C35)-ROW(C$14)-1,FALSE),0)</f>
        <v>0</v>
      </c>
      <c r="D35" s="168">
        <f>IFERROR(HLOOKUP(D$14,Data_Formatting!$AQ$122:$AU$148,ROW(D35)-ROW(D$14)-1,FALSE),0)</f>
        <v>0</v>
      </c>
      <c r="E35" s="168">
        <f>IFERROR(HLOOKUP(E$14,Data_Formatting!$AQ$122:$AU$148,ROW(E35)-ROW(E$14)-1,FALSE),0)</f>
        <v>0</v>
      </c>
      <c r="F35" s="168">
        <f ca="1">IFERROR(HLOOKUP(F$14,Data_Formatting!$E$122:$AN$148,ROW(F35)-ROW(F$14)-1,FALSE),0)</f>
        <v>0</v>
      </c>
      <c r="G35" s="168">
        <f ca="1">IFERROR(HLOOKUP(G$14,Data_Formatting!$E$122:$AN$148,ROW(G35)-ROW(G$14)-1,FALSE),0)</f>
        <v>0</v>
      </c>
      <c r="H35" s="168">
        <f ca="1">IFERROR(HLOOKUP(H$14,Data_Formatting!$E$122:$AN$148,ROW(H35)-ROW(H$14)-1,FALSE),0)</f>
        <v>0</v>
      </c>
      <c r="I35" s="168">
        <f ca="1">IFERROR(HLOOKUP(I$14,Data_Formatting!$E$122:$AN$148,ROW(I35)-ROW(I$14)-1,FALSE),0)</f>
        <v>0</v>
      </c>
      <c r="J35" s="168">
        <f ca="1">IFERROR(HLOOKUP(J$14,Data_Formatting!$E$122:$AN$148,ROW(J35)-ROW(J$14)-1,FALSE),0)</f>
        <v>0</v>
      </c>
      <c r="K35" s="168">
        <f ca="1">IFERROR(HLOOKUP(K$14,Data_Formatting!$E$122:$AN$148,ROW(K35)-ROW(K$14)-1,FALSE),0)</f>
        <v>0</v>
      </c>
      <c r="L35" s="168">
        <f ca="1">IFERROR(HLOOKUP(L$14,Data_Formatting!$E$122:$AN$148,ROW(L35)-ROW(L$14)-1,FALSE),0)</f>
        <v>0</v>
      </c>
      <c r="M35" s="168">
        <f ca="1">IFERROR(HLOOKUP(M$14,Data_Formatting!$E$122:$AN$148,ROW(M35)-ROW(M$14)-1,FALSE),0)</f>
        <v>0</v>
      </c>
      <c r="N35" s="168">
        <f ca="1">IFERROR(HLOOKUP(N$14,Data_Formatting!$E$122:$AN$148,ROW(N35)-ROW(N$14)-1,FALSE),0)</f>
        <v>0</v>
      </c>
      <c r="O35" s="168">
        <f ca="1">IFERROR(HLOOKUP(O$14,Data_Formatting!$E$122:$AN$148,ROW(O35)-ROW(O$14)-1,FALSE),0)</f>
        <v>0</v>
      </c>
      <c r="P35" s="168">
        <f ca="1">IFERROR(HLOOKUP(P$14,Data_Formatting!$E$122:$AN$148,ROW(P35)-ROW(P$14)-1,FALSE),0)</f>
        <v>0</v>
      </c>
      <c r="Q35" s="168">
        <f ca="1">IFERROR(HLOOKUP(Q$14,Data_Formatting!$E$122:$AN$148,ROW(Q35)-ROW(Q$14)-1,FALSE),0)</f>
        <v>0</v>
      </c>
      <c r="R35" s="168">
        <f ca="1">IFERROR(HLOOKUP(R$14,Data_Formatting!$AQ$122:$AU$148,ROW(R35)-ROW(R$14)-1,FALSE),0)</f>
        <v>0</v>
      </c>
      <c r="S35" s="168">
        <f ca="1">IFERROR(HLOOKUP(S$14,Data_Formatting!$E$122:$AN$148,ROW(S35)-ROW(S$14)-1,FALSE),0)</f>
        <v>0</v>
      </c>
      <c r="T35" s="168">
        <f ca="1">IFERROR(HLOOKUP(T$14,Data_Formatting!$E$122:$AN$148,ROW(T35)-ROW(T$14)-1,FALSE),0)</f>
        <v>0</v>
      </c>
      <c r="U35" s="168">
        <f ca="1">IFERROR(HLOOKUP(U$14,Data_Formatting!$E$122:$AN$148,ROW(U35)-ROW(U$14)-1,FALSE),0)</f>
        <v>0</v>
      </c>
      <c r="V35" s="168">
        <f ca="1">IFERROR(HLOOKUP(V$14,Data_Formatting!$E$122:$AN$148,ROW(V35)-ROW(V$14)-1,FALSE),0)</f>
        <v>0</v>
      </c>
      <c r="W35" s="168">
        <f ca="1">IFERROR(HLOOKUP(W$14,Data_Formatting!$E$122:$AN$148,ROW(W35)-ROW(W$14)-1,FALSE),0)</f>
        <v>0</v>
      </c>
      <c r="X35" s="168">
        <f ca="1">IFERROR(HLOOKUP(X$14,Data_Formatting!$E$122:$AN$148,ROW(X35)-ROW(X$14)-1,FALSE),0)</f>
        <v>0</v>
      </c>
      <c r="Y35" s="168">
        <f ca="1">IFERROR(HLOOKUP(Y$14,Data_Formatting!$E$122:$AN$148,ROW(Y35)-ROW(Y$14)-1,FALSE),0)</f>
        <v>0</v>
      </c>
      <c r="Z35" s="168">
        <f ca="1">IFERROR(HLOOKUP(Z$14,Data_Formatting!$E$122:$AN$148,ROW(Z35)-ROW(Z$14)-1,FALSE),0)</f>
        <v>0</v>
      </c>
      <c r="AA35" s="168">
        <f ca="1">IFERROR(HLOOKUP(AA$14,Data_Formatting!$E$122:$AN$148,ROW(AA35)-ROW(AA$14)-1,FALSE),0)</f>
        <v>0</v>
      </c>
      <c r="AB35" s="168">
        <f ca="1">IFERROR(HLOOKUP(AB$14,Data_Formatting!$E$122:$AN$148,ROW(AB35)-ROW(AB$14)-1,FALSE),0)</f>
        <v>0</v>
      </c>
      <c r="AC35" s="168">
        <f ca="1">IFERROR(HLOOKUP(AC$14,Data_Formatting!$E$122:$AN$148,ROW(AC35)-ROW(AC$14)-1,FALSE),0)</f>
        <v>0</v>
      </c>
      <c r="AD35" s="168">
        <f ca="1">IFERROR(HLOOKUP(AD$14,Data_Formatting!$E$122:$AN$148,ROW(AD35)-ROW(AD$14)-1,FALSE),0)</f>
        <v>0</v>
      </c>
      <c r="AE35" s="267" t="e">
        <f ca="1">HLOOKUP(1,S$6:AD35,ROW(AE35)-5,FALSE)</f>
        <v>#N/A</v>
      </c>
      <c r="AF35" s="214"/>
      <c r="AG35" s="265"/>
      <c r="AH35" s="168"/>
      <c r="AI35" s="168"/>
      <c r="AJ35" s="168">
        <v>0</v>
      </c>
      <c r="AK35" s="168">
        <v>0</v>
      </c>
      <c r="AL35" s="168">
        <v>0</v>
      </c>
      <c r="AM35" s="164"/>
      <c r="AN35" s="164"/>
      <c r="AO35" s="164"/>
      <c r="AP35" s="164"/>
      <c r="AQ35" s="164"/>
      <c r="AR35" s="164"/>
      <c r="AS35" s="164"/>
      <c r="AT35" s="165"/>
      <c r="AU35" s="164"/>
      <c r="AV35" s="164"/>
      <c r="AW35" s="164"/>
      <c r="AX35" s="164"/>
      <c r="AY35" s="164"/>
    </row>
    <row r="36" spans="1:52">
      <c r="A36" s="282" t="s">
        <v>6</v>
      </c>
      <c r="B36" s="270">
        <f>SUM(B28:B29,B35)</f>
        <v>0</v>
      </c>
      <c r="C36" s="270">
        <f t="shared" ref="C36:AE36" si="10">SUM(C28:C29,C35)</f>
        <v>0</v>
      </c>
      <c r="D36" s="270">
        <f t="shared" si="10"/>
        <v>0</v>
      </c>
      <c r="E36" s="270">
        <f t="shared" si="10"/>
        <v>0</v>
      </c>
      <c r="F36" s="270">
        <f t="shared" ca="1" si="10"/>
        <v>0</v>
      </c>
      <c r="G36" s="270">
        <f t="shared" ca="1" si="10"/>
        <v>0</v>
      </c>
      <c r="H36" s="270">
        <f t="shared" ca="1" si="10"/>
        <v>0</v>
      </c>
      <c r="I36" s="270">
        <f t="shared" ca="1" si="10"/>
        <v>0</v>
      </c>
      <c r="J36" s="270">
        <f t="shared" ca="1" si="10"/>
        <v>0</v>
      </c>
      <c r="K36" s="270">
        <f t="shared" ca="1" si="10"/>
        <v>0</v>
      </c>
      <c r="L36" s="270">
        <f t="shared" ca="1" si="10"/>
        <v>0</v>
      </c>
      <c r="M36" s="270">
        <f t="shared" ca="1" si="10"/>
        <v>0</v>
      </c>
      <c r="N36" s="270">
        <f t="shared" ca="1" si="10"/>
        <v>0</v>
      </c>
      <c r="O36" s="270">
        <f t="shared" ca="1" si="10"/>
        <v>0</v>
      </c>
      <c r="P36" s="270">
        <f t="shared" ca="1" si="10"/>
        <v>0</v>
      </c>
      <c r="Q36" s="270">
        <f t="shared" ca="1" si="10"/>
        <v>0</v>
      </c>
      <c r="R36" s="270">
        <f ca="1">SUM(R28:R29,R35)</f>
        <v>0</v>
      </c>
      <c r="S36" s="270">
        <f t="shared" ca="1" si="10"/>
        <v>0</v>
      </c>
      <c r="T36" s="270">
        <f t="shared" ca="1" si="10"/>
        <v>0</v>
      </c>
      <c r="U36" s="270">
        <f t="shared" ca="1" si="10"/>
        <v>0</v>
      </c>
      <c r="V36" s="270">
        <f t="shared" ca="1" si="10"/>
        <v>0</v>
      </c>
      <c r="W36" s="270">
        <f t="shared" ca="1" si="10"/>
        <v>0</v>
      </c>
      <c r="X36" s="270">
        <f t="shared" ca="1" si="10"/>
        <v>0</v>
      </c>
      <c r="Y36" s="270">
        <f t="shared" ca="1" si="10"/>
        <v>0</v>
      </c>
      <c r="Z36" s="270">
        <f t="shared" ca="1" si="10"/>
        <v>0</v>
      </c>
      <c r="AA36" s="270">
        <f t="shared" ca="1" si="10"/>
        <v>0</v>
      </c>
      <c r="AB36" s="270">
        <f t="shared" ca="1" si="10"/>
        <v>0</v>
      </c>
      <c r="AC36" s="270">
        <f t="shared" ca="1" si="10"/>
        <v>0</v>
      </c>
      <c r="AD36" s="270">
        <f t="shared" ca="1" si="10"/>
        <v>0</v>
      </c>
      <c r="AE36" s="270" t="e">
        <f t="shared" ca="1" si="10"/>
        <v>#N/A</v>
      </c>
      <c r="AF36" s="214"/>
      <c r="AG36" s="265"/>
      <c r="AH36" s="270">
        <f>SUM(AH28:AH29,AH35)</f>
        <v>0</v>
      </c>
      <c r="AI36" s="270">
        <f>SUM(AI28:AI29,AI35)</f>
        <v>0</v>
      </c>
      <c r="AJ36" s="270">
        <f>SUM(AJ28:AJ29,AJ35)</f>
        <v>0</v>
      </c>
      <c r="AK36" s="270">
        <f>SUM(AK28:AK29,AK35)</f>
        <v>0</v>
      </c>
      <c r="AL36" s="270">
        <f>SUM(AL28:AL29,AL35)</f>
        <v>0</v>
      </c>
      <c r="AM36" s="283"/>
      <c r="AN36" s="283"/>
      <c r="AO36" s="283"/>
      <c r="AP36" s="283"/>
      <c r="AQ36" s="283"/>
      <c r="AR36" s="283"/>
      <c r="AS36" s="283"/>
      <c r="AU36" s="283"/>
      <c r="AV36" s="283"/>
      <c r="AW36" s="283"/>
      <c r="AX36" s="283"/>
      <c r="AY36" s="283"/>
    </row>
    <row r="37" spans="1:52">
      <c r="A37" s="260"/>
      <c r="B37" s="261"/>
      <c r="C37" s="902" t="e">
        <f>C35/C22</f>
        <v>#DIV/0!</v>
      </c>
      <c r="D37" s="902" t="e">
        <f>D35/D22</f>
        <v>#DIV/0!</v>
      </c>
      <c r="E37" s="902" t="e">
        <f>E35/E22</f>
        <v>#DIV/0!</v>
      </c>
      <c r="F37" s="261"/>
      <c r="G37" s="261"/>
      <c r="H37" s="261"/>
      <c r="I37" s="261"/>
      <c r="J37" s="261"/>
      <c r="K37" s="261"/>
      <c r="L37" s="261"/>
      <c r="M37" s="261"/>
      <c r="N37" s="261"/>
      <c r="O37" s="261"/>
      <c r="P37" s="261"/>
      <c r="Q37" s="261"/>
      <c r="R37" s="902" t="e">
        <f t="shared" ref="R37:W37" ca="1" si="11">R35/R22</f>
        <v>#DIV/0!</v>
      </c>
      <c r="S37" s="902" t="e">
        <f t="shared" ca="1" si="11"/>
        <v>#DIV/0!</v>
      </c>
      <c r="T37" s="902" t="e">
        <f t="shared" ca="1" si="11"/>
        <v>#DIV/0!</v>
      </c>
      <c r="U37" s="902" t="e">
        <f t="shared" ca="1" si="11"/>
        <v>#DIV/0!</v>
      </c>
      <c r="V37" s="902" t="e">
        <f t="shared" ca="1" si="11"/>
        <v>#DIV/0!</v>
      </c>
      <c r="W37" s="902" t="e">
        <f t="shared" ca="1" si="11"/>
        <v>#DIV/0!</v>
      </c>
      <c r="X37" s="260"/>
      <c r="Y37" s="260"/>
      <c r="Z37" s="260"/>
      <c r="AA37" s="260"/>
      <c r="AB37" s="260"/>
      <c r="AC37" s="260"/>
      <c r="AD37" s="260"/>
      <c r="AE37" s="260"/>
      <c r="AF37" s="214"/>
      <c r="AG37" s="265"/>
      <c r="AH37" s="260"/>
      <c r="AI37" s="260"/>
      <c r="AJ37" s="260"/>
      <c r="AK37" s="260"/>
      <c r="AL37" s="260"/>
    </row>
    <row r="38" spans="1:52">
      <c r="A38" s="263" t="s">
        <v>7</v>
      </c>
      <c r="B38" s="284"/>
      <c r="C38" s="284"/>
      <c r="D38" s="284"/>
      <c r="E38" s="284"/>
      <c r="F38" s="284"/>
      <c r="G38" s="284"/>
      <c r="H38" s="284"/>
      <c r="I38" s="284"/>
      <c r="J38" s="284"/>
      <c r="K38" s="284"/>
      <c r="L38" s="284"/>
      <c r="M38" s="284"/>
      <c r="N38" s="284"/>
      <c r="O38" s="284"/>
      <c r="P38" s="284"/>
      <c r="Q38" s="284"/>
      <c r="R38" s="284"/>
      <c r="S38" s="284"/>
      <c r="T38" s="284"/>
      <c r="U38" s="284"/>
      <c r="V38" s="284"/>
      <c r="W38" s="284"/>
      <c r="X38" s="284"/>
      <c r="Y38" s="284"/>
      <c r="Z38" s="284"/>
      <c r="AA38" s="284"/>
      <c r="AB38" s="284"/>
      <c r="AC38" s="284"/>
      <c r="AD38" s="284"/>
      <c r="AE38" s="284"/>
      <c r="AF38" s="214"/>
      <c r="AG38" s="265"/>
      <c r="AH38" s="284"/>
      <c r="AI38" s="284"/>
      <c r="AJ38" s="284"/>
      <c r="AK38" s="284"/>
      <c r="AL38" s="284"/>
      <c r="AM38" s="160"/>
      <c r="AN38" s="160"/>
      <c r="AO38" s="160"/>
      <c r="AP38" s="160"/>
      <c r="AQ38" s="160"/>
      <c r="AR38" s="160"/>
      <c r="AS38" s="160"/>
      <c r="AT38" s="165"/>
      <c r="AU38" s="160"/>
      <c r="AV38" s="160"/>
      <c r="AW38" s="160"/>
      <c r="AX38" s="160"/>
      <c r="AY38" s="160"/>
    </row>
    <row r="39" spans="1:52">
      <c r="A39" s="203" t="s">
        <v>115</v>
      </c>
      <c r="B39" s="168">
        <f>IFERROR(HLOOKUP(B$14,Data_Formatting!$AQ$122:$AU$148,ROW(B39)-ROW(B$14)-1,FALSE),0)</f>
        <v>0</v>
      </c>
      <c r="C39" s="168">
        <f>IFERROR(HLOOKUP(C$14,Data_Formatting!$AQ$122:$AU$148,ROW(C39)-ROW(C$14)-1,FALSE),0)</f>
        <v>0</v>
      </c>
      <c r="D39" s="168">
        <f>IFERROR(HLOOKUP(D$14,Data_Formatting!$AQ$122:$AU$148,ROW(D39)-ROW(D$14)-1,FALSE),0)</f>
        <v>0</v>
      </c>
      <c r="E39" s="168">
        <f>IFERROR(HLOOKUP(E$14,Data_Formatting!$AQ$122:$AU$148,ROW(E39)-ROW(E$14)-1,FALSE),0)</f>
        <v>0</v>
      </c>
      <c r="F39" s="168">
        <f ca="1">IFERROR(HLOOKUP(F$14,Data_Formatting!$E$122:$AN$148,ROW(F39)-ROW(F$14)-1,FALSE),0)</f>
        <v>0</v>
      </c>
      <c r="G39" s="168">
        <f ca="1">IFERROR(HLOOKUP(G$14,Data_Formatting!$E$122:$AN$148,ROW(G39)-ROW(G$14)-1,FALSE),0)</f>
        <v>0</v>
      </c>
      <c r="H39" s="168">
        <f ca="1">IFERROR(HLOOKUP(H$14,Data_Formatting!$E$122:$AN$148,ROW(H39)-ROW(H$14)-1,FALSE),0)</f>
        <v>0</v>
      </c>
      <c r="I39" s="168">
        <f ca="1">IFERROR(HLOOKUP(I$14,Data_Formatting!$E$122:$AN$148,ROW(I39)-ROW(I$14)-1,FALSE),0)</f>
        <v>0</v>
      </c>
      <c r="J39" s="168">
        <f ca="1">IFERROR(HLOOKUP(J$14,Data_Formatting!$E$122:$AN$148,ROW(J39)-ROW(J$14)-1,FALSE),0)</f>
        <v>0</v>
      </c>
      <c r="K39" s="168">
        <f ca="1">IFERROR(HLOOKUP(K$14,Data_Formatting!$E$122:$AN$148,ROW(K39)-ROW(K$14)-1,FALSE),0)</f>
        <v>0</v>
      </c>
      <c r="L39" s="168">
        <f ca="1">IFERROR(HLOOKUP(L$14,Data_Formatting!$E$122:$AN$148,ROW(L39)-ROW(L$14)-1,FALSE),0)</f>
        <v>0</v>
      </c>
      <c r="M39" s="168">
        <f ca="1">IFERROR(HLOOKUP(M$14,Data_Formatting!$E$122:$AN$148,ROW(M39)-ROW(M$14)-1,FALSE),0)</f>
        <v>0</v>
      </c>
      <c r="N39" s="168">
        <f ca="1">IFERROR(HLOOKUP(N$14,Data_Formatting!$E$122:$AN$148,ROW(N39)-ROW(N$14)-1,FALSE),0)</f>
        <v>0</v>
      </c>
      <c r="O39" s="168">
        <f ca="1">IFERROR(HLOOKUP(O$14,Data_Formatting!$E$122:$AN$148,ROW(O39)-ROW(O$14)-1,FALSE),0)</f>
        <v>0</v>
      </c>
      <c r="P39" s="168">
        <f ca="1">IFERROR(HLOOKUP(P$14,Data_Formatting!$E$122:$AN$148,ROW(P39)-ROW(P$14)-1,FALSE),0)</f>
        <v>0</v>
      </c>
      <c r="Q39" s="168">
        <f ca="1">IFERROR(HLOOKUP(Q$14,Data_Formatting!$E$122:$AN$148,ROW(Q39)-ROW(Q$14)-1,FALSE),0)</f>
        <v>0</v>
      </c>
      <c r="R39" s="168">
        <f ca="1">IFERROR(HLOOKUP(R$14,Data_Formatting!$AQ$122:$AU$148,ROW(R39)-ROW(R$14)-1,FALSE),0)</f>
        <v>0</v>
      </c>
      <c r="S39" s="168">
        <f ca="1">IFERROR(HLOOKUP(S$14,Data_Formatting!$E$122:$AN$148,ROW(S39)-ROW(S$14)-1,FALSE),0)</f>
        <v>0</v>
      </c>
      <c r="T39" s="168">
        <f ca="1">IFERROR(HLOOKUP(T$14,Data_Formatting!$E$122:$AN$148,ROW(T39)-ROW(T$14)-1,FALSE),0)</f>
        <v>0</v>
      </c>
      <c r="U39" s="168">
        <f ca="1">IFERROR(HLOOKUP(U$14,Data_Formatting!$E$122:$AN$148,ROW(U39)-ROW(U$14)-1,FALSE),0)</f>
        <v>0</v>
      </c>
      <c r="V39" s="168">
        <f ca="1">IFERROR(HLOOKUP(V$14,Data_Formatting!$E$122:$AN$148,ROW(V39)-ROW(V$14)-1,FALSE),0)</f>
        <v>0</v>
      </c>
      <c r="W39" s="168">
        <f ca="1">IFERROR(HLOOKUP(W$14,Data_Formatting!$E$122:$AN$148,ROW(W39)-ROW(W$14)-1,FALSE),0)</f>
        <v>0</v>
      </c>
      <c r="X39" s="168">
        <f ca="1">IFERROR(HLOOKUP(X$14,Data_Formatting!$E$122:$AN$148,ROW(X39)-ROW(X$14)-1,FALSE),0)</f>
        <v>0</v>
      </c>
      <c r="Y39" s="168">
        <f ca="1">IFERROR(HLOOKUP(Y$14,Data_Formatting!$E$122:$AN$148,ROW(Y39)-ROW(Y$14)-1,FALSE),0)</f>
        <v>0</v>
      </c>
      <c r="Z39" s="168">
        <f ca="1">IFERROR(HLOOKUP(Z$14,Data_Formatting!$E$122:$AN$148,ROW(Z39)-ROW(Z$14)-1,FALSE),0)</f>
        <v>0</v>
      </c>
      <c r="AA39" s="168">
        <f ca="1">IFERROR(HLOOKUP(AA$14,Data_Formatting!$E$122:$AN$148,ROW(AA39)-ROW(AA$14)-1,FALSE),0)</f>
        <v>0</v>
      </c>
      <c r="AB39" s="168">
        <f ca="1">IFERROR(HLOOKUP(AB$14,Data_Formatting!$E$122:$AN$148,ROW(AB39)-ROW(AB$14)-1,FALSE),0)</f>
        <v>0</v>
      </c>
      <c r="AC39" s="168">
        <f ca="1">IFERROR(HLOOKUP(AC$14,Data_Formatting!$E$122:$AN$148,ROW(AC39)-ROW(AC$14)-1,FALSE),0)</f>
        <v>0</v>
      </c>
      <c r="AD39" s="168">
        <f ca="1">IFERROR(HLOOKUP(AD$14,Data_Formatting!$E$122:$AN$148,ROW(AD39)-ROW(AD$14)-1,FALSE),0)</f>
        <v>0</v>
      </c>
      <c r="AE39" s="267" t="e">
        <f ca="1">HLOOKUP(1,S$6:AD39,ROW(AE39)-5,FALSE)</f>
        <v>#N/A</v>
      </c>
      <c r="AF39" s="214"/>
      <c r="AG39" s="265"/>
      <c r="AH39" s="168"/>
      <c r="AI39" s="168"/>
      <c r="AJ39" s="168">
        <v>0</v>
      </c>
      <c r="AK39" s="168">
        <v>0</v>
      </c>
      <c r="AL39" s="168">
        <v>0</v>
      </c>
      <c r="AM39" s="165"/>
      <c r="AN39" s="164"/>
      <c r="AO39" s="165"/>
      <c r="AP39" s="165"/>
      <c r="AQ39" s="165"/>
      <c r="AR39" s="165"/>
      <c r="AS39" s="165"/>
      <c r="AT39" s="165"/>
      <c r="AU39" s="160"/>
      <c r="AV39" s="165"/>
      <c r="AW39" s="165"/>
      <c r="AX39" s="165"/>
      <c r="AY39" s="165"/>
      <c r="AZ39" s="285"/>
    </row>
    <row r="40" spans="1:52">
      <c r="A40" s="203" t="s">
        <v>116</v>
      </c>
      <c r="B40" s="168">
        <f>IFERROR(HLOOKUP(B$14,Data_Formatting!$AQ$122:$AU$148,ROW(B40)-ROW(B$14)-1,FALSE),0)</f>
        <v>0</v>
      </c>
      <c r="C40" s="168">
        <f>IFERROR(HLOOKUP(C$14,Data_Formatting!$AQ$122:$AU$148,ROW(C40)-ROW(C$14)-1,FALSE),0)</f>
        <v>0</v>
      </c>
      <c r="D40" s="168">
        <f>IFERROR(HLOOKUP(D$14,Data_Formatting!$AQ$122:$AU$148,ROW(D40)-ROW(D$14)-1,FALSE),0)</f>
        <v>0</v>
      </c>
      <c r="E40" s="168">
        <f>IFERROR(HLOOKUP(E$14,Data_Formatting!$AQ$122:$AU$148,ROW(E40)-ROW(E$14)-1,FALSE),0)</f>
        <v>0</v>
      </c>
      <c r="F40" s="168">
        <f ca="1">IFERROR(HLOOKUP(F$14,Data_Formatting!$E$122:$AN$148,ROW(F40)-ROW(F$14)-1,FALSE),0)</f>
        <v>0</v>
      </c>
      <c r="G40" s="168">
        <f ca="1">IFERROR(HLOOKUP(G$14,Data_Formatting!$E$122:$AN$148,ROW(G40)-ROW(G$14)-1,FALSE),0)</f>
        <v>0</v>
      </c>
      <c r="H40" s="168">
        <f ca="1">IFERROR(HLOOKUP(H$14,Data_Formatting!$E$122:$AN$148,ROW(H40)-ROW(H$14)-1,FALSE),0)</f>
        <v>0</v>
      </c>
      <c r="I40" s="168">
        <f ca="1">IFERROR(HLOOKUP(I$14,Data_Formatting!$E$122:$AN$148,ROW(I40)-ROW(I$14)-1,FALSE),0)</f>
        <v>0</v>
      </c>
      <c r="J40" s="168">
        <f ca="1">IFERROR(HLOOKUP(J$14,Data_Formatting!$E$122:$AN$148,ROW(J40)-ROW(J$14)-1,FALSE),0)</f>
        <v>0</v>
      </c>
      <c r="K40" s="168">
        <f ca="1">IFERROR(HLOOKUP(K$14,Data_Formatting!$E$122:$AN$148,ROW(K40)-ROW(K$14)-1,FALSE),0)</f>
        <v>0</v>
      </c>
      <c r="L40" s="168">
        <f ca="1">IFERROR(HLOOKUP(L$14,Data_Formatting!$E$122:$AN$148,ROW(L40)-ROW(L$14)-1,FALSE),0)</f>
        <v>0</v>
      </c>
      <c r="M40" s="168">
        <f ca="1">IFERROR(HLOOKUP(M$14,Data_Formatting!$E$122:$AN$148,ROW(M40)-ROW(M$14)-1,FALSE),0)</f>
        <v>0</v>
      </c>
      <c r="N40" s="168">
        <f ca="1">IFERROR(HLOOKUP(N$14,Data_Formatting!$E$122:$AN$148,ROW(N40)-ROW(N$14)-1,FALSE),0)</f>
        <v>0</v>
      </c>
      <c r="O40" s="168">
        <f ca="1">IFERROR(HLOOKUP(O$14,Data_Formatting!$E$122:$AN$148,ROW(O40)-ROW(O$14)-1,FALSE),0)</f>
        <v>0</v>
      </c>
      <c r="P40" s="168">
        <f ca="1">IFERROR(HLOOKUP(P$14,Data_Formatting!$E$122:$AN$148,ROW(P40)-ROW(P$14)-1,FALSE),0)</f>
        <v>0</v>
      </c>
      <c r="Q40" s="168">
        <f ca="1">IFERROR(HLOOKUP(Q$14,Data_Formatting!$E$122:$AN$148,ROW(Q40)-ROW(Q$14)-1,FALSE),0)</f>
        <v>0</v>
      </c>
      <c r="R40" s="168">
        <f ca="1">IFERROR(HLOOKUP(R$14,Data_Formatting!$AQ$122:$AU$148,ROW(R40)-ROW(R$14)-1,FALSE),0)</f>
        <v>0</v>
      </c>
      <c r="S40" s="168">
        <f ca="1">IFERROR(HLOOKUP(S$14,Data_Formatting!$E$122:$AN$148,ROW(S40)-ROW(S$14)-1,FALSE),0)</f>
        <v>0</v>
      </c>
      <c r="T40" s="168">
        <f ca="1">IFERROR(HLOOKUP(T$14,Data_Formatting!$E$122:$AN$148,ROW(T40)-ROW(T$14)-1,FALSE),0)</f>
        <v>0</v>
      </c>
      <c r="U40" s="168">
        <f ca="1">IFERROR(HLOOKUP(U$14,Data_Formatting!$E$122:$AN$148,ROW(U40)-ROW(U$14)-1,FALSE),0)</f>
        <v>0</v>
      </c>
      <c r="V40" s="168">
        <f ca="1">IFERROR(HLOOKUP(V$14,Data_Formatting!$E$122:$AN$148,ROW(V40)-ROW(V$14)-1,FALSE),0)</f>
        <v>0</v>
      </c>
      <c r="W40" s="168">
        <f ca="1">IFERROR(HLOOKUP(W$14,Data_Formatting!$E$122:$AN$148,ROW(W40)-ROW(W$14)-1,FALSE),0)</f>
        <v>0</v>
      </c>
      <c r="X40" s="168">
        <f ca="1">IFERROR(HLOOKUP(X$14,Data_Formatting!$E$122:$AN$148,ROW(X40)-ROW(X$14)-1,FALSE),0)</f>
        <v>0</v>
      </c>
      <c r="Y40" s="168">
        <f ca="1">IFERROR(HLOOKUP(Y$14,Data_Formatting!$E$122:$AN$148,ROW(Y40)-ROW(Y$14)-1,FALSE),0)</f>
        <v>0</v>
      </c>
      <c r="Z40" s="168">
        <f ca="1">IFERROR(HLOOKUP(Z$14,Data_Formatting!$E$122:$AN$148,ROW(Z40)-ROW(Z$14)-1,FALSE),0)</f>
        <v>0</v>
      </c>
      <c r="AA40" s="168">
        <f ca="1">IFERROR(HLOOKUP(AA$14,Data_Formatting!$E$122:$AN$148,ROW(AA40)-ROW(AA$14)-1,FALSE),0)</f>
        <v>0</v>
      </c>
      <c r="AB40" s="168">
        <f ca="1">IFERROR(HLOOKUP(AB$14,Data_Formatting!$E$122:$AN$148,ROW(AB40)-ROW(AB$14)-1,FALSE),0)</f>
        <v>0</v>
      </c>
      <c r="AC40" s="168">
        <f ca="1">IFERROR(HLOOKUP(AC$14,Data_Formatting!$E$122:$AN$148,ROW(AC40)-ROW(AC$14)-1,FALSE),0)</f>
        <v>0</v>
      </c>
      <c r="AD40" s="168">
        <f ca="1">IFERROR(HLOOKUP(AD$14,Data_Formatting!$E$122:$AN$148,ROW(AD40)-ROW(AD$14)-1,FALSE),0)</f>
        <v>0</v>
      </c>
      <c r="AE40" s="267" t="e">
        <f ca="1">HLOOKUP(1,S$6:AD40,ROW(AE40)-5,FALSE)</f>
        <v>#N/A</v>
      </c>
      <c r="AF40" s="214"/>
      <c r="AG40" s="265"/>
      <c r="AH40" s="168"/>
      <c r="AI40" s="168"/>
      <c r="AJ40" s="168">
        <v>0</v>
      </c>
      <c r="AK40" s="168">
        <v>0</v>
      </c>
      <c r="AL40" s="168">
        <v>0</v>
      </c>
      <c r="AM40" s="165"/>
      <c r="AN40" s="165"/>
      <c r="AO40" s="165"/>
      <c r="AP40" s="165"/>
      <c r="AQ40" s="165"/>
      <c r="AR40" s="165"/>
      <c r="AS40" s="165"/>
      <c r="AT40" s="165"/>
      <c r="AU40" s="160"/>
      <c r="AV40" s="165"/>
      <c r="AW40" s="165"/>
      <c r="AX40" s="165"/>
      <c r="AY40" s="165"/>
      <c r="AZ40" s="285"/>
    </row>
    <row r="41" spans="1:52">
      <c r="A41" s="282" t="s">
        <v>8</v>
      </c>
      <c r="B41" s="270">
        <f t="shared" ref="B41:AL41" si="12">SUM(B39:B40)</f>
        <v>0</v>
      </c>
      <c r="C41" s="270">
        <f t="shared" si="12"/>
        <v>0</v>
      </c>
      <c r="D41" s="270">
        <f t="shared" si="12"/>
        <v>0</v>
      </c>
      <c r="E41" s="270">
        <f t="shared" si="12"/>
        <v>0</v>
      </c>
      <c r="F41" s="270">
        <f t="shared" ca="1" si="12"/>
        <v>0</v>
      </c>
      <c r="G41" s="270">
        <f t="shared" ca="1" si="12"/>
        <v>0</v>
      </c>
      <c r="H41" s="270">
        <f t="shared" ca="1" si="12"/>
        <v>0</v>
      </c>
      <c r="I41" s="270">
        <f t="shared" ca="1" si="12"/>
        <v>0</v>
      </c>
      <c r="J41" s="270">
        <f t="shared" ca="1" si="12"/>
        <v>0</v>
      </c>
      <c r="K41" s="270">
        <f t="shared" ca="1" si="12"/>
        <v>0</v>
      </c>
      <c r="L41" s="270">
        <f t="shared" ca="1" si="12"/>
        <v>0</v>
      </c>
      <c r="M41" s="270">
        <f t="shared" ca="1" si="12"/>
        <v>0</v>
      </c>
      <c r="N41" s="270">
        <f t="shared" ca="1" si="12"/>
        <v>0</v>
      </c>
      <c r="O41" s="270">
        <f t="shared" ca="1" si="12"/>
        <v>0</v>
      </c>
      <c r="P41" s="270">
        <f t="shared" ca="1" si="12"/>
        <v>0</v>
      </c>
      <c r="Q41" s="270">
        <f t="shared" ca="1" si="12"/>
        <v>0</v>
      </c>
      <c r="R41" s="270">
        <f ca="1">SUM(R39:R40)</f>
        <v>0</v>
      </c>
      <c r="S41" s="270">
        <f t="shared" ca="1" si="12"/>
        <v>0</v>
      </c>
      <c r="T41" s="270">
        <f t="shared" ca="1" si="12"/>
        <v>0</v>
      </c>
      <c r="U41" s="270">
        <f t="shared" ca="1" si="12"/>
        <v>0</v>
      </c>
      <c r="V41" s="270">
        <f t="shared" ca="1" si="12"/>
        <v>0</v>
      </c>
      <c r="W41" s="270">
        <f t="shared" ca="1" si="12"/>
        <v>0</v>
      </c>
      <c r="X41" s="270">
        <f t="shared" ca="1" si="12"/>
        <v>0</v>
      </c>
      <c r="Y41" s="270">
        <f t="shared" ca="1" si="12"/>
        <v>0</v>
      </c>
      <c r="Z41" s="270">
        <f t="shared" ca="1" si="12"/>
        <v>0</v>
      </c>
      <c r="AA41" s="270">
        <f t="shared" ca="1" si="12"/>
        <v>0</v>
      </c>
      <c r="AB41" s="270">
        <f t="shared" ca="1" si="12"/>
        <v>0</v>
      </c>
      <c r="AC41" s="270">
        <f t="shared" ca="1" si="12"/>
        <v>0</v>
      </c>
      <c r="AD41" s="270">
        <f t="shared" ca="1" si="12"/>
        <v>0</v>
      </c>
      <c r="AE41" s="270" t="e">
        <f t="shared" ca="1" si="12"/>
        <v>#N/A</v>
      </c>
      <c r="AF41" s="214"/>
      <c r="AG41" s="265"/>
      <c r="AH41" s="270">
        <f t="shared" si="12"/>
        <v>0</v>
      </c>
      <c r="AI41" s="270">
        <f t="shared" si="12"/>
        <v>0</v>
      </c>
      <c r="AJ41" s="270">
        <f t="shared" si="12"/>
        <v>0</v>
      </c>
      <c r="AK41" s="270">
        <f t="shared" si="12"/>
        <v>0</v>
      </c>
      <c r="AL41" s="270">
        <f t="shared" si="12"/>
        <v>0</v>
      </c>
      <c r="AM41" s="283"/>
      <c r="AN41" s="283"/>
      <c r="AO41" s="283"/>
      <c r="AP41" s="283"/>
      <c r="AQ41" s="283"/>
      <c r="AR41" s="283"/>
      <c r="AS41" s="283"/>
      <c r="AU41" s="283"/>
      <c r="AV41" s="283"/>
      <c r="AW41" s="283"/>
      <c r="AX41" s="283"/>
      <c r="AY41" s="283"/>
    </row>
    <row r="42" spans="1:52">
      <c r="A42" s="260"/>
      <c r="B42" s="261"/>
      <c r="C42" s="261"/>
      <c r="D42" s="261"/>
      <c r="E42" s="261"/>
      <c r="F42" s="261"/>
      <c r="G42" s="261"/>
      <c r="H42" s="261"/>
      <c r="I42" s="261"/>
      <c r="J42" s="261"/>
      <c r="K42" s="261"/>
      <c r="L42" s="261"/>
      <c r="M42" s="261"/>
      <c r="N42" s="261"/>
      <c r="O42" s="261"/>
      <c r="P42" s="261"/>
      <c r="Q42" s="261"/>
      <c r="R42" s="261"/>
      <c r="S42" s="261"/>
      <c r="T42" s="261"/>
      <c r="U42" s="261"/>
      <c r="V42" s="261"/>
      <c r="W42" s="261"/>
      <c r="X42" s="261"/>
      <c r="Y42" s="261"/>
      <c r="Z42" s="261"/>
      <c r="AA42" s="261"/>
      <c r="AB42" s="261"/>
      <c r="AC42" s="261"/>
      <c r="AD42" s="261"/>
      <c r="AE42" s="261"/>
      <c r="AF42" s="214"/>
      <c r="AG42" s="265"/>
      <c r="AH42" s="261"/>
      <c r="AI42" s="261"/>
      <c r="AJ42" s="261"/>
      <c r="AK42" s="261"/>
      <c r="AL42" s="261"/>
      <c r="AM42" s="160"/>
      <c r="AN42" s="160"/>
      <c r="AO42" s="160"/>
      <c r="AP42" s="160"/>
      <c r="AQ42" s="160"/>
      <c r="AR42" s="160"/>
      <c r="AS42" s="160"/>
      <c r="AU42" s="160"/>
      <c r="AV42" s="160"/>
      <c r="AW42" s="160"/>
      <c r="AX42" s="160"/>
      <c r="AY42" s="160"/>
    </row>
    <row r="43" spans="1:52">
      <c r="A43" s="282" t="s">
        <v>9</v>
      </c>
      <c r="B43" s="270">
        <f t="shared" ref="B43:AL43" si="13">B36+B41</f>
        <v>0</v>
      </c>
      <c r="C43" s="270">
        <f t="shared" si="13"/>
        <v>0</v>
      </c>
      <c r="D43" s="270">
        <f t="shared" si="13"/>
        <v>0</v>
      </c>
      <c r="E43" s="270">
        <f t="shared" si="13"/>
        <v>0</v>
      </c>
      <c r="F43" s="270">
        <f t="shared" ca="1" si="13"/>
        <v>0</v>
      </c>
      <c r="G43" s="270">
        <f t="shared" ca="1" si="13"/>
        <v>0</v>
      </c>
      <c r="H43" s="270">
        <f t="shared" ca="1" si="13"/>
        <v>0</v>
      </c>
      <c r="I43" s="270">
        <f t="shared" ca="1" si="13"/>
        <v>0</v>
      </c>
      <c r="J43" s="270">
        <f t="shared" ca="1" si="13"/>
        <v>0</v>
      </c>
      <c r="K43" s="270">
        <f t="shared" ca="1" si="13"/>
        <v>0</v>
      </c>
      <c r="L43" s="270">
        <f t="shared" ca="1" si="13"/>
        <v>0</v>
      </c>
      <c r="M43" s="270">
        <f t="shared" ca="1" si="13"/>
        <v>0</v>
      </c>
      <c r="N43" s="270">
        <f t="shared" ca="1" si="13"/>
        <v>0</v>
      </c>
      <c r="O43" s="270">
        <f t="shared" ca="1" si="13"/>
        <v>0</v>
      </c>
      <c r="P43" s="270">
        <f t="shared" ca="1" si="13"/>
        <v>0</v>
      </c>
      <c r="Q43" s="270">
        <f t="shared" ca="1" si="13"/>
        <v>0</v>
      </c>
      <c r="R43" s="270">
        <f ca="1">R36+R41</f>
        <v>0</v>
      </c>
      <c r="S43" s="270">
        <f t="shared" ref="S43:AD43" ca="1" si="14">S36+S41</f>
        <v>0</v>
      </c>
      <c r="T43" s="270">
        <f t="shared" ca="1" si="14"/>
        <v>0</v>
      </c>
      <c r="U43" s="270">
        <f t="shared" ca="1" si="14"/>
        <v>0</v>
      </c>
      <c r="V43" s="270">
        <f t="shared" ca="1" si="14"/>
        <v>0</v>
      </c>
      <c r="W43" s="270">
        <f t="shared" ca="1" si="14"/>
        <v>0</v>
      </c>
      <c r="X43" s="270">
        <f t="shared" ca="1" si="14"/>
        <v>0</v>
      </c>
      <c r="Y43" s="270">
        <f t="shared" ca="1" si="14"/>
        <v>0</v>
      </c>
      <c r="Z43" s="270">
        <f t="shared" ca="1" si="14"/>
        <v>0</v>
      </c>
      <c r="AA43" s="270">
        <f t="shared" ca="1" si="14"/>
        <v>0</v>
      </c>
      <c r="AB43" s="270">
        <f t="shared" ca="1" si="14"/>
        <v>0</v>
      </c>
      <c r="AC43" s="270">
        <f t="shared" ca="1" si="14"/>
        <v>0</v>
      </c>
      <c r="AD43" s="270">
        <f t="shared" ca="1" si="14"/>
        <v>0</v>
      </c>
      <c r="AE43" s="270" t="e">
        <f ca="1">HLOOKUP(1,S$6:AD43,ROW(AE43)-5,FALSE)</f>
        <v>#N/A</v>
      </c>
      <c r="AF43" s="214"/>
      <c r="AG43" s="286"/>
      <c r="AH43" s="270">
        <f t="shared" si="13"/>
        <v>0</v>
      </c>
      <c r="AI43" s="270">
        <f t="shared" si="13"/>
        <v>0</v>
      </c>
      <c r="AJ43" s="270">
        <f t="shared" si="13"/>
        <v>0</v>
      </c>
      <c r="AK43" s="270">
        <f t="shared" si="13"/>
        <v>0</v>
      </c>
      <c r="AL43" s="270">
        <f t="shared" si="13"/>
        <v>0</v>
      </c>
      <c r="AM43" s="283"/>
      <c r="AN43" s="283"/>
      <c r="AO43" s="283"/>
      <c r="AP43" s="283"/>
      <c r="AQ43" s="283"/>
      <c r="AR43" s="283"/>
      <c r="AS43" s="283"/>
      <c r="AU43" s="283"/>
      <c r="AV43" s="283"/>
      <c r="AW43" s="283"/>
      <c r="AX43" s="283"/>
      <c r="AY43" s="283"/>
    </row>
    <row r="44" spans="1:52" s="213" customFormat="1">
      <c r="A44" s="235" t="s">
        <v>529</v>
      </c>
      <c r="B44" s="287">
        <f>IF(B43-B25=0,0,IF(ABS(B43-B25)&gt;0.1,ABS(B43-B25),0))</f>
        <v>0</v>
      </c>
      <c r="C44" s="287">
        <f>IF(C43-C25=0,0,IF(ABS(C43-C25)&gt;0.1,ABS(C43-C25),0))</f>
        <v>0</v>
      </c>
      <c r="D44" s="287">
        <f>IF(D43-D25=0,0,IF(ABS(D43-D25)&gt;0.1,ABS(D43-D25),0))</f>
        <v>0</v>
      </c>
      <c r="E44" s="287">
        <f>IF(E43-E25=0,0,IF(ABS(E43-E25)&gt;0.01,ABS(E43-E25),0))</f>
        <v>0</v>
      </c>
      <c r="F44" s="287">
        <f t="shared" ref="F44:AE44" ca="1" si="15">IF(F43-F25=0,0,IF(ABS(F43-F25)&gt;0.1,ABS(F43-F25),0))</f>
        <v>0</v>
      </c>
      <c r="G44" s="287">
        <f t="shared" ca="1" si="15"/>
        <v>0</v>
      </c>
      <c r="H44" s="287">
        <f t="shared" ca="1" si="15"/>
        <v>0</v>
      </c>
      <c r="I44" s="287">
        <f t="shared" ca="1" si="15"/>
        <v>0</v>
      </c>
      <c r="J44" s="287">
        <f t="shared" ca="1" si="15"/>
        <v>0</v>
      </c>
      <c r="K44" s="287">
        <f t="shared" ca="1" si="15"/>
        <v>0</v>
      </c>
      <c r="L44" s="287">
        <f t="shared" ca="1" si="15"/>
        <v>0</v>
      </c>
      <c r="M44" s="287">
        <f t="shared" ca="1" si="15"/>
        <v>0</v>
      </c>
      <c r="N44" s="287">
        <f t="shared" ca="1" si="15"/>
        <v>0</v>
      </c>
      <c r="O44" s="287">
        <f t="shared" ca="1" si="15"/>
        <v>0</v>
      </c>
      <c r="P44" s="287">
        <f t="shared" ca="1" si="15"/>
        <v>0</v>
      </c>
      <c r="Q44" s="287">
        <f t="shared" ca="1" si="15"/>
        <v>0</v>
      </c>
      <c r="R44" s="287">
        <f t="shared" ca="1" si="15"/>
        <v>0</v>
      </c>
      <c r="S44" s="287">
        <f t="shared" ca="1" si="15"/>
        <v>0</v>
      </c>
      <c r="T44" s="287">
        <f t="shared" ca="1" si="15"/>
        <v>0</v>
      </c>
      <c r="U44" s="287">
        <f t="shared" ca="1" si="15"/>
        <v>0</v>
      </c>
      <c r="V44" s="287">
        <f t="shared" ca="1" si="15"/>
        <v>0</v>
      </c>
      <c r="W44" s="287">
        <f t="shared" ca="1" si="15"/>
        <v>0</v>
      </c>
      <c r="X44" s="287">
        <f t="shared" ca="1" si="15"/>
        <v>0</v>
      </c>
      <c r="Y44" s="287">
        <f t="shared" ca="1" si="15"/>
        <v>0</v>
      </c>
      <c r="Z44" s="287">
        <f t="shared" ca="1" si="15"/>
        <v>0</v>
      </c>
      <c r="AA44" s="287">
        <f t="shared" ca="1" si="15"/>
        <v>0</v>
      </c>
      <c r="AB44" s="287">
        <f t="shared" ca="1" si="15"/>
        <v>0</v>
      </c>
      <c r="AC44" s="287">
        <f t="shared" ca="1" si="15"/>
        <v>0</v>
      </c>
      <c r="AD44" s="287">
        <f t="shared" ca="1" si="15"/>
        <v>0</v>
      </c>
      <c r="AE44" s="287" t="e">
        <f t="shared" ca="1" si="15"/>
        <v>#N/A</v>
      </c>
      <c r="AF44" s="214"/>
      <c r="AH44" s="287">
        <f>IF(AH43-AH25=0,0,IF(ABS(AH43-AH25)&gt;0.1,ABS(AH43-AH25),0))</f>
        <v>0</v>
      </c>
      <c r="AI44" s="287">
        <f>IF(AI43-AI25=0,0,IF(ABS(AI43-AI25)&gt;0.1,ABS(AI43-AI25),0))</f>
        <v>0</v>
      </c>
      <c r="AJ44" s="287">
        <f>IF(AJ43-AJ25=0,0,IF(ABS(AJ43-AJ25)&gt;0.1,ABS(AJ43-AJ25),0))</f>
        <v>0</v>
      </c>
      <c r="AK44" s="287">
        <f>IF(AK43-AK25=0,0,IF(ABS(AK43-AK25)&gt;0.1,ABS(AK43-AK25),0))</f>
        <v>0</v>
      </c>
      <c r="AL44" s="287">
        <f>IF(AL43-AL25=0,0,IF(ABS(AL43-AL25)&gt;0.1,ABS(AL43-AL25),0))</f>
        <v>0</v>
      </c>
    </row>
    <row r="45" spans="1:52" s="159" customFormat="1">
      <c r="A45" s="166"/>
      <c r="B45" s="213"/>
      <c r="C45" s="241"/>
      <c r="D45" s="241"/>
      <c r="E45" s="288"/>
      <c r="F45" s="241"/>
      <c r="G45" s="241"/>
      <c r="H45" s="241"/>
      <c r="I45" s="241"/>
      <c r="J45" s="289"/>
      <c r="K45" s="241"/>
      <c r="L45" s="241"/>
      <c r="M45" s="241"/>
      <c r="N45" s="241"/>
      <c r="O45" s="241"/>
      <c r="P45" s="241"/>
      <c r="Q45" s="241"/>
      <c r="R45" s="241"/>
      <c r="S45" s="241"/>
      <c r="T45" s="241"/>
      <c r="U45" s="241"/>
      <c r="V45" s="241"/>
      <c r="W45" s="241"/>
      <c r="X45" s="241"/>
      <c r="Y45" s="241"/>
      <c r="Z45" s="241"/>
      <c r="AA45" s="241"/>
      <c r="AB45" s="241"/>
      <c r="AC45" s="241"/>
      <c r="AD45" s="241"/>
      <c r="AE45" s="241"/>
      <c r="AF45" s="214"/>
      <c r="AG45" s="265"/>
      <c r="AM45" s="166"/>
      <c r="AN45" s="166"/>
      <c r="AO45" s="166"/>
      <c r="AP45" s="166"/>
      <c r="AQ45" s="166"/>
      <c r="AR45" s="166"/>
      <c r="AS45" s="167"/>
    </row>
    <row r="46" spans="1:52" ht="15">
      <c r="A46" s="290" t="s">
        <v>75</v>
      </c>
      <c r="B46" s="290"/>
      <c r="AF46" s="844"/>
      <c r="AG46" s="265"/>
    </row>
    <row r="47" spans="1:52">
      <c r="A47" s="508">
        <f>'Gen Info'!$B$50</f>
        <v>0</v>
      </c>
      <c r="B47" s="737"/>
      <c r="C47" s="737"/>
      <c r="D47" s="737"/>
      <c r="E47" s="737"/>
      <c r="F47" s="1166">
        <f>F13</f>
        <v>693962</v>
      </c>
      <c r="G47" s="1167"/>
      <c r="H47" s="1167"/>
      <c r="I47" s="1167"/>
      <c r="J47" s="1167"/>
      <c r="K47" s="1167"/>
      <c r="L47" s="1167"/>
      <c r="M47" s="1167"/>
      <c r="N47" s="1167"/>
      <c r="O47" s="1167"/>
      <c r="P47" s="1167"/>
      <c r="Q47" s="1167"/>
      <c r="R47" s="906" t="s">
        <v>367</v>
      </c>
      <c r="S47" s="1166">
        <f>F47+365</f>
        <v>694327</v>
      </c>
      <c r="T47" s="1167"/>
      <c r="U47" s="1167"/>
      <c r="V47" s="1167"/>
      <c r="W47" s="1167"/>
      <c r="X47" s="1167"/>
      <c r="Y47" s="1167"/>
      <c r="Z47" s="1167"/>
      <c r="AA47" s="1167"/>
      <c r="AB47" s="1167"/>
      <c r="AC47" s="1167"/>
      <c r="AD47" s="1167"/>
      <c r="AE47" s="595" t="s">
        <v>120</v>
      </c>
      <c r="AF47" s="441" t="s">
        <v>532</v>
      </c>
      <c r="AG47" s="265"/>
      <c r="AH47" s="737">
        <f ca="1">AH$7</f>
        <v>694327</v>
      </c>
      <c r="AI47" s="737">
        <f ca="1">AI$7</f>
        <v>694692</v>
      </c>
      <c r="AJ47" s="737">
        <f ca="1">AJ$7</f>
        <v>695057</v>
      </c>
      <c r="AK47" s="737">
        <f ca="1">AK$7</f>
        <v>695422</v>
      </c>
      <c r="AL47" s="737">
        <f ca="1">AL$7</f>
        <v>695787</v>
      </c>
      <c r="AM47" s="254"/>
      <c r="AN47" s="254"/>
      <c r="AO47" s="254"/>
      <c r="AP47" s="254"/>
      <c r="AQ47" s="254"/>
      <c r="AR47" s="254"/>
      <c r="AS47" s="255"/>
      <c r="AU47" s="255"/>
      <c r="AV47" s="255"/>
      <c r="AW47" s="255"/>
      <c r="AX47" s="255"/>
      <c r="AY47" s="255"/>
    </row>
    <row r="48" spans="1:52">
      <c r="A48" s="256"/>
      <c r="B48" s="1070">
        <f>B$7</f>
        <v>692501</v>
      </c>
      <c r="C48" s="1070">
        <f>C$7</f>
        <v>692867</v>
      </c>
      <c r="D48" s="1070">
        <f>D$7</f>
        <v>693232</v>
      </c>
      <c r="E48" s="1070">
        <f>E$7</f>
        <v>693597</v>
      </c>
      <c r="F48" s="246">
        <f ca="1">F$7</f>
        <v>693628</v>
      </c>
      <c r="G48" s="246">
        <f t="shared" ref="G48:AE48" ca="1" si="16">G$7</f>
        <v>693656</v>
      </c>
      <c r="H48" s="246">
        <f t="shared" ca="1" si="16"/>
        <v>693687</v>
      </c>
      <c r="I48" s="246">
        <f t="shared" ca="1" si="16"/>
        <v>693717</v>
      </c>
      <c r="J48" s="246">
        <f t="shared" ca="1" si="16"/>
        <v>693748</v>
      </c>
      <c r="K48" s="246">
        <f t="shared" ca="1" si="16"/>
        <v>693778</v>
      </c>
      <c r="L48" s="246">
        <f t="shared" ca="1" si="16"/>
        <v>693809</v>
      </c>
      <c r="M48" s="246">
        <f t="shared" ca="1" si="16"/>
        <v>693840</v>
      </c>
      <c r="N48" s="246">
        <f t="shared" ca="1" si="16"/>
        <v>693870</v>
      </c>
      <c r="O48" s="246">
        <f t="shared" ca="1" si="16"/>
        <v>693901</v>
      </c>
      <c r="P48" s="246">
        <f t="shared" ca="1" si="16"/>
        <v>693931</v>
      </c>
      <c r="Q48" s="246">
        <f t="shared" ca="1" si="16"/>
        <v>693962</v>
      </c>
      <c r="R48" s="906">
        <f ca="1">R7</f>
        <v>693962</v>
      </c>
      <c r="S48" s="246">
        <f t="shared" ca="1" si="16"/>
        <v>31</v>
      </c>
      <c r="T48" s="246">
        <f t="shared" ca="1" si="16"/>
        <v>59</v>
      </c>
      <c r="U48" s="246">
        <f t="shared" ca="1" si="16"/>
        <v>91</v>
      </c>
      <c r="V48" s="246">
        <f t="shared" ca="1" si="16"/>
        <v>121</v>
      </c>
      <c r="W48" s="246">
        <f t="shared" ca="1" si="16"/>
        <v>152</v>
      </c>
      <c r="X48" s="246">
        <f t="shared" ca="1" si="16"/>
        <v>182</v>
      </c>
      <c r="Y48" s="246">
        <f t="shared" ca="1" si="16"/>
        <v>213</v>
      </c>
      <c r="Z48" s="246">
        <f t="shared" ca="1" si="16"/>
        <v>244</v>
      </c>
      <c r="AA48" s="246">
        <f t="shared" ca="1" si="16"/>
        <v>274</v>
      </c>
      <c r="AB48" s="246">
        <f t="shared" ca="1" si="16"/>
        <v>305</v>
      </c>
      <c r="AC48" s="246">
        <f t="shared" ca="1" si="16"/>
        <v>335</v>
      </c>
      <c r="AD48" s="246">
        <f t="shared" ca="1" si="16"/>
        <v>366</v>
      </c>
      <c r="AE48" s="246" t="e">
        <f t="shared" ca="1" si="16"/>
        <v>#N/A</v>
      </c>
      <c r="AF48" s="246" t="e">
        <f ca="1">AE48</f>
        <v>#N/A</v>
      </c>
      <c r="AG48" s="265"/>
      <c r="AH48" s="441"/>
      <c r="AI48" s="441"/>
      <c r="AJ48" s="441"/>
      <c r="AK48" s="441"/>
      <c r="AL48" s="441"/>
      <c r="AM48" s="258"/>
      <c r="AN48" s="258"/>
      <c r="AO48" s="258"/>
      <c r="AP48" s="258"/>
      <c r="AQ48" s="258"/>
      <c r="AR48" s="258"/>
      <c r="AS48" s="258"/>
      <c r="AU48" s="255"/>
      <c r="AV48" s="255"/>
      <c r="AW48" s="255"/>
      <c r="AX48" s="255"/>
      <c r="AY48" s="255"/>
    </row>
    <row r="49" spans="1:52">
      <c r="A49" s="203" t="s">
        <v>91</v>
      </c>
      <c r="B49" s="742" t="s">
        <v>92</v>
      </c>
      <c r="C49" s="742" t="s">
        <v>92</v>
      </c>
      <c r="D49" s="742" t="s">
        <v>92</v>
      </c>
      <c r="E49" s="742" t="s">
        <v>92</v>
      </c>
      <c r="F49" s="743" t="s">
        <v>92</v>
      </c>
      <c r="G49" s="743" t="s">
        <v>92</v>
      </c>
      <c r="H49" s="743" t="s">
        <v>92</v>
      </c>
      <c r="I49" s="743" t="s">
        <v>92</v>
      </c>
      <c r="J49" s="743" t="s">
        <v>92</v>
      </c>
      <c r="K49" s="743" t="s">
        <v>92</v>
      </c>
      <c r="L49" s="743" t="s">
        <v>92</v>
      </c>
      <c r="M49" s="743" t="s">
        <v>92</v>
      </c>
      <c r="N49" s="743" t="s">
        <v>92</v>
      </c>
      <c r="O49" s="743" t="s">
        <v>92</v>
      </c>
      <c r="P49" s="743" t="s">
        <v>92</v>
      </c>
      <c r="Q49" s="743" t="s">
        <v>92</v>
      </c>
      <c r="R49" s="743" t="s">
        <v>92</v>
      </c>
      <c r="S49" s="743" t="s">
        <v>93</v>
      </c>
      <c r="T49" s="743" t="s">
        <v>93</v>
      </c>
      <c r="U49" s="743" t="s">
        <v>93</v>
      </c>
      <c r="V49" s="743" t="s">
        <v>93</v>
      </c>
      <c r="W49" s="743" t="s">
        <v>93</v>
      </c>
      <c r="X49" s="743" t="s">
        <v>93</v>
      </c>
      <c r="Y49" s="743" t="s">
        <v>93</v>
      </c>
      <c r="Z49" s="743" t="s">
        <v>93</v>
      </c>
      <c r="AA49" s="743" t="s">
        <v>93</v>
      </c>
      <c r="AB49" s="743" t="s">
        <v>93</v>
      </c>
      <c r="AC49" s="743" t="s">
        <v>93</v>
      </c>
      <c r="AD49" s="743" t="s">
        <v>93</v>
      </c>
      <c r="AE49" s="743" t="s">
        <v>93</v>
      </c>
      <c r="AF49" s="743" t="s">
        <v>93</v>
      </c>
      <c r="AG49" s="265"/>
      <c r="AH49" s="441" t="s">
        <v>307</v>
      </c>
      <c r="AI49" s="441" t="s">
        <v>307</v>
      </c>
      <c r="AJ49" s="441" t="s">
        <v>307</v>
      </c>
      <c r="AK49" s="441" t="s">
        <v>307</v>
      </c>
      <c r="AL49" s="441" t="s">
        <v>307</v>
      </c>
      <c r="AM49" s="291"/>
      <c r="AN49" s="291"/>
      <c r="AO49" s="291"/>
      <c r="AP49" s="291"/>
      <c r="AQ49" s="291"/>
      <c r="AR49" s="291"/>
      <c r="AS49" s="291"/>
      <c r="AU49" s="255"/>
      <c r="AV49" s="255"/>
      <c r="AW49" s="255"/>
      <c r="AX49" s="255"/>
      <c r="AY49" s="255"/>
    </row>
    <row r="50" spans="1:52">
      <c r="A50" s="292"/>
      <c r="B50" s="284"/>
      <c r="C50" s="284"/>
      <c r="D50" s="284"/>
      <c r="E50" s="284"/>
      <c r="F50" s="284"/>
      <c r="G50" s="284"/>
      <c r="H50" s="284"/>
      <c r="I50" s="284"/>
      <c r="J50" s="284"/>
      <c r="K50" s="284"/>
      <c r="L50" s="284"/>
      <c r="M50" s="284"/>
      <c r="N50" s="284"/>
      <c r="O50" s="284"/>
      <c r="P50" s="284"/>
      <c r="Q50" s="284"/>
      <c r="R50" s="284"/>
      <c r="S50" s="284"/>
      <c r="T50" s="284"/>
      <c r="U50" s="284"/>
      <c r="V50" s="284"/>
      <c r="W50" s="284"/>
      <c r="X50" s="284"/>
      <c r="Y50" s="284"/>
      <c r="Z50" s="284"/>
      <c r="AA50" s="284"/>
      <c r="AB50" s="284"/>
      <c r="AC50" s="284"/>
      <c r="AD50" s="284"/>
      <c r="AE50" s="284"/>
      <c r="AF50" s="284"/>
      <c r="AG50" s="265"/>
      <c r="AH50" s="284"/>
      <c r="AI50" s="284"/>
      <c r="AJ50" s="284"/>
      <c r="AK50" s="284"/>
      <c r="AL50" s="284"/>
      <c r="AM50" s="160"/>
      <c r="AN50" s="160"/>
      <c r="AO50" s="160"/>
      <c r="AP50" s="160"/>
      <c r="AQ50" s="160"/>
      <c r="AR50" s="160"/>
      <c r="AS50" s="160"/>
      <c r="AT50" s="160"/>
      <c r="AU50" s="160"/>
      <c r="AV50" s="160"/>
      <c r="AW50" s="160"/>
      <c r="AX50" s="160"/>
      <c r="AY50" s="160"/>
      <c r="AZ50" s="160"/>
    </row>
    <row r="51" spans="1:52">
      <c r="A51" s="203" t="s">
        <v>73</v>
      </c>
      <c r="B51" s="168">
        <f>IFERROR(HLOOKUP('Hist &amp; Proj'!B$48,Data_Formatting!$CL$122:$CP$150,ROW('Hist &amp; Proj'!B51)-ROW('Hist &amp; Proj'!B$48)-1,FALSE),0)</f>
        <v>0</v>
      </c>
      <c r="C51" s="168">
        <f>IFERROR(HLOOKUP('Hist &amp; Proj'!C$48,Data_Formatting!$CL$122:$CP$150,ROW('Hist &amp; Proj'!C51)-ROW('Hist &amp; Proj'!C$48)-1,FALSE),0)</f>
        <v>0</v>
      </c>
      <c r="D51" s="168">
        <f>IFERROR(HLOOKUP('Hist &amp; Proj'!D$48,Data_Formatting!$CL$122:$CP$150,ROW('Hist &amp; Proj'!D51)-ROW('Hist &amp; Proj'!D$48)-1,FALSE),0)</f>
        <v>0</v>
      </c>
      <c r="E51" s="168">
        <f>IFERROR(HLOOKUP('Hist &amp; Proj'!E$48,Data_Formatting!$CL$122:$CP$150,ROW('Hist &amp; Proj'!E51)-ROW('Hist &amp; Proj'!E$48)-1,FALSE),0)</f>
        <v>0</v>
      </c>
      <c r="F51" s="168">
        <f ca="1">IFERROR(HLOOKUP('Hist &amp; Proj'!F$48,Data_Formatting!$AY$122:$CH$150,ROW('Hist &amp; Proj'!F51)-ROW('Hist &amp; Proj'!F$48)-1,FALSE),0)</f>
        <v>0</v>
      </c>
      <c r="G51" s="168">
        <f ca="1">IFERROR(HLOOKUP('Hist &amp; Proj'!G$48,Data_Formatting!$AY$122:$CH$150,ROW('Hist &amp; Proj'!G51)-ROW('Hist &amp; Proj'!G$48)-1,FALSE),0)</f>
        <v>0</v>
      </c>
      <c r="H51" s="168">
        <f ca="1">IFERROR(HLOOKUP('Hist &amp; Proj'!H$48,Data_Formatting!$AY$122:$CH$150,ROW('Hist &amp; Proj'!H51)-ROW('Hist &amp; Proj'!H$48)-1,FALSE),0)</f>
        <v>0</v>
      </c>
      <c r="I51" s="168">
        <f ca="1">IFERROR(HLOOKUP('Hist &amp; Proj'!I$48,Data_Formatting!$AY$122:$CH$150,ROW('Hist &amp; Proj'!I51)-ROW('Hist &amp; Proj'!I$48)-1,FALSE),0)</f>
        <v>0</v>
      </c>
      <c r="J51" s="168">
        <f ca="1">IFERROR(HLOOKUP('Hist &amp; Proj'!J$48,Data_Formatting!$AY$122:$CH$150,ROW('Hist &amp; Proj'!J51)-ROW('Hist &amp; Proj'!J$48)-1,FALSE),0)</f>
        <v>0</v>
      </c>
      <c r="K51" s="168">
        <f ca="1">IFERROR(HLOOKUP('Hist &amp; Proj'!K$48,Data_Formatting!$AY$122:$CH$150,ROW('Hist &amp; Proj'!K51)-ROW('Hist &amp; Proj'!K$48)-1,FALSE),0)</f>
        <v>0</v>
      </c>
      <c r="L51" s="168">
        <f ca="1">IFERROR(HLOOKUP('Hist &amp; Proj'!L$48,Data_Formatting!$AY$122:$CH$150,ROW('Hist &amp; Proj'!L51)-ROW('Hist &amp; Proj'!L$48)-1,FALSE),0)</f>
        <v>0</v>
      </c>
      <c r="M51" s="168">
        <f ca="1">IFERROR(HLOOKUP('Hist &amp; Proj'!M$48,Data_Formatting!$AY$122:$CH$150,ROW('Hist &amp; Proj'!M51)-ROW('Hist &amp; Proj'!M$48)-1,FALSE),0)</f>
        <v>0</v>
      </c>
      <c r="N51" s="168">
        <f ca="1">IFERROR(HLOOKUP('Hist &amp; Proj'!N$48,Data_Formatting!$AY$122:$CH$150,ROW('Hist &amp; Proj'!N51)-ROW('Hist &amp; Proj'!N$48)-1,FALSE),0)</f>
        <v>0</v>
      </c>
      <c r="O51" s="168">
        <f ca="1">IFERROR(HLOOKUP('Hist &amp; Proj'!O$48,Data_Formatting!$AY$122:$CH$150,ROW('Hist &amp; Proj'!O51)-ROW('Hist &amp; Proj'!O$48)-1,FALSE),0)</f>
        <v>0</v>
      </c>
      <c r="P51" s="168">
        <f ca="1">IFERROR(HLOOKUP('Hist &amp; Proj'!P$48,Data_Formatting!$AY$122:$CH$150,ROW('Hist &amp; Proj'!P51)-ROW('Hist &amp; Proj'!P$48)-1,FALSE),0)</f>
        <v>0</v>
      </c>
      <c r="Q51" s="168">
        <f ca="1">IFERROR(HLOOKUP('Hist &amp; Proj'!Q$48,Data_Formatting!$AY$122:$CH$150,ROW('Hist &amp; Proj'!Q51)-ROW('Hist &amp; Proj'!Q$48)-1,FALSE),0)</f>
        <v>0</v>
      </c>
      <c r="R51" s="168">
        <f ca="1">IFERROR(HLOOKUP('Hist &amp; Proj'!R$48,Data_Formatting!$CL$122:$CP$150,ROW('Hist &amp; Proj'!R51)-ROW('Hist &amp; Proj'!R$48)-1,FALSE),0)</f>
        <v>0</v>
      </c>
      <c r="S51" s="168">
        <f ca="1">IFERROR(HLOOKUP('Hist &amp; Proj'!S$48,Data_Formatting!$AY$122:$CH$150,ROW('Hist &amp; Proj'!S51)-ROW('Hist &amp; Proj'!S$48)-1,FALSE),0)</f>
        <v>0</v>
      </c>
      <c r="T51" s="168">
        <f ca="1">IFERROR(HLOOKUP('Hist &amp; Proj'!T$48,Data_Formatting!$AY$122:$CH$150,ROW('Hist &amp; Proj'!T51)-ROW('Hist &amp; Proj'!T$48)-1,FALSE),0)</f>
        <v>0</v>
      </c>
      <c r="U51" s="168">
        <f ca="1">IFERROR(HLOOKUP('Hist &amp; Proj'!U$48,Data_Formatting!$AY$122:$CH$150,ROW('Hist &amp; Proj'!U51)-ROW('Hist &amp; Proj'!U$48)-1,FALSE),0)</f>
        <v>0</v>
      </c>
      <c r="V51" s="168">
        <f ca="1">IFERROR(HLOOKUP('Hist &amp; Proj'!V$48,Data_Formatting!$AY$122:$CH$150,ROW('Hist &amp; Proj'!V51)-ROW('Hist &amp; Proj'!V$48)-1,FALSE),0)</f>
        <v>0</v>
      </c>
      <c r="W51" s="168">
        <f ca="1">IFERROR(HLOOKUP('Hist &amp; Proj'!W$48,Data_Formatting!$AY$122:$CH$150,ROW('Hist &amp; Proj'!W51)-ROW('Hist &amp; Proj'!W$48)-1,FALSE),0)</f>
        <v>0</v>
      </c>
      <c r="X51" s="168">
        <f ca="1">IFERROR(HLOOKUP('Hist &amp; Proj'!X$48,Data_Formatting!$AY$122:$CH$150,ROW('Hist &amp; Proj'!X51)-ROW('Hist &amp; Proj'!X$48)-1,FALSE),0)</f>
        <v>0</v>
      </c>
      <c r="Y51" s="168">
        <f ca="1">IFERROR(HLOOKUP('Hist &amp; Proj'!Y$48,Data_Formatting!$AY$122:$CH$150,ROW('Hist &amp; Proj'!Y51)-ROW('Hist &amp; Proj'!Y$48)-1,FALSE),0)</f>
        <v>0</v>
      </c>
      <c r="Z51" s="168">
        <f ca="1">IFERROR(HLOOKUP('Hist &amp; Proj'!Z$48,Data_Formatting!$AY$122:$CH$150,ROW('Hist &amp; Proj'!Z51)-ROW('Hist &amp; Proj'!Z$48)-1,FALSE),0)</f>
        <v>0</v>
      </c>
      <c r="AA51" s="168">
        <f ca="1">IFERROR(HLOOKUP('Hist &amp; Proj'!AA$48,Data_Formatting!$AY$122:$CH$150,ROW('Hist &amp; Proj'!AA51)-ROW('Hist &amp; Proj'!AA$48)-1,FALSE),0)</f>
        <v>0</v>
      </c>
      <c r="AB51" s="168">
        <f ca="1">IFERROR(HLOOKUP('Hist &amp; Proj'!AB$48,Data_Formatting!$AY$122:$CH$150,ROW('Hist &amp; Proj'!AB51)-ROW('Hist &amp; Proj'!AB$48)-1,FALSE),0)</f>
        <v>0</v>
      </c>
      <c r="AC51" s="168">
        <f ca="1">IFERROR(HLOOKUP('Hist &amp; Proj'!AC$48,Data_Formatting!$AY$122:$CH$150,ROW('Hist &amp; Proj'!AC51)-ROW('Hist &amp; Proj'!AC$48)-1,FALSE),0)</f>
        <v>0</v>
      </c>
      <c r="AD51" s="168">
        <f ca="1">IFERROR(HLOOKUP('Hist &amp; Proj'!AD$48,Data_Formatting!$AY$122:$CH$150,ROW('Hist &amp; Proj'!AD51)-ROW('Hist &amp; Proj'!AD$48)-1,FALSE),0)</f>
        <v>0</v>
      </c>
      <c r="AE51" s="267" t="e">
        <f ca="1">HLOOKUP(1,S$6:AD51,ROW(AE51)-5,FALSE)</f>
        <v>#N/A</v>
      </c>
      <c r="AF51" s="267" t="e">
        <f ca="1">HLOOKUP(1,S$6:AD51,ROW(AE51)-5,FALSE)+R51-HLOOKUP(1,F$6:Q51,ROW(AE51)-5,FALSE)</f>
        <v>#N/A</v>
      </c>
      <c r="AG51" s="265"/>
      <c r="AH51" s="168"/>
      <c r="AI51" s="168"/>
      <c r="AJ51" s="168">
        <v>0</v>
      </c>
      <c r="AK51" s="168">
        <v>0</v>
      </c>
      <c r="AL51" s="168">
        <v>0</v>
      </c>
      <c r="AM51" s="160"/>
      <c r="AN51" s="296"/>
      <c r="AO51" s="160"/>
      <c r="AP51" s="160"/>
      <c r="AQ51" s="160"/>
      <c r="AR51" s="160"/>
      <c r="AS51" s="160"/>
      <c r="AT51" s="160"/>
      <c r="AU51" s="160"/>
      <c r="AV51" s="160"/>
      <c r="AW51" s="160"/>
      <c r="AX51" s="160"/>
      <c r="AY51" s="160"/>
      <c r="AZ51" s="160"/>
    </row>
    <row r="52" spans="1:52">
      <c r="A52" s="268" t="s">
        <v>90</v>
      </c>
      <c r="B52" s="168">
        <f>IFERROR(HLOOKUP('Hist &amp; Proj'!B$48,Data_Formatting!$CL$122:$CP$150,ROW('Hist &amp; Proj'!B52)-ROW('Hist &amp; Proj'!B$48)-1,FALSE),0)</f>
        <v>0</v>
      </c>
      <c r="C52" s="168">
        <f>IFERROR(HLOOKUP('Hist &amp; Proj'!C$48,Data_Formatting!$CL$122:$CP$150,ROW('Hist &amp; Proj'!C52)-ROW('Hist &amp; Proj'!C$48)-1,FALSE),0)</f>
        <v>0</v>
      </c>
      <c r="D52" s="168">
        <f>IFERROR(HLOOKUP('Hist &amp; Proj'!D$48,Data_Formatting!$CL$122:$CP$150,ROW('Hist &amp; Proj'!D52)-ROW('Hist &amp; Proj'!D$48)-1,FALSE),0)</f>
        <v>0</v>
      </c>
      <c r="E52" s="168">
        <f>IFERROR(HLOOKUP('Hist &amp; Proj'!E$48,Data_Formatting!$CL$122:$CP$150,ROW('Hist &amp; Proj'!E52)-ROW('Hist &amp; Proj'!E$48)-1,FALSE),0)</f>
        <v>0</v>
      </c>
      <c r="F52" s="168">
        <f ca="1">IFERROR(HLOOKUP('Hist &amp; Proj'!F$48,Data_Formatting!$AY$122:$CH$150,ROW('Hist &amp; Proj'!F52)-ROW('Hist &amp; Proj'!F$48)-1,FALSE),0)</f>
        <v>0</v>
      </c>
      <c r="G52" s="168">
        <f ca="1">IFERROR(HLOOKUP('Hist &amp; Proj'!G$48,Data_Formatting!$AY$122:$CH$150,ROW('Hist &amp; Proj'!G52)-ROW('Hist &amp; Proj'!G$48)-1,FALSE),0)</f>
        <v>0</v>
      </c>
      <c r="H52" s="168">
        <f ca="1">IFERROR(HLOOKUP('Hist &amp; Proj'!H$48,Data_Formatting!$AY$122:$CH$150,ROW('Hist &amp; Proj'!H52)-ROW('Hist &amp; Proj'!H$48)-1,FALSE),0)</f>
        <v>0</v>
      </c>
      <c r="I52" s="168">
        <f ca="1">IFERROR(HLOOKUP('Hist &amp; Proj'!I$48,Data_Formatting!$AY$122:$CH$150,ROW('Hist &amp; Proj'!I52)-ROW('Hist &amp; Proj'!I$48)-1,FALSE),0)</f>
        <v>0</v>
      </c>
      <c r="J52" s="168">
        <f ca="1">IFERROR(HLOOKUP('Hist &amp; Proj'!J$48,Data_Formatting!$AY$122:$CH$150,ROW('Hist &amp; Proj'!J52)-ROW('Hist &amp; Proj'!J$48)-1,FALSE),0)</f>
        <v>0</v>
      </c>
      <c r="K52" s="168">
        <f ca="1">IFERROR(HLOOKUP('Hist &amp; Proj'!K$48,Data_Formatting!$AY$122:$CH$150,ROW('Hist &amp; Proj'!K52)-ROW('Hist &amp; Proj'!K$48)-1,FALSE),0)</f>
        <v>0</v>
      </c>
      <c r="L52" s="168">
        <f ca="1">IFERROR(HLOOKUP('Hist &amp; Proj'!L$48,Data_Formatting!$AY$122:$CH$150,ROW('Hist &amp; Proj'!L52)-ROW('Hist &amp; Proj'!L$48)-1,FALSE),0)</f>
        <v>0</v>
      </c>
      <c r="M52" s="168">
        <f ca="1">IFERROR(HLOOKUP('Hist &amp; Proj'!M$48,Data_Formatting!$AY$122:$CH$150,ROW('Hist &amp; Proj'!M52)-ROW('Hist &amp; Proj'!M$48)-1,FALSE),0)</f>
        <v>0</v>
      </c>
      <c r="N52" s="168">
        <f ca="1">IFERROR(HLOOKUP('Hist &amp; Proj'!N$48,Data_Formatting!$AY$122:$CH$150,ROW('Hist &amp; Proj'!N52)-ROW('Hist &amp; Proj'!N$48)-1,FALSE),0)</f>
        <v>0</v>
      </c>
      <c r="O52" s="168">
        <f ca="1">IFERROR(HLOOKUP('Hist &amp; Proj'!O$48,Data_Formatting!$AY$122:$CH$150,ROW('Hist &amp; Proj'!O52)-ROW('Hist &amp; Proj'!O$48)-1,FALSE),0)</f>
        <v>0</v>
      </c>
      <c r="P52" s="168">
        <f ca="1">IFERROR(HLOOKUP('Hist &amp; Proj'!P$48,Data_Formatting!$AY$122:$CH$150,ROW('Hist &amp; Proj'!P52)-ROW('Hist &amp; Proj'!P$48)-1,FALSE),0)</f>
        <v>0</v>
      </c>
      <c r="Q52" s="168">
        <f ca="1">IFERROR(HLOOKUP('Hist &amp; Proj'!Q$48,Data_Formatting!$AY$122:$CH$150,ROW('Hist &amp; Proj'!Q52)-ROW('Hist &amp; Proj'!Q$48)-1,FALSE),0)</f>
        <v>0</v>
      </c>
      <c r="R52" s="168">
        <f ca="1">IFERROR(HLOOKUP('Hist &amp; Proj'!R$48,Data_Formatting!$CL$122:$CP$150,ROW('Hist &amp; Proj'!R52)-ROW('Hist &amp; Proj'!R$48)-1,FALSE),0)</f>
        <v>0</v>
      </c>
      <c r="S52" s="168">
        <f ca="1">IFERROR(HLOOKUP('Hist &amp; Proj'!S$48,Data_Formatting!$AY$122:$CH$150,ROW('Hist &amp; Proj'!S52)-ROW('Hist &amp; Proj'!S$48)-1,FALSE),0)</f>
        <v>0</v>
      </c>
      <c r="T52" s="168">
        <f ca="1">IFERROR(HLOOKUP('Hist &amp; Proj'!T$48,Data_Formatting!$AY$122:$CH$150,ROW('Hist &amp; Proj'!T52)-ROW('Hist &amp; Proj'!T$48)-1,FALSE),0)</f>
        <v>0</v>
      </c>
      <c r="U52" s="168">
        <f ca="1">IFERROR(HLOOKUP('Hist &amp; Proj'!U$48,Data_Formatting!$AY$122:$CH$150,ROW('Hist &amp; Proj'!U52)-ROW('Hist &amp; Proj'!U$48)-1,FALSE),0)</f>
        <v>0</v>
      </c>
      <c r="V52" s="168">
        <f ca="1">IFERROR(HLOOKUP('Hist &amp; Proj'!V$48,Data_Formatting!$AY$122:$CH$150,ROW('Hist &amp; Proj'!V52)-ROW('Hist &amp; Proj'!V$48)-1,FALSE),0)</f>
        <v>0</v>
      </c>
      <c r="W52" s="168">
        <f ca="1">IFERROR(HLOOKUP('Hist &amp; Proj'!W$48,Data_Formatting!$AY$122:$CH$150,ROW('Hist &amp; Proj'!W52)-ROW('Hist &amp; Proj'!W$48)-1,FALSE),0)</f>
        <v>0</v>
      </c>
      <c r="X52" s="168">
        <f ca="1">IFERROR(HLOOKUP('Hist &amp; Proj'!X$48,Data_Formatting!$AY$122:$CH$150,ROW('Hist &amp; Proj'!X52)-ROW('Hist &amp; Proj'!X$48)-1,FALSE),0)</f>
        <v>0</v>
      </c>
      <c r="Y52" s="168">
        <f ca="1">IFERROR(HLOOKUP('Hist &amp; Proj'!Y$48,Data_Formatting!$AY$122:$CH$150,ROW('Hist &amp; Proj'!Y52)-ROW('Hist &amp; Proj'!Y$48)-1,FALSE),0)</f>
        <v>0</v>
      </c>
      <c r="Z52" s="168">
        <f ca="1">IFERROR(HLOOKUP('Hist &amp; Proj'!Z$48,Data_Formatting!$AY$122:$CH$150,ROW('Hist &amp; Proj'!Z52)-ROW('Hist &amp; Proj'!Z$48)-1,FALSE),0)</f>
        <v>0</v>
      </c>
      <c r="AA52" s="168">
        <f ca="1">IFERROR(HLOOKUP('Hist &amp; Proj'!AA$48,Data_Formatting!$AY$122:$CH$150,ROW('Hist &amp; Proj'!AA52)-ROW('Hist &amp; Proj'!AA$48)-1,FALSE),0)</f>
        <v>0</v>
      </c>
      <c r="AB52" s="168">
        <f ca="1">IFERROR(HLOOKUP('Hist &amp; Proj'!AB$48,Data_Formatting!$AY$122:$CH$150,ROW('Hist &amp; Proj'!AB52)-ROW('Hist &amp; Proj'!AB$48)-1,FALSE),0)</f>
        <v>0</v>
      </c>
      <c r="AC52" s="168">
        <f ca="1">IFERROR(HLOOKUP('Hist &amp; Proj'!AC$48,Data_Formatting!$AY$122:$CH$150,ROW('Hist &amp; Proj'!AC52)-ROW('Hist &amp; Proj'!AC$48)-1,FALSE),0)</f>
        <v>0</v>
      </c>
      <c r="AD52" s="168">
        <f ca="1">IFERROR(HLOOKUP('Hist &amp; Proj'!AD$48,Data_Formatting!$AY$122:$CH$150,ROW('Hist &amp; Proj'!AD52)-ROW('Hist &amp; Proj'!AD$48)-1,FALSE),0)</f>
        <v>0</v>
      </c>
      <c r="AE52" s="267" t="e">
        <f ca="1">HLOOKUP(1,S$6:AD52,ROW(AE52)-5,FALSE)</f>
        <v>#N/A</v>
      </c>
      <c r="AF52" s="267" t="e">
        <f ca="1">HLOOKUP(1,S$6:AD52,ROW(AE52)-5,FALSE)+R52-HLOOKUP(1,F$6:Q52,ROW(AE52)-5,FALSE)</f>
        <v>#N/A</v>
      </c>
      <c r="AG52" s="265"/>
      <c r="AH52" s="168"/>
      <c r="AI52" s="168"/>
      <c r="AJ52" s="168">
        <v>0</v>
      </c>
      <c r="AK52" s="168">
        <v>0</v>
      </c>
      <c r="AL52" s="168">
        <v>0</v>
      </c>
      <c r="AM52" s="160"/>
      <c r="AN52" s="296"/>
      <c r="AO52" s="160"/>
      <c r="AP52" s="160"/>
      <c r="AQ52" s="160"/>
      <c r="AR52" s="160"/>
      <c r="AS52" s="160"/>
      <c r="AT52" s="160"/>
      <c r="AU52" s="160"/>
      <c r="AV52" s="160"/>
      <c r="AW52" s="160"/>
      <c r="AX52" s="160"/>
      <c r="AY52" s="160"/>
      <c r="AZ52" s="160"/>
    </row>
    <row r="53" spans="1:52" ht="15">
      <c r="A53" s="268" t="s">
        <v>10</v>
      </c>
      <c r="B53" s="168">
        <f>IFERROR(HLOOKUP('Hist &amp; Proj'!B$48,Data_Formatting!$CL$122:$CP$150,ROW('Hist &amp; Proj'!B53)-ROW('Hist &amp; Proj'!B$48)-1,FALSE),0)</f>
        <v>0</v>
      </c>
      <c r="C53" s="168">
        <f>IFERROR(HLOOKUP('Hist &amp; Proj'!C$48,Data_Formatting!$CL$122:$CP$150,ROW('Hist &amp; Proj'!C53)-ROW('Hist &amp; Proj'!C$48)-1,FALSE),0)</f>
        <v>0</v>
      </c>
      <c r="D53" s="168">
        <f>IFERROR(HLOOKUP('Hist &amp; Proj'!D$48,Data_Formatting!$CL$122:$CP$150,ROW('Hist &amp; Proj'!D53)-ROW('Hist &amp; Proj'!D$48)-1,FALSE),0)</f>
        <v>0</v>
      </c>
      <c r="E53" s="168">
        <f>IFERROR(HLOOKUP('Hist &amp; Proj'!E$48,Data_Formatting!$CL$122:$CP$150,ROW('Hist &amp; Proj'!E53)-ROW('Hist &amp; Proj'!E$48)-1,FALSE),0)</f>
        <v>0</v>
      </c>
      <c r="F53" s="168">
        <f ca="1">IFERROR(HLOOKUP('Hist &amp; Proj'!F$48,Data_Formatting!$AY$122:$CH$150,ROW('Hist &amp; Proj'!F53)-ROW('Hist &amp; Proj'!F$48)-1,FALSE),0)</f>
        <v>0</v>
      </c>
      <c r="G53" s="168">
        <f ca="1">IFERROR(HLOOKUP('Hist &amp; Proj'!G$48,Data_Formatting!$AY$122:$CH$150,ROW('Hist &amp; Proj'!G53)-ROW('Hist &amp; Proj'!G$48)-1,FALSE),0)</f>
        <v>0</v>
      </c>
      <c r="H53" s="168">
        <f ca="1">IFERROR(HLOOKUP('Hist &amp; Proj'!H$48,Data_Formatting!$AY$122:$CH$150,ROW('Hist &amp; Proj'!H53)-ROW('Hist &amp; Proj'!H$48)-1,FALSE),0)</f>
        <v>0</v>
      </c>
      <c r="I53" s="168">
        <f ca="1">IFERROR(HLOOKUP('Hist &amp; Proj'!I$48,Data_Formatting!$AY$122:$CH$150,ROW('Hist &amp; Proj'!I53)-ROW('Hist &amp; Proj'!I$48)-1,FALSE),0)</f>
        <v>0</v>
      </c>
      <c r="J53" s="168">
        <f ca="1">IFERROR(HLOOKUP('Hist &amp; Proj'!J$48,Data_Formatting!$AY$122:$CH$150,ROW('Hist &amp; Proj'!J53)-ROW('Hist &amp; Proj'!J$48)-1,FALSE),0)</f>
        <v>0</v>
      </c>
      <c r="K53" s="168">
        <f ca="1">IFERROR(HLOOKUP('Hist &amp; Proj'!K$48,Data_Formatting!$AY$122:$CH$150,ROW('Hist &amp; Proj'!K53)-ROW('Hist &amp; Proj'!K$48)-1,FALSE),0)</f>
        <v>0</v>
      </c>
      <c r="L53" s="168">
        <f ca="1">IFERROR(HLOOKUP('Hist &amp; Proj'!L$48,Data_Formatting!$AY$122:$CH$150,ROW('Hist &amp; Proj'!L53)-ROW('Hist &amp; Proj'!L$48)-1,FALSE),0)</f>
        <v>0</v>
      </c>
      <c r="M53" s="168">
        <f ca="1">IFERROR(HLOOKUP('Hist &amp; Proj'!M$48,Data_Formatting!$AY$122:$CH$150,ROW('Hist &amp; Proj'!M53)-ROW('Hist &amp; Proj'!M$48)-1,FALSE),0)</f>
        <v>0</v>
      </c>
      <c r="N53" s="168">
        <f ca="1">IFERROR(HLOOKUP('Hist &amp; Proj'!N$48,Data_Formatting!$AY$122:$CH$150,ROW('Hist &amp; Proj'!N53)-ROW('Hist &amp; Proj'!N$48)-1,FALSE),0)</f>
        <v>0</v>
      </c>
      <c r="O53" s="168">
        <f ca="1">IFERROR(HLOOKUP('Hist &amp; Proj'!O$48,Data_Formatting!$AY$122:$CH$150,ROW('Hist &amp; Proj'!O53)-ROW('Hist &amp; Proj'!O$48)-1,FALSE),0)</f>
        <v>0</v>
      </c>
      <c r="P53" s="168">
        <f ca="1">IFERROR(HLOOKUP('Hist &amp; Proj'!P$48,Data_Formatting!$AY$122:$CH$150,ROW('Hist &amp; Proj'!P53)-ROW('Hist &amp; Proj'!P$48)-1,FALSE),0)</f>
        <v>0</v>
      </c>
      <c r="Q53" s="168">
        <f ca="1">IFERROR(HLOOKUP('Hist &amp; Proj'!Q$48,Data_Formatting!$AY$122:$CH$150,ROW('Hist &amp; Proj'!Q53)-ROW('Hist &amp; Proj'!Q$48)-1,FALSE),0)</f>
        <v>0</v>
      </c>
      <c r="R53" s="168">
        <f ca="1">IFERROR(HLOOKUP('Hist &amp; Proj'!R$48,Data_Formatting!$CL$122:$CP$150,ROW('Hist &amp; Proj'!R53)-ROW('Hist &amp; Proj'!R$48)-1,FALSE),0)</f>
        <v>0</v>
      </c>
      <c r="S53" s="168">
        <f ca="1">IFERROR(HLOOKUP('Hist &amp; Proj'!S$48,Data_Formatting!$AY$122:$CH$150,ROW('Hist &amp; Proj'!S53)-ROW('Hist &amp; Proj'!S$48)-1,FALSE),0)</f>
        <v>0</v>
      </c>
      <c r="T53" s="168">
        <f ca="1">IFERROR(HLOOKUP('Hist &amp; Proj'!T$48,Data_Formatting!$AY$122:$CH$150,ROW('Hist &amp; Proj'!T53)-ROW('Hist &amp; Proj'!T$48)-1,FALSE),0)</f>
        <v>0</v>
      </c>
      <c r="U53" s="168">
        <f ca="1">IFERROR(HLOOKUP('Hist &amp; Proj'!U$48,Data_Formatting!$AY$122:$CH$150,ROW('Hist &amp; Proj'!U53)-ROW('Hist &amp; Proj'!U$48)-1,FALSE),0)</f>
        <v>0</v>
      </c>
      <c r="V53" s="168">
        <f ca="1">IFERROR(HLOOKUP('Hist &amp; Proj'!V$48,Data_Formatting!$AY$122:$CH$150,ROW('Hist &amp; Proj'!V53)-ROW('Hist &amp; Proj'!V$48)-1,FALSE),0)</f>
        <v>0</v>
      </c>
      <c r="W53" s="168">
        <f ca="1">IFERROR(HLOOKUP('Hist &amp; Proj'!W$48,Data_Formatting!$AY$122:$CH$150,ROW('Hist &amp; Proj'!W53)-ROW('Hist &amp; Proj'!W$48)-1,FALSE),0)</f>
        <v>0</v>
      </c>
      <c r="X53" s="168">
        <f ca="1">IFERROR(HLOOKUP('Hist &amp; Proj'!X$48,Data_Formatting!$AY$122:$CH$150,ROW('Hist &amp; Proj'!X53)-ROW('Hist &amp; Proj'!X$48)-1,FALSE),0)</f>
        <v>0</v>
      </c>
      <c r="Y53" s="168">
        <f ca="1">IFERROR(HLOOKUP('Hist &amp; Proj'!Y$48,Data_Formatting!$AY$122:$CH$150,ROW('Hist &amp; Proj'!Y53)-ROW('Hist &amp; Proj'!Y$48)-1,FALSE),0)</f>
        <v>0</v>
      </c>
      <c r="Z53" s="168">
        <f ca="1">IFERROR(HLOOKUP('Hist &amp; Proj'!Z$48,Data_Formatting!$AY$122:$CH$150,ROW('Hist &amp; Proj'!Z53)-ROW('Hist &amp; Proj'!Z$48)-1,FALSE),0)</f>
        <v>0</v>
      </c>
      <c r="AA53" s="168">
        <f ca="1">IFERROR(HLOOKUP('Hist &amp; Proj'!AA$48,Data_Formatting!$AY$122:$CH$150,ROW('Hist &amp; Proj'!AA53)-ROW('Hist &amp; Proj'!AA$48)-1,FALSE),0)</f>
        <v>0</v>
      </c>
      <c r="AB53" s="168">
        <f ca="1">IFERROR(HLOOKUP('Hist &amp; Proj'!AB$48,Data_Formatting!$AY$122:$CH$150,ROW('Hist &amp; Proj'!AB53)-ROW('Hist &amp; Proj'!AB$48)-1,FALSE),0)</f>
        <v>0</v>
      </c>
      <c r="AC53" s="168">
        <f ca="1">IFERROR(HLOOKUP('Hist &amp; Proj'!AC$48,Data_Formatting!$AY$122:$CH$150,ROW('Hist &amp; Proj'!AC53)-ROW('Hist &amp; Proj'!AC$48)-1,FALSE),0)</f>
        <v>0</v>
      </c>
      <c r="AD53" s="168">
        <f ca="1">IFERROR(HLOOKUP('Hist &amp; Proj'!AD$48,Data_Formatting!$AY$122:$CH$150,ROW('Hist &amp; Proj'!AD53)-ROW('Hist &amp; Proj'!AD$48)-1,FALSE),0)</f>
        <v>0</v>
      </c>
      <c r="AE53" s="267" t="e">
        <f ca="1">HLOOKUP(1,S$6:AD53,ROW(AE53)-5,FALSE)</f>
        <v>#N/A</v>
      </c>
      <c r="AF53" s="267" t="e">
        <f ca="1">HLOOKUP(1,S$6:AD53,ROW(AE53)-5,FALSE)+R53-HLOOKUP(1,F$6:Q53,ROW(AE53)-5,FALSE)</f>
        <v>#N/A</v>
      </c>
      <c r="AG53" s="265"/>
      <c r="AH53" s="168"/>
      <c r="AI53" s="168"/>
      <c r="AJ53" s="168">
        <v>0</v>
      </c>
      <c r="AK53" s="168">
        <v>0</v>
      </c>
      <c r="AL53" s="168">
        <v>0</v>
      </c>
      <c r="AM53" s="163"/>
      <c r="AN53" s="296"/>
      <c r="AO53" s="163"/>
      <c r="AP53" s="163"/>
      <c r="AQ53" s="163"/>
      <c r="AR53" s="163"/>
      <c r="AS53" s="160"/>
      <c r="AT53" s="163"/>
      <c r="AU53" s="163"/>
      <c r="AV53" s="163"/>
      <c r="AW53" s="163"/>
      <c r="AX53" s="163"/>
      <c r="AY53" s="163"/>
      <c r="AZ53" s="160"/>
    </row>
    <row r="54" spans="1:52" ht="15">
      <c r="A54" s="293" t="s">
        <v>11</v>
      </c>
      <c r="B54" s="168">
        <f>IFERROR(HLOOKUP('Hist &amp; Proj'!B$48,Data_Formatting!$CL$122:$CP$150,ROW('Hist &amp; Proj'!B54)-ROW('Hist &amp; Proj'!B$48)-1,FALSE),0)</f>
        <v>0</v>
      </c>
      <c r="C54" s="168">
        <f>IFERROR(HLOOKUP('Hist &amp; Proj'!C$48,Data_Formatting!$CL$122:$CP$150,ROW('Hist &amp; Proj'!C54)-ROW('Hist &amp; Proj'!C$48)-1,FALSE),0)</f>
        <v>0</v>
      </c>
      <c r="D54" s="168">
        <f>IFERROR(HLOOKUP('Hist &amp; Proj'!D$48,Data_Formatting!$CL$122:$CP$150,ROW('Hist &amp; Proj'!D54)-ROW('Hist &amp; Proj'!D$48)-1,FALSE),0)</f>
        <v>0</v>
      </c>
      <c r="E54" s="168">
        <f>IFERROR(HLOOKUP('Hist &amp; Proj'!E$48,Data_Formatting!$CL$122:$CP$150,ROW('Hist &amp; Proj'!E54)-ROW('Hist &amp; Proj'!E$48)-1,FALSE),0)</f>
        <v>0</v>
      </c>
      <c r="F54" s="168">
        <f ca="1">IFERROR(HLOOKUP('Hist &amp; Proj'!F$48,Data_Formatting!$AY$122:$CH$150,ROW('Hist &amp; Proj'!F54)-ROW('Hist &amp; Proj'!F$48)-1,FALSE),0)</f>
        <v>0</v>
      </c>
      <c r="G54" s="168">
        <f ca="1">IFERROR(HLOOKUP('Hist &amp; Proj'!G$48,Data_Formatting!$AY$122:$CH$150,ROW('Hist &amp; Proj'!G54)-ROW('Hist &amp; Proj'!G$48)-1,FALSE),0)</f>
        <v>0</v>
      </c>
      <c r="H54" s="168">
        <f ca="1">IFERROR(HLOOKUP('Hist &amp; Proj'!H$48,Data_Formatting!$AY$122:$CH$150,ROW('Hist &amp; Proj'!H54)-ROW('Hist &amp; Proj'!H$48)-1,FALSE),0)</f>
        <v>0</v>
      </c>
      <c r="I54" s="168">
        <f ca="1">IFERROR(HLOOKUP('Hist &amp; Proj'!I$48,Data_Formatting!$AY$122:$CH$150,ROW('Hist &amp; Proj'!I54)-ROW('Hist &amp; Proj'!I$48)-1,FALSE),0)</f>
        <v>0</v>
      </c>
      <c r="J54" s="168">
        <f ca="1">IFERROR(HLOOKUP('Hist &amp; Proj'!J$48,Data_Formatting!$AY$122:$CH$150,ROW('Hist &amp; Proj'!J54)-ROW('Hist &amp; Proj'!J$48)-1,FALSE),0)</f>
        <v>0</v>
      </c>
      <c r="K54" s="168">
        <f ca="1">IFERROR(HLOOKUP('Hist &amp; Proj'!K$48,Data_Formatting!$AY$122:$CH$150,ROW('Hist &amp; Proj'!K54)-ROW('Hist &amp; Proj'!K$48)-1,FALSE),0)</f>
        <v>0</v>
      </c>
      <c r="L54" s="168">
        <f ca="1">IFERROR(HLOOKUP('Hist &amp; Proj'!L$48,Data_Formatting!$AY$122:$CH$150,ROW('Hist &amp; Proj'!L54)-ROW('Hist &amp; Proj'!L$48)-1,FALSE),0)</f>
        <v>0</v>
      </c>
      <c r="M54" s="168">
        <f ca="1">IFERROR(HLOOKUP('Hist &amp; Proj'!M$48,Data_Formatting!$AY$122:$CH$150,ROW('Hist &amp; Proj'!M54)-ROW('Hist &amp; Proj'!M$48)-1,FALSE),0)</f>
        <v>0</v>
      </c>
      <c r="N54" s="168">
        <f ca="1">IFERROR(HLOOKUP('Hist &amp; Proj'!N$48,Data_Formatting!$AY$122:$CH$150,ROW('Hist &amp; Proj'!N54)-ROW('Hist &amp; Proj'!N$48)-1,FALSE),0)</f>
        <v>0</v>
      </c>
      <c r="O54" s="168">
        <f ca="1">IFERROR(HLOOKUP('Hist &amp; Proj'!O$48,Data_Formatting!$AY$122:$CH$150,ROW('Hist &amp; Proj'!O54)-ROW('Hist &amp; Proj'!O$48)-1,FALSE),0)</f>
        <v>0</v>
      </c>
      <c r="P54" s="168">
        <f ca="1">IFERROR(HLOOKUP('Hist &amp; Proj'!P$48,Data_Formatting!$AY$122:$CH$150,ROW('Hist &amp; Proj'!P54)-ROW('Hist &amp; Proj'!P$48)-1,FALSE),0)</f>
        <v>0</v>
      </c>
      <c r="Q54" s="168">
        <f ca="1">IFERROR(HLOOKUP('Hist &amp; Proj'!Q$48,Data_Formatting!$AY$122:$CH$150,ROW('Hist &amp; Proj'!Q54)-ROW('Hist &amp; Proj'!Q$48)-1,FALSE),0)</f>
        <v>0</v>
      </c>
      <c r="R54" s="168">
        <f ca="1">IFERROR(HLOOKUP('Hist &amp; Proj'!R$48,Data_Formatting!$CL$122:$CP$150,ROW('Hist &amp; Proj'!R54)-ROW('Hist &amp; Proj'!R$48)-1,FALSE),0)</f>
        <v>0</v>
      </c>
      <c r="S54" s="168">
        <f ca="1">IFERROR(HLOOKUP('Hist &amp; Proj'!S$48,Data_Formatting!$AY$122:$CH$150,ROW('Hist &amp; Proj'!S54)-ROW('Hist &amp; Proj'!S$48)-1,FALSE),0)</f>
        <v>0</v>
      </c>
      <c r="T54" s="168">
        <f ca="1">IFERROR(HLOOKUP('Hist &amp; Proj'!T$48,Data_Formatting!$AY$122:$CH$150,ROW('Hist &amp; Proj'!T54)-ROW('Hist &amp; Proj'!T$48)-1,FALSE),0)</f>
        <v>0</v>
      </c>
      <c r="U54" s="168">
        <f ca="1">IFERROR(HLOOKUP('Hist &amp; Proj'!U$48,Data_Formatting!$AY$122:$CH$150,ROW('Hist &amp; Proj'!U54)-ROW('Hist &amp; Proj'!U$48)-1,FALSE),0)</f>
        <v>0</v>
      </c>
      <c r="V54" s="168">
        <f ca="1">IFERROR(HLOOKUP('Hist &amp; Proj'!V$48,Data_Formatting!$AY$122:$CH$150,ROW('Hist &amp; Proj'!V54)-ROW('Hist &amp; Proj'!V$48)-1,FALSE),0)</f>
        <v>0</v>
      </c>
      <c r="W54" s="168">
        <f ca="1">IFERROR(HLOOKUP('Hist &amp; Proj'!W$48,Data_Formatting!$AY$122:$CH$150,ROW('Hist &amp; Proj'!W54)-ROW('Hist &amp; Proj'!W$48)-1,FALSE),0)</f>
        <v>0</v>
      </c>
      <c r="X54" s="168">
        <f ca="1">IFERROR(HLOOKUP('Hist &amp; Proj'!X$48,Data_Formatting!$AY$122:$CH$150,ROW('Hist &amp; Proj'!X54)-ROW('Hist &amp; Proj'!X$48)-1,FALSE),0)</f>
        <v>0</v>
      </c>
      <c r="Y54" s="168">
        <f ca="1">IFERROR(HLOOKUP('Hist &amp; Proj'!Y$48,Data_Formatting!$AY$122:$CH$150,ROW('Hist &amp; Proj'!Y54)-ROW('Hist &amp; Proj'!Y$48)-1,FALSE),0)</f>
        <v>0</v>
      </c>
      <c r="Z54" s="168">
        <f ca="1">IFERROR(HLOOKUP('Hist &amp; Proj'!Z$48,Data_Formatting!$AY$122:$CH$150,ROW('Hist &amp; Proj'!Z54)-ROW('Hist &amp; Proj'!Z$48)-1,FALSE),0)</f>
        <v>0</v>
      </c>
      <c r="AA54" s="168">
        <f ca="1">IFERROR(HLOOKUP('Hist &amp; Proj'!AA$48,Data_Formatting!$AY$122:$CH$150,ROW('Hist &amp; Proj'!AA54)-ROW('Hist &amp; Proj'!AA$48)-1,FALSE),0)</f>
        <v>0</v>
      </c>
      <c r="AB54" s="168">
        <f ca="1">IFERROR(HLOOKUP('Hist &amp; Proj'!AB$48,Data_Formatting!$AY$122:$CH$150,ROW('Hist &amp; Proj'!AB54)-ROW('Hist &amp; Proj'!AB$48)-1,FALSE),0)</f>
        <v>0</v>
      </c>
      <c r="AC54" s="168">
        <f ca="1">IFERROR(HLOOKUP('Hist &amp; Proj'!AC$48,Data_Formatting!$AY$122:$CH$150,ROW('Hist &amp; Proj'!AC54)-ROW('Hist &amp; Proj'!AC$48)-1,FALSE),0)</f>
        <v>0</v>
      </c>
      <c r="AD54" s="168">
        <f ca="1">IFERROR(HLOOKUP('Hist &amp; Proj'!AD$48,Data_Formatting!$AY$122:$CH$150,ROW('Hist &amp; Proj'!AD54)-ROW('Hist &amp; Proj'!AD$48)-1,FALSE),0)</f>
        <v>0</v>
      </c>
      <c r="AE54" s="267" t="e">
        <f ca="1">HLOOKUP(1,S$6:AD54,ROW(AE54)-5,FALSE)</f>
        <v>#N/A</v>
      </c>
      <c r="AF54" s="267" t="e">
        <f ca="1">HLOOKUP(1,S$6:AD54,ROW(AE54)-5,FALSE)+R54-HLOOKUP(1,F$6:Q54,ROW(AE54)-5,FALSE)</f>
        <v>#N/A</v>
      </c>
      <c r="AG54" s="265"/>
      <c r="AH54" s="168"/>
      <c r="AI54" s="168"/>
      <c r="AJ54" s="168">
        <v>0</v>
      </c>
      <c r="AK54" s="168">
        <v>0</v>
      </c>
      <c r="AL54" s="168">
        <v>0</v>
      </c>
      <c r="AM54" s="163"/>
      <c r="AN54" s="296"/>
      <c r="AO54" s="163"/>
      <c r="AP54" s="163"/>
      <c r="AQ54" s="163"/>
      <c r="AR54" s="163"/>
      <c r="AS54" s="160"/>
      <c r="AT54" s="160"/>
      <c r="AU54" s="163"/>
      <c r="AV54" s="163"/>
      <c r="AW54" s="163"/>
      <c r="AX54" s="163"/>
      <c r="AY54" s="163"/>
      <c r="AZ54" s="160"/>
    </row>
    <row r="55" spans="1:52">
      <c r="A55" s="270" t="s">
        <v>78</v>
      </c>
      <c r="B55" s="270">
        <f>SUM(B51:B54)</f>
        <v>0</v>
      </c>
      <c r="C55" s="270">
        <f>SUM(C51:C54)</f>
        <v>0</v>
      </c>
      <c r="D55" s="270">
        <f>SUM(D51:D54)</f>
        <v>0</v>
      </c>
      <c r="E55" s="270">
        <f>SUM(E51:E54)</f>
        <v>0</v>
      </c>
      <c r="F55" s="270">
        <f ca="1">SUM(F51:F54)</f>
        <v>0</v>
      </c>
      <c r="G55" s="270">
        <f t="shared" ref="G55:AE55" ca="1" si="17">SUM(G51:G54)</f>
        <v>0</v>
      </c>
      <c r="H55" s="270">
        <f t="shared" ca="1" si="17"/>
        <v>0</v>
      </c>
      <c r="I55" s="270">
        <f t="shared" ca="1" si="17"/>
        <v>0</v>
      </c>
      <c r="J55" s="270">
        <f t="shared" ca="1" si="17"/>
        <v>0</v>
      </c>
      <c r="K55" s="270">
        <f t="shared" ca="1" si="17"/>
        <v>0</v>
      </c>
      <c r="L55" s="270">
        <f t="shared" ca="1" si="17"/>
        <v>0</v>
      </c>
      <c r="M55" s="270">
        <f t="shared" ca="1" si="17"/>
        <v>0</v>
      </c>
      <c r="N55" s="270">
        <f t="shared" ca="1" si="17"/>
        <v>0</v>
      </c>
      <c r="O55" s="270">
        <f t="shared" ca="1" si="17"/>
        <v>0</v>
      </c>
      <c r="P55" s="270">
        <f t="shared" ca="1" si="17"/>
        <v>0</v>
      </c>
      <c r="Q55" s="270">
        <f t="shared" ca="1" si="17"/>
        <v>0</v>
      </c>
      <c r="R55" s="270">
        <f t="shared" ca="1" si="17"/>
        <v>0</v>
      </c>
      <c r="S55" s="270">
        <f t="shared" ca="1" si="17"/>
        <v>0</v>
      </c>
      <c r="T55" s="270">
        <f t="shared" ca="1" si="17"/>
        <v>0</v>
      </c>
      <c r="U55" s="270">
        <f t="shared" ca="1" si="17"/>
        <v>0</v>
      </c>
      <c r="V55" s="270">
        <f t="shared" ca="1" si="17"/>
        <v>0</v>
      </c>
      <c r="W55" s="270">
        <f t="shared" ca="1" si="17"/>
        <v>0</v>
      </c>
      <c r="X55" s="270">
        <f t="shared" ca="1" si="17"/>
        <v>0</v>
      </c>
      <c r="Y55" s="270">
        <f t="shared" ca="1" si="17"/>
        <v>0</v>
      </c>
      <c r="Z55" s="270">
        <f t="shared" ca="1" si="17"/>
        <v>0</v>
      </c>
      <c r="AA55" s="270">
        <f t="shared" ca="1" si="17"/>
        <v>0</v>
      </c>
      <c r="AB55" s="270">
        <f t="shared" ca="1" si="17"/>
        <v>0</v>
      </c>
      <c r="AC55" s="270">
        <f t="shared" ca="1" si="17"/>
        <v>0</v>
      </c>
      <c r="AD55" s="270">
        <f t="shared" ca="1" si="17"/>
        <v>0</v>
      </c>
      <c r="AE55" s="270" t="e">
        <f t="shared" ca="1" si="17"/>
        <v>#N/A</v>
      </c>
      <c r="AF55" s="270" t="e">
        <f ca="1">SUM(AF51:AF54)</f>
        <v>#N/A</v>
      </c>
      <c r="AG55" s="265"/>
      <c r="AH55" s="270">
        <f>SUM(AH51:AH54)</f>
        <v>0</v>
      </c>
      <c r="AI55" s="270">
        <f>SUM(AI51:AI54)</f>
        <v>0</v>
      </c>
      <c r="AJ55" s="270">
        <f>SUM(AJ51:AJ54)</f>
        <v>0</v>
      </c>
      <c r="AK55" s="270">
        <f>SUM(AK51:AK54)</f>
        <v>0</v>
      </c>
      <c r="AL55" s="270">
        <f>SUM(AL51:AL54)</f>
        <v>0</v>
      </c>
      <c r="AM55" s="283"/>
      <c r="AN55" s="296"/>
      <c r="AO55" s="283"/>
      <c r="AP55" s="283"/>
      <c r="AQ55" s="283"/>
      <c r="AR55" s="283"/>
      <c r="AS55" s="283"/>
      <c r="AT55" s="283"/>
      <c r="AU55" s="283"/>
      <c r="AV55" s="283"/>
      <c r="AW55" s="283"/>
      <c r="AX55" s="283"/>
      <c r="AY55" s="283"/>
      <c r="AZ55" s="283"/>
    </row>
    <row r="56" spans="1:52" s="298" customFormat="1">
      <c r="A56" s="294" t="s">
        <v>81</v>
      </c>
      <c r="B56" s="295" t="str">
        <f>IF(B55=0,"",IF(B51=0,"",+B55/B51))</f>
        <v/>
      </c>
      <c r="C56" s="295" t="str">
        <f>IF(C55=0,"",IF(C51=0,"",+C55/C51))</f>
        <v/>
      </c>
      <c r="D56" s="295" t="str">
        <f>IF(D55=0,"",IF(D51=0,"",+D55/D51))</f>
        <v/>
      </c>
      <c r="E56" s="295" t="str">
        <f>IF(E55=0,"",IF(E51=0,"",+E55/E51))</f>
        <v/>
      </c>
      <c r="F56" s="295" t="str">
        <f ca="1">IF(F55=0,"",IF(F51=0,"",+F55/F51))</f>
        <v/>
      </c>
      <c r="G56" s="295" t="str">
        <f t="shared" ref="G56:AE56" ca="1" si="18">IF(G55=0,"",IF(G51=0,"",+G55/G51))</f>
        <v/>
      </c>
      <c r="H56" s="295" t="str">
        <f t="shared" ca="1" si="18"/>
        <v/>
      </c>
      <c r="I56" s="295" t="str">
        <f t="shared" ca="1" si="18"/>
        <v/>
      </c>
      <c r="J56" s="295" t="str">
        <f t="shared" ca="1" si="18"/>
        <v/>
      </c>
      <c r="K56" s="295" t="str">
        <f t="shared" ca="1" si="18"/>
        <v/>
      </c>
      <c r="L56" s="295" t="str">
        <f t="shared" ca="1" si="18"/>
        <v/>
      </c>
      <c r="M56" s="295" t="str">
        <f t="shared" ca="1" si="18"/>
        <v/>
      </c>
      <c r="N56" s="295" t="str">
        <f t="shared" ca="1" si="18"/>
        <v/>
      </c>
      <c r="O56" s="295" t="str">
        <f t="shared" ca="1" si="18"/>
        <v/>
      </c>
      <c r="P56" s="295" t="str">
        <f t="shared" ca="1" si="18"/>
        <v/>
      </c>
      <c r="Q56" s="295" t="str">
        <f t="shared" ca="1" si="18"/>
        <v/>
      </c>
      <c r="R56" s="295" t="str">
        <f t="shared" ca="1" si="18"/>
        <v/>
      </c>
      <c r="S56" s="295" t="str">
        <f t="shared" ca="1" si="18"/>
        <v/>
      </c>
      <c r="T56" s="295" t="str">
        <f t="shared" ca="1" si="18"/>
        <v/>
      </c>
      <c r="U56" s="295" t="str">
        <f t="shared" ca="1" si="18"/>
        <v/>
      </c>
      <c r="V56" s="295" t="str">
        <f t="shared" ca="1" si="18"/>
        <v/>
      </c>
      <c r="W56" s="295" t="str">
        <f t="shared" ca="1" si="18"/>
        <v/>
      </c>
      <c r="X56" s="295" t="str">
        <f t="shared" ca="1" si="18"/>
        <v/>
      </c>
      <c r="Y56" s="295" t="str">
        <f t="shared" ca="1" si="18"/>
        <v/>
      </c>
      <c r="Z56" s="295" t="str">
        <f t="shared" ca="1" si="18"/>
        <v/>
      </c>
      <c r="AA56" s="295" t="str">
        <f t="shared" ca="1" si="18"/>
        <v/>
      </c>
      <c r="AB56" s="295" t="str">
        <f t="shared" ca="1" si="18"/>
        <v/>
      </c>
      <c r="AC56" s="295" t="str">
        <f t="shared" ca="1" si="18"/>
        <v/>
      </c>
      <c r="AD56" s="295" t="str">
        <f t="shared" ca="1" si="18"/>
        <v/>
      </c>
      <c r="AE56" s="295" t="e">
        <f t="shared" ca="1" si="18"/>
        <v>#N/A</v>
      </c>
      <c r="AF56" s="295" t="e">
        <f ca="1">IF(AF55=0,"",IF(AF51=0,"",+AF55/AF51))</f>
        <v>#N/A</v>
      </c>
      <c r="AG56" s="265"/>
      <c r="AH56" s="295" t="str">
        <f>IF(AH55=0,"",IF(AH51=0,"",+AH55/AH51))</f>
        <v/>
      </c>
      <c r="AI56" s="295" t="str">
        <f>IF(AI55=0,"",IF(AI51=0,"",+AI55/AI51))</f>
        <v/>
      </c>
      <c r="AJ56" s="295" t="str">
        <f>IF(AJ55=0,"",IF(AJ51=0,"",+AJ55/AJ51))</f>
        <v/>
      </c>
      <c r="AK56" s="295" t="str">
        <f>IF(AK55=0,"",IF(AK51=0,"",+AK55/AK51))</f>
        <v/>
      </c>
      <c r="AL56" s="295" t="str">
        <f>IF(AL55=0,"",IF(AL51=0,"",+AL55/AL51))</f>
        <v/>
      </c>
      <c r="AM56" s="296"/>
      <c r="AN56" s="296"/>
      <c r="AO56" s="296"/>
      <c r="AP56" s="296"/>
      <c r="AQ56" s="296"/>
      <c r="AR56" s="296"/>
      <c r="AS56" s="296"/>
      <c r="AT56" s="297"/>
      <c r="AU56" s="296"/>
      <c r="AV56" s="296"/>
      <c r="AW56" s="296"/>
      <c r="AX56" s="296"/>
      <c r="AY56" s="296"/>
      <c r="AZ56" s="297"/>
    </row>
    <row r="57" spans="1:52">
      <c r="A57" s="292"/>
      <c r="B57" s="284"/>
      <c r="C57" s="284"/>
      <c r="D57" s="284"/>
      <c r="E57" s="284"/>
      <c r="F57" s="284"/>
      <c r="G57" s="284"/>
      <c r="H57" s="284"/>
      <c r="I57" s="284"/>
      <c r="J57" s="284"/>
      <c r="K57" s="284"/>
      <c r="L57" s="284"/>
      <c r="M57" s="284"/>
      <c r="N57" s="284"/>
      <c r="O57" s="284"/>
      <c r="P57" s="284"/>
      <c r="Q57" s="284"/>
      <c r="R57" s="284"/>
      <c r="S57" s="284"/>
      <c r="T57" s="284"/>
      <c r="U57" s="284"/>
      <c r="V57" s="284"/>
      <c r="W57" s="284"/>
      <c r="X57" s="284"/>
      <c r="Y57" s="284"/>
      <c r="Z57" s="284"/>
      <c r="AA57" s="284"/>
      <c r="AB57" s="284"/>
      <c r="AC57" s="284"/>
      <c r="AD57" s="284"/>
      <c r="AE57" s="284"/>
      <c r="AF57" s="284"/>
      <c r="AG57" s="265"/>
      <c r="AH57" s="284"/>
      <c r="AI57" s="284"/>
      <c r="AJ57" s="284"/>
      <c r="AK57" s="284"/>
      <c r="AL57" s="284"/>
      <c r="AM57" s="160"/>
      <c r="AN57" s="296"/>
      <c r="AO57" s="160"/>
      <c r="AP57" s="160"/>
      <c r="AQ57" s="160"/>
      <c r="AR57" s="160"/>
      <c r="AS57" s="160"/>
      <c r="AT57" s="160"/>
      <c r="AU57" s="160"/>
      <c r="AV57" s="160"/>
      <c r="AW57" s="160"/>
      <c r="AX57" s="160"/>
      <c r="AY57" s="160"/>
      <c r="AZ57" s="160"/>
    </row>
    <row r="58" spans="1:52">
      <c r="A58" s="203" t="s">
        <v>97</v>
      </c>
      <c r="B58" s="168">
        <f>IFERROR(HLOOKUP('Hist &amp; Proj'!B$48,Data_Formatting!$CL$122:$CP$150,ROW('Hist &amp; Proj'!B58)-ROW('Hist &amp; Proj'!B$48)-1,FALSE),0)</f>
        <v>0</v>
      </c>
      <c r="C58" s="168">
        <f>IFERROR(HLOOKUP('Hist &amp; Proj'!C$48,Data_Formatting!$CL$122:$CP$150,ROW('Hist &amp; Proj'!C58)-ROW('Hist &amp; Proj'!C$48)-1,FALSE),0)</f>
        <v>0</v>
      </c>
      <c r="D58" s="168">
        <f>IFERROR(HLOOKUP('Hist &amp; Proj'!D$48,Data_Formatting!$CL$122:$CP$150,ROW('Hist &amp; Proj'!D58)-ROW('Hist &amp; Proj'!D$48)-1,FALSE),0)</f>
        <v>0</v>
      </c>
      <c r="E58" s="168">
        <f>IFERROR(HLOOKUP('Hist &amp; Proj'!E$48,Data_Formatting!$CL$122:$CP$150,ROW('Hist &amp; Proj'!E58)-ROW('Hist &amp; Proj'!E$48)-1,FALSE),0)</f>
        <v>0</v>
      </c>
      <c r="F58" s="168">
        <f ca="1">IFERROR(HLOOKUP('Hist &amp; Proj'!F$48,Data_Formatting!$AY$122:$CH$150,ROW('Hist &amp; Proj'!F58)-ROW('Hist &amp; Proj'!F$48)-1,FALSE),0)</f>
        <v>0</v>
      </c>
      <c r="G58" s="168">
        <f ca="1">IFERROR(HLOOKUP('Hist &amp; Proj'!G$48,Data_Formatting!$AY$122:$CH$150,ROW('Hist &amp; Proj'!G58)-ROW('Hist &amp; Proj'!G$48)-1,FALSE),0)</f>
        <v>0</v>
      </c>
      <c r="H58" s="168">
        <f ca="1">IFERROR(HLOOKUP('Hist &amp; Proj'!H$48,Data_Formatting!$AY$122:$CH$150,ROW('Hist &amp; Proj'!H58)-ROW('Hist &amp; Proj'!H$48)-1,FALSE),0)</f>
        <v>0</v>
      </c>
      <c r="I58" s="168">
        <f ca="1">IFERROR(HLOOKUP('Hist &amp; Proj'!I$48,Data_Formatting!$AY$122:$CH$150,ROW('Hist &amp; Proj'!I58)-ROW('Hist &amp; Proj'!I$48)-1,FALSE),0)</f>
        <v>0</v>
      </c>
      <c r="J58" s="168">
        <f ca="1">IFERROR(HLOOKUP('Hist &amp; Proj'!J$48,Data_Formatting!$AY$122:$CH$150,ROW('Hist &amp; Proj'!J58)-ROW('Hist &amp; Proj'!J$48)-1,FALSE),0)</f>
        <v>0</v>
      </c>
      <c r="K58" s="168">
        <f ca="1">IFERROR(HLOOKUP('Hist &amp; Proj'!K$48,Data_Formatting!$AY$122:$CH$150,ROW('Hist &amp; Proj'!K58)-ROW('Hist &amp; Proj'!K$48)-1,FALSE),0)</f>
        <v>0</v>
      </c>
      <c r="L58" s="168">
        <f ca="1">IFERROR(HLOOKUP('Hist &amp; Proj'!L$48,Data_Formatting!$AY$122:$CH$150,ROW('Hist &amp; Proj'!L58)-ROW('Hist &amp; Proj'!L$48)-1,FALSE),0)</f>
        <v>0</v>
      </c>
      <c r="M58" s="168">
        <f ca="1">IFERROR(HLOOKUP('Hist &amp; Proj'!M$48,Data_Formatting!$AY$122:$CH$150,ROW('Hist &amp; Proj'!M58)-ROW('Hist &amp; Proj'!M$48)-1,FALSE),0)</f>
        <v>0</v>
      </c>
      <c r="N58" s="168">
        <f ca="1">IFERROR(HLOOKUP('Hist &amp; Proj'!N$48,Data_Formatting!$AY$122:$CH$150,ROW('Hist &amp; Proj'!N58)-ROW('Hist &amp; Proj'!N$48)-1,FALSE),0)</f>
        <v>0</v>
      </c>
      <c r="O58" s="168">
        <f ca="1">IFERROR(HLOOKUP('Hist &amp; Proj'!O$48,Data_Formatting!$AY$122:$CH$150,ROW('Hist &amp; Proj'!O58)-ROW('Hist &amp; Proj'!O$48)-1,FALSE),0)</f>
        <v>0</v>
      </c>
      <c r="P58" s="168">
        <f ca="1">IFERROR(HLOOKUP('Hist &amp; Proj'!P$48,Data_Formatting!$AY$122:$CH$150,ROW('Hist &amp; Proj'!P58)-ROW('Hist &amp; Proj'!P$48)-1,FALSE),0)</f>
        <v>0</v>
      </c>
      <c r="Q58" s="168">
        <f ca="1">IFERROR(HLOOKUP('Hist &amp; Proj'!Q$48,Data_Formatting!$AY$122:$CH$150,ROW('Hist &amp; Proj'!Q58)-ROW('Hist &amp; Proj'!Q$48)-1,FALSE),0)</f>
        <v>0</v>
      </c>
      <c r="R58" s="168">
        <f ca="1">IFERROR(HLOOKUP('Hist &amp; Proj'!R$48,Data_Formatting!$CL$122:$CP$150,ROW('Hist &amp; Proj'!R58)-ROW('Hist &amp; Proj'!R$48)-1,FALSE),0)</f>
        <v>0</v>
      </c>
      <c r="S58" s="168">
        <f ca="1">IFERROR(HLOOKUP('Hist &amp; Proj'!S$48,Data_Formatting!$AY$122:$CH$150,ROW('Hist &amp; Proj'!S58)-ROW('Hist &amp; Proj'!S$48)-1,FALSE),0)</f>
        <v>0</v>
      </c>
      <c r="T58" s="168">
        <f ca="1">IFERROR(HLOOKUP('Hist &amp; Proj'!T$48,Data_Formatting!$AY$122:$CH$150,ROW('Hist &amp; Proj'!T58)-ROW('Hist &amp; Proj'!T$48)-1,FALSE),0)</f>
        <v>0</v>
      </c>
      <c r="U58" s="168">
        <f ca="1">IFERROR(HLOOKUP('Hist &amp; Proj'!U$48,Data_Formatting!$AY$122:$CH$150,ROW('Hist &amp; Proj'!U58)-ROW('Hist &amp; Proj'!U$48)-1,FALSE),0)</f>
        <v>0</v>
      </c>
      <c r="V58" s="168">
        <f ca="1">IFERROR(HLOOKUP('Hist &amp; Proj'!V$48,Data_Formatting!$AY$122:$CH$150,ROW('Hist &amp; Proj'!V58)-ROW('Hist &amp; Proj'!V$48)-1,FALSE),0)</f>
        <v>0</v>
      </c>
      <c r="W58" s="168">
        <f ca="1">IFERROR(HLOOKUP('Hist &amp; Proj'!W$48,Data_Formatting!$AY$122:$CH$150,ROW('Hist &amp; Proj'!W58)-ROW('Hist &amp; Proj'!W$48)-1,FALSE),0)</f>
        <v>0</v>
      </c>
      <c r="X58" s="168">
        <f ca="1">IFERROR(HLOOKUP('Hist &amp; Proj'!X$48,Data_Formatting!$AY$122:$CH$150,ROW('Hist &amp; Proj'!X58)-ROW('Hist &amp; Proj'!X$48)-1,FALSE),0)</f>
        <v>0</v>
      </c>
      <c r="Y58" s="168">
        <f ca="1">IFERROR(HLOOKUP('Hist &amp; Proj'!Y$48,Data_Formatting!$AY$122:$CH$150,ROW('Hist &amp; Proj'!Y58)-ROW('Hist &amp; Proj'!Y$48)-1,FALSE),0)</f>
        <v>0</v>
      </c>
      <c r="Z58" s="168">
        <f ca="1">IFERROR(HLOOKUP('Hist &amp; Proj'!Z$48,Data_Formatting!$AY$122:$CH$150,ROW('Hist &amp; Proj'!Z58)-ROW('Hist &amp; Proj'!Z$48)-1,FALSE),0)</f>
        <v>0</v>
      </c>
      <c r="AA58" s="168">
        <f ca="1">IFERROR(HLOOKUP('Hist &amp; Proj'!AA$48,Data_Formatting!$AY$122:$CH$150,ROW('Hist &amp; Proj'!AA58)-ROW('Hist &amp; Proj'!AA$48)-1,FALSE),0)</f>
        <v>0</v>
      </c>
      <c r="AB58" s="168">
        <f ca="1">IFERROR(HLOOKUP('Hist &amp; Proj'!AB$48,Data_Formatting!$AY$122:$CH$150,ROW('Hist &amp; Proj'!AB58)-ROW('Hist &amp; Proj'!AB$48)-1,FALSE),0)</f>
        <v>0</v>
      </c>
      <c r="AC58" s="168">
        <f ca="1">IFERROR(HLOOKUP('Hist &amp; Proj'!AC$48,Data_Formatting!$AY$122:$CH$150,ROW('Hist &amp; Proj'!AC58)-ROW('Hist &amp; Proj'!AC$48)-1,FALSE),0)</f>
        <v>0</v>
      </c>
      <c r="AD58" s="168">
        <f ca="1">IFERROR(HLOOKUP('Hist &amp; Proj'!AD$48,Data_Formatting!$AY$122:$CH$150,ROW('Hist &amp; Proj'!AD58)-ROW('Hist &amp; Proj'!AD$48)-1,FALSE),0)</f>
        <v>0</v>
      </c>
      <c r="AE58" s="267" t="e">
        <f ca="1">HLOOKUP(1,S$6:AD58,ROW(AE58)-5,FALSE)</f>
        <v>#N/A</v>
      </c>
      <c r="AF58" s="267" t="e">
        <f ca="1">HLOOKUP(1,S$6:AD58,ROW(AE58)-5,FALSE)+R58-HLOOKUP(1,F$6:Q58,ROW(AE58)-5,FALSE)</f>
        <v>#N/A</v>
      </c>
      <c r="AG58" s="265"/>
      <c r="AH58" s="168"/>
      <c r="AI58" s="168"/>
      <c r="AJ58" s="168">
        <v>0</v>
      </c>
      <c r="AK58" s="168">
        <v>0</v>
      </c>
      <c r="AL58" s="168">
        <v>0</v>
      </c>
      <c r="AM58" s="160"/>
      <c r="AN58" s="296"/>
      <c r="AO58" s="160"/>
      <c r="AP58" s="160"/>
      <c r="AQ58" s="160"/>
      <c r="AR58" s="160"/>
      <c r="AS58" s="160"/>
      <c r="AT58" s="160"/>
      <c r="AU58" s="160"/>
      <c r="AV58" s="160"/>
      <c r="AW58" s="160"/>
      <c r="AX58" s="160"/>
      <c r="AY58" s="160"/>
      <c r="AZ58" s="160"/>
    </row>
    <row r="59" spans="1:52" ht="15">
      <c r="A59" s="203" t="s">
        <v>12</v>
      </c>
      <c r="B59" s="168">
        <f>IFERROR(HLOOKUP('Hist &amp; Proj'!B$48,Data_Formatting!$CL$122:$CP$150,ROW('Hist &amp; Proj'!B59)-ROW('Hist &amp; Proj'!B$48)-1,FALSE),0)</f>
        <v>0</v>
      </c>
      <c r="C59" s="168">
        <f>IFERROR(HLOOKUP('Hist &amp; Proj'!C$48,Data_Formatting!$CL$122:$CP$150,ROW('Hist &amp; Proj'!C59)-ROW('Hist &amp; Proj'!C$48)-1,FALSE),0)</f>
        <v>0</v>
      </c>
      <c r="D59" s="168">
        <f>IFERROR(HLOOKUP('Hist &amp; Proj'!D$48,Data_Formatting!$CL$122:$CP$150,ROW('Hist &amp; Proj'!D59)-ROW('Hist &amp; Proj'!D$48)-1,FALSE),0)</f>
        <v>0</v>
      </c>
      <c r="E59" s="168">
        <f>IFERROR(HLOOKUP('Hist &amp; Proj'!E$48,Data_Formatting!$CL$122:$CP$150,ROW('Hist &amp; Proj'!E59)-ROW('Hist &amp; Proj'!E$48)-1,FALSE),0)</f>
        <v>0</v>
      </c>
      <c r="F59" s="168">
        <f ca="1">IFERROR(HLOOKUP('Hist &amp; Proj'!F$48,Data_Formatting!$AY$122:$CH$150,ROW('Hist &amp; Proj'!F59)-ROW('Hist &amp; Proj'!F$48)-1,FALSE),0)</f>
        <v>0</v>
      </c>
      <c r="G59" s="168">
        <f ca="1">IFERROR(HLOOKUP('Hist &amp; Proj'!G$48,Data_Formatting!$AY$122:$CH$150,ROW('Hist &amp; Proj'!G59)-ROW('Hist &amp; Proj'!G$48)-1,FALSE),0)</f>
        <v>0</v>
      </c>
      <c r="H59" s="168">
        <f ca="1">IFERROR(HLOOKUP('Hist &amp; Proj'!H$48,Data_Formatting!$AY$122:$CH$150,ROW('Hist &amp; Proj'!H59)-ROW('Hist &amp; Proj'!H$48)-1,FALSE),0)</f>
        <v>0</v>
      </c>
      <c r="I59" s="168">
        <f ca="1">IFERROR(HLOOKUP('Hist &amp; Proj'!I$48,Data_Formatting!$AY$122:$CH$150,ROW('Hist &amp; Proj'!I59)-ROW('Hist &amp; Proj'!I$48)-1,FALSE),0)</f>
        <v>0</v>
      </c>
      <c r="J59" s="168">
        <f ca="1">IFERROR(HLOOKUP('Hist &amp; Proj'!J$48,Data_Formatting!$AY$122:$CH$150,ROW('Hist &amp; Proj'!J59)-ROW('Hist &amp; Proj'!J$48)-1,FALSE),0)</f>
        <v>0</v>
      </c>
      <c r="K59" s="168">
        <f ca="1">IFERROR(HLOOKUP('Hist &amp; Proj'!K$48,Data_Formatting!$AY$122:$CH$150,ROW('Hist &amp; Proj'!K59)-ROW('Hist &amp; Proj'!K$48)-1,FALSE),0)</f>
        <v>0</v>
      </c>
      <c r="L59" s="168">
        <f ca="1">IFERROR(HLOOKUP('Hist &amp; Proj'!L$48,Data_Formatting!$AY$122:$CH$150,ROW('Hist &amp; Proj'!L59)-ROW('Hist &amp; Proj'!L$48)-1,FALSE),0)</f>
        <v>0</v>
      </c>
      <c r="M59" s="168">
        <f ca="1">IFERROR(HLOOKUP('Hist &amp; Proj'!M$48,Data_Formatting!$AY$122:$CH$150,ROW('Hist &amp; Proj'!M59)-ROW('Hist &amp; Proj'!M$48)-1,FALSE),0)</f>
        <v>0</v>
      </c>
      <c r="N59" s="168">
        <f ca="1">IFERROR(HLOOKUP('Hist &amp; Proj'!N$48,Data_Formatting!$AY$122:$CH$150,ROW('Hist &amp; Proj'!N59)-ROW('Hist &amp; Proj'!N$48)-1,FALSE),0)</f>
        <v>0</v>
      </c>
      <c r="O59" s="168">
        <f ca="1">IFERROR(HLOOKUP('Hist &amp; Proj'!O$48,Data_Formatting!$AY$122:$CH$150,ROW('Hist &amp; Proj'!O59)-ROW('Hist &amp; Proj'!O$48)-1,FALSE),0)</f>
        <v>0</v>
      </c>
      <c r="P59" s="168">
        <f ca="1">IFERROR(HLOOKUP('Hist &amp; Proj'!P$48,Data_Formatting!$AY$122:$CH$150,ROW('Hist &amp; Proj'!P59)-ROW('Hist &amp; Proj'!P$48)-1,FALSE),0)</f>
        <v>0</v>
      </c>
      <c r="Q59" s="168">
        <f ca="1">IFERROR(HLOOKUP('Hist &amp; Proj'!Q$48,Data_Formatting!$AY$122:$CH$150,ROW('Hist &amp; Proj'!Q59)-ROW('Hist &amp; Proj'!Q$48)-1,FALSE),0)</f>
        <v>0</v>
      </c>
      <c r="R59" s="168">
        <f ca="1">IFERROR(HLOOKUP('Hist &amp; Proj'!R$48,Data_Formatting!$CL$122:$CP$150,ROW('Hist &amp; Proj'!R59)-ROW('Hist &amp; Proj'!R$48)-1,FALSE),0)</f>
        <v>0</v>
      </c>
      <c r="S59" s="168">
        <f ca="1">IFERROR(HLOOKUP('Hist &amp; Proj'!S$48,Data_Formatting!$AY$122:$CH$150,ROW('Hist &amp; Proj'!S59)-ROW('Hist &amp; Proj'!S$48)-1,FALSE),0)</f>
        <v>0</v>
      </c>
      <c r="T59" s="168">
        <f ca="1">IFERROR(HLOOKUP('Hist &amp; Proj'!T$48,Data_Formatting!$AY$122:$CH$150,ROW('Hist &amp; Proj'!T59)-ROW('Hist &amp; Proj'!T$48)-1,FALSE),0)</f>
        <v>0</v>
      </c>
      <c r="U59" s="168">
        <f ca="1">IFERROR(HLOOKUP('Hist &amp; Proj'!U$48,Data_Formatting!$AY$122:$CH$150,ROW('Hist &amp; Proj'!U59)-ROW('Hist &amp; Proj'!U$48)-1,FALSE),0)</f>
        <v>0</v>
      </c>
      <c r="V59" s="168">
        <f ca="1">IFERROR(HLOOKUP('Hist &amp; Proj'!V$48,Data_Formatting!$AY$122:$CH$150,ROW('Hist &amp; Proj'!V59)-ROW('Hist &amp; Proj'!V$48)-1,FALSE),0)</f>
        <v>0</v>
      </c>
      <c r="W59" s="168">
        <f ca="1">IFERROR(HLOOKUP('Hist &amp; Proj'!W$48,Data_Formatting!$AY$122:$CH$150,ROW('Hist &amp; Proj'!W59)-ROW('Hist &amp; Proj'!W$48)-1,FALSE),0)</f>
        <v>0</v>
      </c>
      <c r="X59" s="168">
        <f ca="1">IFERROR(HLOOKUP('Hist &amp; Proj'!X$48,Data_Formatting!$AY$122:$CH$150,ROW('Hist &amp; Proj'!X59)-ROW('Hist &amp; Proj'!X$48)-1,FALSE),0)</f>
        <v>0</v>
      </c>
      <c r="Y59" s="168">
        <f ca="1">IFERROR(HLOOKUP('Hist &amp; Proj'!Y$48,Data_Formatting!$AY$122:$CH$150,ROW('Hist &amp; Proj'!Y59)-ROW('Hist &amp; Proj'!Y$48)-1,FALSE),0)</f>
        <v>0</v>
      </c>
      <c r="Z59" s="168">
        <f ca="1">IFERROR(HLOOKUP('Hist &amp; Proj'!Z$48,Data_Formatting!$AY$122:$CH$150,ROW('Hist &amp; Proj'!Z59)-ROW('Hist &amp; Proj'!Z$48)-1,FALSE),0)</f>
        <v>0</v>
      </c>
      <c r="AA59" s="168">
        <f ca="1">IFERROR(HLOOKUP('Hist &amp; Proj'!AA$48,Data_Formatting!$AY$122:$CH$150,ROW('Hist &amp; Proj'!AA59)-ROW('Hist &amp; Proj'!AA$48)-1,FALSE),0)</f>
        <v>0</v>
      </c>
      <c r="AB59" s="168">
        <f ca="1">IFERROR(HLOOKUP('Hist &amp; Proj'!AB$48,Data_Formatting!$AY$122:$CH$150,ROW('Hist &amp; Proj'!AB59)-ROW('Hist &amp; Proj'!AB$48)-1,FALSE),0)</f>
        <v>0</v>
      </c>
      <c r="AC59" s="168">
        <f ca="1">IFERROR(HLOOKUP('Hist &amp; Proj'!AC$48,Data_Formatting!$AY$122:$CH$150,ROW('Hist &amp; Proj'!AC59)-ROW('Hist &amp; Proj'!AC$48)-1,FALSE),0)</f>
        <v>0</v>
      </c>
      <c r="AD59" s="168">
        <f ca="1">IFERROR(HLOOKUP('Hist &amp; Proj'!AD$48,Data_Formatting!$AY$122:$CH$150,ROW('Hist &amp; Proj'!AD59)-ROW('Hist &amp; Proj'!AD$48)-1,FALSE),0)</f>
        <v>0</v>
      </c>
      <c r="AE59" s="267" t="e">
        <f ca="1">HLOOKUP(1,S$6:AD59,ROW(AE59)-5,FALSE)</f>
        <v>#N/A</v>
      </c>
      <c r="AF59" s="267" t="e">
        <f ca="1">HLOOKUP(1,S$6:AD59,ROW(AE59)-5,FALSE)+R59-HLOOKUP(1,F$6:Q59,ROW(AE59)-5,FALSE)</f>
        <v>#N/A</v>
      </c>
      <c r="AG59" s="265"/>
      <c r="AH59" s="168"/>
      <c r="AI59" s="168"/>
      <c r="AJ59" s="168">
        <v>0</v>
      </c>
      <c r="AK59" s="168">
        <v>0</v>
      </c>
      <c r="AL59" s="168">
        <v>0</v>
      </c>
      <c r="AM59" s="163"/>
      <c r="AN59" s="296"/>
      <c r="AO59" s="163"/>
      <c r="AP59" s="163"/>
      <c r="AQ59" s="163"/>
      <c r="AR59" s="163"/>
      <c r="AS59" s="160"/>
      <c r="AT59" s="163"/>
      <c r="AU59" s="163"/>
      <c r="AV59" s="163"/>
      <c r="AW59" s="163"/>
      <c r="AX59" s="163"/>
      <c r="AY59" s="163"/>
      <c r="AZ59" s="160"/>
    </row>
    <row r="60" spans="1:52">
      <c r="A60" s="270" t="s">
        <v>13</v>
      </c>
      <c r="B60" s="270">
        <f>SUM(B58:B59,B55)</f>
        <v>0</v>
      </c>
      <c r="C60" s="270">
        <f>SUM(C58:C59,C55)</f>
        <v>0</v>
      </c>
      <c r="D60" s="270">
        <f>SUM(D58:D59,D55)</f>
        <v>0</v>
      </c>
      <c r="E60" s="270">
        <f>SUM(E58:E59,E55)</f>
        <v>0</v>
      </c>
      <c r="F60" s="270">
        <f ca="1">SUM(F58:F59,F55)</f>
        <v>0</v>
      </c>
      <c r="G60" s="270">
        <f t="shared" ref="G60:AF60" ca="1" si="19">SUM(G58:G59,G55)</f>
        <v>0</v>
      </c>
      <c r="H60" s="270">
        <f t="shared" ca="1" si="19"/>
        <v>0</v>
      </c>
      <c r="I60" s="270">
        <f t="shared" ca="1" si="19"/>
        <v>0</v>
      </c>
      <c r="J60" s="270">
        <f t="shared" ca="1" si="19"/>
        <v>0</v>
      </c>
      <c r="K60" s="270">
        <f t="shared" ca="1" si="19"/>
        <v>0</v>
      </c>
      <c r="L60" s="270">
        <f t="shared" ca="1" si="19"/>
        <v>0</v>
      </c>
      <c r="M60" s="270">
        <f t="shared" ca="1" si="19"/>
        <v>0</v>
      </c>
      <c r="N60" s="270">
        <f t="shared" ca="1" si="19"/>
        <v>0</v>
      </c>
      <c r="O60" s="270">
        <f t="shared" ca="1" si="19"/>
        <v>0</v>
      </c>
      <c r="P60" s="270">
        <f t="shared" ca="1" si="19"/>
        <v>0</v>
      </c>
      <c r="Q60" s="270">
        <f t="shared" ca="1" si="19"/>
        <v>0</v>
      </c>
      <c r="R60" s="270">
        <f t="shared" ca="1" si="19"/>
        <v>0</v>
      </c>
      <c r="S60" s="270">
        <f t="shared" ca="1" si="19"/>
        <v>0</v>
      </c>
      <c r="T60" s="270">
        <f t="shared" ca="1" si="19"/>
        <v>0</v>
      </c>
      <c r="U60" s="270">
        <f t="shared" ca="1" si="19"/>
        <v>0</v>
      </c>
      <c r="V60" s="270">
        <f t="shared" ca="1" si="19"/>
        <v>0</v>
      </c>
      <c r="W60" s="270">
        <f t="shared" ca="1" si="19"/>
        <v>0</v>
      </c>
      <c r="X60" s="270">
        <f t="shared" ca="1" si="19"/>
        <v>0</v>
      </c>
      <c r="Y60" s="270">
        <f t="shared" ca="1" si="19"/>
        <v>0</v>
      </c>
      <c r="Z60" s="270">
        <f t="shared" ca="1" si="19"/>
        <v>0</v>
      </c>
      <c r="AA60" s="270">
        <f t="shared" ca="1" si="19"/>
        <v>0</v>
      </c>
      <c r="AB60" s="270">
        <f t="shared" ca="1" si="19"/>
        <v>0</v>
      </c>
      <c r="AC60" s="270">
        <f t="shared" ca="1" si="19"/>
        <v>0</v>
      </c>
      <c r="AD60" s="270">
        <f t="shared" ca="1" si="19"/>
        <v>0</v>
      </c>
      <c r="AE60" s="270" t="e">
        <f t="shared" ca="1" si="19"/>
        <v>#N/A</v>
      </c>
      <c r="AF60" s="270" t="e">
        <f t="shared" ca="1" si="19"/>
        <v>#N/A</v>
      </c>
      <c r="AG60" s="265"/>
      <c r="AH60" s="270">
        <f>SUM(AH58:AH59,AH55)</f>
        <v>0</v>
      </c>
      <c r="AI60" s="270">
        <f>SUM(AI58:AI59,AI55)</f>
        <v>0</v>
      </c>
      <c r="AJ60" s="270">
        <f>SUM(AJ58:AJ59,AJ55)</f>
        <v>0</v>
      </c>
      <c r="AK60" s="270">
        <f>SUM(AK58:AK59,AK55)</f>
        <v>0</v>
      </c>
      <c r="AL60" s="270">
        <f>SUM(AL58:AL59,AL55)</f>
        <v>0</v>
      </c>
      <c r="AM60" s="283"/>
      <c r="AN60" s="296"/>
      <c r="AO60" s="283"/>
      <c r="AP60" s="283"/>
      <c r="AQ60" s="283"/>
      <c r="AR60" s="283"/>
      <c r="AS60" s="283"/>
      <c r="AT60" s="283"/>
      <c r="AU60" s="283"/>
      <c r="AV60" s="283"/>
      <c r="AW60" s="283"/>
      <c r="AX60" s="283"/>
      <c r="AY60" s="283"/>
      <c r="AZ60" s="283"/>
    </row>
    <row r="61" spans="1:52" s="298" customFormat="1">
      <c r="A61" s="294" t="s">
        <v>83</v>
      </c>
      <c r="B61" s="295" t="str">
        <f>IF(B60=0,"",IF(B51=0,"",+B60/B51))</f>
        <v/>
      </c>
      <c r="C61" s="295" t="str">
        <f>IF(C60=0,"",IF(C51=0,"",+C60/C51))</f>
        <v/>
      </c>
      <c r="D61" s="295" t="str">
        <f>IF(D60=0,"",IF(D51=0,"",+D60/D51))</f>
        <v/>
      </c>
      <c r="E61" s="295" t="str">
        <f>IF(E60=0,"",IF(E51=0,"",+E60/E51))</f>
        <v/>
      </c>
      <c r="F61" s="295" t="str">
        <f ca="1">IF(F60=0,"",IF(F51=0,"",+F60/F51))</f>
        <v/>
      </c>
      <c r="G61" s="295" t="str">
        <f t="shared" ref="G61:AE61" ca="1" si="20">IF(G60=0,"",IF(G51=0,"",+G60/G51))</f>
        <v/>
      </c>
      <c r="H61" s="295" t="str">
        <f t="shared" ca="1" si="20"/>
        <v/>
      </c>
      <c r="I61" s="295" t="str">
        <f t="shared" ca="1" si="20"/>
        <v/>
      </c>
      <c r="J61" s="295" t="str">
        <f t="shared" ca="1" si="20"/>
        <v/>
      </c>
      <c r="K61" s="295" t="str">
        <f t="shared" ca="1" si="20"/>
        <v/>
      </c>
      <c r="L61" s="295" t="str">
        <f t="shared" ca="1" si="20"/>
        <v/>
      </c>
      <c r="M61" s="295" t="str">
        <f t="shared" ca="1" si="20"/>
        <v/>
      </c>
      <c r="N61" s="295" t="str">
        <f t="shared" ca="1" si="20"/>
        <v/>
      </c>
      <c r="O61" s="295" t="str">
        <f t="shared" ca="1" si="20"/>
        <v/>
      </c>
      <c r="P61" s="295" t="str">
        <f t="shared" ca="1" si="20"/>
        <v/>
      </c>
      <c r="Q61" s="295" t="str">
        <f t="shared" ca="1" si="20"/>
        <v/>
      </c>
      <c r="R61" s="295" t="str">
        <f t="shared" ca="1" si="20"/>
        <v/>
      </c>
      <c r="S61" s="295" t="str">
        <f t="shared" ca="1" si="20"/>
        <v/>
      </c>
      <c r="T61" s="295" t="str">
        <f t="shared" ca="1" si="20"/>
        <v/>
      </c>
      <c r="U61" s="295" t="str">
        <f t="shared" ca="1" si="20"/>
        <v/>
      </c>
      <c r="V61" s="295" t="str">
        <f t="shared" ca="1" si="20"/>
        <v/>
      </c>
      <c r="W61" s="295" t="str">
        <f t="shared" ca="1" si="20"/>
        <v/>
      </c>
      <c r="X61" s="295" t="str">
        <f t="shared" ca="1" si="20"/>
        <v/>
      </c>
      <c r="Y61" s="295" t="str">
        <f t="shared" ca="1" si="20"/>
        <v/>
      </c>
      <c r="Z61" s="295" t="str">
        <f t="shared" ca="1" si="20"/>
        <v/>
      </c>
      <c r="AA61" s="295" t="str">
        <f t="shared" ca="1" si="20"/>
        <v/>
      </c>
      <c r="AB61" s="295" t="str">
        <f t="shared" ca="1" si="20"/>
        <v/>
      </c>
      <c r="AC61" s="295" t="str">
        <f t="shared" ca="1" si="20"/>
        <v/>
      </c>
      <c r="AD61" s="295" t="str">
        <f t="shared" ca="1" si="20"/>
        <v/>
      </c>
      <c r="AE61" s="295" t="e">
        <f t="shared" ca="1" si="20"/>
        <v>#N/A</v>
      </c>
      <c r="AF61" s="295" t="e">
        <f ca="1">IF(AF60=0,"",IF(AF51=0,"",+AF60/AF51))</f>
        <v>#N/A</v>
      </c>
      <c r="AG61" s="265"/>
      <c r="AH61" s="295" t="str">
        <f>IF(AH60=0,"",IF(AH51=0,"",+AH60/AH51))</f>
        <v/>
      </c>
      <c r="AI61" s="295" t="str">
        <f>IF(AI60=0,"",IF(AI51=0,"",+AI60/AI51))</f>
        <v/>
      </c>
      <c r="AJ61" s="295" t="str">
        <f>IF(AJ60=0,"",IF(AJ51=0,"",+AJ60/AJ51))</f>
        <v/>
      </c>
      <c r="AK61" s="295" t="str">
        <f>IF(AK60=0,"",IF(AK51=0,"",+AK60/AK51))</f>
        <v/>
      </c>
      <c r="AL61" s="295" t="str">
        <f>IF(AL60=0,"",IF(AL51=0,"",+AL60/AL51))</f>
        <v/>
      </c>
      <c r="AM61" s="296"/>
      <c r="AN61" s="296"/>
      <c r="AO61" s="296"/>
      <c r="AP61" s="296"/>
      <c r="AQ61" s="296"/>
      <c r="AR61" s="296"/>
      <c r="AS61" s="296"/>
      <c r="AT61" s="296"/>
      <c r="AU61" s="296"/>
      <c r="AV61" s="296"/>
      <c r="AW61" s="296"/>
      <c r="AX61" s="296"/>
      <c r="AY61" s="296"/>
      <c r="AZ61" s="297"/>
    </row>
    <row r="62" spans="1:52">
      <c r="A62" s="299"/>
      <c r="B62" s="284"/>
      <c r="C62" s="284"/>
      <c r="D62" s="284"/>
      <c r="E62" s="284"/>
      <c r="F62" s="284"/>
      <c r="G62" s="284"/>
      <c r="H62" s="284"/>
      <c r="I62" s="284"/>
      <c r="J62" s="284"/>
      <c r="K62" s="284"/>
      <c r="L62" s="284"/>
      <c r="M62" s="284"/>
      <c r="N62" s="284"/>
      <c r="O62" s="284"/>
      <c r="P62" s="284"/>
      <c r="Q62" s="284"/>
      <c r="R62" s="284"/>
      <c r="S62" s="284"/>
      <c r="T62" s="284"/>
      <c r="U62" s="284"/>
      <c r="V62" s="284"/>
      <c r="W62" s="284"/>
      <c r="X62" s="284"/>
      <c r="Y62" s="284"/>
      <c r="Z62" s="284"/>
      <c r="AA62" s="284"/>
      <c r="AB62" s="284"/>
      <c r="AC62" s="284"/>
      <c r="AD62" s="284"/>
      <c r="AE62" s="284"/>
      <c r="AF62" s="284"/>
      <c r="AG62" s="265"/>
      <c r="AH62" s="284"/>
      <c r="AI62" s="284"/>
      <c r="AJ62" s="284"/>
      <c r="AK62" s="284"/>
      <c r="AL62" s="284"/>
      <c r="AM62" s="160"/>
      <c r="AN62" s="296"/>
      <c r="AO62" s="160"/>
      <c r="AP62" s="160"/>
      <c r="AQ62" s="160"/>
      <c r="AR62" s="160"/>
      <c r="AS62" s="160"/>
      <c r="AT62" s="160"/>
      <c r="AU62" s="160"/>
      <c r="AV62" s="160"/>
      <c r="AW62" s="160"/>
      <c r="AX62" s="160"/>
      <c r="AY62" s="160"/>
      <c r="AZ62" s="160"/>
    </row>
    <row r="63" spans="1:52">
      <c r="A63" s="284" t="s">
        <v>71</v>
      </c>
      <c r="B63" s="168">
        <f>IFERROR(HLOOKUP('Hist &amp; Proj'!B$48,Data_Formatting!$CL$122:$CP$150,ROW('Hist &amp; Proj'!B63)-ROW('Hist &amp; Proj'!B$48)-1,FALSE),0)</f>
        <v>0</v>
      </c>
      <c r="C63" s="168">
        <f>IFERROR(HLOOKUP('Hist &amp; Proj'!C$48,Data_Formatting!$CL$122:$CP$150,ROW('Hist &amp; Proj'!C63)-ROW('Hist &amp; Proj'!C$48)-1,FALSE),0)</f>
        <v>0</v>
      </c>
      <c r="D63" s="168">
        <f>IFERROR(HLOOKUP('Hist &amp; Proj'!D$48,Data_Formatting!$CL$122:$CP$150,ROW('Hist &amp; Proj'!D63)-ROW('Hist &amp; Proj'!D$48)-1,FALSE),0)</f>
        <v>0</v>
      </c>
      <c r="E63" s="168">
        <f>IFERROR(HLOOKUP('Hist &amp; Proj'!E$48,Data_Formatting!$CL$122:$CP$150,ROW('Hist &amp; Proj'!E63)-ROW('Hist &amp; Proj'!E$48)-1,FALSE),0)</f>
        <v>0</v>
      </c>
      <c r="F63" s="168">
        <f ca="1">IFERROR(HLOOKUP('Hist &amp; Proj'!F$48,Data_Formatting!$AY$122:$CH$150,ROW('Hist &amp; Proj'!F63)-ROW('Hist &amp; Proj'!F$48)-1,FALSE),0)</f>
        <v>0</v>
      </c>
      <c r="G63" s="168">
        <f ca="1">IFERROR(HLOOKUP('Hist &amp; Proj'!G$48,Data_Formatting!$AY$122:$CH$150,ROW('Hist &amp; Proj'!G63)-ROW('Hist &amp; Proj'!G$48)-1,FALSE),0)</f>
        <v>0</v>
      </c>
      <c r="H63" s="168">
        <f ca="1">IFERROR(HLOOKUP('Hist &amp; Proj'!H$48,Data_Formatting!$AY$122:$CH$150,ROW('Hist &amp; Proj'!H63)-ROW('Hist &amp; Proj'!H$48)-1,FALSE),0)</f>
        <v>0</v>
      </c>
      <c r="I63" s="168">
        <f ca="1">IFERROR(HLOOKUP('Hist &amp; Proj'!I$48,Data_Formatting!$AY$122:$CH$150,ROW('Hist &amp; Proj'!I63)-ROW('Hist &amp; Proj'!I$48)-1,FALSE),0)</f>
        <v>0</v>
      </c>
      <c r="J63" s="168">
        <f ca="1">IFERROR(HLOOKUP('Hist &amp; Proj'!J$48,Data_Formatting!$AY$122:$CH$150,ROW('Hist &amp; Proj'!J63)-ROW('Hist &amp; Proj'!J$48)-1,FALSE),0)</f>
        <v>0</v>
      </c>
      <c r="K63" s="168">
        <f ca="1">IFERROR(HLOOKUP('Hist &amp; Proj'!K$48,Data_Formatting!$AY$122:$CH$150,ROW('Hist &amp; Proj'!K63)-ROW('Hist &amp; Proj'!K$48)-1,FALSE),0)</f>
        <v>0</v>
      </c>
      <c r="L63" s="168">
        <f ca="1">IFERROR(HLOOKUP('Hist &amp; Proj'!L$48,Data_Formatting!$AY$122:$CH$150,ROW('Hist &amp; Proj'!L63)-ROW('Hist &amp; Proj'!L$48)-1,FALSE),0)</f>
        <v>0</v>
      </c>
      <c r="M63" s="168">
        <f ca="1">IFERROR(HLOOKUP('Hist &amp; Proj'!M$48,Data_Formatting!$AY$122:$CH$150,ROW('Hist &amp; Proj'!M63)-ROW('Hist &amp; Proj'!M$48)-1,FALSE),0)</f>
        <v>0</v>
      </c>
      <c r="N63" s="168">
        <f ca="1">IFERROR(HLOOKUP('Hist &amp; Proj'!N$48,Data_Formatting!$AY$122:$CH$150,ROW('Hist &amp; Proj'!N63)-ROW('Hist &amp; Proj'!N$48)-1,FALSE),0)</f>
        <v>0</v>
      </c>
      <c r="O63" s="168">
        <f ca="1">IFERROR(HLOOKUP('Hist &amp; Proj'!O$48,Data_Formatting!$AY$122:$CH$150,ROW('Hist &amp; Proj'!O63)-ROW('Hist &amp; Proj'!O$48)-1,FALSE),0)</f>
        <v>0</v>
      </c>
      <c r="P63" s="168">
        <f ca="1">IFERROR(HLOOKUP('Hist &amp; Proj'!P$48,Data_Formatting!$AY$122:$CH$150,ROW('Hist &amp; Proj'!P63)-ROW('Hist &amp; Proj'!P$48)-1,FALSE),0)</f>
        <v>0</v>
      </c>
      <c r="Q63" s="168">
        <f ca="1">IFERROR(HLOOKUP('Hist &amp; Proj'!Q$48,Data_Formatting!$AY$122:$CH$150,ROW('Hist &amp; Proj'!Q63)-ROW('Hist &amp; Proj'!Q$48)-1,FALSE),0)</f>
        <v>0</v>
      </c>
      <c r="R63" s="168">
        <f ca="1">IFERROR(HLOOKUP('Hist &amp; Proj'!R$48,Data_Formatting!$CL$122:$CP$150,ROW('Hist &amp; Proj'!R63)-ROW('Hist &amp; Proj'!R$48)-1,FALSE),0)</f>
        <v>0</v>
      </c>
      <c r="S63" s="168">
        <f ca="1">IFERROR(HLOOKUP('Hist &amp; Proj'!S$48,Data_Formatting!$AY$122:$CH$150,ROW('Hist &amp; Proj'!S63)-ROW('Hist &amp; Proj'!S$48)-1,FALSE),0)</f>
        <v>0</v>
      </c>
      <c r="T63" s="168">
        <f ca="1">IFERROR(HLOOKUP('Hist &amp; Proj'!T$48,Data_Formatting!$AY$122:$CH$150,ROW('Hist &amp; Proj'!T63)-ROW('Hist &amp; Proj'!T$48)-1,FALSE),0)</f>
        <v>0</v>
      </c>
      <c r="U63" s="168">
        <f ca="1">IFERROR(HLOOKUP('Hist &amp; Proj'!U$48,Data_Formatting!$AY$122:$CH$150,ROW('Hist &amp; Proj'!U63)-ROW('Hist &amp; Proj'!U$48)-1,FALSE),0)</f>
        <v>0</v>
      </c>
      <c r="V63" s="168">
        <f ca="1">IFERROR(HLOOKUP('Hist &amp; Proj'!V$48,Data_Formatting!$AY$122:$CH$150,ROW('Hist &amp; Proj'!V63)-ROW('Hist &amp; Proj'!V$48)-1,FALSE),0)</f>
        <v>0</v>
      </c>
      <c r="W63" s="168">
        <f ca="1">IFERROR(HLOOKUP('Hist &amp; Proj'!W$48,Data_Formatting!$AY$122:$CH$150,ROW('Hist &amp; Proj'!W63)-ROW('Hist &amp; Proj'!W$48)-1,FALSE),0)</f>
        <v>0</v>
      </c>
      <c r="X63" s="168">
        <f ca="1">IFERROR(HLOOKUP('Hist &amp; Proj'!X$48,Data_Formatting!$AY$122:$CH$150,ROW('Hist &amp; Proj'!X63)-ROW('Hist &amp; Proj'!X$48)-1,FALSE),0)</f>
        <v>0</v>
      </c>
      <c r="Y63" s="168">
        <f ca="1">IFERROR(HLOOKUP('Hist &amp; Proj'!Y$48,Data_Formatting!$AY$122:$CH$150,ROW('Hist &amp; Proj'!Y63)-ROW('Hist &amp; Proj'!Y$48)-1,FALSE),0)</f>
        <v>0</v>
      </c>
      <c r="Z63" s="168">
        <f ca="1">IFERROR(HLOOKUP('Hist &amp; Proj'!Z$48,Data_Formatting!$AY$122:$CH$150,ROW('Hist &amp; Proj'!Z63)-ROW('Hist &amp; Proj'!Z$48)-1,FALSE),0)</f>
        <v>0</v>
      </c>
      <c r="AA63" s="168">
        <f ca="1">IFERROR(HLOOKUP('Hist &amp; Proj'!AA$48,Data_Formatting!$AY$122:$CH$150,ROW('Hist &amp; Proj'!AA63)-ROW('Hist &amp; Proj'!AA$48)-1,FALSE),0)</f>
        <v>0</v>
      </c>
      <c r="AB63" s="168">
        <f ca="1">IFERROR(HLOOKUP('Hist &amp; Proj'!AB$48,Data_Formatting!$AY$122:$CH$150,ROW('Hist &amp; Proj'!AB63)-ROW('Hist &amp; Proj'!AB$48)-1,FALSE),0)</f>
        <v>0</v>
      </c>
      <c r="AC63" s="168">
        <f ca="1">IFERROR(HLOOKUP('Hist &amp; Proj'!AC$48,Data_Formatting!$AY$122:$CH$150,ROW('Hist &amp; Proj'!AC63)-ROW('Hist &amp; Proj'!AC$48)-1,FALSE),0)</f>
        <v>0</v>
      </c>
      <c r="AD63" s="168">
        <f ca="1">IFERROR(HLOOKUP('Hist &amp; Proj'!AD$48,Data_Formatting!$AY$122:$CH$150,ROW('Hist &amp; Proj'!AD63)-ROW('Hist &amp; Proj'!AD$48)-1,FALSE),0)</f>
        <v>0</v>
      </c>
      <c r="AE63" s="267" t="e">
        <f ca="1">HLOOKUP(1,S$6:AD63,ROW(AE63)-5,FALSE)</f>
        <v>#N/A</v>
      </c>
      <c r="AF63" s="267" t="e">
        <f ca="1">HLOOKUP(1,S$6:AD63,ROW(AE63)-5,FALSE)+R63-HLOOKUP(1,F$6:Q63,ROW(AE63)-5,FALSE)</f>
        <v>#N/A</v>
      </c>
      <c r="AG63" s="265"/>
      <c r="AH63" s="168"/>
      <c r="AI63" s="168"/>
      <c r="AJ63" s="168">
        <v>0</v>
      </c>
      <c r="AK63" s="168">
        <v>0</v>
      </c>
      <c r="AL63" s="168">
        <v>0</v>
      </c>
      <c r="AM63" s="160"/>
      <c r="AN63" s="296"/>
      <c r="AO63" s="160"/>
      <c r="AP63" s="160"/>
      <c r="AQ63" s="160"/>
      <c r="AR63" s="160"/>
      <c r="AS63" s="160"/>
      <c r="AT63" s="160"/>
      <c r="AU63" s="160"/>
      <c r="AV63" s="160"/>
      <c r="AW63" s="160"/>
      <c r="AX63" s="160"/>
      <c r="AY63" s="160"/>
      <c r="AZ63" s="160"/>
    </row>
    <row r="64" spans="1:52" s="300" customFormat="1" ht="15">
      <c r="A64" s="284" t="s">
        <v>15</v>
      </c>
      <c r="B64" s="168">
        <f>IFERROR(HLOOKUP('Hist &amp; Proj'!B$48,Data_Formatting!$CL$122:$CP$150,ROW('Hist &amp; Proj'!B64)-ROW('Hist &amp; Proj'!B$48)-1,FALSE),0)</f>
        <v>0</v>
      </c>
      <c r="C64" s="168">
        <f>IFERROR(HLOOKUP('Hist &amp; Proj'!C$48,Data_Formatting!$CL$122:$CP$150,ROW('Hist &amp; Proj'!C64)-ROW('Hist &amp; Proj'!C$48)-1,FALSE),0)</f>
        <v>0</v>
      </c>
      <c r="D64" s="168">
        <f>IFERROR(HLOOKUP('Hist &amp; Proj'!D$48,Data_Formatting!$CL$122:$CP$150,ROW('Hist &amp; Proj'!D64)-ROW('Hist &amp; Proj'!D$48)-1,FALSE),0)</f>
        <v>0</v>
      </c>
      <c r="E64" s="168">
        <f>IFERROR(HLOOKUP('Hist &amp; Proj'!E$48,Data_Formatting!$CL$122:$CP$150,ROW('Hist &amp; Proj'!E64)-ROW('Hist &amp; Proj'!E$48)-1,FALSE),0)</f>
        <v>0</v>
      </c>
      <c r="F64" s="168">
        <f ca="1">IFERROR(HLOOKUP('Hist &amp; Proj'!F$48,Data_Formatting!$AY$122:$CH$150,ROW('Hist &amp; Proj'!F64)-ROW('Hist &amp; Proj'!F$48)-1,FALSE),0)</f>
        <v>0</v>
      </c>
      <c r="G64" s="168">
        <f ca="1">IFERROR(HLOOKUP('Hist &amp; Proj'!G$48,Data_Formatting!$AY$122:$CH$150,ROW('Hist &amp; Proj'!G64)-ROW('Hist &amp; Proj'!G$48)-1,FALSE),0)</f>
        <v>0</v>
      </c>
      <c r="H64" s="168">
        <f ca="1">IFERROR(HLOOKUP('Hist &amp; Proj'!H$48,Data_Formatting!$AY$122:$CH$150,ROW('Hist &amp; Proj'!H64)-ROW('Hist &amp; Proj'!H$48)-1,FALSE),0)</f>
        <v>0</v>
      </c>
      <c r="I64" s="168">
        <f ca="1">IFERROR(HLOOKUP('Hist &amp; Proj'!I$48,Data_Formatting!$AY$122:$CH$150,ROW('Hist &amp; Proj'!I64)-ROW('Hist &amp; Proj'!I$48)-1,FALSE),0)</f>
        <v>0</v>
      </c>
      <c r="J64" s="168">
        <f ca="1">IFERROR(HLOOKUP('Hist &amp; Proj'!J$48,Data_Formatting!$AY$122:$CH$150,ROW('Hist &amp; Proj'!J64)-ROW('Hist &amp; Proj'!J$48)-1,FALSE),0)</f>
        <v>0</v>
      </c>
      <c r="K64" s="168">
        <f ca="1">IFERROR(HLOOKUP('Hist &amp; Proj'!K$48,Data_Formatting!$AY$122:$CH$150,ROW('Hist &amp; Proj'!K64)-ROW('Hist &amp; Proj'!K$48)-1,FALSE),0)</f>
        <v>0</v>
      </c>
      <c r="L64" s="168">
        <f ca="1">IFERROR(HLOOKUP('Hist &amp; Proj'!L$48,Data_Formatting!$AY$122:$CH$150,ROW('Hist &amp; Proj'!L64)-ROW('Hist &amp; Proj'!L$48)-1,FALSE),0)</f>
        <v>0</v>
      </c>
      <c r="M64" s="168">
        <f ca="1">IFERROR(HLOOKUP('Hist &amp; Proj'!M$48,Data_Formatting!$AY$122:$CH$150,ROW('Hist &amp; Proj'!M64)-ROW('Hist &amp; Proj'!M$48)-1,FALSE),0)</f>
        <v>0</v>
      </c>
      <c r="N64" s="168">
        <f ca="1">IFERROR(HLOOKUP('Hist &amp; Proj'!N$48,Data_Formatting!$AY$122:$CH$150,ROW('Hist &amp; Proj'!N64)-ROW('Hist &amp; Proj'!N$48)-1,FALSE),0)</f>
        <v>0</v>
      </c>
      <c r="O64" s="168">
        <f ca="1">IFERROR(HLOOKUP('Hist &amp; Proj'!O$48,Data_Formatting!$AY$122:$CH$150,ROW('Hist &amp; Proj'!O64)-ROW('Hist &amp; Proj'!O$48)-1,FALSE),0)</f>
        <v>0</v>
      </c>
      <c r="P64" s="168">
        <f ca="1">IFERROR(HLOOKUP('Hist &amp; Proj'!P$48,Data_Formatting!$AY$122:$CH$150,ROW('Hist &amp; Proj'!P64)-ROW('Hist &amp; Proj'!P$48)-1,FALSE),0)</f>
        <v>0</v>
      </c>
      <c r="Q64" s="168">
        <f ca="1">IFERROR(HLOOKUP('Hist &amp; Proj'!Q$48,Data_Formatting!$AY$122:$CH$150,ROW('Hist &amp; Proj'!Q64)-ROW('Hist &amp; Proj'!Q$48)-1,FALSE),0)</f>
        <v>0</v>
      </c>
      <c r="R64" s="168">
        <f ca="1">IFERROR(HLOOKUP('Hist &amp; Proj'!R$48,Data_Formatting!$CL$122:$CP$150,ROW('Hist &amp; Proj'!R64)-ROW('Hist &amp; Proj'!R$48)-1,FALSE),0)</f>
        <v>0</v>
      </c>
      <c r="S64" s="168">
        <f ca="1">IFERROR(HLOOKUP('Hist &amp; Proj'!S$48,Data_Formatting!$AY$122:$CH$150,ROW('Hist &amp; Proj'!S64)-ROW('Hist &amp; Proj'!S$48)-1,FALSE),0)</f>
        <v>0</v>
      </c>
      <c r="T64" s="168">
        <f ca="1">IFERROR(HLOOKUP('Hist &amp; Proj'!T$48,Data_Formatting!$AY$122:$CH$150,ROW('Hist &amp; Proj'!T64)-ROW('Hist &amp; Proj'!T$48)-1,FALSE),0)</f>
        <v>0</v>
      </c>
      <c r="U64" s="168">
        <f ca="1">IFERROR(HLOOKUP('Hist &amp; Proj'!U$48,Data_Formatting!$AY$122:$CH$150,ROW('Hist &amp; Proj'!U64)-ROW('Hist &amp; Proj'!U$48)-1,FALSE),0)</f>
        <v>0</v>
      </c>
      <c r="V64" s="168">
        <f ca="1">IFERROR(HLOOKUP('Hist &amp; Proj'!V$48,Data_Formatting!$AY$122:$CH$150,ROW('Hist &amp; Proj'!V64)-ROW('Hist &amp; Proj'!V$48)-1,FALSE),0)</f>
        <v>0</v>
      </c>
      <c r="W64" s="168">
        <f ca="1">IFERROR(HLOOKUP('Hist &amp; Proj'!W$48,Data_Formatting!$AY$122:$CH$150,ROW('Hist &amp; Proj'!W64)-ROW('Hist &amp; Proj'!W$48)-1,FALSE),0)</f>
        <v>0</v>
      </c>
      <c r="X64" s="168">
        <f ca="1">IFERROR(HLOOKUP('Hist &amp; Proj'!X$48,Data_Formatting!$AY$122:$CH$150,ROW('Hist &amp; Proj'!X64)-ROW('Hist &amp; Proj'!X$48)-1,FALSE),0)</f>
        <v>0</v>
      </c>
      <c r="Y64" s="168">
        <f ca="1">IFERROR(HLOOKUP('Hist &amp; Proj'!Y$48,Data_Formatting!$AY$122:$CH$150,ROW('Hist &amp; Proj'!Y64)-ROW('Hist &amp; Proj'!Y$48)-1,FALSE),0)</f>
        <v>0</v>
      </c>
      <c r="Z64" s="168">
        <f ca="1">IFERROR(HLOOKUP('Hist &amp; Proj'!Z$48,Data_Formatting!$AY$122:$CH$150,ROW('Hist &amp; Proj'!Z64)-ROW('Hist &amp; Proj'!Z$48)-1,FALSE),0)</f>
        <v>0</v>
      </c>
      <c r="AA64" s="168">
        <f ca="1">IFERROR(HLOOKUP('Hist &amp; Proj'!AA$48,Data_Formatting!$AY$122:$CH$150,ROW('Hist &amp; Proj'!AA64)-ROW('Hist &amp; Proj'!AA$48)-1,FALSE),0)</f>
        <v>0</v>
      </c>
      <c r="AB64" s="168">
        <f ca="1">IFERROR(HLOOKUP('Hist &amp; Proj'!AB$48,Data_Formatting!$AY$122:$CH$150,ROW('Hist &amp; Proj'!AB64)-ROW('Hist &amp; Proj'!AB$48)-1,FALSE),0)</f>
        <v>0</v>
      </c>
      <c r="AC64" s="168">
        <f ca="1">IFERROR(HLOOKUP('Hist &amp; Proj'!AC$48,Data_Formatting!$AY$122:$CH$150,ROW('Hist &amp; Proj'!AC64)-ROW('Hist &amp; Proj'!AC$48)-1,FALSE),0)</f>
        <v>0</v>
      </c>
      <c r="AD64" s="168">
        <f ca="1">IFERROR(HLOOKUP('Hist &amp; Proj'!AD$48,Data_Formatting!$AY$122:$CH$150,ROW('Hist &amp; Proj'!AD64)-ROW('Hist &amp; Proj'!AD$48)-1,FALSE),0)</f>
        <v>0</v>
      </c>
      <c r="AE64" s="267" t="e">
        <f ca="1">HLOOKUP(1,S$6:AD64,ROW(AE64)-5,FALSE)</f>
        <v>#N/A</v>
      </c>
      <c r="AF64" s="267" t="e">
        <f ca="1">HLOOKUP(1,S$6:AD64,ROW(AE64)-5,FALSE)+R64-HLOOKUP(1,F$6:Q64,ROW(AE64)-5,FALSE)</f>
        <v>#N/A</v>
      </c>
      <c r="AG64" s="265"/>
      <c r="AH64" s="168"/>
      <c r="AI64" s="168"/>
      <c r="AJ64" s="168">
        <v>0</v>
      </c>
      <c r="AK64" s="168">
        <v>0</v>
      </c>
      <c r="AL64" s="168">
        <v>0</v>
      </c>
      <c r="AM64" s="163"/>
      <c r="AN64" s="296"/>
      <c r="AO64" s="163"/>
      <c r="AP64" s="163"/>
      <c r="AQ64" s="163"/>
      <c r="AR64" s="163"/>
      <c r="AS64" s="160"/>
      <c r="AT64" s="163"/>
      <c r="AU64" s="163"/>
      <c r="AV64" s="163"/>
      <c r="AW64" s="163"/>
      <c r="AX64" s="163"/>
      <c r="AY64" s="163"/>
      <c r="AZ64" s="163"/>
    </row>
    <row r="65" spans="1:56" s="303" customFormat="1">
      <c r="A65" s="301" t="s">
        <v>14</v>
      </c>
      <c r="B65" s="292">
        <f>SUM(B63:B64)</f>
        <v>0</v>
      </c>
      <c r="C65" s="292">
        <f>SUM(C63:C64)</f>
        <v>0</v>
      </c>
      <c r="D65" s="292">
        <f>SUM(D63:D64)</f>
        <v>0</v>
      </c>
      <c r="E65" s="292">
        <f>SUM(E63:E64)</f>
        <v>0</v>
      </c>
      <c r="F65" s="292">
        <f ca="1">SUM(F63:F64)</f>
        <v>0</v>
      </c>
      <c r="G65" s="292">
        <f t="shared" ref="G65:AF65" ca="1" si="21">SUM(G63:G64)</f>
        <v>0</v>
      </c>
      <c r="H65" s="292">
        <f t="shared" ca="1" si="21"/>
        <v>0</v>
      </c>
      <c r="I65" s="292">
        <f t="shared" ca="1" si="21"/>
        <v>0</v>
      </c>
      <c r="J65" s="292">
        <f t="shared" ca="1" si="21"/>
        <v>0</v>
      </c>
      <c r="K65" s="292">
        <f t="shared" ca="1" si="21"/>
        <v>0</v>
      </c>
      <c r="L65" s="292">
        <f t="shared" ca="1" si="21"/>
        <v>0</v>
      </c>
      <c r="M65" s="292">
        <f t="shared" ca="1" si="21"/>
        <v>0</v>
      </c>
      <c r="N65" s="292">
        <f t="shared" ca="1" si="21"/>
        <v>0</v>
      </c>
      <c r="O65" s="292">
        <f t="shared" ca="1" si="21"/>
        <v>0</v>
      </c>
      <c r="P65" s="292">
        <f t="shared" ca="1" si="21"/>
        <v>0</v>
      </c>
      <c r="Q65" s="292">
        <f t="shared" ca="1" si="21"/>
        <v>0</v>
      </c>
      <c r="R65" s="292">
        <f t="shared" ca="1" si="21"/>
        <v>0</v>
      </c>
      <c r="S65" s="292">
        <f t="shared" ca="1" si="21"/>
        <v>0</v>
      </c>
      <c r="T65" s="292">
        <f t="shared" ca="1" si="21"/>
        <v>0</v>
      </c>
      <c r="U65" s="292">
        <f t="shared" ca="1" si="21"/>
        <v>0</v>
      </c>
      <c r="V65" s="292">
        <f t="shared" ca="1" si="21"/>
        <v>0</v>
      </c>
      <c r="W65" s="292">
        <f t="shared" ca="1" si="21"/>
        <v>0</v>
      </c>
      <c r="X65" s="292">
        <f t="shared" ca="1" si="21"/>
        <v>0</v>
      </c>
      <c r="Y65" s="292">
        <f t="shared" ca="1" si="21"/>
        <v>0</v>
      </c>
      <c r="Z65" s="292">
        <f t="shared" ca="1" si="21"/>
        <v>0</v>
      </c>
      <c r="AA65" s="292">
        <f t="shared" ca="1" si="21"/>
        <v>0</v>
      </c>
      <c r="AB65" s="292">
        <f t="shared" ca="1" si="21"/>
        <v>0</v>
      </c>
      <c r="AC65" s="292">
        <f t="shared" ca="1" si="21"/>
        <v>0</v>
      </c>
      <c r="AD65" s="292">
        <f t="shared" ca="1" si="21"/>
        <v>0</v>
      </c>
      <c r="AE65" s="292" t="e">
        <f t="shared" ca="1" si="21"/>
        <v>#N/A</v>
      </c>
      <c r="AF65" s="292" t="e">
        <f t="shared" ca="1" si="21"/>
        <v>#N/A</v>
      </c>
      <c r="AG65" s="302"/>
      <c r="AH65" s="292">
        <f>SUM(AH63:AH64)</f>
        <v>0</v>
      </c>
      <c r="AI65" s="292">
        <f>SUM(AI63:AI64)</f>
        <v>0</v>
      </c>
      <c r="AJ65" s="292">
        <f>SUM(AJ63:AJ64)</f>
        <v>0</v>
      </c>
      <c r="AK65" s="292">
        <f>SUM(AK63:AK64)</f>
        <v>0</v>
      </c>
      <c r="AL65" s="292">
        <f>SUM(AL63:AL64)</f>
        <v>0</v>
      </c>
      <c r="AM65" s="283"/>
      <c r="AN65" s="296"/>
      <c r="AO65" s="283"/>
      <c r="AP65" s="283"/>
      <c r="AQ65" s="283"/>
      <c r="AR65" s="283"/>
      <c r="AS65" s="283"/>
      <c r="AT65" s="283"/>
      <c r="AU65" s="283"/>
      <c r="AV65" s="283"/>
      <c r="AW65" s="283"/>
      <c r="AX65" s="283"/>
      <c r="AY65" s="283"/>
      <c r="AZ65" s="283"/>
    </row>
    <row r="66" spans="1:56">
      <c r="A66" s="203"/>
      <c r="B66" s="284"/>
      <c r="C66" s="284"/>
      <c r="D66" s="284"/>
      <c r="E66" s="284"/>
      <c r="F66" s="284"/>
      <c r="G66" s="284"/>
      <c r="H66" s="284"/>
      <c r="I66" s="284"/>
      <c r="J66" s="284"/>
      <c r="K66" s="284"/>
      <c r="L66" s="284"/>
      <c r="M66" s="284"/>
      <c r="N66" s="284"/>
      <c r="O66" s="284"/>
      <c r="P66" s="284"/>
      <c r="Q66" s="284"/>
      <c r="R66" s="284"/>
      <c r="S66" s="284"/>
      <c r="T66" s="284"/>
      <c r="U66" s="284"/>
      <c r="V66" s="284"/>
      <c r="W66" s="284"/>
      <c r="X66" s="284"/>
      <c r="Y66" s="284"/>
      <c r="Z66" s="284"/>
      <c r="AA66" s="284"/>
      <c r="AB66" s="284"/>
      <c r="AC66" s="284"/>
      <c r="AD66" s="284"/>
      <c r="AE66" s="284"/>
      <c r="AF66" s="284"/>
      <c r="AG66" s="265"/>
      <c r="AH66" s="284"/>
      <c r="AI66" s="284"/>
      <c r="AJ66" s="284"/>
      <c r="AK66" s="284"/>
      <c r="AL66" s="284"/>
      <c r="AM66" s="160"/>
      <c r="AN66" s="296"/>
      <c r="AO66" s="160"/>
      <c r="AP66" s="160"/>
      <c r="AQ66" s="160"/>
      <c r="AR66" s="160"/>
      <c r="AS66" s="160"/>
      <c r="AT66" s="160"/>
      <c r="AU66" s="160"/>
      <c r="AV66" s="160"/>
      <c r="AW66" s="160"/>
      <c r="AX66" s="160"/>
      <c r="AY66" s="160"/>
      <c r="AZ66" s="160"/>
    </row>
    <row r="67" spans="1:56">
      <c r="A67" s="270" t="s">
        <v>72</v>
      </c>
      <c r="B67" s="270">
        <f>SUM(B65,B60)</f>
        <v>0</v>
      </c>
      <c r="C67" s="270">
        <f>SUM(C65,C60)</f>
        <v>0</v>
      </c>
      <c r="D67" s="270">
        <f>SUM(D65,D60)</f>
        <v>0</v>
      </c>
      <c r="E67" s="270">
        <f>SUM(E65,E60)</f>
        <v>0</v>
      </c>
      <c r="F67" s="270">
        <f ca="1">SUM(F65,F60)</f>
        <v>0</v>
      </c>
      <c r="G67" s="270">
        <f t="shared" ref="G67:AE67" ca="1" si="22">SUM(G65,G60)</f>
        <v>0</v>
      </c>
      <c r="H67" s="270">
        <f t="shared" ca="1" si="22"/>
        <v>0</v>
      </c>
      <c r="I67" s="270">
        <f t="shared" ca="1" si="22"/>
        <v>0</v>
      </c>
      <c r="J67" s="270">
        <f t="shared" ca="1" si="22"/>
        <v>0</v>
      </c>
      <c r="K67" s="270">
        <f t="shared" ca="1" si="22"/>
        <v>0</v>
      </c>
      <c r="L67" s="270">
        <f t="shared" ca="1" si="22"/>
        <v>0</v>
      </c>
      <c r="M67" s="270">
        <f t="shared" ca="1" si="22"/>
        <v>0</v>
      </c>
      <c r="N67" s="270">
        <f t="shared" ca="1" si="22"/>
        <v>0</v>
      </c>
      <c r="O67" s="270">
        <f t="shared" ca="1" si="22"/>
        <v>0</v>
      </c>
      <c r="P67" s="270">
        <f t="shared" ca="1" si="22"/>
        <v>0</v>
      </c>
      <c r="Q67" s="270">
        <f t="shared" ca="1" si="22"/>
        <v>0</v>
      </c>
      <c r="R67" s="270">
        <f t="shared" ca="1" si="22"/>
        <v>0</v>
      </c>
      <c r="S67" s="270">
        <f t="shared" ca="1" si="22"/>
        <v>0</v>
      </c>
      <c r="T67" s="270">
        <f t="shared" ca="1" si="22"/>
        <v>0</v>
      </c>
      <c r="U67" s="270">
        <f t="shared" ca="1" si="22"/>
        <v>0</v>
      </c>
      <c r="V67" s="270">
        <f t="shared" ca="1" si="22"/>
        <v>0</v>
      </c>
      <c r="W67" s="270">
        <f t="shared" ca="1" si="22"/>
        <v>0</v>
      </c>
      <c r="X67" s="270">
        <f t="shared" ca="1" si="22"/>
        <v>0</v>
      </c>
      <c r="Y67" s="270">
        <f t="shared" ca="1" si="22"/>
        <v>0</v>
      </c>
      <c r="Z67" s="270">
        <f t="shared" ca="1" si="22"/>
        <v>0</v>
      </c>
      <c r="AA67" s="270">
        <f t="shared" ca="1" si="22"/>
        <v>0</v>
      </c>
      <c r="AB67" s="270">
        <f t="shared" ca="1" si="22"/>
        <v>0</v>
      </c>
      <c r="AC67" s="270">
        <f t="shared" ca="1" si="22"/>
        <v>0</v>
      </c>
      <c r="AD67" s="270">
        <f t="shared" ca="1" si="22"/>
        <v>0</v>
      </c>
      <c r="AE67" s="270" t="e">
        <f t="shared" ca="1" si="22"/>
        <v>#N/A</v>
      </c>
      <c r="AF67" s="270" t="e">
        <f ca="1">SUM(AF65,AF60)</f>
        <v>#N/A</v>
      </c>
      <c r="AG67" s="265"/>
      <c r="AH67" s="270">
        <f>SUM(AH65,AH60)</f>
        <v>0</v>
      </c>
      <c r="AI67" s="270">
        <f>SUM(AI65,AI60)</f>
        <v>0</v>
      </c>
      <c r="AJ67" s="270">
        <f>SUM(AJ65,AJ60)</f>
        <v>0</v>
      </c>
      <c r="AK67" s="270">
        <f>SUM(AK65,AK60)</f>
        <v>0</v>
      </c>
      <c r="AL67" s="270">
        <f>SUM(AL65,AL60)</f>
        <v>0</v>
      </c>
      <c r="AM67" s="283"/>
      <c r="AN67" s="296"/>
      <c r="AO67" s="283"/>
      <c r="AP67" s="283"/>
      <c r="AQ67" s="283"/>
      <c r="AR67" s="283"/>
      <c r="AS67" s="283"/>
      <c r="AT67" s="283"/>
      <c r="AU67" s="283"/>
      <c r="AV67" s="283"/>
      <c r="AW67" s="283"/>
      <c r="AX67" s="283"/>
      <c r="AY67" s="283"/>
      <c r="AZ67" s="283"/>
    </row>
    <row r="68" spans="1:56" s="298" customFormat="1">
      <c r="A68" s="294" t="s">
        <v>84</v>
      </c>
      <c r="B68" s="295" t="str">
        <f>IF(B67=0,"",IF(B51=0,"",+B67/B51))</f>
        <v/>
      </c>
      <c r="C68" s="295" t="str">
        <f>IF(C67=0,"",IF(C51=0,"",+C67/C51))</f>
        <v/>
      </c>
      <c r="D68" s="295" t="str">
        <f>IF(D67=0,"",IF(D51=0,"",+D67/D51))</f>
        <v/>
      </c>
      <c r="E68" s="295" t="str">
        <f>IF(E67=0,"",IF(E51=0,"",+E67/E51))</f>
        <v/>
      </c>
      <c r="F68" s="295" t="str">
        <f ca="1">IF(F67=0,"",IF(F51=0,"",+F67/F51))</f>
        <v/>
      </c>
      <c r="G68" s="295" t="str">
        <f t="shared" ref="G68:AE68" ca="1" si="23">IF(G67=0,"",IF(G51=0,"",+G67/G51))</f>
        <v/>
      </c>
      <c r="H68" s="295" t="str">
        <f t="shared" ca="1" si="23"/>
        <v/>
      </c>
      <c r="I68" s="295" t="str">
        <f t="shared" ca="1" si="23"/>
        <v/>
      </c>
      <c r="J68" s="295" t="str">
        <f t="shared" ca="1" si="23"/>
        <v/>
      </c>
      <c r="K68" s="295" t="str">
        <f t="shared" ca="1" si="23"/>
        <v/>
      </c>
      <c r="L68" s="295" t="str">
        <f t="shared" ca="1" si="23"/>
        <v/>
      </c>
      <c r="M68" s="295" t="str">
        <f t="shared" ca="1" si="23"/>
        <v/>
      </c>
      <c r="N68" s="295" t="str">
        <f t="shared" ca="1" si="23"/>
        <v/>
      </c>
      <c r="O68" s="295" t="str">
        <f t="shared" ca="1" si="23"/>
        <v/>
      </c>
      <c r="P68" s="295" t="str">
        <f t="shared" ca="1" si="23"/>
        <v/>
      </c>
      <c r="Q68" s="295" t="str">
        <f t="shared" ca="1" si="23"/>
        <v/>
      </c>
      <c r="R68" s="295" t="str">
        <f t="shared" ca="1" si="23"/>
        <v/>
      </c>
      <c r="S68" s="295" t="str">
        <f t="shared" ca="1" si="23"/>
        <v/>
      </c>
      <c r="T68" s="295" t="str">
        <f t="shared" ca="1" si="23"/>
        <v/>
      </c>
      <c r="U68" s="295" t="str">
        <f t="shared" ca="1" si="23"/>
        <v/>
      </c>
      <c r="V68" s="295" t="str">
        <f t="shared" ca="1" si="23"/>
        <v/>
      </c>
      <c r="W68" s="295" t="str">
        <f t="shared" ca="1" si="23"/>
        <v/>
      </c>
      <c r="X68" s="295" t="str">
        <f t="shared" ca="1" si="23"/>
        <v/>
      </c>
      <c r="Y68" s="295" t="str">
        <f t="shared" ca="1" si="23"/>
        <v/>
      </c>
      <c r="Z68" s="295" t="str">
        <f t="shared" ca="1" si="23"/>
        <v/>
      </c>
      <c r="AA68" s="295" t="str">
        <f t="shared" ca="1" si="23"/>
        <v/>
      </c>
      <c r="AB68" s="295" t="str">
        <f t="shared" ca="1" si="23"/>
        <v/>
      </c>
      <c r="AC68" s="295" t="str">
        <f t="shared" ca="1" si="23"/>
        <v/>
      </c>
      <c r="AD68" s="295" t="str">
        <f t="shared" ca="1" si="23"/>
        <v/>
      </c>
      <c r="AE68" s="295" t="e">
        <f t="shared" ca="1" si="23"/>
        <v>#N/A</v>
      </c>
      <c r="AF68" s="295" t="e">
        <f ca="1">IF(AF67=0,"",IF(AF51=0,"",+AF67/AF51))</f>
        <v>#N/A</v>
      </c>
      <c r="AG68" s="265"/>
      <c r="AH68" s="295" t="str">
        <f>IF(AH67=0,"",IF(AH51=0,"",+AH67/AH51))</f>
        <v/>
      </c>
      <c r="AI68" s="295" t="str">
        <f>IF(AI67=0,"",IF(AI51=0,"",+AI67/AI51))</f>
        <v/>
      </c>
      <c r="AJ68" s="295" t="str">
        <f>IF(AJ67=0,"",IF(AJ51=0,"",+AJ67/AJ51))</f>
        <v/>
      </c>
      <c r="AK68" s="295" t="str">
        <f>IF(AK67=0,"",IF(AK51=0,"",+AK67/AK51))</f>
        <v/>
      </c>
      <c r="AL68" s="295" t="str">
        <f>IF(AL67=0,"",IF(AL51=0,"",+AL67/AL51))</f>
        <v/>
      </c>
      <c r="AM68" s="296"/>
      <c r="AN68" s="296"/>
      <c r="AO68" s="296"/>
      <c r="AP68" s="296"/>
      <c r="AQ68" s="296"/>
      <c r="AR68" s="296"/>
      <c r="AS68" s="296"/>
      <c r="AT68" s="296"/>
      <c r="AU68" s="296"/>
      <c r="AV68" s="296"/>
      <c r="AW68" s="296"/>
      <c r="AX68" s="296"/>
      <c r="AY68" s="296"/>
      <c r="AZ68" s="296"/>
      <c r="BA68" s="304"/>
      <c r="BB68" s="304"/>
      <c r="BC68" s="304"/>
      <c r="BD68" s="304"/>
    </row>
    <row r="69" spans="1:56">
      <c r="A69" s="292"/>
      <c r="B69" s="292"/>
      <c r="C69" s="292"/>
      <c r="D69" s="292"/>
      <c r="E69" s="292"/>
      <c r="F69" s="292"/>
      <c r="G69" s="292"/>
      <c r="H69" s="292"/>
      <c r="I69" s="292"/>
      <c r="J69" s="292"/>
      <c r="K69" s="292"/>
      <c r="L69" s="292"/>
      <c r="M69" s="292"/>
      <c r="N69" s="292"/>
      <c r="O69" s="292"/>
      <c r="P69" s="292"/>
      <c r="Q69" s="292"/>
      <c r="R69" s="292"/>
      <c r="S69" s="292"/>
      <c r="T69" s="292"/>
      <c r="U69" s="292"/>
      <c r="V69" s="292"/>
      <c r="W69" s="292"/>
      <c r="X69" s="292"/>
      <c r="Y69" s="292"/>
      <c r="Z69" s="292"/>
      <c r="AA69" s="292"/>
      <c r="AB69" s="292"/>
      <c r="AC69" s="292"/>
      <c r="AD69" s="292"/>
      <c r="AE69" s="292"/>
      <c r="AF69" s="292"/>
      <c r="AG69" s="265"/>
      <c r="AH69" s="292"/>
      <c r="AI69" s="292"/>
      <c r="AJ69" s="292"/>
      <c r="AK69" s="292"/>
      <c r="AL69" s="292"/>
      <c r="AM69" s="283"/>
      <c r="AN69" s="296"/>
      <c r="AO69" s="283"/>
      <c r="AP69" s="283"/>
      <c r="AQ69" s="283"/>
      <c r="AR69" s="283"/>
      <c r="AS69" s="283"/>
      <c r="AT69" s="283"/>
      <c r="AU69" s="283"/>
      <c r="AV69" s="283"/>
      <c r="AW69" s="283"/>
      <c r="AX69" s="283"/>
      <c r="AY69" s="283"/>
      <c r="AZ69" s="283"/>
    </row>
    <row r="70" spans="1:56" s="300" customFormat="1" ht="15">
      <c r="A70" s="284" t="s">
        <v>16</v>
      </c>
      <c r="B70" s="168">
        <f>IFERROR(HLOOKUP('Hist &amp; Proj'!B$48,Data_Formatting!$CL$122:$CP$150,ROW('Hist &amp; Proj'!B70)-ROW('Hist &amp; Proj'!B$48)-2,FALSE),0)</f>
        <v>0</v>
      </c>
      <c r="C70" s="168">
        <f>IFERROR(HLOOKUP('Hist &amp; Proj'!C$48,Data_Formatting!$CL$122:$CP$150,ROW('Hist &amp; Proj'!C70)-ROW('Hist &amp; Proj'!C$48)-2,FALSE),0)</f>
        <v>0</v>
      </c>
      <c r="D70" s="168">
        <f>IFERROR(HLOOKUP('Hist &amp; Proj'!D$48,Data_Formatting!$CL$122:$CP$150,ROW('Hist &amp; Proj'!D70)-ROW('Hist &amp; Proj'!D$48)-2,FALSE),0)</f>
        <v>0</v>
      </c>
      <c r="E70" s="168">
        <f>IFERROR(HLOOKUP('Hist &amp; Proj'!E$48,Data_Formatting!$CL$122:$CP$150,ROW('Hist &amp; Proj'!E70)-ROW('Hist &amp; Proj'!E$48)-2,FALSE),0)</f>
        <v>0</v>
      </c>
      <c r="F70" s="168">
        <f ca="1">IFERROR(HLOOKUP('Hist &amp; Proj'!F$48,Data_Formatting!$AY$122:$CH$150,ROW('Hist &amp; Proj'!F70)-ROW('Hist &amp; Proj'!F$48)-2,FALSE),0)</f>
        <v>0</v>
      </c>
      <c r="G70" s="168">
        <f ca="1">IFERROR(HLOOKUP('Hist &amp; Proj'!G$48,Data_Formatting!$AY$122:$CH$150,ROW('Hist &amp; Proj'!G70)-ROW('Hist &amp; Proj'!G$48)-2,FALSE),0)</f>
        <v>0</v>
      </c>
      <c r="H70" s="168">
        <f ca="1">IFERROR(HLOOKUP('Hist &amp; Proj'!H$48,Data_Formatting!$AY$122:$CH$150,ROW('Hist &amp; Proj'!H70)-ROW('Hist &amp; Proj'!H$48)-2,FALSE),0)</f>
        <v>0</v>
      </c>
      <c r="I70" s="168">
        <f ca="1">IFERROR(HLOOKUP('Hist &amp; Proj'!I$48,Data_Formatting!$AY$122:$CH$150,ROW('Hist &amp; Proj'!I70)-ROW('Hist &amp; Proj'!I$48)-2,FALSE),0)</f>
        <v>0</v>
      </c>
      <c r="J70" s="168">
        <f ca="1">IFERROR(HLOOKUP('Hist &amp; Proj'!J$48,Data_Formatting!$AY$122:$CH$150,ROW('Hist &amp; Proj'!J70)-ROW('Hist &amp; Proj'!J$48)-2,FALSE),0)</f>
        <v>0</v>
      </c>
      <c r="K70" s="168">
        <f ca="1">IFERROR(HLOOKUP('Hist &amp; Proj'!K$48,Data_Formatting!$AY$122:$CH$150,ROW('Hist &amp; Proj'!K70)-ROW('Hist &amp; Proj'!K$48)-2,FALSE),0)</f>
        <v>0</v>
      </c>
      <c r="L70" s="168">
        <f ca="1">IFERROR(HLOOKUP('Hist &amp; Proj'!L$48,Data_Formatting!$AY$122:$CH$150,ROW('Hist &amp; Proj'!L70)-ROW('Hist &amp; Proj'!L$48)-2,FALSE),0)</f>
        <v>0</v>
      </c>
      <c r="M70" s="168">
        <f ca="1">IFERROR(HLOOKUP('Hist &amp; Proj'!M$48,Data_Formatting!$AY$122:$CH$150,ROW('Hist &amp; Proj'!M70)-ROW('Hist &amp; Proj'!M$48)-2,FALSE),0)</f>
        <v>0</v>
      </c>
      <c r="N70" s="168">
        <f ca="1">IFERROR(HLOOKUP('Hist &amp; Proj'!N$48,Data_Formatting!$AY$122:$CH$150,ROW('Hist &amp; Proj'!N70)-ROW('Hist &amp; Proj'!N$48)-2,FALSE),0)</f>
        <v>0</v>
      </c>
      <c r="O70" s="168">
        <f ca="1">IFERROR(HLOOKUP('Hist &amp; Proj'!O$48,Data_Formatting!$AY$122:$CH$150,ROW('Hist &amp; Proj'!O70)-ROW('Hist &amp; Proj'!O$48)-2,FALSE),0)</f>
        <v>0</v>
      </c>
      <c r="P70" s="168">
        <f ca="1">IFERROR(HLOOKUP('Hist &amp; Proj'!P$48,Data_Formatting!$AY$122:$CH$150,ROW('Hist &amp; Proj'!P70)-ROW('Hist &amp; Proj'!P$48)-2,FALSE),0)</f>
        <v>0</v>
      </c>
      <c r="Q70" s="168">
        <f ca="1">IFERROR(HLOOKUP('Hist &amp; Proj'!Q$48,Data_Formatting!$AY$122:$CH$150,ROW('Hist &amp; Proj'!Q70)-ROW('Hist &amp; Proj'!Q$48)-2,FALSE),0)</f>
        <v>0</v>
      </c>
      <c r="R70" s="168">
        <f ca="1">IFERROR(HLOOKUP('Hist &amp; Proj'!R$48,Data_Formatting!$CL$122:$CP$150,ROW('Hist &amp; Proj'!R70)-ROW('Hist &amp; Proj'!R$48)-2,FALSE),0)</f>
        <v>0</v>
      </c>
      <c r="S70" s="168">
        <f ca="1">IFERROR(HLOOKUP('Hist &amp; Proj'!S$48,Data_Formatting!$AY$122:$CH$150,ROW('Hist &amp; Proj'!S70)-ROW('Hist &amp; Proj'!S$48)-2,FALSE),0)</f>
        <v>0</v>
      </c>
      <c r="T70" s="168">
        <f ca="1">IFERROR(HLOOKUP('Hist &amp; Proj'!T$48,Data_Formatting!$AY$122:$CH$150,ROW('Hist &amp; Proj'!T70)-ROW('Hist &amp; Proj'!T$48)-2,FALSE),0)</f>
        <v>0</v>
      </c>
      <c r="U70" s="168">
        <f ca="1">IFERROR(HLOOKUP('Hist &amp; Proj'!U$48,Data_Formatting!$AY$122:$CH$150,ROW('Hist &amp; Proj'!U70)-ROW('Hist &amp; Proj'!U$48)-2,FALSE),0)</f>
        <v>0</v>
      </c>
      <c r="V70" s="168">
        <f ca="1">IFERROR(HLOOKUP('Hist &amp; Proj'!V$48,Data_Formatting!$AY$122:$CH$150,ROW('Hist &amp; Proj'!V70)-ROW('Hist &amp; Proj'!V$48)-2,FALSE),0)</f>
        <v>0</v>
      </c>
      <c r="W70" s="168">
        <f ca="1">IFERROR(HLOOKUP('Hist &amp; Proj'!W$48,Data_Formatting!$AY$122:$CH$150,ROW('Hist &amp; Proj'!W70)-ROW('Hist &amp; Proj'!W$48)-2,FALSE),0)</f>
        <v>0</v>
      </c>
      <c r="X70" s="168">
        <f ca="1">IFERROR(HLOOKUP('Hist &amp; Proj'!X$48,Data_Formatting!$AY$122:$CH$150,ROW('Hist &amp; Proj'!X70)-ROW('Hist &amp; Proj'!X$48)-2,FALSE),0)</f>
        <v>0</v>
      </c>
      <c r="Y70" s="168">
        <f ca="1">IFERROR(HLOOKUP('Hist &amp; Proj'!Y$48,Data_Formatting!$AY$122:$CH$150,ROW('Hist &amp; Proj'!Y70)-ROW('Hist &amp; Proj'!Y$48)-2,FALSE),0)</f>
        <v>0</v>
      </c>
      <c r="Z70" s="168">
        <f ca="1">IFERROR(HLOOKUP('Hist &amp; Proj'!Z$48,Data_Formatting!$AY$122:$CH$150,ROW('Hist &amp; Proj'!Z70)-ROW('Hist &amp; Proj'!Z$48)-2,FALSE),0)</f>
        <v>0</v>
      </c>
      <c r="AA70" s="168">
        <f ca="1">IFERROR(HLOOKUP('Hist &amp; Proj'!AA$48,Data_Formatting!$AY$122:$CH$150,ROW('Hist &amp; Proj'!AA70)-ROW('Hist &amp; Proj'!AA$48)-2,FALSE),0)</f>
        <v>0</v>
      </c>
      <c r="AB70" s="168">
        <f ca="1">IFERROR(HLOOKUP('Hist &amp; Proj'!AB$48,Data_Formatting!$AY$122:$CH$150,ROW('Hist &amp; Proj'!AB70)-ROW('Hist &amp; Proj'!AB$48)-2,FALSE),0)</f>
        <v>0</v>
      </c>
      <c r="AC70" s="168">
        <f ca="1">IFERROR(HLOOKUP('Hist &amp; Proj'!AC$48,Data_Formatting!$AY$122:$CH$150,ROW('Hist &amp; Proj'!AC70)-ROW('Hist &amp; Proj'!AC$48)-2,FALSE),0)</f>
        <v>0</v>
      </c>
      <c r="AD70" s="168">
        <f ca="1">IFERROR(HLOOKUP('Hist &amp; Proj'!AD$48,Data_Formatting!$AY$122:$CH$150,ROW('Hist &amp; Proj'!AD70)-ROW('Hist &amp; Proj'!AD$48)-2,FALSE),0)</f>
        <v>0</v>
      </c>
      <c r="AE70" s="267" t="e">
        <f ca="1">HLOOKUP(1,S$6:AD70,ROW(AE70)-5,FALSE)</f>
        <v>#N/A</v>
      </c>
      <c r="AF70" s="267" t="e">
        <f ca="1">HLOOKUP(1,S$6:AD70,ROW(AE70)-5,FALSE)+R70-HLOOKUP(1,F$6:Q70,ROW(AE70)-5,FALSE)</f>
        <v>#N/A</v>
      </c>
      <c r="AG70" s="265"/>
      <c r="AH70" s="168"/>
      <c r="AI70" s="168"/>
      <c r="AJ70" s="168">
        <v>0</v>
      </c>
      <c r="AK70" s="168">
        <v>0</v>
      </c>
      <c r="AL70" s="168">
        <v>0</v>
      </c>
      <c r="AM70" s="163"/>
      <c r="AN70" s="296"/>
      <c r="AO70" s="163"/>
      <c r="AP70" s="163"/>
      <c r="AQ70" s="163"/>
      <c r="AR70" s="163"/>
      <c r="AS70" s="160"/>
      <c r="AT70" s="163"/>
      <c r="AU70" s="163"/>
      <c r="AV70" s="163"/>
      <c r="AW70" s="163"/>
      <c r="AX70" s="163"/>
      <c r="AY70" s="163"/>
      <c r="AZ70" s="163"/>
    </row>
    <row r="71" spans="1:56">
      <c r="A71" s="270" t="s">
        <v>899</v>
      </c>
      <c r="B71" s="270">
        <f>SUM(B67,B70)</f>
        <v>0</v>
      </c>
      <c r="C71" s="270">
        <f>SUM(C67,C70)</f>
        <v>0</v>
      </c>
      <c r="D71" s="270">
        <f>SUM(D67,D70)</f>
        <v>0</v>
      </c>
      <c r="E71" s="270">
        <f>SUM(E67,E70)</f>
        <v>0</v>
      </c>
      <c r="F71" s="270">
        <f ca="1">SUM(F67,F70)</f>
        <v>0</v>
      </c>
      <c r="G71" s="270">
        <f t="shared" ref="G71:AF71" ca="1" si="24">SUM(G67,G70)</f>
        <v>0</v>
      </c>
      <c r="H71" s="270">
        <f t="shared" ca="1" si="24"/>
        <v>0</v>
      </c>
      <c r="I71" s="270">
        <f t="shared" ca="1" si="24"/>
        <v>0</v>
      </c>
      <c r="J71" s="270">
        <f t="shared" ca="1" si="24"/>
        <v>0</v>
      </c>
      <c r="K71" s="270">
        <f t="shared" ca="1" si="24"/>
        <v>0</v>
      </c>
      <c r="L71" s="270">
        <f t="shared" ca="1" si="24"/>
        <v>0</v>
      </c>
      <c r="M71" s="270">
        <f t="shared" ca="1" si="24"/>
        <v>0</v>
      </c>
      <c r="N71" s="270">
        <f t="shared" ca="1" si="24"/>
        <v>0</v>
      </c>
      <c r="O71" s="270">
        <f t="shared" ca="1" si="24"/>
        <v>0</v>
      </c>
      <c r="P71" s="270">
        <f t="shared" ca="1" si="24"/>
        <v>0</v>
      </c>
      <c r="Q71" s="270">
        <f t="shared" ca="1" si="24"/>
        <v>0</v>
      </c>
      <c r="R71" s="270">
        <f t="shared" ca="1" si="24"/>
        <v>0</v>
      </c>
      <c r="S71" s="270">
        <f t="shared" ca="1" si="24"/>
        <v>0</v>
      </c>
      <c r="T71" s="270">
        <f t="shared" ca="1" si="24"/>
        <v>0</v>
      </c>
      <c r="U71" s="270">
        <f t="shared" ca="1" si="24"/>
        <v>0</v>
      </c>
      <c r="V71" s="270">
        <f t="shared" ca="1" si="24"/>
        <v>0</v>
      </c>
      <c r="W71" s="270">
        <f t="shared" ca="1" si="24"/>
        <v>0</v>
      </c>
      <c r="X71" s="270">
        <f t="shared" ca="1" si="24"/>
        <v>0</v>
      </c>
      <c r="Y71" s="270">
        <f t="shared" ca="1" si="24"/>
        <v>0</v>
      </c>
      <c r="Z71" s="270">
        <f t="shared" ca="1" si="24"/>
        <v>0</v>
      </c>
      <c r="AA71" s="270">
        <f t="shared" ca="1" si="24"/>
        <v>0</v>
      </c>
      <c r="AB71" s="270">
        <f t="shared" ca="1" si="24"/>
        <v>0</v>
      </c>
      <c r="AC71" s="270">
        <f t="shared" ca="1" si="24"/>
        <v>0</v>
      </c>
      <c r="AD71" s="270">
        <f t="shared" ca="1" si="24"/>
        <v>0</v>
      </c>
      <c r="AE71" s="270" t="e">
        <f t="shared" ca="1" si="24"/>
        <v>#N/A</v>
      </c>
      <c r="AF71" s="270" t="e">
        <f t="shared" ca="1" si="24"/>
        <v>#N/A</v>
      </c>
      <c r="AG71" s="265"/>
      <c r="AH71" s="270">
        <f>SUM(AH67,AH70)</f>
        <v>0</v>
      </c>
      <c r="AI71" s="270">
        <f>SUM(AI67,AI70)</f>
        <v>0</v>
      </c>
      <c r="AJ71" s="270">
        <f>SUM(AJ67,AJ70)</f>
        <v>0</v>
      </c>
      <c r="AK71" s="270">
        <f>SUM(AK67,AK70)</f>
        <v>0</v>
      </c>
      <c r="AL71" s="270">
        <f>SUM(AL67,AL70)</f>
        <v>0</v>
      </c>
      <c r="AM71" s="283"/>
      <c r="AN71" s="296"/>
      <c r="AO71" s="283"/>
      <c r="AP71" s="283"/>
      <c r="AQ71" s="283"/>
      <c r="AR71" s="283"/>
      <c r="AS71" s="283"/>
      <c r="AT71" s="283"/>
      <c r="AU71" s="283"/>
      <c r="AV71" s="283"/>
      <c r="AW71" s="283"/>
      <c r="AX71" s="283"/>
      <c r="AY71" s="283"/>
      <c r="AZ71" s="283"/>
    </row>
    <row r="72" spans="1:56">
      <c r="A72" s="292"/>
      <c r="B72" s="292"/>
      <c r="C72" s="292"/>
      <c r="D72" s="292"/>
      <c r="E72" s="292"/>
      <c r="F72" s="292"/>
      <c r="G72" s="292"/>
      <c r="H72" s="292"/>
      <c r="I72" s="292"/>
      <c r="J72" s="292"/>
      <c r="K72" s="292"/>
      <c r="L72" s="292"/>
      <c r="M72" s="292"/>
      <c r="N72" s="292"/>
      <c r="O72" s="292"/>
      <c r="P72" s="292"/>
      <c r="Q72" s="292"/>
      <c r="R72" s="292"/>
      <c r="S72" s="292"/>
      <c r="T72" s="292"/>
      <c r="U72" s="292"/>
      <c r="V72" s="292"/>
      <c r="W72" s="292"/>
      <c r="X72" s="292"/>
      <c r="Y72" s="292"/>
      <c r="Z72" s="292"/>
      <c r="AA72" s="292"/>
      <c r="AB72" s="292"/>
      <c r="AC72" s="292"/>
      <c r="AD72" s="292"/>
      <c r="AE72" s="292"/>
      <c r="AF72" s="292"/>
      <c r="AG72" s="265"/>
      <c r="AH72" s="292"/>
      <c r="AI72" s="292"/>
      <c r="AJ72" s="292"/>
      <c r="AK72" s="292"/>
      <c r="AL72" s="292"/>
      <c r="AM72" s="283"/>
      <c r="AN72" s="296"/>
      <c r="AO72" s="283"/>
      <c r="AP72" s="283"/>
      <c r="AQ72" s="283"/>
      <c r="AR72" s="283"/>
      <c r="AS72" s="283"/>
      <c r="AT72" s="283"/>
      <c r="AU72" s="283"/>
      <c r="AV72" s="283"/>
      <c r="AW72" s="283"/>
      <c r="AX72" s="283"/>
      <c r="AY72" s="283"/>
      <c r="AZ72" s="283"/>
    </row>
    <row r="73" spans="1:56" s="300" customFormat="1" ht="15">
      <c r="A73" s="284" t="s">
        <v>17</v>
      </c>
      <c r="B73" s="168">
        <f>IFERROR(HLOOKUP('Hist &amp; Proj'!B$48,Data_Formatting!$CL$122:$CP$150,ROW('Hist &amp; Proj'!B73)-ROW('Hist &amp; Proj'!B$48)-2,FALSE),0)</f>
        <v>0</v>
      </c>
      <c r="C73" s="168">
        <f>IFERROR(HLOOKUP('Hist &amp; Proj'!C$48,Data_Formatting!$CL$122:$CP$150,ROW('Hist &amp; Proj'!C73)-ROW('Hist &amp; Proj'!C$48)-2,FALSE),0)</f>
        <v>0</v>
      </c>
      <c r="D73" s="168">
        <f>IFERROR(HLOOKUP('Hist &amp; Proj'!D$48,Data_Formatting!$CL$122:$CP$150,ROW('Hist &amp; Proj'!D73)-ROW('Hist &amp; Proj'!D$48)-2,FALSE),0)</f>
        <v>0</v>
      </c>
      <c r="E73" s="168">
        <f>IFERROR(HLOOKUP('Hist &amp; Proj'!E$48,Data_Formatting!$CL$122:$CP$150,ROW('Hist &amp; Proj'!E73)-ROW('Hist &amp; Proj'!E$48)-2,FALSE),0)</f>
        <v>0</v>
      </c>
      <c r="F73" s="168">
        <f ca="1">IFERROR(HLOOKUP('Hist &amp; Proj'!F$48,Data_Formatting!$AY$122:$CH$150,ROW('Hist &amp; Proj'!F73)-ROW('Hist &amp; Proj'!F$48)-2,FALSE),0)</f>
        <v>0</v>
      </c>
      <c r="G73" s="168">
        <f ca="1">IFERROR(HLOOKUP('Hist &amp; Proj'!G$48,Data_Formatting!$AY$122:$CH$150,ROW('Hist &amp; Proj'!G73)-ROW('Hist &amp; Proj'!G$48)-2,FALSE),0)</f>
        <v>0</v>
      </c>
      <c r="H73" s="168">
        <f ca="1">IFERROR(HLOOKUP('Hist &amp; Proj'!H$48,Data_Formatting!$AY$122:$CH$150,ROW('Hist &amp; Proj'!H73)-ROW('Hist &amp; Proj'!H$48)-2,FALSE),0)</f>
        <v>0</v>
      </c>
      <c r="I73" s="168">
        <f ca="1">IFERROR(HLOOKUP('Hist &amp; Proj'!I$48,Data_Formatting!$AY$122:$CH$150,ROW('Hist &amp; Proj'!I73)-ROW('Hist &amp; Proj'!I$48)-2,FALSE),0)</f>
        <v>0</v>
      </c>
      <c r="J73" s="168">
        <f ca="1">IFERROR(HLOOKUP('Hist &amp; Proj'!J$48,Data_Formatting!$AY$122:$CH$150,ROW('Hist &amp; Proj'!J73)-ROW('Hist &amp; Proj'!J$48)-2,FALSE),0)</f>
        <v>0</v>
      </c>
      <c r="K73" s="168">
        <f ca="1">IFERROR(HLOOKUP('Hist &amp; Proj'!K$48,Data_Formatting!$AY$122:$CH$150,ROW('Hist &amp; Proj'!K73)-ROW('Hist &amp; Proj'!K$48)-2,FALSE),0)</f>
        <v>0</v>
      </c>
      <c r="L73" s="168">
        <f ca="1">IFERROR(HLOOKUP('Hist &amp; Proj'!L$48,Data_Formatting!$AY$122:$CH$150,ROW('Hist &amp; Proj'!L73)-ROW('Hist &amp; Proj'!L$48)-2,FALSE),0)</f>
        <v>0</v>
      </c>
      <c r="M73" s="168">
        <f ca="1">IFERROR(HLOOKUP('Hist &amp; Proj'!M$48,Data_Formatting!$AY$122:$CH$150,ROW('Hist &amp; Proj'!M73)-ROW('Hist &amp; Proj'!M$48)-2,FALSE),0)</f>
        <v>0</v>
      </c>
      <c r="N73" s="168">
        <f ca="1">IFERROR(HLOOKUP('Hist &amp; Proj'!N$48,Data_Formatting!$AY$122:$CH$150,ROW('Hist &amp; Proj'!N73)-ROW('Hist &amp; Proj'!N$48)-2,FALSE),0)</f>
        <v>0</v>
      </c>
      <c r="O73" s="168">
        <f ca="1">IFERROR(HLOOKUP('Hist &amp; Proj'!O$48,Data_Formatting!$AY$122:$CH$150,ROW('Hist &amp; Proj'!O73)-ROW('Hist &amp; Proj'!O$48)-2,FALSE),0)</f>
        <v>0</v>
      </c>
      <c r="P73" s="168">
        <f ca="1">IFERROR(HLOOKUP('Hist &amp; Proj'!P$48,Data_Formatting!$AY$122:$CH$150,ROW('Hist &amp; Proj'!P73)-ROW('Hist &amp; Proj'!P$48)-2,FALSE),0)</f>
        <v>0</v>
      </c>
      <c r="Q73" s="168">
        <f ca="1">IFERROR(HLOOKUP('Hist &amp; Proj'!Q$48,Data_Formatting!$AY$122:$CH$150,ROW('Hist &amp; Proj'!Q73)-ROW('Hist &amp; Proj'!Q$48)-2,FALSE),0)</f>
        <v>0</v>
      </c>
      <c r="R73" s="168">
        <f ca="1">IFERROR(HLOOKUP('Hist &amp; Proj'!R$48,Data_Formatting!$CL$122:$CP$150,ROW('Hist &amp; Proj'!R73)-ROW('Hist &amp; Proj'!R$48)-2,FALSE),0)</f>
        <v>0</v>
      </c>
      <c r="S73" s="168">
        <f ca="1">IFERROR(HLOOKUP('Hist &amp; Proj'!S$48,Data_Formatting!$AY$122:$CH$150,ROW('Hist &amp; Proj'!S73)-ROW('Hist &amp; Proj'!S$48)-2,FALSE),0)</f>
        <v>0</v>
      </c>
      <c r="T73" s="168">
        <f ca="1">IFERROR(HLOOKUP('Hist &amp; Proj'!T$48,Data_Formatting!$AY$122:$CH$150,ROW('Hist &amp; Proj'!T73)-ROW('Hist &amp; Proj'!T$48)-2,FALSE),0)</f>
        <v>0</v>
      </c>
      <c r="U73" s="168">
        <f ca="1">IFERROR(HLOOKUP('Hist &amp; Proj'!U$48,Data_Formatting!$AY$122:$CH$150,ROW('Hist &amp; Proj'!U73)-ROW('Hist &amp; Proj'!U$48)-2,FALSE),0)</f>
        <v>0</v>
      </c>
      <c r="V73" s="168">
        <f ca="1">IFERROR(HLOOKUP('Hist &amp; Proj'!V$48,Data_Formatting!$AY$122:$CH$150,ROW('Hist &amp; Proj'!V73)-ROW('Hist &amp; Proj'!V$48)-2,FALSE),0)</f>
        <v>0</v>
      </c>
      <c r="W73" s="168">
        <f ca="1">IFERROR(HLOOKUP('Hist &amp; Proj'!W$48,Data_Formatting!$AY$122:$CH$150,ROW('Hist &amp; Proj'!W73)-ROW('Hist &amp; Proj'!W$48)-2,FALSE),0)</f>
        <v>0</v>
      </c>
      <c r="X73" s="168">
        <f ca="1">IFERROR(HLOOKUP('Hist &amp; Proj'!X$48,Data_Formatting!$AY$122:$CH$150,ROW('Hist &amp; Proj'!X73)-ROW('Hist &amp; Proj'!X$48)-2,FALSE),0)</f>
        <v>0</v>
      </c>
      <c r="Y73" s="168">
        <f ca="1">IFERROR(HLOOKUP('Hist &amp; Proj'!Y$48,Data_Formatting!$AY$122:$CH$150,ROW('Hist &amp; Proj'!Y73)-ROW('Hist &amp; Proj'!Y$48)-2,FALSE),0)</f>
        <v>0</v>
      </c>
      <c r="Z73" s="168">
        <f ca="1">IFERROR(HLOOKUP('Hist &amp; Proj'!Z$48,Data_Formatting!$AY$122:$CH$150,ROW('Hist &amp; Proj'!Z73)-ROW('Hist &amp; Proj'!Z$48)-2,FALSE),0)</f>
        <v>0</v>
      </c>
      <c r="AA73" s="168">
        <f ca="1">IFERROR(HLOOKUP('Hist &amp; Proj'!AA$48,Data_Formatting!$AY$122:$CH$150,ROW('Hist &amp; Proj'!AA73)-ROW('Hist &amp; Proj'!AA$48)-2,FALSE),0)</f>
        <v>0</v>
      </c>
      <c r="AB73" s="168">
        <f ca="1">IFERROR(HLOOKUP('Hist &amp; Proj'!AB$48,Data_Formatting!$AY$122:$CH$150,ROW('Hist &amp; Proj'!AB73)-ROW('Hist &amp; Proj'!AB$48)-2,FALSE),0)</f>
        <v>0</v>
      </c>
      <c r="AC73" s="168">
        <f ca="1">IFERROR(HLOOKUP('Hist &amp; Proj'!AC$48,Data_Formatting!$AY$122:$CH$150,ROW('Hist &amp; Proj'!AC73)-ROW('Hist &amp; Proj'!AC$48)-2,FALSE),0)</f>
        <v>0</v>
      </c>
      <c r="AD73" s="168">
        <f ca="1">IFERROR(HLOOKUP('Hist &amp; Proj'!AD$48,Data_Formatting!$AY$122:$CH$150,ROW('Hist &amp; Proj'!AD73)-ROW('Hist &amp; Proj'!AD$48)-2,FALSE),0)</f>
        <v>0</v>
      </c>
      <c r="AE73" s="267" t="e">
        <f ca="1">HLOOKUP(1,S$6:AD73,ROW(AE73)-5,FALSE)</f>
        <v>#N/A</v>
      </c>
      <c r="AF73" s="267" t="e">
        <f ca="1">HLOOKUP(1,S$6:AD73,ROW(AE73)-5,FALSE)+R73-HLOOKUP(1,F$6:Q73,ROW(AE73)-5,FALSE)</f>
        <v>#N/A</v>
      </c>
      <c r="AG73" s="265"/>
      <c r="AH73" s="168"/>
      <c r="AI73" s="168"/>
      <c r="AJ73" s="168">
        <v>0</v>
      </c>
      <c r="AK73" s="168">
        <v>0</v>
      </c>
      <c r="AL73" s="168">
        <v>0</v>
      </c>
      <c r="AM73" s="163"/>
      <c r="AN73" s="296"/>
      <c r="AO73" s="163"/>
      <c r="AP73" s="163"/>
      <c r="AQ73" s="163"/>
      <c r="AR73" s="163"/>
      <c r="AS73" s="160"/>
      <c r="AT73" s="163"/>
      <c r="AU73" s="163"/>
      <c r="AV73" s="163"/>
      <c r="AW73" s="163"/>
      <c r="AX73" s="163"/>
      <c r="AY73" s="163"/>
      <c r="AZ73" s="163"/>
    </row>
    <row r="74" spans="1:56">
      <c r="A74" s="270" t="s">
        <v>18</v>
      </c>
      <c r="B74" s="270">
        <f>SUM(B71,B73)</f>
        <v>0</v>
      </c>
      <c r="C74" s="270">
        <f>SUM(C71,C73)</f>
        <v>0</v>
      </c>
      <c r="D74" s="270">
        <f>SUM(D71,D73)</f>
        <v>0</v>
      </c>
      <c r="E74" s="270">
        <f>SUM(E71,E73)</f>
        <v>0</v>
      </c>
      <c r="F74" s="270">
        <f ca="1">SUM(F71,F73)</f>
        <v>0</v>
      </c>
      <c r="G74" s="270">
        <f t="shared" ref="G74:AF74" ca="1" si="25">SUM(G71,G73)</f>
        <v>0</v>
      </c>
      <c r="H74" s="270">
        <f t="shared" ca="1" si="25"/>
        <v>0</v>
      </c>
      <c r="I74" s="270">
        <f t="shared" ca="1" si="25"/>
        <v>0</v>
      </c>
      <c r="J74" s="270">
        <f t="shared" ca="1" si="25"/>
        <v>0</v>
      </c>
      <c r="K74" s="270">
        <f t="shared" ca="1" si="25"/>
        <v>0</v>
      </c>
      <c r="L74" s="270">
        <f t="shared" ca="1" si="25"/>
        <v>0</v>
      </c>
      <c r="M74" s="270">
        <f t="shared" ca="1" si="25"/>
        <v>0</v>
      </c>
      <c r="N74" s="270">
        <f t="shared" ca="1" si="25"/>
        <v>0</v>
      </c>
      <c r="O74" s="270">
        <f t="shared" ca="1" si="25"/>
        <v>0</v>
      </c>
      <c r="P74" s="270">
        <f t="shared" ca="1" si="25"/>
        <v>0</v>
      </c>
      <c r="Q74" s="270">
        <f t="shared" ca="1" si="25"/>
        <v>0</v>
      </c>
      <c r="R74" s="270">
        <f t="shared" ca="1" si="25"/>
        <v>0</v>
      </c>
      <c r="S74" s="270">
        <f t="shared" ca="1" si="25"/>
        <v>0</v>
      </c>
      <c r="T74" s="270">
        <f t="shared" ca="1" si="25"/>
        <v>0</v>
      </c>
      <c r="U74" s="270">
        <f t="shared" ca="1" si="25"/>
        <v>0</v>
      </c>
      <c r="V74" s="270">
        <f t="shared" ca="1" si="25"/>
        <v>0</v>
      </c>
      <c r="W74" s="270">
        <f t="shared" ca="1" si="25"/>
        <v>0</v>
      </c>
      <c r="X74" s="270">
        <f t="shared" ca="1" si="25"/>
        <v>0</v>
      </c>
      <c r="Y74" s="270">
        <f t="shared" ca="1" si="25"/>
        <v>0</v>
      </c>
      <c r="Z74" s="270">
        <f t="shared" ca="1" si="25"/>
        <v>0</v>
      </c>
      <c r="AA74" s="270">
        <f t="shared" ca="1" si="25"/>
        <v>0</v>
      </c>
      <c r="AB74" s="270">
        <f t="shared" ca="1" si="25"/>
        <v>0</v>
      </c>
      <c r="AC74" s="270">
        <f t="shared" ca="1" si="25"/>
        <v>0</v>
      </c>
      <c r="AD74" s="270">
        <f t="shared" ca="1" si="25"/>
        <v>0</v>
      </c>
      <c r="AE74" s="270" t="e">
        <f t="shared" ca="1" si="25"/>
        <v>#N/A</v>
      </c>
      <c r="AF74" s="270" t="e">
        <f t="shared" ca="1" si="25"/>
        <v>#N/A</v>
      </c>
      <c r="AG74" s="265"/>
      <c r="AH74" s="270">
        <f>SUM(AH71,AH73)</f>
        <v>0</v>
      </c>
      <c r="AI74" s="270">
        <f>SUM(AI71,AI73)</f>
        <v>0</v>
      </c>
      <c r="AJ74" s="270">
        <f>SUM(AJ71,AJ73)</f>
        <v>0</v>
      </c>
      <c r="AK74" s="270">
        <f>SUM(AK71,AK73)</f>
        <v>0</v>
      </c>
      <c r="AL74" s="270">
        <f>SUM(AL71,AL73)</f>
        <v>0</v>
      </c>
      <c r="AM74" s="283"/>
      <c r="AN74" s="296"/>
      <c r="AO74" s="283"/>
      <c r="AP74" s="283"/>
      <c r="AQ74" s="283"/>
      <c r="AR74" s="283"/>
      <c r="AS74" s="283"/>
      <c r="AT74" s="283"/>
      <c r="AU74" s="283"/>
      <c r="AV74" s="283"/>
      <c r="AW74" s="283"/>
      <c r="AX74" s="283"/>
      <c r="AY74" s="283"/>
      <c r="AZ74" s="283"/>
    </row>
    <row r="75" spans="1:56">
      <c r="A75" s="292"/>
      <c r="B75" s="292"/>
      <c r="C75" s="292"/>
      <c r="D75" s="292"/>
      <c r="E75" s="292"/>
      <c r="F75" s="292"/>
      <c r="G75" s="292"/>
      <c r="H75" s="292"/>
      <c r="I75" s="292"/>
      <c r="J75" s="292"/>
      <c r="K75" s="292"/>
      <c r="L75" s="292"/>
      <c r="M75" s="292"/>
      <c r="N75" s="292"/>
      <c r="O75" s="292"/>
      <c r="P75" s="292"/>
      <c r="Q75" s="292"/>
      <c r="R75" s="292"/>
      <c r="S75" s="292"/>
      <c r="T75" s="292"/>
      <c r="U75" s="292"/>
      <c r="V75" s="292"/>
      <c r="W75" s="292"/>
      <c r="X75" s="292"/>
      <c r="Y75" s="292"/>
      <c r="Z75" s="292"/>
      <c r="AA75" s="292"/>
      <c r="AB75" s="292"/>
      <c r="AC75" s="292"/>
      <c r="AD75" s="292"/>
      <c r="AE75" s="292"/>
      <c r="AF75" s="292"/>
      <c r="AG75" s="265"/>
      <c r="AH75" s="292"/>
      <c r="AI75" s="292"/>
      <c r="AJ75" s="292"/>
      <c r="AK75" s="292"/>
      <c r="AL75" s="292"/>
      <c r="AM75" s="283"/>
      <c r="AN75" s="296"/>
      <c r="AO75" s="283"/>
      <c r="AP75" s="283"/>
      <c r="AQ75" s="283"/>
      <c r="AR75" s="283"/>
      <c r="AS75" s="283"/>
      <c r="AT75" s="283"/>
      <c r="AU75" s="283"/>
      <c r="AV75" s="283"/>
      <c r="AW75" s="283"/>
      <c r="AX75" s="283"/>
      <c r="AY75" s="283"/>
      <c r="AZ75" s="283"/>
    </row>
    <row r="76" spans="1:56" s="300" customFormat="1" ht="15">
      <c r="A76" s="284" t="s">
        <v>19</v>
      </c>
      <c r="B76" s="168">
        <f>IFERROR(HLOOKUP('Hist &amp; Proj'!B$48,Data_Formatting!$CL$122:$CP$150,ROW('Hist &amp; Proj'!B76)-ROW('Hist &amp; Proj'!B$48)-1,FALSE),0)</f>
        <v>0</v>
      </c>
      <c r="C76" s="168">
        <f>IFERROR(HLOOKUP('Hist &amp; Proj'!C$48,Data_Formatting!$CL$122:$CP$150,ROW('Hist &amp; Proj'!C76)-ROW('Hist &amp; Proj'!C$48)-1,FALSE),0)</f>
        <v>0</v>
      </c>
      <c r="D76" s="168">
        <f>IFERROR(HLOOKUP('Hist &amp; Proj'!D$48,Data_Formatting!$CL$122:$CP$150,ROW('Hist &amp; Proj'!D76)-ROW('Hist &amp; Proj'!D$48)-1,FALSE),0)</f>
        <v>0</v>
      </c>
      <c r="E76" s="168">
        <f>IFERROR(HLOOKUP('Hist &amp; Proj'!E$48,Data_Formatting!$CL$122:$CP$150,ROW('Hist &amp; Proj'!E76)-ROW('Hist &amp; Proj'!E$48)-1,FALSE),0)</f>
        <v>0</v>
      </c>
      <c r="F76" s="168">
        <f ca="1">IFERROR(HLOOKUP('Hist &amp; Proj'!F$48,Data_Formatting!$AY$122:$CH$150,ROW('Hist &amp; Proj'!F76)-ROW('Hist &amp; Proj'!F$48)-1,FALSE),0)</f>
        <v>0</v>
      </c>
      <c r="G76" s="168">
        <f ca="1">IFERROR(HLOOKUP('Hist &amp; Proj'!G$48,Data_Formatting!$AY$122:$CH$150,ROW('Hist &amp; Proj'!G76)-ROW('Hist &amp; Proj'!G$48)-1,FALSE),0)</f>
        <v>0</v>
      </c>
      <c r="H76" s="168">
        <f ca="1">IFERROR(HLOOKUP('Hist &amp; Proj'!H$48,Data_Formatting!$AY$122:$CH$150,ROW('Hist &amp; Proj'!H76)-ROW('Hist &amp; Proj'!H$48)-1,FALSE),0)</f>
        <v>0</v>
      </c>
      <c r="I76" s="168">
        <f ca="1">IFERROR(HLOOKUP('Hist &amp; Proj'!I$48,Data_Formatting!$AY$122:$CH$150,ROW('Hist &amp; Proj'!I76)-ROW('Hist &amp; Proj'!I$48)-1,FALSE),0)</f>
        <v>0</v>
      </c>
      <c r="J76" s="168">
        <f ca="1">IFERROR(HLOOKUP('Hist &amp; Proj'!J$48,Data_Formatting!$AY$122:$CH$150,ROW('Hist &amp; Proj'!J76)-ROW('Hist &amp; Proj'!J$48)-1,FALSE),0)</f>
        <v>0</v>
      </c>
      <c r="K76" s="168">
        <f ca="1">IFERROR(HLOOKUP('Hist &amp; Proj'!K$48,Data_Formatting!$AY$122:$CH$150,ROW('Hist &amp; Proj'!K76)-ROW('Hist &amp; Proj'!K$48)-1,FALSE),0)</f>
        <v>0</v>
      </c>
      <c r="L76" s="168">
        <f ca="1">IFERROR(HLOOKUP('Hist &amp; Proj'!L$48,Data_Formatting!$AY$122:$CH$150,ROW('Hist &amp; Proj'!L76)-ROW('Hist &amp; Proj'!L$48)-1,FALSE),0)</f>
        <v>0</v>
      </c>
      <c r="M76" s="168">
        <f ca="1">IFERROR(HLOOKUP('Hist &amp; Proj'!M$48,Data_Formatting!$AY$122:$CH$150,ROW('Hist &amp; Proj'!M76)-ROW('Hist &amp; Proj'!M$48)-1,FALSE),0)</f>
        <v>0</v>
      </c>
      <c r="N76" s="168">
        <f ca="1">IFERROR(HLOOKUP('Hist &amp; Proj'!N$48,Data_Formatting!$AY$122:$CH$150,ROW('Hist &amp; Proj'!N76)-ROW('Hist &amp; Proj'!N$48)-1,FALSE),0)</f>
        <v>0</v>
      </c>
      <c r="O76" s="168">
        <f ca="1">IFERROR(HLOOKUP('Hist &amp; Proj'!O$48,Data_Formatting!$AY$122:$CH$150,ROW('Hist &amp; Proj'!O76)-ROW('Hist &amp; Proj'!O$48)-1,FALSE),0)</f>
        <v>0</v>
      </c>
      <c r="P76" s="168">
        <f ca="1">IFERROR(HLOOKUP('Hist &amp; Proj'!P$48,Data_Formatting!$AY$122:$CH$150,ROW('Hist &amp; Proj'!P76)-ROW('Hist &amp; Proj'!P$48)-1,FALSE),0)</f>
        <v>0</v>
      </c>
      <c r="Q76" s="168">
        <f ca="1">IFERROR(HLOOKUP('Hist &amp; Proj'!Q$48,Data_Formatting!$AY$122:$CH$150,ROW('Hist &amp; Proj'!Q76)-ROW('Hist &amp; Proj'!Q$48)-1,FALSE),0)</f>
        <v>0</v>
      </c>
      <c r="R76" s="168">
        <f ca="1">IFERROR(HLOOKUP('Hist &amp; Proj'!R$48,Data_Formatting!$CL$122:$CP$150,ROW('Hist &amp; Proj'!R76)-ROW('Hist &amp; Proj'!R$48)-1,FALSE),0)</f>
        <v>0</v>
      </c>
      <c r="S76" s="168">
        <f ca="1">IFERROR(HLOOKUP('Hist &amp; Proj'!S$48,Data_Formatting!$AY$122:$CH$150,ROW('Hist &amp; Proj'!S76)-ROW('Hist &amp; Proj'!S$48)-1,FALSE),0)</f>
        <v>0</v>
      </c>
      <c r="T76" s="168">
        <f ca="1">IFERROR(HLOOKUP('Hist &amp; Proj'!T$48,Data_Formatting!$AY$122:$CH$150,ROW('Hist &amp; Proj'!T76)-ROW('Hist &amp; Proj'!T$48)-1,FALSE),0)</f>
        <v>0</v>
      </c>
      <c r="U76" s="168">
        <f ca="1">IFERROR(HLOOKUP('Hist &amp; Proj'!U$48,Data_Formatting!$AY$122:$CH$150,ROW('Hist &amp; Proj'!U76)-ROW('Hist &amp; Proj'!U$48)-1,FALSE),0)</f>
        <v>0</v>
      </c>
      <c r="V76" s="168">
        <f ca="1">IFERROR(HLOOKUP('Hist &amp; Proj'!V$48,Data_Formatting!$AY$122:$CH$150,ROW('Hist &amp; Proj'!V76)-ROW('Hist &amp; Proj'!V$48)-1,FALSE),0)</f>
        <v>0</v>
      </c>
      <c r="W76" s="168">
        <f ca="1">IFERROR(HLOOKUP('Hist &amp; Proj'!W$48,Data_Formatting!$AY$122:$CH$150,ROW('Hist &amp; Proj'!W76)-ROW('Hist &amp; Proj'!W$48)-1,FALSE),0)</f>
        <v>0</v>
      </c>
      <c r="X76" s="168">
        <f ca="1">IFERROR(HLOOKUP('Hist &amp; Proj'!X$48,Data_Formatting!$AY$122:$CH$150,ROW('Hist &amp; Proj'!X76)-ROW('Hist &amp; Proj'!X$48)-1,FALSE),0)</f>
        <v>0</v>
      </c>
      <c r="Y76" s="168">
        <f ca="1">IFERROR(HLOOKUP('Hist &amp; Proj'!Y$48,Data_Formatting!$AY$122:$CH$150,ROW('Hist &amp; Proj'!Y76)-ROW('Hist &amp; Proj'!Y$48)-1,FALSE),0)</f>
        <v>0</v>
      </c>
      <c r="Z76" s="168">
        <f ca="1">IFERROR(HLOOKUP('Hist &amp; Proj'!Z$48,Data_Formatting!$AY$122:$CH$150,ROW('Hist &amp; Proj'!Z76)-ROW('Hist &amp; Proj'!Z$48)-1,FALSE),0)</f>
        <v>0</v>
      </c>
      <c r="AA76" s="168">
        <f ca="1">IFERROR(HLOOKUP('Hist &amp; Proj'!AA$48,Data_Formatting!$AY$122:$CH$150,ROW('Hist &amp; Proj'!AA76)-ROW('Hist &amp; Proj'!AA$48)-1,FALSE),0)</f>
        <v>0</v>
      </c>
      <c r="AB76" s="168">
        <f ca="1">IFERROR(HLOOKUP('Hist &amp; Proj'!AB$48,Data_Formatting!$AY$122:$CH$150,ROW('Hist &amp; Proj'!AB76)-ROW('Hist &amp; Proj'!AB$48)-1,FALSE),0)</f>
        <v>0</v>
      </c>
      <c r="AC76" s="168">
        <f ca="1">IFERROR(HLOOKUP('Hist &amp; Proj'!AC$48,Data_Formatting!$AY$122:$CH$150,ROW('Hist &amp; Proj'!AC76)-ROW('Hist &amp; Proj'!AC$48)-1,FALSE),0)</f>
        <v>0</v>
      </c>
      <c r="AD76" s="168">
        <f ca="1">IFERROR(HLOOKUP('Hist &amp; Proj'!AD$48,Data_Formatting!$AY$122:$CH$150,ROW('Hist &amp; Proj'!AD76)-ROW('Hist &amp; Proj'!AD$48)-1,FALSE),0)</f>
        <v>0</v>
      </c>
      <c r="AE76" s="267" t="e">
        <f ca="1">HLOOKUP(1,S$6:AD76,ROW(AE76)-5,FALSE)</f>
        <v>#N/A</v>
      </c>
      <c r="AF76" s="267" t="e">
        <f ca="1">HLOOKUP(1,S$6:AD76,ROW(AE76)-5,FALSE)+R76-HLOOKUP(1,F$6:Q76,ROW(AE76)-5,FALSE)</f>
        <v>#N/A</v>
      </c>
      <c r="AG76" s="265"/>
      <c r="AH76" s="168"/>
      <c r="AI76" s="168"/>
      <c r="AJ76" s="168"/>
      <c r="AK76" s="168"/>
      <c r="AL76" s="168"/>
      <c r="AM76" s="163"/>
      <c r="AN76" s="296"/>
      <c r="AO76" s="163"/>
      <c r="AP76" s="163"/>
      <c r="AQ76" s="163"/>
      <c r="AR76" s="163"/>
      <c r="AS76" s="160"/>
      <c r="AT76" s="163"/>
      <c r="AU76" s="163"/>
      <c r="AV76" s="163"/>
      <c r="AW76" s="163"/>
      <c r="AX76" s="163"/>
      <c r="AY76" s="163"/>
      <c r="AZ76" s="163"/>
    </row>
    <row r="77" spans="1:56">
      <c r="A77" s="270" t="s">
        <v>20</v>
      </c>
      <c r="B77" s="270">
        <f>SUM(B74,B76)</f>
        <v>0</v>
      </c>
      <c r="C77" s="270">
        <f>SUM(C74,C76)</f>
        <v>0</v>
      </c>
      <c r="D77" s="270">
        <f>SUM(D74,D76)</f>
        <v>0</v>
      </c>
      <c r="E77" s="270">
        <f>SUM(E74,E76)</f>
        <v>0</v>
      </c>
      <c r="F77" s="270">
        <f ca="1">SUM(F74,F76)</f>
        <v>0</v>
      </c>
      <c r="G77" s="270">
        <f t="shared" ref="G77:AF77" ca="1" si="26">SUM(G74,G76)</f>
        <v>0</v>
      </c>
      <c r="H77" s="270">
        <f t="shared" ca="1" si="26"/>
        <v>0</v>
      </c>
      <c r="I77" s="270">
        <f t="shared" ca="1" si="26"/>
        <v>0</v>
      </c>
      <c r="J77" s="270">
        <f t="shared" ca="1" si="26"/>
        <v>0</v>
      </c>
      <c r="K77" s="270">
        <f t="shared" ca="1" si="26"/>
        <v>0</v>
      </c>
      <c r="L77" s="270">
        <f t="shared" ca="1" si="26"/>
        <v>0</v>
      </c>
      <c r="M77" s="270">
        <f t="shared" ca="1" si="26"/>
        <v>0</v>
      </c>
      <c r="N77" s="270">
        <f t="shared" ca="1" si="26"/>
        <v>0</v>
      </c>
      <c r="O77" s="270">
        <f t="shared" ca="1" si="26"/>
        <v>0</v>
      </c>
      <c r="P77" s="270">
        <f t="shared" ca="1" si="26"/>
        <v>0</v>
      </c>
      <c r="Q77" s="270">
        <f t="shared" ca="1" si="26"/>
        <v>0</v>
      </c>
      <c r="R77" s="270">
        <f t="shared" ca="1" si="26"/>
        <v>0</v>
      </c>
      <c r="S77" s="270">
        <f t="shared" ca="1" si="26"/>
        <v>0</v>
      </c>
      <c r="T77" s="270">
        <f t="shared" ca="1" si="26"/>
        <v>0</v>
      </c>
      <c r="U77" s="270">
        <f t="shared" ca="1" si="26"/>
        <v>0</v>
      </c>
      <c r="V77" s="270">
        <f t="shared" ca="1" si="26"/>
        <v>0</v>
      </c>
      <c r="W77" s="270">
        <f t="shared" ca="1" si="26"/>
        <v>0</v>
      </c>
      <c r="X77" s="270">
        <f t="shared" ca="1" si="26"/>
        <v>0</v>
      </c>
      <c r="Y77" s="270">
        <f t="shared" ca="1" si="26"/>
        <v>0</v>
      </c>
      <c r="Z77" s="270">
        <f t="shared" ca="1" si="26"/>
        <v>0</v>
      </c>
      <c r="AA77" s="270">
        <f t="shared" ca="1" si="26"/>
        <v>0</v>
      </c>
      <c r="AB77" s="270">
        <f t="shared" ca="1" si="26"/>
        <v>0</v>
      </c>
      <c r="AC77" s="270">
        <f t="shared" ca="1" si="26"/>
        <v>0</v>
      </c>
      <c r="AD77" s="270">
        <f t="shared" ca="1" si="26"/>
        <v>0</v>
      </c>
      <c r="AE77" s="270" t="e">
        <f t="shared" ca="1" si="26"/>
        <v>#N/A</v>
      </c>
      <c r="AF77" s="270" t="e">
        <f t="shared" ca="1" si="26"/>
        <v>#N/A</v>
      </c>
      <c r="AG77" s="265"/>
      <c r="AH77" s="270">
        <f>SUM(AH74,AH76)</f>
        <v>0</v>
      </c>
      <c r="AI77" s="270">
        <f>SUM(AI74,AI76)</f>
        <v>0</v>
      </c>
      <c r="AJ77" s="270">
        <f>SUM(AJ74,AJ76)</f>
        <v>0</v>
      </c>
      <c r="AK77" s="270">
        <f>SUM(AK74,AK76)</f>
        <v>0</v>
      </c>
      <c r="AL77" s="270">
        <f>SUM(AL74,AL76)</f>
        <v>0</v>
      </c>
      <c r="AM77" s="283"/>
      <c r="AN77" s="296"/>
      <c r="AO77" s="283"/>
      <c r="AP77" s="283"/>
      <c r="AQ77" s="283"/>
      <c r="AR77" s="283"/>
      <c r="AS77" s="283"/>
      <c r="AT77" s="283"/>
      <c r="AU77" s="283"/>
      <c r="AV77" s="283"/>
      <c r="AW77" s="283"/>
      <c r="AX77" s="283"/>
      <c r="AY77" s="283"/>
      <c r="AZ77" s="283"/>
    </row>
    <row r="78" spans="1:56" s="298" customFormat="1">
      <c r="A78" s="294" t="s">
        <v>546</v>
      </c>
      <c r="B78" s="295" t="str">
        <f>IF(B77=0,"",B77/B51)</f>
        <v/>
      </c>
      <c r="C78" s="295" t="str">
        <f>IF(C77=0,"",C77/C51)</f>
        <v/>
      </c>
      <c r="D78" s="295" t="str">
        <f>IF(D77=0,"",D77/D51)</f>
        <v/>
      </c>
      <c r="E78" s="295" t="str">
        <f>IF(E77=0,"",E77/E51)</f>
        <v/>
      </c>
      <c r="F78" s="295" t="str">
        <f ca="1">IF(F77=0,"",F77/F51)</f>
        <v/>
      </c>
      <c r="G78" s="295" t="str">
        <f t="shared" ref="G78:AL78" ca="1" si="27">IF(G77=0,"",G77/G51)</f>
        <v/>
      </c>
      <c r="H78" s="295" t="str">
        <f t="shared" ca="1" si="27"/>
        <v/>
      </c>
      <c r="I78" s="295" t="str">
        <f t="shared" ca="1" si="27"/>
        <v/>
      </c>
      <c r="J78" s="295" t="str">
        <f t="shared" ca="1" si="27"/>
        <v/>
      </c>
      <c r="K78" s="295" t="str">
        <f t="shared" ca="1" si="27"/>
        <v/>
      </c>
      <c r="L78" s="295" t="str">
        <f t="shared" ca="1" si="27"/>
        <v/>
      </c>
      <c r="M78" s="295" t="str">
        <f t="shared" ca="1" si="27"/>
        <v/>
      </c>
      <c r="N78" s="295" t="str">
        <f t="shared" ca="1" si="27"/>
        <v/>
      </c>
      <c r="O78" s="295" t="str">
        <f t="shared" ca="1" si="27"/>
        <v/>
      </c>
      <c r="P78" s="295" t="str">
        <f t="shared" ca="1" si="27"/>
        <v/>
      </c>
      <c r="Q78" s="295" t="str">
        <f t="shared" ca="1" si="27"/>
        <v/>
      </c>
      <c r="R78" s="295" t="str">
        <f t="shared" ca="1" si="27"/>
        <v/>
      </c>
      <c r="S78" s="295" t="str">
        <f t="shared" ca="1" si="27"/>
        <v/>
      </c>
      <c r="T78" s="295" t="str">
        <f t="shared" ca="1" si="27"/>
        <v/>
      </c>
      <c r="U78" s="295" t="str">
        <f t="shared" ca="1" si="27"/>
        <v/>
      </c>
      <c r="V78" s="295" t="str">
        <f t="shared" ca="1" si="27"/>
        <v/>
      </c>
      <c r="W78" s="295" t="str">
        <f t="shared" ca="1" si="27"/>
        <v/>
      </c>
      <c r="X78" s="295" t="str">
        <f t="shared" ca="1" si="27"/>
        <v/>
      </c>
      <c r="Y78" s="295" t="str">
        <f t="shared" ca="1" si="27"/>
        <v/>
      </c>
      <c r="Z78" s="295" t="str">
        <f t="shared" ca="1" si="27"/>
        <v/>
      </c>
      <c r="AA78" s="295" t="str">
        <f t="shared" ca="1" si="27"/>
        <v/>
      </c>
      <c r="AB78" s="295" t="str">
        <f t="shared" ca="1" si="27"/>
        <v/>
      </c>
      <c r="AC78" s="295" t="str">
        <f t="shared" ca="1" si="27"/>
        <v/>
      </c>
      <c r="AD78" s="295" t="str">
        <f t="shared" ca="1" si="27"/>
        <v/>
      </c>
      <c r="AE78" s="295" t="e">
        <f t="shared" ca="1" si="27"/>
        <v>#N/A</v>
      </c>
      <c r="AF78" s="295" t="e">
        <f ca="1">IF(AF77=0,"",AF77/AF51)</f>
        <v>#N/A</v>
      </c>
      <c r="AG78" s="265"/>
      <c r="AH78" s="295" t="str">
        <f t="shared" si="27"/>
        <v/>
      </c>
      <c r="AI78" s="295" t="str">
        <f t="shared" si="27"/>
        <v/>
      </c>
      <c r="AJ78" s="295" t="str">
        <f t="shared" si="27"/>
        <v/>
      </c>
      <c r="AK78" s="295" t="str">
        <f t="shared" si="27"/>
        <v/>
      </c>
      <c r="AL78" s="295" t="str">
        <f t="shared" si="27"/>
        <v/>
      </c>
      <c r="AM78" s="296"/>
      <c r="AN78" s="296"/>
      <c r="AO78" s="296"/>
      <c r="AP78" s="296"/>
      <c r="AQ78" s="296"/>
      <c r="AR78" s="296"/>
      <c r="AS78" s="305"/>
      <c r="AT78" s="296"/>
      <c r="AU78" s="296"/>
      <c r="AV78" s="296"/>
      <c r="AW78" s="296"/>
      <c r="AX78" s="296"/>
      <c r="AY78" s="296"/>
      <c r="AZ78" s="297"/>
    </row>
    <row r="79" spans="1:56">
      <c r="A79" s="235"/>
      <c r="B79" s="239"/>
      <c r="C79" s="886"/>
      <c r="D79" s="886"/>
      <c r="E79" s="239"/>
      <c r="F79" s="239"/>
      <c r="G79" s="239"/>
      <c r="H79" s="239"/>
      <c r="I79" s="239"/>
      <c r="J79" s="239"/>
      <c r="K79" s="239"/>
      <c r="L79" s="239"/>
      <c r="M79" s="239"/>
      <c r="N79" s="239"/>
      <c r="O79" s="239"/>
      <c r="P79" s="239"/>
      <c r="Q79" s="239"/>
      <c r="R79" s="167"/>
      <c r="S79" s="167"/>
      <c r="T79" s="167"/>
      <c r="U79" s="167"/>
      <c r="V79" s="167"/>
      <c r="W79" s="167"/>
      <c r="X79" s="167"/>
      <c r="Y79" s="167"/>
      <c r="Z79" s="167"/>
      <c r="AA79" s="167"/>
      <c r="AB79" s="167"/>
      <c r="AC79" s="167"/>
      <c r="AD79" s="167"/>
      <c r="AE79" s="167"/>
      <c r="AF79" s="167"/>
      <c r="AG79" s="167"/>
      <c r="AM79" s="167"/>
      <c r="AN79" s="167"/>
      <c r="AO79" s="167"/>
      <c r="AP79" s="167"/>
      <c r="AQ79" s="167"/>
      <c r="AR79" s="167"/>
      <c r="AS79" s="167"/>
    </row>
    <row r="80" spans="1:56">
      <c r="A80" s="235"/>
      <c r="B80" s="239"/>
      <c r="C80" s="886"/>
      <c r="D80" s="886"/>
      <c r="E80" s="239"/>
      <c r="F80" s="239"/>
      <c r="G80" s="239"/>
      <c r="H80" s="239"/>
      <c r="I80" s="239"/>
      <c r="J80" s="239"/>
      <c r="K80" s="239"/>
      <c r="L80" s="239"/>
      <c r="M80" s="239"/>
      <c r="N80" s="239"/>
      <c r="O80" s="239"/>
      <c r="P80" s="239"/>
      <c r="Q80" s="239"/>
      <c r="R80" s="167"/>
      <c r="S80" s="167"/>
      <c r="T80" s="167"/>
      <c r="U80" s="167"/>
      <c r="V80" s="167"/>
      <c r="W80" s="167"/>
      <c r="X80" s="167"/>
      <c r="Y80" s="167"/>
      <c r="Z80" s="167"/>
      <c r="AA80" s="167"/>
      <c r="AB80" s="167"/>
      <c r="AC80" s="167"/>
      <c r="AD80" s="167"/>
      <c r="AE80" s="167"/>
      <c r="AF80" s="167"/>
      <c r="AG80" s="167"/>
      <c r="AM80" s="167"/>
      <c r="AN80" s="167"/>
      <c r="AO80" s="167"/>
      <c r="AP80" s="167"/>
      <c r="AQ80" s="167"/>
      <c r="AR80" s="167"/>
      <c r="AS80" s="167"/>
    </row>
    <row r="81" spans="1:52" s="213" customFormat="1" ht="15">
      <c r="A81" s="230" t="s">
        <v>530</v>
      </c>
    </row>
    <row r="82" spans="1:52" s="249" customFormat="1">
      <c r="A82" s="245"/>
      <c r="B82" s="737"/>
      <c r="C82" s="737"/>
      <c r="D82" s="737"/>
      <c r="E82" s="737"/>
      <c r="F82" s="1166">
        <f>F47</f>
        <v>693962</v>
      </c>
      <c r="G82" s="1167"/>
      <c r="H82" s="1167"/>
      <c r="I82" s="1167"/>
      <c r="J82" s="1167"/>
      <c r="K82" s="1167"/>
      <c r="L82" s="1167"/>
      <c r="M82" s="1167"/>
      <c r="N82" s="1167"/>
      <c r="O82" s="1167"/>
      <c r="P82" s="1167"/>
      <c r="Q82" s="1167"/>
      <c r="R82" s="906" t="s">
        <v>367</v>
      </c>
      <c r="S82" s="1166">
        <f>F82+365</f>
        <v>694327</v>
      </c>
      <c r="T82" s="1167"/>
      <c r="U82" s="1167"/>
      <c r="V82" s="1167"/>
      <c r="W82" s="1167"/>
      <c r="X82" s="1167"/>
      <c r="Y82" s="1167"/>
      <c r="Z82" s="1167"/>
      <c r="AA82" s="1167"/>
      <c r="AB82" s="1167"/>
      <c r="AC82" s="1167"/>
      <c r="AD82" s="1167"/>
      <c r="AE82" s="595" t="s">
        <v>120</v>
      </c>
      <c r="AF82" s="595" t="s">
        <v>532</v>
      </c>
      <c r="AG82" s="265"/>
      <c r="AH82" s="737">
        <f ca="1">AH$7</f>
        <v>694327</v>
      </c>
      <c r="AI82" s="737">
        <f ca="1">AI$7</f>
        <v>694692</v>
      </c>
      <c r="AJ82" s="737">
        <f ca="1">AJ$7</f>
        <v>695057</v>
      </c>
      <c r="AK82" s="737">
        <f ca="1">AK$7</f>
        <v>695422</v>
      </c>
      <c r="AL82" s="737">
        <f ca="1">AL$7</f>
        <v>695787</v>
      </c>
    </row>
    <row r="83" spans="1:52" s="249" customFormat="1">
      <c r="A83" s="306"/>
      <c r="B83" s="1070">
        <f>B$7</f>
        <v>692501</v>
      </c>
      <c r="C83" s="1070">
        <f>C$7</f>
        <v>692867</v>
      </c>
      <c r="D83" s="1070">
        <f>D$7</f>
        <v>693232</v>
      </c>
      <c r="E83" s="1070">
        <f>E$7</f>
        <v>693597</v>
      </c>
      <c r="F83" s="246">
        <f ca="1">F$7</f>
        <v>693628</v>
      </c>
      <c r="G83" s="246">
        <f t="shared" ref="G83:AE83" ca="1" si="28">G$7</f>
        <v>693656</v>
      </c>
      <c r="H83" s="246">
        <f t="shared" ca="1" si="28"/>
        <v>693687</v>
      </c>
      <c r="I83" s="246">
        <f t="shared" ca="1" si="28"/>
        <v>693717</v>
      </c>
      <c r="J83" s="246">
        <f t="shared" ca="1" si="28"/>
        <v>693748</v>
      </c>
      <c r="K83" s="246">
        <f t="shared" ca="1" si="28"/>
        <v>693778</v>
      </c>
      <c r="L83" s="246">
        <f t="shared" ca="1" si="28"/>
        <v>693809</v>
      </c>
      <c r="M83" s="246">
        <f t="shared" ca="1" si="28"/>
        <v>693840</v>
      </c>
      <c r="N83" s="246">
        <f t="shared" ca="1" si="28"/>
        <v>693870</v>
      </c>
      <c r="O83" s="246">
        <f t="shared" ca="1" si="28"/>
        <v>693901</v>
      </c>
      <c r="P83" s="246">
        <f t="shared" ca="1" si="28"/>
        <v>693931</v>
      </c>
      <c r="Q83" s="246">
        <f t="shared" ca="1" si="28"/>
        <v>693962</v>
      </c>
      <c r="R83" s="1065">
        <f ca="1">R7</f>
        <v>693962</v>
      </c>
      <c r="S83" s="246">
        <f t="shared" ca="1" si="28"/>
        <v>31</v>
      </c>
      <c r="T83" s="1072">
        <f ca="1">T$7</f>
        <v>59</v>
      </c>
      <c r="U83" s="246">
        <f t="shared" ca="1" si="28"/>
        <v>91</v>
      </c>
      <c r="V83" s="246">
        <f t="shared" ca="1" si="28"/>
        <v>121</v>
      </c>
      <c r="W83" s="246">
        <f t="shared" ca="1" si="28"/>
        <v>152</v>
      </c>
      <c r="X83" s="246">
        <f t="shared" ca="1" si="28"/>
        <v>182</v>
      </c>
      <c r="Y83" s="246">
        <f t="shared" ca="1" si="28"/>
        <v>213</v>
      </c>
      <c r="Z83" s="246">
        <f t="shared" ca="1" si="28"/>
        <v>244</v>
      </c>
      <c r="AA83" s="246">
        <f t="shared" ca="1" si="28"/>
        <v>274</v>
      </c>
      <c r="AB83" s="246">
        <f t="shared" ca="1" si="28"/>
        <v>305</v>
      </c>
      <c r="AC83" s="246">
        <f t="shared" ca="1" si="28"/>
        <v>335</v>
      </c>
      <c r="AD83" s="246">
        <f t="shared" ca="1" si="28"/>
        <v>366</v>
      </c>
      <c r="AE83" s="246" t="e">
        <f t="shared" ca="1" si="28"/>
        <v>#N/A</v>
      </c>
      <c r="AF83" s="246" t="e">
        <f ca="1">AE83</f>
        <v>#N/A</v>
      </c>
      <c r="AG83" s="265"/>
      <c r="AH83" s="595"/>
      <c r="AI83" s="595"/>
      <c r="AJ83" s="595"/>
      <c r="AK83" s="595"/>
      <c r="AL83" s="595"/>
    </row>
    <row r="84" spans="1:52" s="213" customFormat="1">
      <c r="A84" s="301" t="s">
        <v>122</v>
      </c>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c r="AA84" s="203"/>
      <c r="AB84" s="203"/>
      <c r="AC84" s="203"/>
      <c r="AD84" s="203"/>
      <c r="AE84" s="203"/>
      <c r="AF84" s="203"/>
      <c r="AG84" s="159"/>
      <c r="AH84" s="203"/>
      <c r="AI84" s="203"/>
      <c r="AJ84" s="203"/>
      <c r="AK84" s="203"/>
      <c r="AL84" s="203"/>
      <c r="AM84" s="159"/>
      <c r="AN84" s="159"/>
      <c r="AO84" s="159"/>
      <c r="AP84" s="159"/>
      <c r="AQ84" s="159"/>
      <c r="AR84" s="159"/>
      <c r="AS84" s="159"/>
      <c r="AT84" s="159"/>
      <c r="AU84" s="159"/>
      <c r="AV84" s="159"/>
      <c r="AW84" s="159"/>
      <c r="AX84" s="159"/>
      <c r="AY84" s="159"/>
      <c r="AZ84" s="159"/>
    </row>
    <row r="85" spans="1:52" s="213" customFormat="1">
      <c r="A85" s="307" t="s">
        <v>49</v>
      </c>
      <c r="B85" s="168">
        <f>IFERROR(HLOOKUP(B$83,Data_Formatting!$EF$122:$EJ$134,ROW('Hist &amp; Proj'!B85)-ROW('Hist &amp; Proj'!B$83)+1,FALSE),0)</f>
        <v>0</v>
      </c>
      <c r="C85" s="168">
        <f>IFERROR(HLOOKUP(C$83,Data_Formatting!$EF$122:$EJ$134,ROW('Hist &amp; Proj'!C85)-ROW('Hist &amp; Proj'!C$83)+1,FALSE),0)</f>
        <v>0</v>
      </c>
      <c r="D85" s="168">
        <f>IFERROR(HLOOKUP(D$83,Data_Formatting!$EF$122:$EJ$134,ROW('Hist &amp; Proj'!D85)-ROW('Hist &amp; Proj'!D$83)+1,FALSE),0)</f>
        <v>0</v>
      </c>
      <c r="E85" s="168">
        <f>IFERROR(HLOOKUP(E$83,Data_Formatting!$EF$122:$EJ$134,ROW('Hist &amp; Proj'!E85)-ROW('Hist &amp; Proj'!E$83)+1,FALSE),0)</f>
        <v>0</v>
      </c>
      <c r="F85" s="168">
        <f ca="1">IFERROR(HLOOKUP(F$83,Data_Formatting!$CT$122:$EC$134,ROW('Hist &amp; Proj'!F85)-ROW('Hist &amp; Proj'!F$83)+1,FALSE),0)</f>
        <v>0</v>
      </c>
      <c r="G85" s="168">
        <f ca="1">IFERROR(HLOOKUP(G$83,Data_Formatting!$CT$122:$EC$134,ROW('Hist &amp; Proj'!G85)-ROW('Hist &amp; Proj'!G$83)+1,FALSE),0)</f>
        <v>0</v>
      </c>
      <c r="H85" s="168">
        <f ca="1">IFERROR(HLOOKUP(H$83,Data_Formatting!$CT$122:$EC$134,ROW('Hist &amp; Proj'!H85)-ROW('Hist &amp; Proj'!H$83)+1,FALSE),0)</f>
        <v>0</v>
      </c>
      <c r="I85" s="168">
        <f ca="1">IFERROR(HLOOKUP(I$83,Data_Formatting!$CT$122:$EC$134,ROW('Hist &amp; Proj'!I85)-ROW('Hist &amp; Proj'!I$83)+1,FALSE),0)</f>
        <v>0</v>
      </c>
      <c r="J85" s="168">
        <f ca="1">IFERROR(HLOOKUP(J$83,Data_Formatting!$CT$122:$EC$134,ROW('Hist &amp; Proj'!J85)-ROW('Hist &amp; Proj'!J$83)+1,FALSE),0)</f>
        <v>0</v>
      </c>
      <c r="K85" s="168">
        <f ca="1">IFERROR(HLOOKUP(K$83,Data_Formatting!$CT$122:$EC$134,ROW('Hist &amp; Proj'!K85)-ROW('Hist &amp; Proj'!K$83)+1,FALSE),0)</f>
        <v>0</v>
      </c>
      <c r="L85" s="168">
        <f ca="1">IFERROR(HLOOKUP(L$83,Data_Formatting!$CT$122:$EC$134,ROW('Hist &amp; Proj'!L85)-ROW('Hist &amp; Proj'!L$83)+1,FALSE),0)</f>
        <v>0</v>
      </c>
      <c r="M85" s="168">
        <f ca="1">IFERROR(HLOOKUP(M$83,Data_Formatting!$CT$122:$EC$134,ROW('Hist &amp; Proj'!M85)-ROW('Hist &amp; Proj'!M$83)+1,FALSE),0)</f>
        <v>0</v>
      </c>
      <c r="N85" s="168">
        <f ca="1">IFERROR(HLOOKUP(N$83,Data_Formatting!$CT$122:$EC$134,ROW('Hist &amp; Proj'!N85)-ROW('Hist &amp; Proj'!N$83)+1,FALSE),0)</f>
        <v>0</v>
      </c>
      <c r="O85" s="168">
        <f ca="1">IFERROR(HLOOKUP(O$83,Data_Formatting!$CT$122:$EC$134,ROW('Hist &amp; Proj'!O85)-ROW('Hist &amp; Proj'!O$83)+1,FALSE),0)</f>
        <v>0</v>
      </c>
      <c r="P85" s="168">
        <f ca="1">IFERROR(HLOOKUP(P$83,Data_Formatting!$CT$122:$EC$134,ROW('Hist &amp; Proj'!P85)-ROW('Hist &amp; Proj'!P$83)+1,FALSE),0)</f>
        <v>0</v>
      </c>
      <c r="Q85" s="168">
        <f ca="1">IFERROR(HLOOKUP(Q$83,Data_Formatting!$CT$122:$EC$134,ROW('Hist &amp; Proj'!Q85)-ROW('Hist &amp; Proj'!Q$83)+1,FALSE),0)</f>
        <v>0</v>
      </c>
      <c r="R85" s="168">
        <f ca="1">IFERROR(HLOOKUP(R$83,Data_Formatting!$EF$122:$EJ$134,ROW('Hist &amp; Proj'!R85)-ROW('Hist &amp; Proj'!R$83)+1,FALSE),0)</f>
        <v>0</v>
      </c>
      <c r="S85" s="168">
        <f ca="1">IFERROR(HLOOKUP(S$83,Data_Formatting!$CT$122:$EC$134,ROW('Hist &amp; Proj'!S85)-ROW('Hist &amp; Proj'!S$83)+1,FALSE),0)</f>
        <v>0</v>
      </c>
      <c r="T85" s="168">
        <f ca="1">IFERROR(HLOOKUP(T$83,Data_Formatting!$CT$122:$EC$134,ROW('Hist &amp; Proj'!T85)-ROW('Hist &amp; Proj'!T$83)+1,FALSE),0)</f>
        <v>0</v>
      </c>
      <c r="U85" s="168">
        <f ca="1">IFERROR(HLOOKUP(U$83,Data_Formatting!$CT$122:$EC$134,ROW('Hist &amp; Proj'!U85)-ROW('Hist &amp; Proj'!U$83)+1,FALSE),0)</f>
        <v>0</v>
      </c>
      <c r="V85" s="168">
        <f ca="1">IFERROR(HLOOKUP(V$83,Data_Formatting!$CT$122:$EC$134,ROW('Hist &amp; Proj'!V85)-ROW('Hist &amp; Proj'!V$83)+1,FALSE),0)</f>
        <v>0</v>
      </c>
      <c r="W85" s="168">
        <f ca="1">IFERROR(HLOOKUP(W$83,Data_Formatting!$CT$122:$EC$134,ROW('Hist &amp; Proj'!W85)-ROW('Hist &amp; Proj'!W$83)+1,FALSE),0)</f>
        <v>0</v>
      </c>
      <c r="X85" s="168">
        <f ca="1">IFERROR(HLOOKUP(X$83,Data_Formatting!$CT$122:$EC$134,ROW('Hist &amp; Proj'!X85)-ROW('Hist &amp; Proj'!X$83)+1,FALSE),0)</f>
        <v>0</v>
      </c>
      <c r="Y85" s="168">
        <f ca="1">IFERROR(HLOOKUP(Y$83,Data_Formatting!$CT$122:$EC$134,ROW('Hist &amp; Proj'!Y85)-ROW('Hist &amp; Proj'!Y$83)+1,FALSE),0)</f>
        <v>0</v>
      </c>
      <c r="Z85" s="168">
        <f ca="1">IFERROR(HLOOKUP(Z$83,Data_Formatting!$CT$122:$EC$134,ROW('Hist &amp; Proj'!Z85)-ROW('Hist &amp; Proj'!Z$83)+1,FALSE),0)</f>
        <v>0</v>
      </c>
      <c r="AA85" s="168">
        <f ca="1">IFERROR(HLOOKUP(AA$83,Data_Formatting!$CT$122:$EC$134,ROW('Hist &amp; Proj'!AA85)-ROW('Hist &amp; Proj'!AA$83)+1,FALSE),0)</f>
        <v>0</v>
      </c>
      <c r="AB85" s="168">
        <f ca="1">IFERROR(HLOOKUP(AB$83,Data_Formatting!$CT$122:$EC$134,ROW('Hist &amp; Proj'!AB85)-ROW('Hist &amp; Proj'!AB$83)+1,FALSE),0)</f>
        <v>0</v>
      </c>
      <c r="AC85" s="168">
        <f ca="1">IFERROR(HLOOKUP(AC$83,Data_Formatting!$CT$122:$EC$134,ROW('Hist &amp; Proj'!AC85)-ROW('Hist &amp; Proj'!AC$83)+1,FALSE),0)</f>
        <v>0</v>
      </c>
      <c r="AD85" s="168">
        <f ca="1">IFERROR(HLOOKUP(AD$83,Data_Formatting!$CT$122:$EC$134,ROW('Hist &amp; Proj'!AD85)-ROW('Hist &amp; Proj'!AD$83)+1,FALSE),0)</f>
        <v>0</v>
      </c>
      <c r="AE85" s="267" t="e">
        <f ca="1">HLOOKUP(1,S$6:AD85,ROW(AE85)-5,FALSE)</f>
        <v>#N/A</v>
      </c>
      <c r="AF85" s="267" t="e">
        <f ca="1">AE85</f>
        <v>#N/A</v>
      </c>
      <c r="AG85" s="198"/>
      <c r="AH85" s="205"/>
      <c r="AI85" s="205"/>
      <c r="AJ85" s="205">
        <v>0</v>
      </c>
      <c r="AK85" s="205">
        <v>0</v>
      </c>
      <c r="AL85" s="205">
        <v>0</v>
      </c>
      <c r="AM85" s="198"/>
      <c r="AN85" s="198"/>
      <c r="AO85" s="198"/>
      <c r="AP85" s="198"/>
      <c r="AQ85" s="198"/>
      <c r="AR85" s="198"/>
      <c r="AS85" s="198"/>
      <c r="AT85" s="159"/>
      <c r="AU85" s="198"/>
      <c r="AV85" s="198"/>
      <c r="AW85" s="198"/>
      <c r="AX85" s="198"/>
      <c r="AY85" s="198"/>
      <c r="AZ85" s="159"/>
    </row>
    <row r="86" spans="1:52" s="213" customFormat="1">
      <c r="A86" s="307" t="s">
        <v>50</v>
      </c>
      <c r="B86" s="168">
        <f>IFERROR(HLOOKUP(B$83,Data_Formatting!$EF$122:$EJ$134,ROW('Hist &amp; Proj'!B86)-ROW('Hist &amp; Proj'!B$83)+1,FALSE),0)</f>
        <v>0</v>
      </c>
      <c r="C86" s="168">
        <f>IFERROR(HLOOKUP(C$83,Data_Formatting!$EF$122:$EJ$134,ROW('Hist &amp; Proj'!C86)-ROW('Hist &amp; Proj'!C$83)+1,FALSE),0)</f>
        <v>0</v>
      </c>
      <c r="D86" s="168">
        <f>IFERROR(HLOOKUP(D$83,Data_Formatting!$EF$122:$EJ$134,ROW('Hist &amp; Proj'!D86)-ROW('Hist &amp; Proj'!D$83)+1,FALSE),0)</f>
        <v>0</v>
      </c>
      <c r="E86" s="168">
        <f>IFERROR(HLOOKUP(E$83,Data_Formatting!$EF$122:$EJ$134,ROW('Hist &amp; Proj'!E86)-ROW('Hist &amp; Proj'!E$83)+1,FALSE),0)</f>
        <v>0</v>
      </c>
      <c r="F86" s="168">
        <f ca="1">IFERROR(HLOOKUP(F$83,Data_Formatting!$CT$122:$EC$134,ROW('Hist &amp; Proj'!F86)-ROW('Hist &amp; Proj'!F$83)+1,FALSE),0)</f>
        <v>0</v>
      </c>
      <c r="G86" s="168">
        <f ca="1">IFERROR(HLOOKUP(G$83,Data_Formatting!$CT$122:$EC$134,ROW('Hist &amp; Proj'!G86)-ROW('Hist &amp; Proj'!G$83)+1,FALSE),0)</f>
        <v>0</v>
      </c>
      <c r="H86" s="168">
        <f ca="1">IFERROR(HLOOKUP(H$83,Data_Formatting!$CT$122:$EC$134,ROW('Hist &amp; Proj'!H86)-ROW('Hist &amp; Proj'!H$83)+1,FALSE),0)</f>
        <v>0</v>
      </c>
      <c r="I86" s="168">
        <f ca="1">IFERROR(HLOOKUP(I$83,Data_Formatting!$CT$122:$EC$134,ROW('Hist &amp; Proj'!I86)-ROW('Hist &amp; Proj'!I$83)+1,FALSE),0)</f>
        <v>0</v>
      </c>
      <c r="J86" s="168">
        <f ca="1">IFERROR(HLOOKUP(J$83,Data_Formatting!$CT$122:$EC$134,ROW('Hist &amp; Proj'!J86)-ROW('Hist &amp; Proj'!J$83)+1,FALSE),0)</f>
        <v>0</v>
      </c>
      <c r="K86" s="168">
        <f ca="1">IFERROR(HLOOKUP(K$83,Data_Formatting!$CT$122:$EC$134,ROW('Hist &amp; Proj'!K86)-ROW('Hist &amp; Proj'!K$83)+1,FALSE),0)</f>
        <v>0</v>
      </c>
      <c r="L86" s="168">
        <f ca="1">IFERROR(HLOOKUP(L$83,Data_Formatting!$CT$122:$EC$134,ROW('Hist &amp; Proj'!L86)-ROW('Hist &amp; Proj'!L$83)+1,FALSE),0)</f>
        <v>0</v>
      </c>
      <c r="M86" s="168">
        <f ca="1">IFERROR(HLOOKUP(M$83,Data_Formatting!$CT$122:$EC$134,ROW('Hist &amp; Proj'!M86)-ROW('Hist &amp; Proj'!M$83)+1,FALSE),0)</f>
        <v>0</v>
      </c>
      <c r="N86" s="168">
        <f ca="1">IFERROR(HLOOKUP(N$83,Data_Formatting!$CT$122:$EC$134,ROW('Hist &amp; Proj'!N86)-ROW('Hist &amp; Proj'!N$83)+1,FALSE),0)</f>
        <v>0</v>
      </c>
      <c r="O86" s="168">
        <f ca="1">IFERROR(HLOOKUP(O$83,Data_Formatting!$CT$122:$EC$134,ROW('Hist &amp; Proj'!O86)-ROW('Hist &amp; Proj'!O$83)+1,FALSE),0)</f>
        <v>0</v>
      </c>
      <c r="P86" s="168">
        <f ca="1">IFERROR(HLOOKUP(P$83,Data_Formatting!$CT$122:$EC$134,ROW('Hist &amp; Proj'!P86)-ROW('Hist &amp; Proj'!P$83)+1,FALSE),0)</f>
        <v>0</v>
      </c>
      <c r="Q86" s="168">
        <f ca="1">IFERROR(HLOOKUP(Q$83,Data_Formatting!$CT$122:$EC$134,ROW('Hist &amp; Proj'!Q86)-ROW('Hist &amp; Proj'!Q$83)+1,FALSE),0)</f>
        <v>0</v>
      </c>
      <c r="R86" s="168">
        <f ca="1">IFERROR(HLOOKUP(R$83,Data_Formatting!$EF$122:$EJ$134,ROW('Hist &amp; Proj'!R86)-ROW('Hist &amp; Proj'!R$83)+1,FALSE),0)</f>
        <v>0</v>
      </c>
      <c r="S86" s="168">
        <f ca="1">IFERROR(HLOOKUP(S$83,Data_Formatting!$CT$122:$EC$134,ROW('Hist &amp; Proj'!S86)-ROW('Hist &amp; Proj'!S$83)+1,FALSE),0)</f>
        <v>0</v>
      </c>
      <c r="T86" s="168">
        <f ca="1">IFERROR(HLOOKUP(T$83,Data_Formatting!$CT$122:$EC$134,ROW('Hist &amp; Proj'!T86)-ROW('Hist &amp; Proj'!T$83)+1,FALSE),0)</f>
        <v>0</v>
      </c>
      <c r="U86" s="168">
        <f ca="1">IFERROR(HLOOKUP(U$83,Data_Formatting!$CT$122:$EC$134,ROW('Hist &amp; Proj'!U86)-ROW('Hist &amp; Proj'!U$83)+1,FALSE),0)</f>
        <v>0</v>
      </c>
      <c r="V86" s="168">
        <f ca="1">IFERROR(HLOOKUP(V$83,Data_Formatting!$CT$122:$EC$134,ROW('Hist &amp; Proj'!V86)-ROW('Hist &amp; Proj'!V$83)+1,FALSE),0)</f>
        <v>0</v>
      </c>
      <c r="W86" s="168">
        <f ca="1">IFERROR(HLOOKUP(W$83,Data_Formatting!$CT$122:$EC$134,ROW('Hist &amp; Proj'!W86)-ROW('Hist &amp; Proj'!W$83)+1,FALSE),0)</f>
        <v>0</v>
      </c>
      <c r="X86" s="168">
        <f ca="1">IFERROR(HLOOKUP(X$83,Data_Formatting!$CT$122:$EC$134,ROW('Hist &amp; Proj'!X86)-ROW('Hist &amp; Proj'!X$83)+1,FALSE),0)</f>
        <v>0</v>
      </c>
      <c r="Y86" s="168">
        <f ca="1">IFERROR(HLOOKUP(Y$83,Data_Formatting!$CT$122:$EC$134,ROW('Hist &amp; Proj'!Y86)-ROW('Hist &amp; Proj'!Y$83)+1,FALSE),0)</f>
        <v>0</v>
      </c>
      <c r="Z86" s="168">
        <f ca="1">IFERROR(HLOOKUP(Z$83,Data_Formatting!$CT$122:$EC$134,ROW('Hist &amp; Proj'!Z86)-ROW('Hist &amp; Proj'!Z$83)+1,FALSE),0)</f>
        <v>0</v>
      </c>
      <c r="AA86" s="168">
        <f ca="1">IFERROR(HLOOKUP(AA$83,Data_Formatting!$CT$122:$EC$134,ROW('Hist &amp; Proj'!AA86)-ROW('Hist &amp; Proj'!AA$83)+1,FALSE),0)</f>
        <v>0</v>
      </c>
      <c r="AB86" s="168">
        <f ca="1">IFERROR(HLOOKUP(AB$83,Data_Formatting!$CT$122:$EC$134,ROW('Hist &amp; Proj'!AB86)-ROW('Hist &amp; Proj'!AB$83)+1,FALSE),0)</f>
        <v>0</v>
      </c>
      <c r="AC86" s="168">
        <f ca="1">IFERROR(HLOOKUP(AC$83,Data_Formatting!$CT$122:$EC$134,ROW('Hist &amp; Proj'!AC86)-ROW('Hist &amp; Proj'!AC$83)+1,FALSE),0)</f>
        <v>0</v>
      </c>
      <c r="AD86" s="168">
        <f ca="1">IFERROR(HLOOKUP(AD$83,Data_Formatting!$CT$122:$EC$134,ROW('Hist &amp; Proj'!AD86)-ROW('Hist &amp; Proj'!AD$83)+1,FALSE),0)</f>
        <v>0</v>
      </c>
      <c r="AE86" s="267" t="e">
        <f ca="1">HLOOKUP(1,S$6:AD86,ROW(AE86)-5,FALSE)</f>
        <v>#N/A</v>
      </c>
      <c r="AF86" s="267" t="e">
        <f ca="1">AE86</f>
        <v>#N/A</v>
      </c>
      <c r="AG86" s="198"/>
      <c r="AH86" s="205"/>
      <c r="AI86" s="205"/>
      <c r="AJ86" s="205"/>
      <c r="AK86" s="205"/>
      <c r="AL86" s="205"/>
      <c r="AM86" s="198"/>
      <c r="AN86" s="198"/>
      <c r="AO86" s="198"/>
      <c r="AP86" s="198"/>
      <c r="AQ86" s="198"/>
      <c r="AR86" s="198"/>
      <c r="AS86" s="198"/>
      <c r="AT86" s="159"/>
      <c r="AU86" s="198"/>
      <c r="AV86" s="198"/>
      <c r="AW86" s="198"/>
      <c r="AX86" s="198"/>
      <c r="AY86" s="198"/>
      <c r="AZ86" s="159"/>
    </row>
    <row r="87" spans="1:52" s="213" customFormat="1">
      <c r="A87" s="307" t="s">
        <v>51</v>
      </c>
      <c r="B87" s="168">
        <f>IFERROR(HLOOKUP(B$83,Data_Formatting!$EF$122:$EJ$134,ROW('Hist &amp; Proj'!B87)-ROW('Hist &amp; Proj'!B$83)+1,FALSE),0)</f>
        <v>0</v>
      </c>
      <c r="C87" s="168">
        <f>IFERROR(HLOOKUP(C$83,Data_Formatting!$EF$122:$EJ$134,ROW('Hist &amp; Proj'!C87)-ROW('Hist &amp; Proj'!C$83)+1,FALSE),0)</f>
        <v>0</v>
      </c>
      <c r="D87" s="168">
        <f>IFERROR(HLOOKUP(D$83,Data_Formatting!$EF$122:$EJ$134,ROW('Hist &amp; Proj'!D87)-ROW('Hist &amp; Proj'!D$83)+1,FALSE),0)</f>
        <v>0</v>
      </c>
      <c r="E87" s="168">
        <f>IFERROR(HLOOKUP(E$83,Data_Formatting!$EF$122:$EJ$134,ROW('Hist &amp; Proj'!E87)-ROW('Hist &amp; Proj'!E$83)+1,FALSE),0)</f>
        <v>0</v>
      </c>
      <c r="F87" s="168">
        <f ca="1">IFERROR(HLOOKUP(F$83,Data_Formatting!$CT$122:$EC$134,ROW('Hist &amp; Proj'!F87)-ROW('Hist &amp; Proj'!F$83)+1,FALSE),0)</f>
        <v>0</v>
      </c>
      <c r="G87" s="168">
        <f ca="1">IFERROR(HLOOKUP(G$83,Data_Formatting!$CT$122:$EC$134,ROW('Hist &amp; Proj'!G87)-ROW('Hist &amp; Proj'!G$83)+1,FALSE),0)</f>
        <v>0</v>
      </c>
      <c r="H87" s="168">
        <f ca="1">IFERROR(HLOOKUP(H$83,Data_Formatting!$CT$122:$EC$134,ROW('Hist &amp; Proj'!H87)-ROW('Hist &amp; Proj'!H$83)+1,FALSE),0)</f>
        <v>0</v>
      </c>
      <c r="I87" s="168">
        <f ca="1">IFERROR(HLOOKUP(I$83,Data_Formatting!$CT$122:$EC$134,ROW('Hist &amp; Proj'!I87)-ROW('Hist &amp; Proj'!I$83)+1,FALSE),0)</f>
        <v>0</v>
      </c>
      <c r="J87" s="168">
        <f ca="1">IFERROR(HLOOKUP(J$83,Data_Formatting!$CT$122:$EC$134,ROW('Hist &amp; Proj'!J87)-ROW('Hist &amp; Proj'!J$83)+1,FALSE),0)</f>
        <v>0</v>
      </c>
      <c r="K87" s="168">
        <f ca="1">IFERROR(HLOOKUP(K$83,Data_Formatting!$CT$122:$EC$134,ROW('Hist &amp; Proj'!K87)-ROW('Hist &amp; Proj'!K$83)+1,FALSE),0)</f>
        <v>0</v>
      </c>
      <c r="L87" s="168">
        <f ca="1">IFERROR(HLOOKUP(L$83,Data_Formatting!$CT$122:$EC$134,ROW('Hist &amp; Proj'!L87)-ROW('Hist &amp; Proj'!L$83)+1,FALSE),0)</f>
        <v>0</v>
      </c>
      <c r="M87" s="168">
        <f ca="1">IFERROR(HLOOKUP(M$83,Data_Formatting!$CT$122:$EC$134,ROW('Hist &amp; Proj'!M87)-ROW('Hist &amp; Proj'!M$83)+1,FALSE),0)</f>
        <v>0</v>
      </c>
      <c r="N87" s="168">
        <f ca="1">IFERROR(HLOOKUP(N$83,Data_Formatting!$CT$122:$EC$134,ROW('Hist &amp; Proj'!N87)-ROW('Hist &amp; Proj'!N$83)+1,FALSE),0)</f>
        <v>0</v>
      </c>
      <c r="O87" s="168">
        <f ca="1">IFERROR(HLOOKUP(O$83,Data_Formatting!$CT$122:$EC$134,ROW('Hist &amp; Proj'!O87)-ROW('Hist &amp; Proj'!O$83)+1,FALSE),0)</f>
        <v>0</v>
      </c>
      <c r="P87" s="168">
        <f ca="1">IFERROR(HLOOKUP(P$83,Data_Formatting!$CT$122:$EC$134,ROW('Hist &amp; Proj'!P87)-ROW('Hist &amp; Proj'!P$83)+1,FALSE),0)</f>
        <v>0</v>
      </c>
      <c r="Q87" s="168">
        <f ca="1">IFERROR(HLOOKUP(Q$83,Data_Formatting!$CT$122:$EC$134,ROW('Hist &amp; Proj'!Q87)-ROW('Hist &amp; Proj'!Q$83)+1,FALSE),0)</f>
        <v>0</v>
      </c>
      <c r="R87" s="168">
        <f ca="1">IFERROR(HLOOKUP(R$83,Data_Formatting!$EF$122:$EJ$134,ROW('Hist &amp; Proj'!R87)-ROW('Hist &amp; Proj'!R$83)+1,FALSE),0)</f>
        <v>0</v>
      </c>
      <c r="S87" s="168">
        <f ca="1">IFERROR(HLOOKUP(S$83,Data_Formatting!$CT$122:$EC$134,ROW('Hist &amp; Proj'!S87)-ROW('Hist &amp; Proj'!S$83)+1,FALSE),0)</f>
        <v>0</v>
      </c>
      <c r="T87" s="168">
        <f ca="1">IFERROR(HLOOKUP(T$83,Data_Formatting!$CT$122:$EC$134,ROW('Hist &amp; Proj'!T87)-ROW('Hist &amp; Proj'!T$83)+1,FALSE),0)</f>
        <v>0</v>
      </c>
      <c r="U87" s="168">
        <f ca="1">IFERROR(HLOOKUP(U$83,Data_Formatting!$CT$122:$EC$134,ROW('Hist &amp; Proj'!U87)-ROW('Hist &amp; Proj'!U$83)+1,FALSE),0)</f>
        <v>0</v>
      </c>
      <c r="V87" s="168">
        <f ca="1">IFERROR(HLOOKUP(V$83,Data_Formatting!$CT$122:$EC$134,ROW('Hist &amp; Proj'!V87)-ROW('Hist &amp; Proj'!V$83)+1,FALSE),0)</f>
        <v>0</v>
      </c>
      <c r="W87" s="168">
        <f ca="1">IFERROR(HLOOKUP(W$83,Data_Formatting!$CT$122:$EC$134,ROW('Hist &amp; Proj'!W87)-ROW('Hist &amp; Proj'!W$83)+1,FALSE),0)</f>
        <v>0</v>
      </c>
      <c r="X87" s="168">
        <f ca="1">IFERROR(HLOOKUP(X$83,Data_Formatting!$CT$122:$EC$134,ROW('Hist &amp; Proj'!X87)-ROW('Hist &amp; Proj'!X$83)+1,FALSE),0)</f>
        <v>0</v>
      </c>
      <c r="Y87" s="168">
        <f ca="1">IFERROR(HLOOKUP(Y$83,Data_Formatting!$CT$122:$EC$134,ROW('Hist &amp; Proj'!Y87)-ROW('Hist &amp; Proj'!Y$83)+1,FALSE),0)</f>
        <v>0</v>
      </c>
      <c r="Z87" s="168">
        <f ca="1">IFERROR(HLOOKUP(Z$83,Data_Formatting!$CT$122:$EC$134,ROW('Hist &amp; Proj'!Z87)-ROW('Hist &amp; Proj'!Z$83)+1,FALSE),0)</f>
        <v>0</v>
      </c>
      <c r="AA87" s="168">
        <f ca="1">IFERROR(HLOOKUP(AA$83,Data_Formatting!$CT$122:$EC$134,ROW('Hist &amp; Proj'!AA87)-ROW('Hist &amp; Proj'!AA$83)+1,FALSE),0)</f>
        <v>0</v>
      </c>
      <c r="AB87" s="168">
        <f ca="1">IFERROR(HLOOKUP(AB$83,Data_Formatting!$CT$122:$EC$134,ROW('Hist &amp; Proj'!AB87)-ROW('Hist &amp; Proj'!AB$83)+1,FALSE),0)</f>
        <v>0</v>
      </c>
      <c r="AC87" s="168">
        <f ca="1">IFERROR(HLOOKUP(AC$83,Data_Formatting!$CT$122:$EC$134,ROW('Hist &amp; Proj'!AC87)-ROW('Hist &amp; Proj'!AC$83)+1,FALSE),0)</f>
        <v>0</v>
      </c>
      <c r="AD87" s="168">
        <f ca="1">IFERROR(HLOOKUP(AD$83,Data_Formatting!$CT$122:$EC$134,ROW('Hist &amp; Proj'!AD87)-ROW('Hist &amp; Proj'!AD$83)+1,FALSE),0)</f>
        <v>0</v>
      </c>
      <c r="AE87" s="267" t="e">
        <f ca="1">HLOOKUP(1,S$6:AD87,ROW(AE87)-5,FALSE)</f>
        <v>#N/A</v>
      </c>
      <c r="AF87" s="267" t="e">
        <f t="shared" ref="AF87:AF92" ca="1" si="29">AE87</f>
        <v>#N/A</v>
      </c>
      <c r="AG87" s="198"/>
      <c r="AH87" s="205"/>
      <c r="AI87" s="205"/>
      <c r="AJ87" s="205">
        <v>0</v>
      </c>
      <c r="AK87" s="205">
        <v>0</v>
      </c>
      <c r="AL87" s="205">
        <v>0</v>
      </c>
      <c r="AM87" s="198"/>
      <c r="AN87" s="198"/>
      <c r="AO87" s="198"/>
      <c r="AP87" s="198"/>
      <c r="AQ87" s="198"/>
      <c r="AR87" s="198"/>
      <c r="AS87" s="198"/>
      <c r="AT87" s="159"/>
      <c r="AU87" s="198"/>
      <c r="AV87" s="198"/>
      <c r="AW87" s="198"/>
      <c r="AX87" s="198"/>
      <c r="AY87" s="198"/>
      <c r="AZ87" s="159"/>
    </row>
    <row r="88" spans="1:52" s="213" customFormat="1">
      <c r="A88" s="308" t="s">
        <v>405</v>
      </c>
      <c r="B88" s="168">
        <f>IFERROR(HLOOKUP(B$83,Data_Formatting!$EF$122:$EJ$134,ROW('Hist &amp; Proj'!B88)-ROW('Hist &amp; Proj'!B$83)+1,FALSE),0)</f>
        <v>0</v>
      </c>
      <c r="C88" s="168">
        <f>IFERROR(HLOOKUP(C$83,Data_Formatting!$EF$122:$EJ$134,ROW('Hist &amp; Proj'!C88)-ROW('Hist &amp; Proj'!C$83)+1,FALSE),0)</f>
        <v>0</v>
      </c>
      <c r="D88" s="168">
        <f>IFERROR(HLOOKUP(D$83,Data_Formatting!$EF$122:$EJ$134,ROW('Hist &amp; Proj'!D88)-ROW('Hist &amp; Proj'!D$83)+1,FALSE),0)</f>
        <v>0</v>
      </c>
      <c r="E88" s="168">
        <f>IFERROR(HLOOKUP(E$83,Data_Formatting!$EF$122:$EJ$134,ROW('Hist &amp; Proj'!E88)-ROW('Hist &amp; Proj'!E$83)+1,FALSE),0)</f>
        <v>0</v>
      </c>
      <c r="F88" s="168">
        <f ca="1">IFERROR(HLOOKUP(F$83,Data_Formatting!$CT$122:$EC$134,ROW('Hist &amp; Proj'!F88)-ROW('Hist &amp; Proj'!F$83)+1,FALSE),0)</f>
        <v>0</v>
      </c>
      <c r="G88" s="168">
        <f ca="1">IFERROR(HLOOKUP(G$83,Data_Formatting!$CT$122:$EC$134,ROW('Hist &amp; Proj'!G88)-ROW('Hist &amp; Proj'!G$83)+1,FALSE),0)</f>
        <v>0</v>
      </c>
      <c r="H88" s="168">
        <f ca="1">IFERROR(HLOOKUP(H$83,Data_Formatting!$CT$122:$EC$134,ROW('Hist &amp; Proj'!H88)-ROW('Hist &amp; Proj'!H$83)+1,FALSE),0)</f>
        <v>0</v>
      </c>
      <c r="I88" s="168">
        <f ca="1">IFERROR(HLOOKUP(I$83,Data_Formatting!$CT$122:$EC$134,ROW('Hist &amp; Proj'!I88)-ROW('Hist &amp; Proj'!I$83)+1,FALSE),0)</f>
        <v>0</v>
      </c>
      <c r="J88" s="168">
        <f ca="1">IFERROR(HLOOKUP(J$83,Data_Formatting!$CT$122:$EC$134,ROW('Hist &amp; Proj'!J88)-ROW('Hist &amp; Proj'!J$83)+1,FALSE),0)</f>
        <v>0</v>
      </c>
      <c r="K88" s="168">
        <f ca="1">IFERROR(HLOOKUP(K$83,Data_Formatting!$CT$122:$EC$134,ROW('Hist &amp; Proj'!K88)-ROW('Hist &amp; Proj'!K$83)+1,FALSE),0)</f>
        <v>0</v>
      </c>
      <c r="L88" s="168">
        <f ca="1">IFERROR(HLOOKUP(L$83,Data_Formatting!$CT$122:$EC$134,ROW('Hist &amp; Proj'!L88)-ROW('Hist &amp; Proj'!L$83)+1,FALSE),0)</f>
        <v>0</v>
      </c>
      <c r="M88" s="168">
        <f ca="1">IFERROR(HLOOKUP(M$83,Data_Formatting!$CT$122:$EC$134,ROW('Hist &amp; Proj'!M88)-ROW('Hist &amp; Proj'!M$83)+1,FALSE),0)</f>
        <v>0</v>
      </c>
      <c r="N88" s="168">
        <f ca="1">IFERROR(HLOOKUP(N$83,Data_Formatting!$CT$122:$EC$134,ROW('Hist &amp; Proj'!N88)-ROW('Hist &amp; Proj'!N$83)+1,FALSE),0)</f>
        <v>0</v>
      </c>
      <c r="O88" s="168">
        <f ca="1">IFERROR(HLOOKUP(O$83,Data_Formatting!$CT$122:$EC$134,ROW('Hist &amp; Proj'!O88)-ROW('Hist &amp; Proj'!O$83)+1,FALSE),0)</f>
        <v>0</v>
      </c>
      <c r="P88" s="168">
        <f ca="1">IFERROR(HLOOKUP(P$83,Data_Formatting!$CT$122:$EC$134,ROW('Hist &amp; Proj'!P88)-ROW('Hist &amp; Proj'!P$83)+1,FALSE),0)</f>
        <v>0</v>
      </c>
      <c r="Q88" s="168">
        <f ca="1">IFERROR(HLOOKUP(Q$83,Data_Formatting!$CT$122:$EC$134,ROW('Hist &amp; Proj'!Q88)-ROW('Hist &amp; Proj'!Q$83)+1,FALSE),0)</f>
        <v>0</v>
      </c>
      <c r="R88" s="168">
        <f ca="1">IFERROR(HLOOKUP(R$83,Data_Formatting!$EF$122:$EJ$134,ROW('Hist &amp; Proj'!R88)-ROW('Hist &amp; Proj'!R$83)+1,FALSE),0)</f>
        <v>0</v>
      </c>
      <c r="S88" s="168">
        <f ca="1">IFERROR(HLOOKUP(S$83,Data_Formatting!$CT$122:$EC$134,ROW('Hist &amp; Proj'!S88)-ROW('Hist &amp; Proj'!S$83)+1,FALSE),0)</f>
        <v>0</v>
      </c>
      <c r="T88" s="168">
        <f ca="1">IFERROR(HLOOKUP(T$83,Data_Formatting!$CT$122:$EC$134,ROW('Hist &amp; Proj'!T88)-ROW('Hist &amp; Proj'!T$83)+1,FALSE),0)</f>
        <v>0</v>
      </c>
      <c r="U88" s="168">
        <f ca="1">IFERROR(HLOOKUP(U$83,Data_Formatting!$CT$122:$EC$134,ROW('Hist &amp; Proj'!U88)-ROW('Hist &amp; Proj'!U$83)+1,FALSE),0)</f>
        <v>0</v>
      </c>
      <c r="V88" s="168">
        <f ca="1">IFERROR(HLOOKUP(V$83,Data_Formatting!$CT$122:$EC$134,ROW('Hist &amp; Proj'!V88)-ROW('Hist &amp; Proj'!V$83)+1,FALSE),0)</f>
        <v>0</v>
      </c>
      <c r="W88" s="168">
        <f ca="1">IFERROR(HLOOKUP(W$83,Data_Formatting!$CT$122:$EC$134,ROW('Hist &amp; Proj'!W88)-ROW('Hist &amp; Proj'!W$83)+1,FALSE),0)</f>
        <v>0</v>
      </c>
      <c r="X88" s="168">
        <f ca="1">IFERROR(HLOOKUP(X$83,Data_Formatting!$CT$122:$EC$134,ROW('Hist &amp; Proj'!X88)-ROW('Hist &amp; Proj'!X$83)+1,FALSE),0)</f>
        <v>0</v>
      </c>
      <c r="Y88" s="168">
        <f ca="1">IFERROR(HLOOKUP(Y$83,Data_Formatting!$CT$122:$EC$134,ROW('Hist &amp; Proj'!Y88)-ROW('Hist &amp; Proj'!Y$83)+1,FALSE),0)</f>
        <v>0</v>
      </c>
      <c r="Z88" s="168">
        <f ca="1">IFERROR(HLOOKUP(Z$83,Data_Formatting!$CT$122:$EC$134,ROW('Hist &amp; Proj'!Z88)-ROW('Hist &amp; Proj'!Z$83)+1,FALSE),0)</f>
        <v>0</v>
      </c>
      <c r="AA88" s="168">
        <f ca="1">IFERROR(HLOOKUP(AA$83,Data_Formatting!$CT$122:$EC$134,ROW('Hist &amp; Proj'!AA88)-ROW('Hist &amp; Proj'!AA$83)+1,FALSE),0)</f>
        <v>0</v>
      </c>
      <c r="AB88" s="168">
        <f ca="1">IFERROR(HLOOKUP(AB$83,Data_Formatting!$CT$122:$EC$134,ROW('Hist &amp; Proj'!AB88)-ROW('Hist &amp; Proj'!AB$83)+1,FALSE),0)</f>
        <v>0</v>
      </c>
      <c r="AC88" s="168">
        <f ca="1">IFERROR(HLOOKUP(AC$83,Data_Formatting!$CT$122:$EC$134,ROW('Hist &amp; Proj'!AC88)-ROW('Hist &amp; Proj'!AC$83)+1,FALSE),0)</f>
        <v>0</v>
      </c>
      <c r="AD88" s="168">
        <f ca="1">IFERROR(HLOOKUP(AD$83,Data_Formatting!$CT$122:$EC$134,ROW('Hist &amp; Proj'!AD88)-ROW('Hist &amp; Proj'!AD$83)+1,FALSE),0)</f>
        <v>0</v>
      </c>
      <c r="AE88" s="267" t="e">
        <f ca="1">HLOOKUP(1,S$6:AD88,ROW(AE88)-5,FALSE)</f>
        <v>#N/A</v>
      </c>
      <c r="AF88" s="267" t="e">
        <f t="shared" ca="1" si="29"/>
        <v>#N/A</v>
      </c>
      <c r="AG88" s="198"/>
      <c r="AH88" s="205"/>
      <c r="AI88" s="205"/>
      <c r="AJ88" s="205"/>
      <c r="AK88" s="205"/>
      <c r="AL88" s="205"/>
      <c r="AM88" s="198"/>
      <c r="AN88" s="198"/>
      <c r="AO88" s="198"/>
      <c r="AP88" s="198"/>
      <c r="AQ88" s="198"/>
      <c r="AR88" s="198"/>
      <c r="AS88" s="198"/>
      <c r="AT88" s="159"/>
      <c r="AU88" s="198"/>
      <c r="AV88" s="198"/>
      <c r="AW88" s="198"/>
      <c r="AX88" s="198"/>
      <c r="AY88" s="198"/>
      <c r="AZ88" s="159"/>
    </row>
    <row r="89" spans="1:52" s="213" customFormat="1">
      <c r="A89" s="308" t="s">
        <v>406</v>
      </c>
      <c r="B89" s="168">
        <f>IFERROR(HLOOKUP(B$83,Data_Formatting!$EF$122:$EJ$134,ROW('Hist &amp; Proj'!B89)-ROW('Hist &amp; Proj'!B$83)+1,FALSE),0)</f>
        <v>0</v>
      </c>
      <c r="C89" s="168">
        <f>IFERROR(HLOOKUP(C$83,Data_Formatting!$EF$122:$EJ$134,ROW('Hist &amp; Proj'!C89)-ROW('Hist &amp; Proj'!C$83)+1,FALSE),0)</f>
        <v>0</v>
      </c>
      <c r="D89" s="168">
        <f>IFERROR(HLOOKUP(D$83,Data_Formatting!$EF$122:$EJ$134,ROW('Hist &amp; Proj'!D89)-ROW('Hist &amp; Proj'!D$83)+1,FALSE),0)</f>
        <v>0</v>
      </c>
      <c r="E89" s="168">
        <f>IFERROR(HLOOKUP(E$83,Data_Formatting!$EF$122:$EJ$134,ROW('Hist &amp; Proj'!E89)-ROW('Hist &amp; Proj'!E$83)+1,FALSE),0)</f>
        <v>0</v>
      </c>
      <c r="F89" s="168">
        <f ca="1">IFERROR(HLOOKUP(F$83,Data_Formatting!$CT$122:$EC$134,ROW('Hist &amp; Proj'!F89)-ROW('Hist &amp; Proj'!F$83)+1,FALSE),0)</f>
        <v>0</v>
      </c>
      <c r="G89" s="168">
        <f ca="1">IFERROR(HLOOKUP(G$83,Data_Formatting!$CT$122:$EC$134,ROW('Hist &amp; Proj'!G89)-ROW('Hist &amp; Proj'!G$83)+1,FALSE),0)</f>
        <v>0</v>
      </c>
      <c r="H89" s="168">
        <f ca="1">IFERROR(HLOOKUP(H$83,Data_Formatting!$CT$122:$EC$134,ROW('Hist &amp; Proj'!H89)-ROW('Hist &amp; Proj'!H$83)+1,FALSE),0)</f>
        <v>0</v>
      </c>
      <c r="I89" s="168">
        <f ca="1">IFERROR(HLOOKUP(I$83,Data_Formatting!$CT$122:$EC$134,ROW('Hist &amp; Proj'!I89)-ROW('Hist &amp; Proj'!I$83)+1,FALSE),0)</f>
        <v>0</v>
      </c>
      <c r="J89" s="168">
        <f ca="1">IFERROR(HLOOKUP(J$83,Data_Formatting!$CT$122:$EC$134,ROW('Hist &amp; Proj'!J89)-ROW('Hist &amp; Proj'!J$83)+1,FALSE),0)</f>
        <v>0</v>
      </c>
      <c r="K89" s="168">
        <f ca="1">IFERROR(HLOOKUP(K$83,Data_Formatting!$CT$122:$EC$134,ROW('Hist &amp; Proj'!K89)-ROW('Hist &amp; Proj'!K$83)+1,FALSE),0)</f>
        <v>0</v>
      </c>
      <c r="L89" s="168">
        <f ca="1">IFERROR(HLOOKUP(L$83,Data_Formatting!$CT$122:$EC$134,ROW('Hist &amp; Proj'!L89)-ROW('Hist &amp; Proj'!L$83)+1,FALSE),0)</f>
        <v>0</v>
      </c>
      <c r="M89" s="168">
        <f ca="1">IFERROR(HLOOKUP(M$83,Data_Formatting!$CT$122:$EC$134,ROW('Hist &amp; Proj'!M89)-ROW('Hist &amp; Proj'!M$83)+1,FALSE),0)</f>
        <v>0</v>
      </c>
      <c r="N89" s="168">
        <f ca="1">IFERROR(HLOOKUP(N$83,Data_Formatting!$CT$122:$EC$134,ROW('Hist &amp; Proj'!N89)-ROW('Hist &amp; Proj'!N$83)+1,FALSE),0)</f>
        <v>0</v>
      </c>
      <c r="O89" s="168">
        <f ca="1">IFERROR(HLOOKUP(O$83,Data_Formatting!$CT$122:$EC$134,ROW('Hist &amp; Proj'!O89)-ROW('Hist &amp; Proj'!O$83)+1,FALSE),0)</f>
        <v>0</v>
      </c>
      <c r="P89" s="168">
        <f ca="1">IFERROR(HLOOKUP(P$83,Data_Formatting!$CT$122:$EC$134,ROW('Hist &amp; Proj'!P89)-ROW('Hist &amp; Proj'!P$83)+1,FALSE),0)</f>
        <v>0</v>
      </c>
      <c r="Q89" s="168">
        <f ca="1">IFERROR(HLOOKUP(Q$83,Data_Formatting!$CT$122:$EC$134,ROW('Hist &amp; Proj'!Q89)-ROW('Hist &amp; Proj'!Q$83)+1,FALSE),0)</f>
        <v>0</v>
      </c>
      <c r="R89" s="168">
        <f ca="1">IFERROR(HLOOKUP(R$83,Data_Formatting!$EF$122:$EJ$134,ROW('Hist &amp; Proj'!R89)-ROW('Hist &amp; Proj'!R$83)+1,FALSE),0)</f>
        <v>0</v>
      </c>
      <c r="S89" s="168">
        <f ca="1">IFERROR(HLOOKUP(S$83,Data_Formatting!$CT$122:$EC$134,ROW('Hist &amp; Proj'!S89)-ROW('Hist &amp; Proj'!S$83)+1,FALSE),0)</f>
        <v>0</v>
      </c>
      <c r="T89" s="168">
        <f ca="1">IFERROR(HLOOKUP(T$83,Data_Formatting!$CT$122:$EC$134,ROW('Hist &amp; Proj'!T89)-ROW('Hist &amp; Proj'!T$83)+1,FALSE),0)</f>
        <v>0</v>
      </c>
      <c r="U89" s="168">
        <f ca="1">IFERROR(HLOOKUP(U$83,Data_Formatting!$CT$122:$EC$134,ROW('Hist &amp; Proj'!U89)-ROW('Hist &amp; Proj'!U$83)+1,FALSE),0)</f>
        <v>0</v>
      </c>
      <c r="V89" s="168">
        <f ca="1">IFERROR(HLOOKUP(V$83,Data_Formatting!$CT$122:$EC$134,ROW('Hist &amp; Proj'!V89)-ROW('Hist &amp; Proj'!V$83)+1,FALSE),0)</f>
        <v>0</v>
      </c>
      <c r="W89" s="168">
        <f ca="1">IFERROR(HLOOKUP(W$83,Data_Formatting!$CT$122:$EC$134,ROW('Hist &amp; Proj'!W89)-ROW('Hist &amp; Proj'!W$83)+1,FALSE),0)</f>
        <v>0</v>
      </c>
      <c r="X89" s="168">
        <f ca="1">IFERROR(HLOOKUP(X$83,Data_Formatting!$CT$122:$EC$134,ROW('Hist &amp; Proj'!X89)-ROW('Hist &amp; Proj'!X$83)+1,FALSE),0)</f>
        <v>0</v>
      </c>
      <c r="Y89" s="168">
        <f ca="1">IFERROR(HLOOKUP(Y$83,Data_Formatting!$CT$122:$EC$134,ROW('Hist &amp; Proj'!Y89)-ROW('Hist &amp; Proj'!Y$83)+1,FALSE),0)</f>
        <v>0</v>
      </c>
      <c r="Z89" s="168">
        <f ca="1">IFERROR(HLOOKUP(Z$83,Data_Formatting!$CT$122:$EC$134,ROW('Hist &amp; Proj'!Z89)-ROW('Hist &amp; Proj'!Z$83)+1,FALSE),0)</f>
        <v>0</v>
      </c>
      <c r="AA89" s="168">
        <f ca="1">IFERROR(HLOOKUP(AA$83,Data_Formatting!$CT$122:$EC$134,ROW('Hist &amp; Proj'!AA89)-ROW('Hist &amp; Proj'!AA$83)+1,FALSE),0)</f>
        <v>0</v>
      </c>
      <c r="AB89" s="168">
        <f ca="1">IFERROR(HLOOKUP(AB$83,Data_Formatting!$CT$122:$EC$134,ROW('Hist &amp; Proj'!AB89)-ROW('Hist &amp; Proj'!AB$83)+1,FALSE),0)</f>
        <v>0</v>
      </c>
      <c r="AC89" s="168">
        <f ca="1">IFERROR(HLOOKUP(AC$83,Data_Formatting!$CT$122:$EC$134,ROW('Hist &amp; Proj'!AC89)-ROW('Hist &amp; Proj'!AC$83)+1,FALSE),0)</f>
        <v>0</v>
      </c>
      <c r="AD89" s="168">
        <f ca="1">IFERROR(HLOOKUP(AD$83,Data_Formatting!$CT$122:$EC$134,ROW('Hist &amp; Proj'!AD89)-ROW('Hist &amp; Proj'!AD$83)+1,FALSE),0)</f>
        <v>0</v>
      </c>
      <c r="AE89" s="267" t="e">
        <f ca="1">HLOOKUP(1,S$6:AD89,ROW(AE89)-5,FALSE)</f>
        <v>#N/A</v>
      </c>
      <c r="AF89" s="267" t="e">
        <f t="shared" ca="1" si="29"/>
        <v>#N/A</v>
      </c>
      <c r="AG89" s="198"/>
      <c r="AH89" s="205"/>
      <c r="AI89" s="205"/>
      <c r="AJ89" s="205"/>
      <c r="AK89" s="205"/>
      <c r="AL89" s="205"/>
      <c r="AM89" s="198"/>
      <c r="AN89" s="198"/>
      <c r="AO89" s="198"/>
      <c r="AP89" s="198"/>
      <c r="AQ89" s="198"/>
      <c r="AR89" s="198"/>
      <c r="AS89" s="198"/>
      <c r="AT89" s="159"/>
      <c r="AU89" s="198"/>
      <c r="AV89" s="198"/>
      <c r="AW89" s="198"/>
      <c r="AX89" s="198"/>
      <c r="AY89" s="198"/>
      <c r="AZ89" s="159"/>
    </row>
    <row r="90" spans="1:52" s="213" customFormat="1">
      <c r="A90" s="308" t="s">
        <v>407</v>
      </c>
      <c r="B90" s="168">
        <f>IFERROR(HLOOKUP(B$83,Data_Formatting!$EF$122:$EJ$134,ROW('Hist &amp; Proj'!B90)-ROW('Hist &amp; Proj'!B$83)+1,FALSE),0)</f>
        <v>0</v>
      </c>
      <c r="C90" s="168">
        <f>IFERROR(HLOOKUP(C$83,Data_Formatting!$EF$122:$EJ$134,ROW('Hist &amp; Proj'!C90)-ROW('Hist &amp; Proj'!C$83)+1,FALSE),0)</f>
        <v>0</v>
      </c>
      <c r="D90" s="168">
        <f>IFERROR(HLOOKUP(D$83,Data_Formatting!$EF$122:$EJ$134,ROW('Hist &amp; Proj'!D90)-ROW('Hist &amp; Proj'!D$83)+1,FALSE),0)</f>
        <v>0</v>
      </c>
      <c r="E90" s="168">
        <f>IFERROR(HLOOKUP(E$83,Data_Formatting!$EF$122:$EJ$134,ROW('Hist &amp; Proj'!E90)-ROW('Hist &amp; Proj'!E$83)+1,FALSE),0)</f>
        <v>0</v>
      </c>
      <c r="F90" s="168">
        <f ca="1">IFERROR(HLOOKUP(F$83,Data_Formatting!$CT$122:$EC$134,ROW('Hist &amp; Proj'!F90)-ROW('Hist &amp; Proj'!F$83)+1,FALSE),0)</f>
        <v>0</v>
      </c>
      <c r="G90" s="168">
        <f ca="1">IFERROR(HLOOKUP(G$83,Data_Formatting!$CT$122:$EC$134,ROW('Hist &amp; Proj'!G90)-ROW('Hist &amp; Proj'!G$83)+1,FALSE),0)</f>
        <v>0</v>
      </c>
      <c r="H90" s="168">
        <f ca="1">IFERROR(HLOOKUP(H$83,Data_Formatting!$CT$122:$EC$134,ROW('Hist &amp; Proj'!H90)-ROW('Hist &amp; Proj'!H$83)+1,FALSE),0)</f>
        <v>0</v>
      </c>
      <c r="I90" s="168">
        <f ca="1">IFERROR(HLOOKUP(I$83,Data_Formatting!$CT$122:$EC$134,ROW('Hist &amp; Proj'!I90)-ROW('Hist &amp; Proj'!I$83)+1,FALSE),0)</f>
        <v>0</v>
      </c>
      <c r="J90" s="168">
        <f ca="1">IFERROR(HLOOKUP(J$83,Data_Formatting!$CT$122:$EC$134,ROW('Hist &amp; Proj'!J90)-ROW('Hist &amp; Proj'!J$83)+1,FALSE),0)</f>
        <v>0</v>
      </c>
      <c r="K90" s="168">
        <f ca="1">IFERROR(HLOOKUP(K$83,Data_Formatting!$CT$122:$EC$134,ROW('Hist &amp; Proj'!K90)-ROW('Hist &amp; Proj'!K$83)+1,FALSE),0)</f>
        <v>0</v>
      </c>
      <c r="L90" s="168">
        <f ca="1">IFERROR(HLOOKUP(L$83,Data_Formatting!$CT$122:$EC$134,ROW('Hist &amp; Proj'!L90)-ROW('Hist &amp; Proj'!L$83)+1,FALSE),0)</f>
        <v>0</v>
      </c>
      <c r="M90" s="168">
        <f ca="1">IFERROR(HLOOKUP(M$83,Data_Formatting!$CT$122:$EC$134,ROW('Hist &amp; Proj'!M90)-ROW('Hist &amp; Proj'!M$83)+1,FALSE),0)</f>
        <v>0</v>
      </c>
      <c r="N90" s="168">
        <f ca="1">IFERROR(HLOOKUP(N$83,Data_Formatting!$CT$122:$EC$134,ROW('Hist &amp; Proj'!N90)-ROW('Hist &amp; Proj'!N$83)+1,FALSE),0)</f>
        <v>0</v>
      </c>
      <c r="O90" s="168">
        <f ca="1">IFERROR(HLOOKUP(O$83,Data_Formatting!$CT$122:$EC$134,ROW('Hist &amp; Proj'!O90)-ROW('Hist &amp; Proj'!O$83)+1,FALSE),0)</f>
        <v>0</v>
      </c>
      <c r="P90" s="168">
        <f ca="1">IFERROR(HLOOKUP(P$83,Data_Formatting!$CT$122:$EC$134,ROW('Hist &amp; Proj'!P90)-ROW('Hist &amp; Proj'!P$83)+1,FALSE),0)</f>
        <v>0</v>
      </c>
      <c r="Q90" s="168">
        <f ca="1">IFERROR(HLOOKUP(Q$83,Data_Formatting!$CT$122:$EC$134,ROW('Hist &amp; Proj'!Q90)-ROW('Hist &amp; Proj'!Q$83)+1,FALSE),0)</f>
        <v>0</v>
      </c>
      <c r="R90" s="168">
        <f ca="1">IFERROR(HLOOKUP(R$83,Data_Formatting!$EF$122:$EJ$134,ROW('Hist &amp; Proj'!R90)-ROW('Hist &amp; Proj'!R$83)+1,FALSE),0)</f>
        <v>0</v>
      </c>
      <c r="S90" s="168">
        <f ca="1">IFERROR(HLOOKUP(S$83,Data_Formatting!$CT$122:$EC$134,ROW('Hist &amp; Proj'!S90)-ROW('Hist &amp; Proj'!S$83)+1,FALSE),0)</f>
        <v>0</v>
      </c>
      <c r="T90" s="168">
        <f ca="1">IFERROR(HLOOKUP(T$83,Data_Formatting!$CT$122:$EC$134,ROW('Hist &amp; Proj'!T90)-ROW('Hist &amp; Proj'!T$83)+1,FALSE),0)</f>
        <v>0</v>
      </c>
      <c r="U90" s="168">
        <f ca="1">IFERROR(HLOOKUP(U$83,Data_Formatting!$CT$122:$EC$134,ROW('Hist &amp; Proj'!U90)-ROW('Hist &amp; Proj'!U$83)+1,FALSE),0)</f>
        <v>0</v>
      </c>
      <c r="V90" s="168">
        <f ca="1">IFERROR(HLOOKUP(V$83,Data_Formatting!$CT$122:$EC$134,ROW('Hist &amp; Proj'!V90)-ROW('Hist &amp; Proj'!V$83)+1,FALSE),0)</f>
        <v>0</v>
      </c>
      <c r="W90" s="168">
        <f ca="1">IFERROR(HLOOKUP(W$83,Data_Formatting!$CT$122:$EC$134,ROW('Hist &amp; Proj'!W90)-ROW('Hist &amp; Proj'!W$83)+1,FALSE),0)</f>
        <v>0</v>
      </c>
      <c r="X90" s="168">
        <f ca="1">IFERROR(HLOOKUP(X$83,Data_Formatting!$CT$122:$EC$134,ROW('Hist &amp; Proj'!X90)-ROW('Hist &amp; Proj'!X$83)+1,FALSE),0)</f>
        <v>0</v>
      </c>
      <c r="Y90" s="168">
        <f ca="1">IFERROR(HLOOKUP(Y$83,Data_Formatting!$CT$122:$EC$134,ROW('Hist &amp; Proj'!Y90)-ROW('Hist &amp; Proj'!Y$83)+1,FALSE),0)</f>
        <v>0</v>
      </c>
      <c r="Z90" s="168">
        <f ca="1">IFERROR(HLOOKUP(Z$83,Data_Formatting!$CT$122:$EC$134,ROW('Hist &amp; Proj'!Z90)-ROW('Hist &amp; Proj'!Z$83)+1,FALSE),0)</f>
        <v>0</v>
      </c>
      <c r="AA90" s="168">
        <f ca="1">IFERROR(HLOOKUP(AA$83,Data_Formatting!$CT$122:$EC$134,ROW('Hist &amp; Proj'!AA90)-ROW('Hist &amp; Proj'!AA$83)+1,FALSE),0)</f>
        <v>0</v>
      </c>
      <c r="AB90" s="168">
        <f ca="1">IFERROR(HLOOKUP(AB$83,Data_Formatting!$CT$122:$EC$134,ROW('Hist &amp; Proj'!AB90)-ROW('Hist &amp; Proj'!AB$83)+1,FALSE),0)</f>
        <v>0</v>
      </c>
      <c r="AC90" s="168">
        <f ca="1">IFERROR(HLOOKUP(AC$83,Data_Formatting!$CT$122:$EC$134,ROW('Hist &amp; Proj'!AC90)-ROW('Hist &amp; Proj'!AC$83)+1,FALSE),0)</f>
        <v>0</v>
      </c>
      <c r="AD90" s="168">
        <f ca="1">IFERROR(HLOOKUP(AD$83,Data_Formatting!$CT$122:$EC$134,ROW('Hist &amp; Proj'!AD90)-ROW('Hist &amp; Proj'!AD$83)+1,FALSE),0)</f>
        <v>0</v>
      </c>
      <c r="AE90" s="267" t="e">
        <f ca="1">HLOOKUP(1,S$6:AD90,ROW(AE90)-5,FALSE)</f>
        <v>#N/A</v>
      </c>
      <c r="AF90" s="267" t="e">
        <f t="shared" ca="1" si="29"/>
        <v>#N/A</v>
      </c>
      <c r="AG90" s="198"/>
      <c r="AH90" s="205"/>
      <c r="AI90" s="205"/>
      <c r="AJ90" s="205">
        <v>0</v>
      </c>
      <c r="AK90" s="205">
        <v>0</v>
      </c>
      <c r="AL90" s="205">
        <v>0</v>
      </c>
      <c r="AM90" s="198"/>
      <c r="AN90" s="198"/>
      <c r="AO90" s="198"/>
      <c r="AP90" s="198"/>
      <c r="AQ90" s="198"/>
      <c r="AR90" s="198"/>
      <c r="AS90" s="198"/>
      <c r="AT90" s="159"/>
      <c r="AU90" s="198"/>
      <c r="AV90" s="198"/>
      <c r="AW90" s="198"/>
      <c r="AX90" s="198"/>
      <c r="AY90" s="198"/>
      <c r="AZ90" s="159"/>
    </row>
    <row r="91" spans="1:52" s="213" customFormat="1">
      <c r="A91" s="308" t="s">
        <v>52</v>
      </c>
      <c r="B91" s="168">
        <f>IFERROR(HLOOKUP(B$83,Data_Formatting!$EF$122:$EJ$134,ROW('Hist &amp; Proj'!B91)-ROW('Hist &amp; Proj'!B$83)+1,FALSE),0)</f>
        <v>0</v>
      </c>
      <c r="C91" s="168">
        <f>IFERROR(HLOOKUP(C$83,Data_Formatting!$EF$122:$EJ$134,ROW('Hist &amp; Proj'!C91)-ROW('Hist &amp; Proj'!C$83)+1,FALSE),0)</f>
        <v>0</v>
      </c>
      <c r="D91" s="168">
        <f>IFERROR(HLOOKUP(D$83,Data_Formatting!$EF$122:$EJ$134,ROW('Hist &amp; Proj'!D91)-ROW('Hist &amp; Proj'!D$83)+1,FALSE),0)</f>
        <v>0</v>
      </c>
      <c r="E91" s="168">
        <f>IFERROR(HLOOKUP(E$83,Data_Formatting!$EF$122:$EJ$134,ROW('Hist &amp; Proj'!E91)-ROW('Hist &amp; Proj'!E$83)+1,FALSE),0)</f>
        <v>0</v>
      </c>
      <c r="F91" s="168">
        <f ca="1">IFERROR(HLOOKUP(F$83,Data_Formatting!$CT$122:$EC$134,ROW('Hist &amp; Proj'!F91)-ROW('Hist &amp; Proj'!F$83)+1,FALSE),0)</f>
        <v>0</v>
      </c>
      <c r="G91" s="168">
        <f ca="1">IFERROR(HLOOKUP(G$83,Data_Formatting!$CT$122:$EC$134,ROW('Hist &amp; Proj'!G91)-ROW('Hist &amp; Proj'!G$83)+1,FALSE),0)</f>
        <v>0</v>
      </c>
      <c r="H91" s="168">
        <f ca="1">IFERROR(HLOOKUP(H$83,Data_Formatting!$CT$122:$EC$134,ROW('Hist &amp; Proj'!H91)-ROW('Hist &amp; Proj'!H$83)+1,FALSE),0)</f>
        <v>0</v>
      </c>
      <c r="I91" s="168">
        <f ca="1">IFERROR(HLOOKUP(I$83,Data_Formatting!$CT$122:$EC$134,ROW('Hist &amp; Proj'!I91)-ROW('Hist &amp; Proj'!I$83)+1,FALSE),0)</f>
        <v>0</v>
      </c>
      <c r="J91" s="168">
        <f ca="1">IFERROR(HLOOKUP(J$83,Data_Formatting!$CT$122:$EC$134,ROW('Hist &amp; Proj'!J91)-ROW('Hist &amp; Proj'!J$83)+1,FALSE),0)</f>
        <v>0</v>
      </c>
      <c r="K91" s="168">
        <f ca="1">IFERROR(HLOOKUP(K$83,Data_Formatting!$CT$122:$EC$134,ROW('Hist &amp; Proj'!K91)-ROW('Hist &amp; Proj'!K$83)+1,FALSE),0)</f>
        <v>0</v>
      </c>
      <c r="L91" s="168">
        <f ca="1">IFERROR(HLOOKUP(L$83,Data_Formatting!$CT$122:$EC$134,ROW('Hist &amp; Proj'!L91)-ROW('Hist &amp; Proj'!L$83)+1,FALSE),0)</f>
        <v>0</v>
      </c>
      <c r="M91" s="168">
        <f ca="1">IFERROR(HLOOKUP(M$83,Data_Formatting!$CT$122:$EC$134,ROW('Hist &amp; Proj'!M91)-ROW('Hist &amp; Proj'!M$83)+1,FALSE),0)</f>
        <v>0</v>
      </c>
      <c r="N91" s="168">
        <f ca="1">IFERROR(HLOOKUP(N$83,Data_Formatting!$CT$122:$EC$134,ROW('Hist &amp; Proj'!N91)-ROW('Hist &amp; Proj'!N$83)+1,FALSE),0)</f>
        <v>0</v>
      </c>
      <c r="O91" s="168">
        <f ca="1">IFERROR(HLOOKUP(O$83,Data_Formatting!$CT$122:$EC$134,ROW('Hist &amp; Proj'!O91)-ROW('Hist &amp; Proj'!O$83)+1,FALSE),0)</f>
        <v>0</v>
      </c>
      <c r="P91" s="168">
        <f ca="1">IFERROR(HLOOKUP(P$83,Data_Formatting!$CT$122:$EC$134,ROW('Hist &amp; Proj'!P91)-ROW('Hist &amp; Proj'!P$83)+1,FALSE),0)</f>
        <v>0</v>
      </c>
      <c r="Q91" s="168">
        <f ca="1">IFERROR(HLOOKUP(Q$83,Data_Formatting!$CT$122:$EC$134,ROW('Hist &amp; Proj'!Q91)-ROW('Hist &amp; Proj'!Q$83)+1,FALSE),0)</f>
        <v>0</v>
      </c>
      <c r="R91" s="168">
        <f ca="1">IFERROR(HLOOKUP(R$83,Data_Formatting!$EF$122:$EJ$134,ROW('Hist &amp; Proj'!R91)-ROW('Hist &amp; Proj'!R$83)+1,FALSE),0)</f>
        <v>0</v>
      </c>
      <c r="S91" s="168">
        <f ca="1">IFERROR(HLOOKUP(S$83,Data_Formatting!$CT$122:$EC$134,ROW('Hist &amp; Proj'!S91)-ROW('Hist &amp; Proj'!S$83)+1,FALSE),0)</f>
        <v>0</v>
      </c>
      <c r="T91" s="168">
        <f ca="1">IFERROR(HLOOKUP(T$83,Data_Formatting!$CT$122:$EC$134,ROW('Hist &amp; Proj'!T91)-ROW('Hist &amp; Proj'!T$83)+1,FALSE),0)</f>
        <v>0</v>
      </c>
      <c r="U91" s="168">
        <f ca="1">IFERROR(HLOOKUP(U$83,Data_Formatting!$CT$122:$EC$134,ROW('Hist &amp; Proj'!U91)-ROW('Hist &amp; Proj'!U$83)+1,FALSE),0)</f>
        <v>0</v>
      </c>
      <c r="V91" s="168">
        <f ca="1">IFERROR(HLOOKUP(V$83,Data_Formatting!$CT$122:$EC$134,ROW('Hist &amp; Proj'!V91)-ROW('Hist &amp; Proj'!V$83)+1,FALSE),0)</f>
        <v>0</v>
      </c>
      <c r="W91" s="168">
        <f ca="1">IFERROR(HLOOKUP(W$83,Data_Formatting!$CT$122:$EC$134,ROW('Hist &amp; Proj'!W91)-ROW('Hist &amp; Proj'!W$83)+1,FALSE),0)</f>
        <v>0</v>
      </c>
      <c r="X91" s="168">
        <f ca="1">IFERROR(HLOOKUP(X$83,Data_Formatting!$CT$122:$EC$134,ROW('Hist &amp; Proj'!X91)-ROW('Hist &amp; Proj'!X$83)+1,FALSE),0)</f>
        <v>0</v>
      </c>
      <c r="Y91" s="168">
        <f ca="1">IFERROR(HLOOKUP(Y$83,Data_Formatting!$CT$122:$EC$134,ROW('Hist &amp; Proj'!Y91)-ROW('Hist &amp; Proj'!Y$83)+1,FALSE),0)</f>
        <v>0</v>
      </c>
      <c r="Z91" s="168">
        <f ca="1">IFERROR(HLOOKUP(Z$83,Data_Formatting!$CT$122:$EC$134,ROW('Hist &amp; Proj'!Z91)-ROW('Hist &amp; Proj'!Z$83)+1,FALSE),0)</f>
        <v>0</v>
      </c>
      <c r="AA91" s="168">
        <f ca="1">IFERROR(HLOOKUP(AA$83,Data_Formatting!$CT$122:$EC$134,ROW('Hist &amp; Proj'!AA91)-ROW('Hist &amp; Proj'!AA$83)+1,FALSE),0)</f>
        <v>0</v>
      </c>
      <c r="AB91" s="168">
        <f ca="1">IFERROR(HLOOKUP(AB$83,Data_Formatting!$CT$122:$EC$134,ROW('Hist &amp; Proj'!AB91)-ROW('Hist &amp; Proj'!AB$83)+1,FALSE),0)</f>
        <v>0</v>
      </c>
      <c r="AC91" s="168">
        <f ca="1">IFERROR(HLOOKUP(AC$83,Data_Formatting!$CT$122:$EC$134,ROW('Hist &amp; Proj'!AC91)-ROW('Hist &amp; Proj'!AC$83)+1,FALSE),0)</f>
        <v>0</v>
      </c>
      <c r="AD91" s="168">
        <f ca="1">IFERROR(HLOOKUP(AD$83,Data_Formatting!$CT$122:$EC$134,ROW('Hist &amp; Proj'!AD91)-ROW('Hist &amp; Proj'!AD$83)+1,FALSE),0)</f>
        <v>0</v>
      </c>
      <c r="AE91" s="267" t="e">
        <f ca="1">HLOOKUP(1,S$6:AD91,ROW(AE91)-5,FALSE)</f>
        <v>#N/A</v>
      </c>
      <c r="AF91" s="267" t="e">
        <f t="shared" ca="1" si="29"/>
        <v>#N/A</v>
      </c>
      <c r="AG91" s="198"/>
      <c r="AH91" s="205"/>
      <c r="AI91" s="205"/>
      <c r="AJ91" s="205"/>
      <c r="AK91" s="205"/>
      <c r="AL91" s="205"/>
      <c r="AM91" s="198"/>
      <c r="AN91" s="198"/>
      <c r="AO91" s="198"/>
      <c r="AP91" s="198"/>
      <c r="AQ91" s="198"/>
      <c r="AR91" s="198"/>
      <c r="AS91" s="198"/>
      <c r="AT91" s="159"/>
      <c r="AU91" s="198"/>
      <c r="AV91" s="198"/>
      <c r="AW91" s="198"/>
      <c r="AX91" s="198"/>
      <c r="AY91" s="198"/>
      <c r="AZ91" s="159"/>
    </row>
    <row r="92" spans="1:52" s="213" customFormat="1">
      <c r="A92" s="307" t="s">
        <v>53</v>
      </c>
      <c r="B92" s="168">
        <f>IFERROR(HLOOKUP(B$83,Data_Formatting!$EF$122:$EJ$134,ROW('Hist &amp; Proj'!B92)-ROW('Hist &amp; Proj'!B$83)+1,FALSE),0)</f>
        <v>0</v>
      </c>
      <c r="C92" s="168">
        <f>IFERROR(HLOOKUP(C$83,Data_Formatting!$EF$122:$EJ$134,ROW('Hist &amp; Proj'!C92)-ROW('Hist &amp; Proj'!C$83)+1,FALSE),0)</f>
        <v>0</v>
      </c>
      <c r="D92" s="168">
        <f>IFERROR(HLOOKUP(D$83,Data_Formatting!$EF$122:$EJ$134,ROW('Hist &amp; Proj'!D92)-ROW('Hist &amp; Proj'!D$83)+1,FALSE),0)</f>
        <v>0</v>
      </c>
      <c r="E92" s="168">
        <f>IFERROR(HLOOKUP(E$83,Data_Formatting!$EF$122:$EJ$134,ROW('Hist &amp; Proj'!E92)-ROW('Hist &amp; Proj'!E$83)+1,FALSE),0)</f>
        <v>0</v>
      </c>
      <c r="F92" s="168">
        <f ca="1">IFERROR(HLOOKUP(F$83,Data_Formatting!$CT$122:$EC$134,ROW('Hist &amp; Proj'!F92)-ROW('Hist &amp; Proj'!F$83)+1,FALSE),0)</f>
        <v>0</v>
      </c>
      <c r="G92" s="168">
        <f ca="1">IFERROR(HLOOKUP(G$83,Data_Formatting!$CT$122:$EC$134,ROW('Hist &amp; Proj'!G92)-ROW('Hist &amp; Proj'!G$83)+1,FALSE),0)</f>
        <v>0</v>
      </c>
      <c r="H92" s="168">
        <f ca="1">IFERROR(HLOOKUP(H$83,Data_Formatting!$CT$122:$EC$134,ROW('Hist &amp; Proj'!H92)-ROW('Hist &amp; Proj'!H$83)+1,FALSE),0)</f>
        <v>0</v>
      </c>
      <c r="I92" s="168">
        <f ca="1">IFERROR(HLOOKUP(I$83,Data_Formatting!$CT$122:$EC$134,ROW('Hist &amp; Proj'!I92)-ROW('Hist &amp; Proj'!I$83)+1,FALSE),0)</f>
        <v>0</v>
      </c>
      <c r="J92" s="168">
        <f ca="1">IFERROR(HLOOKUP(J$83,Data_Formatting!$CT$122:$EC$134,ROW('Hist &amp; Proj'!J92)-ROW('Hist &amp; Proj'!J$83)+1,FALSE),0)</f>
        <v>0</v>
      </c>
      <c r="K92" s="168">
        <f ca="1">IFERROR(HLOOKUP(K$83,Data_Formatting!$CT$122:$EC$134,ROW('Hist &amp; Proj'!K92)-ROW('Hist &amp; Proj'!K$83)+1,FALSE),0)</f>
        <v>0</v>
      </c>
      <c r="L92" s="168">
        <f ca="1">IFERROR(HLOOKUP(L$83,Data_Formatting!$CT$122:$EC$134,ROW('Hist &amp; Proj'!L92)-ROW('Hist &amp; Proj'!L$83)+1,FALSE),0)</f>
        <v>0</v>
      </c>
      <c r="M92" s="168">
        <f ca="1">IFERROR(HLOOKUP(M$83,Data_Formatting!$CT$122:$EC$134,ROW('Hist &amp; Proj'!M92)-ROW('Hist &amp; Proj'!M$83)+1,FALSE),0)</f>
        <v>0</v>
      </c>
      <c r="N92" s="168">
        <f ca="1">IFERROR(HLOOKUP(N$83,Data_Formatting!$CT$122:$EC$134,ROW('Hist &amp; Proj'!N92)-ROW('Hist &amp; Proj'!N$83)+1,FALSE),0)</f>
        <v>0</v>
      </c>
      <c r="O92" s="168">
        <f ca="1">IFERROR(HLOOKUP(O$83,Data_Formatting!$CT$122:$EC$134,ROW('Hist &amp; Proj'!O92)-ROW('Hist &amp; Proj'!O$83)+1,FALSE),0)</f>
        <v>0</v>
      </c>
      <c r="P92" s="168">
        <f ca="1">IFERROR(HLOOKUP(P$83,Data_Formatting!$CT$122:$EC$134,ROW('Hist &amp; Proj'!P92)-ROW('Hist &amp; Proj'!P$83)+1,FALSE),0)</f>
        <v>0</v>
      </c>
      <c r="Q92" s="168">
        <f ca="1">IFERROR(HLOOKUP(Q$83,Data_Formatting!$CT$122:$EC$134,ROW('Hist &amp; Proj'!Q92)-ROW('Hist &amp; Proj'!Q$83)+1,FALSE),0)</f>
        <v>0</v>
      </c>
      <c r="R92" s="168">
        <f ca="1">IFERROR(HLOOKUP(R$83,Data_Formatting!$EF$122:$EJ$134,ROW('Hist &amp; Proj'!R92)-ROW('Hist &amp; Proj'!R$83)+1,FALSE),0)</f>
        <v>0</v>
      </c>
      <c r="S92" s="168">
        <f ca="1">IFERROR(HLOOKUP(S$83,Data_Formatting!$CT$122:$EC$134,ROW('Hist &amp; Proj'!S92)-ROW('Hist &amp; Proj'!S$83)+1,FALSE),0)</f>
        <v>0</v>
      </c>
      <c r="T92" s="168">
        <f ca="1">IFERROR(HLOOKUP(T$83,Data_Formatting!$CT$122:$EC$134,ROW('Hist &amp; Proj'!T92)-ROW('Hist &amp; Proj'!T$83)+1,FALSE),0)</f>
        <v>0</v>
      </c>
      <c r="U92" s="168">
        <f ca="1">IFERROR(HLOOKUP(U$83,Data_Formatting!$CT$122:$EC$134,ROW('Hist &amp; Proj'!U92)-ROW('Hist &amp; Proj'!U$83)+1,FALSE),0)</f>
        <v>0</v>
      </c>
      <c r="V92" s="168">
        <f ca="1">IFERROR(HLOOKUP(V$83,Data_Formatting!$CT$122:$EC$134,ROW('Hist &amp; Proj'!V92)-ROW('Hist &amp; Proj'!V$83)+1,FALSE),0)</f>
        <v>0</v>
      </c>
      <c r="W92" s="168">
        <f ca="1">IFERROR(HLOOKUP(W$83,Data_Formatting!$CT$122:$EC$134,ROW('Hist &amp; Proj'!W92)-ROW('Hist &amp; Proj'!W$83)+1,FALSE),0)</f>
        <v>0</v>
      </c>
      <c r="X92" s="168">
        <f ca="1">IFERROR(HLOOKUP(X$83,Data_Formatting!$CT$122:$EC$134,ROW('Hist &amp; Proj'!X92)-ROW('Hist &amp; Proj'!X$83)+1,FALSE),0)</f>
        <v>0</v>
      </c>
      <c r="Y92" s="168">
        <f ca="1">IFERROR(HLOOKUP(Y$83,Data_Formatting!$CT$122:$EC$134,ROW('Hist &amp; Proj'!Y92)-ROW('Hist &amp; Proj'!Y$83)+1,FALSE),0)</f>
        <v>0</v>
      </c>
      <c r="Z92" s="168">
        <f ca="1">IFERROR(HLOOKUP(Z$83,Data_Formatting!$CT$122:$EC$134,ROW('Hist &amp; Proj'!Z92)-ROW('Hist &amp; Proj'!Z$83)+1,FALSE),0)</f>
        <v>0</v>
      </c>
      <c r="AA92" s="168">
        <f ca="1">IFERROR(HLOOKUP(AA$83,Data_Formatting!$CT$122:$EC$134,ROW('Hist &amp; Proj'!AA92)-ROW('Hist &amp; Proj'!AA$83)+1,FALSE),0)</f>
        <v>0</v>
      </c>
      <c r="AB92" s="168">
        <f ca="1">IFERROR(HLOOKUP(AB$83,Data_Formatting!$CT$122:$EC$134,ROW('Hist &amp; Proj'!AB92)-ROW('Hist &amp; Proj'!AB$83)+1,FALSE),0)</f>
        <v>0</v>
      </c>
      <c r="AC92" s="168">
        <f ca="1">IFERROR(HLOOKUP(AC$83,Data_Formatting!$CT$122:$EC$134,ROW('Hist &amp; Proj'!AC92)-ROW('Hist &amp; Proj'!AC$83)+1,FALSE),0)</f>
        <v>0</v>
      </c>
      <c r="AD92" s="168">
        <f ca="1">IFERROR(HLOOKUP(AD$83,Data_Formatting!$CT$122:$EC$134,ROW('Hist &amp; Proj'!AD92)-ROW('Hist &amp; Proj'!AD$83)+1,FALSE),0)</f>
        <v>0</v>
      </c>
      <c r="AE92" s="267" t="e">
        <f ca="1">HLOOKUP(1,S$6:AD92,ROW(AE92)-5,FALSE)</f>
        <v>#N/A</v>
      </c>
      <c r="AF92" s="267" t="e">
        <f t="shared" ca="1" si="29"/>
        <v>#N/A</v>
      </c>
      <c r="AG92" s="198"/>
      <c r="AH92" s="205"/>
      <c r="AI92" s="205"/>
      <c r="AJ92" s="205">
        <v>0</v>
      </c>
      <c r="AK92" s="205">
        <v>0</v>
      </c>
      <c r="AL92" s="205">
        <v>0</v>
      </c>
      <c r="AM92" s="198"/>
      <c r="AN92" s="198"/>
      <c r="AO92" s="198"/>
      <c r="AP92" s="198"/>
      <c r="AQ92" s="198"/>
      <c r="AR92" s="198"/>
      <c r="AS92" s="198"/>
      <c r="AT92" s="159"/>
      <c r="AU92" s="198"/>
      <c r="AV92" s="198"/>
      <c r="AW92" s="198"/>
      <c r="AX92" s="198"/>
      <c r="AY92" s="198"/>
      <c r="AZ92" s="159"/>
    </row>
    <row r="93" spans="1:52" s="213" customFormat="1">
      <c r="A93" s="1073" t="s">
        <v>949</v>
      </c>
      <c r="B93" s="168">
        <f>IFERROR(HLOOKUP(B$83,Data_Formatting!$EF$122:$EJ$134,ROW('Hist &amp; Proj'!B93)-ROW('Hist &amp; Proj'!B$83)+1,FALSE),0)</f>
        <v>0</v>
      </c>
      <c r="C93" s="168">
        <f>IFERROR(HLOOKUP(C$83,Data_Formatting!$EF$122:$EJ$134,ROW('Hist &amp; Proj'!C93)-ROW('Hist &amp; Proj'!C$83)+1,FALSE),0)</f>
        <v>0</v>
      </c>
      <c r="D93" s="168">
        <f>IFERROR(HLOOKUP(D$83,Data_Formatting!$EF$122:$EJ$134,ROW('Hist &amp; Proj'!D93)-ROW('Hist &amp; Proj'!D$83)+1,FALSE),0)</f>
        <v>0</v>
      </c>
      <c r="E93" s="168">
        <f>IFERROR(HLOOKUP(E$83,Data_Formatting!$EF$122:$EJ$134,ROW('Hist &amp; Proj'!E93)-ROW('Hist &amp; Proj'!E$83)+1,FALSE),0)</f>
        <v>0</v>
      </c>
      <c r="F93" s="168">
        <f ca="1">IFERROR(HLOOKUP(F$83,Data_Formatting!$CT$145:$EC$149,2,FALSE),0)</f>
        <v>0</v>
      </c>
      <c r="G93" s="168">
        <f ca="1">IFERROR(HLOOKUP(G$83,Data_Formatting!$CT$145:$EC$149,2,FALSE),0)</f>
        <v>0</v>
      </c>
      <c r="H93" s="168">
        <f ca="1">IFERROR(HLOOKUP(H$83,Data_Formatting!$CT$145:$EC$149,2,FALSE),0)</f>
        <v>0</v>
      </c>
      <c r="I93" s="168">
        <f ca="1">IFERROR(HLOOKUP(I$83,Data_Formatting!$CT$145:$EC$149,2,FALSE),0)</f>
        <v>0</v>
      </c>
      <c r="J93" s="168">
        <f ca="1">IFERROR(HLOOKUP(J$83,Data_Formatting!$CT$145:$EC$149,2,FALSE),0)</f>
        <v>0</v>
      </c>
      <c r="K93" s="168">
        <f ca="1">IFERROR(HLOOKUP(K$83,Data_Formatting!$CT$145:$EC$149,2,FALSE),0)</f>
        <v>0</v>
      </c>
      <c r="L93" s="168">
        <f ca="1">IFERROR(HLOOKUP(L$83,Data_Formatting!$CT$145:$EC$149,2,FALSE),0)</f>
        <v>0</v>
      </c>
      <c r="M93" s="168">
        <f ca="1">IFERROR(HLOOKUP(M$83,Data_Formatting!$CT$145:$EC$149,2,FALSE),0)</f>
        <v>0</v>
      </c>
      <c r="N93" s="168">
        <f ca="1">IFERROR(HLOOKUP(N$83,Data_Formatting!$CT$145:$EC$149,2,FALSE),0)</f>
        <v>0</v>
      </c>
      <c r="O93" s="168">
        <f ca="1">IFERROR(HLOOKUP(O$83,Data_Formatting!$CT$145:$EC$149,2,FALSE),0)</f>
        <v>0</v>
      </c>
      <c r="P93" s="168">
        <f ca="1">IFERROR(HLOOKUP(P$83,Data_Formatting!$CT$145:$EC$149,2,FALSE),0)</f>
        <v>0</v>
      </c>
      <c r="Q93" s="168">
        <f ca="1">IFERROR(HLOOKUP(Q$83,Data_Formatting!$CT$145:$EC$149,2,FALSE),0)</f>
        <v>0</v>
      </c>
      <c r="R93" s="168">
        <f ca="1">IFERROR(HLOOKUP(R$83,Data_Formatting!$EF$122:$EJ$134,ROW('Hist &amp; Proj'!R93)-ROW('Hist &amp; Proj'!R$83)+1,FALSE),0)</f>
        <v>0</v>
      </c>
      <c r="S93" s="168">
        <f ca="1">IFERROR(HLOOKUP(S$83,Data_Formatting!$CT$145:$EC$149,2,FALSE),0)</f>
        <v>0</v>
      </c>
      <c r="T93" s="168">
        <f ca="1">IFERROR(HLOOKUP(T$83,Data_Formatting!$CT$145:$EC$149,2,FALSE),0)</f>
        <v>0</v>
      </c>
      <c r="U93" s="168">
        <f ca="1">IFERROR(HLOOKUP(U$83,Data_Formatting!$CT$145:$EC$149,2,FALSE),0)</f>
        <v>0</v>
      </c>
      <c r="V93" s="168">
        <f ca="1">IFERROR(HLOOKUP(V$83,Data_Formatting!$CT$145:$EC$149,2,FALSE),0)</f>
        <v>0</v>
      </c>
      <c r="W93" s="168">
        <f ca="1">IFERROR(HLOOKUP(W$83,Data_Formatting!$CT$145:$EC$149,2,FALSE),0)</f>
        <v>0</v>
      </c>
      <c r="X93" s="168">
        <f ca="1">IFERROR(HLOOKUP(X$83,Data_Formatting!$CT$145:$EC$149,2,FALSE),0)</f>
        <v>0</v>
      </c>
      <c r="Y93" s="168">
        <f ca="1">IFERROR(HLOOKUP(Y$83,Data_Formatting!$CT$145:$EC$149,2,FALSE),0)</f>
        <v>0</v>
      </c>
      <c r="Z93" s="168">
        <f ca="1">IFERROR(HLOOKUP(Z$83,Data_Formatting!$CT$145:$EC$149,2,FALSE),0)</f>
        <v>0</v>
      </c>
      <c r="AA93" s="168">
        <f ca="1">IFERROR(HLOOKUP(AA$83,Data_Formatting!$CT$145:$EC$149,2,FALSE),0)</f>
        <v>0</v>
      </c>
      <c r="AB93" s="168">
        <f ca="1">IFERROR(HLOOKUP(AB$83,Data_Formatting!$CT$145:$EC$149,2,FALSE),0)</f>
        <v>0</v>
      </c>
      <c r="AC93" s="168">
        <f ca="1">IFERROR(HLOOKUP(AC$83,Data_Formatting!$CT$145:$EC$149,2,FALSE),0)</f>
        <v>0</v>
      </c>
      <c r="AD93" s="168">
        <f ca="1">IFERROR(HLOOKUP(AD$83,Data_Formatting!$CT$145:$EC$149,2,FALSE),0)</f>
        <v>0</v>
      </c>
      <c r="AE93" s="267" t="e">
        <f ca="1">HLOOKUP(1,S$6:AD93,ROW(AE93)-5,FALSE)</f>
        <v>#N/A</v>
      </c>
      <c r="AF93" s="267" t="e">
        <f ca="1">HLOOKUP(1,S$6:AD93,ROW(AE93)-5,FALSE)+R93-HLOOKUP(1,F$6:Q93,ROW(AE93)-5,FALSE)</f>
        <v>#N/A</v>
      </c>
      <c r="AG93" s="198"/>
      <c r="AH93" s="205"/>
      <c r="AI93" s="205"/>
      <c r="AJ93" s="205">
        <v>0</v>
      </c>
      <c r="AK93" s="205">
        <v>0</v>
      </c>
      <c r="AL93" s="205">
        <v>0</v>
      </c>
      <c r="AM93" s="198"/>
      <c r="AN93" s="198"/>
      <c r="AO93" s="198"/>
      <c r="AP93" s="198"/>
      <c r="AQ93" s="198"/>
      <c r="AR93" s="198"/>
      <c r="AS93" s="198"/>
      <c r="AT93" s="159"/>
      <c r="AU93" s="198"/>
      <c r="AV93" s="198"/>
      <c r="AW93" s="198"/>
      <c r="AX93" s="198"/>
      <c r="AY93" s="198"/>
      <c r="AZ93" s="159"/>
    </row>
    <row r="94" spans="1:52" s="213" customFormat="1">
      <c r="A94" s="308" t="s">
        <v>363</v>
      </c>
      <c r="B94" s="168">
        <f>IFERROR(HLOOKUP(B$83,Data_Formatting!$EF$122:$EJ$134,ROW('Hist &amp; Proj'!B94)-ROW('Hist &amp; Proj'!B$83)+1,FALSE),0)</f>
        <v>0</v>
      </c>
      <c r="C94" s="168">
        <f>IFERROR(HLOOKUP(C$83,Data_Formatting!$EF$122:$EJ$134,ROW('Hist &amp; Proj'!C94)-ROW('Hist &amp; Proj'!C$83)+1,FALSE),0)</f>
        <v>0</v>
      </c>
      <c r="D94" s="168">
        <f>IFERROR(HLOOKUP(D$83,Data_Formatting!$EF$122:$EJ$134,ROW('Hist &amp; Proj'!D94)-ROW('Hist &amp; Proj'!D$83)+1,FALSE),0)</f>
        <v>0</v>
      </c>
      <c r="E94" s="168">
        <f>IFERROR(HLOOKUP(E$83,Data_Formatting!$EF$122:$EJ$134,ROW('Hist &amp; Proj'!E94)-ROW('Hist &amp; Proj'!E$83)+1,FALSE),0)</f>
        <v>0</v>
      </c>
      <c r="F94" s="168">
        <f ca="1">IFERROR(HLOOKUP(F$83,Data_Formatting!$CT$145:$EC$149,3,FALSE),0)</f>
        <v>0</v>
      </c>
      <c r="G94" s="168">
        <f ca="1">IFERROR(HLOOKUP(G$83,Data_Formatting!$CT$145:$EC$149,3,FALSE),0)</f>
        <v>0</v>
      </c>
      <c r="H94" s="168">
        <f ca="1">IFERROR(HLOOKUP(H$83,Data_Formatting!$CT$145:$EC$149,3,FALSE),0)</f>
        <v>0</v>
      </c>
      <c r="I94" s="168">
        <f ca="1">IFERROR(HLOOKUP(I$83,Data_Formatting!$CT$145:$EC$149,3,FALSE),0)</f>
        <v>0</v>
      </c>
      <c r="J94" s="168">
        <f ca="1">IFERROR(HLOOKUP(J$83,Data_Formatting!$CT$145:$EC$149,3,FALSE),0)</f>
        <v>0</v>
      </c>
      <c r="K94" s="168">
        <f ca="1">IFERROR(HLOOKUP(K$83,Data_Formatting!$CT$145:$EC$149,3,FALSE),0)</f>
        <v>0</v>
      </c>
      <c r="L94" s="168">
        <f ca="1">IFERROR(HLOOKUP(L$83,Data_Formatting!$CT$145:$EC$149,3,FALSE),0)</f>
        <v>0</v>
      </c>
      <c r="M94" s="168">
        <f ca="1">IFERROR(HLOOKUP(M$83,Data_Formatting!$CT$145:$EC$149,3,FALSE),0)</f>
        <v>0</v>
      </c>
      <c r="N94" s="168">
        <f ca="1">IFERROR(HLOOKUP(N$83,Data_Formatting!$CT$145:$EC$149,3,FALSE),0)</f>
        <v>0</v>
      </c>
      <c r="O94" s="168">
        <f ca="1">IFERROR(HLOOKUP(O$83,Data_Formatting!$CT$145:$EC$149,3,FALSE),0)</f>
        <v>0</v>
      </c>
      <c r="P94" s="168">
        <f ca="1">IFERROR(HLOOKUP(P$83,Data_Formatting!$CT$145:$EC$149,3,FALSE),0)</f>
        <v>0</v>
      </c>
      <c r="Q94" s="168">
        <f ca="1">IFERROR(HLOOKUP(Q$83,Data_Formatting!$CT$145:$EC$149,3,FALSE),0)</f>
        <v>0</v>
      </c>
      <c r="R94" s="168">
        <f ca="1">IFERROR(HLOOKUP(R$83,Data_Formatting!$EF$122:$EJ$134,ROW('Hist &amp; Proj'!R94)-ROW('Hist &amp; Proj'!R$83)+1,FALSE),0)</f>
        <v>0</v>
      </c>
      <c r="S94" s="168">
        <f ca="1">IFERROR(HLOOKUP(S$83,Data_Formatting!$CT$145:$EC$149,3,FALSE),0)</f>
        <v>0</v>
      </c>
      <c r="T94" s="168">
        <f ca="1">IFERROR(HLOOKUP(T$83,Data_Formatting!$CT$145:$EC$149,3,FALSE),0)</f>
        <v>0</v>
      </c>
      <c r="U94" s="168">
        <f ca="1">IFERROR(HLOOKUP(U$83,Data_Formatting!$CT$145:$EC$149,3,FALSE),0)</f>
        <v>0</v>
      </c>
      <c r="V94" s="168">
        <f ca="1">IFERROR(HLOOKUP(V$83,Data_Formatting!$CT$122:$EC$134,ROW('Hist &amp; Proj'!V94)-ROW('Hist &amp; Proj'!V$83)+1,FALSE),0)</f>
        <v>0</v>
      </c>
      <c r="W94" s="168">
        <f ca="1">IFERROR(HLOOKUP(W$83,Data_Formatting!$CT$122:$EC$134,ROW('Hist &amp; Proj'!W94)-ROW('Hist &amp; Proj'!W$83)+1,FALSE),0)</f>
        <v>0</v>
      </c>
      <c r="X94" s="168">
        <f ca="1">IFERROR(HLOOKUP(X$83,Data_Formatting!$CT$122:$EC$134,ROW('Hist &amp; Proj'!X94)-ROW('Hist &amp; Proj'!X$83)+1,FALSE),0)</f>
        <v>0</v>
      </c>
      <c r="Y94" s="168">
        <f ca="1">IFERROR(HLOOKUP(Y$83,Data_Formatting!$CT$122:$EC$134,ROW('Hist &amp; Proj'!Y94)-ROW('Hist &amp; Proj'!Y$83)+1,FALSE),0)</f>
        <v>0</v>
      </c>
      <c r="Z94" s="168">
        <f ca="1">IFERROR(HLOOKUP(Z$83,Data_Formatting!$CT$122:$EC$134,ROW('Hist &amp; Proj'!Z94)-ROW('Hist &amp; Proj'!Z$83)+1,FALSE),0)</f>
        <v>0</v>
      </c>
      <c r="AA94" s="168">
        <f ca="1">IFERROR(HLOOKUP(AA$83,Data_Formatting!$CT$122:$EC$134,ROW('Hist &amp; Proj'!AA94)-ROW('Hist &amp; Proj'!AA$83)+1,FALSE),0)</f>
        <v>0</v>
      </c>
      <c r="AB94" s="168">
        <f ca="1">IFERROR(HLOOKUP(AB$83,Data_Formatting!$CT$122:$EC$134,ROW('Hist &amp; Proj'!AB94)-ROW('Hist &amp; Proj'!AB$83)+1,FALSE),0)</f>
        <v>0</v>
      </c>
      <c r="AC94" s="168">
        <f ca="1">IFERROR(HLOOKUP(AC$83,Data_Formatting!$CT$122:$EC$134,ROW('Hist &amp; Proj'!AC94)-ROW('Hist &amp; Proj'!AC$83)+1,FALSE),0)</f>
        <v>0</v>
      </c>
      <c r="AD94" s="168">
        <f ca="1">IFERROR(HLOOKUP(AD$83,Data_Formatting!$CT$122:$EC$134,ROW('Hist &amp; Proj'!AD94)-ROW('Hist &amp; Proj'!AD$83)+1,FALSE),0)</f>
        <v>0</v>
      </c>
      <c r="AE94" s="267" t="e">
        <f ca="1">HLOOKUP(1,S$6:AD94,ROW(AE94)-5,FALSE)</f>
        <v>#N/A</v>
      </c>
      <c r="AF94" s="267" t="e">
        <f ca="1">HLOOKUP(1,S$6:AD94,ROW(AE94)-5,FALSE)+R94-HLOOKUP(1,F$6:Q94,ROW(AE94)-5,FALSE)</f>
        <v>#N/A</v>
      </c>
      <c r="AG94" s="198"/>
      <c r="AH94" s="205"/>
      <c r="AI94" s="205"/>
      <c r="AJ94" s="205">
        <v>0</v>
      </c>
      <c r="AK94" s="205">
        <v>0</v>
      </c>
      <c r="AL94" s="205">
        <v>0</v>
      </c>
      <c r="AM94" s="198"/>
      <c r="AN94" s="198"/>
      <c r="AO94" s="198"/>
      <c r="AP94" s="198"/>
      <c r="AQ94" s="198"/>
      <c r="AR94" s="198"/>
      <c r="AS94" s="198"/>
      <c r="AT94" s="159"/>
      <c r="AU94" s="198"/>
      <c r="AV94" s="198"/>
      <c r="AW94" s="198"/>
      <c r="AX94" s="198"/>
      <c r="AY94" s="198"/>
      <c r="AZ94" s="159"/>
    </row>
    <row r="95" spans="1:52" s="213" customFormat="1">
      <c r="A95" s="309" t="s">
        <v>364</v>
      </c>
      <c r="B95" s="310">
        <f>IF(B93=0,0,B93-B94)</f>
        <v>0</v>
      </c>
      <c r="C95" s="310">
        <f t="shared" ref="C95:AF95" si="30">IF(C93=0,0,C93-C94)</f>
        <v>0</v>
      </c>
      <c r="D95" s="310">
        <f t="shared" si="30"/>
        <v>0</v>
      </c>
      <c r="E95" s="310">
        <f t="shared" si="30"/>
        <v>0</v>
      </c>
      <c r="F95" s="310">
        <f t="shared" ca="1" si="30"/>
        <v>0</v>
      </c>
      <c r="G95" s="310">
        <f t="shared" ca="1" si="30"/>
        <v>0</v>
      </c>
      <c r="H95" s="310">
        <f t="shared" ca="1" si="30"/>
        <v>0</v>
      </c>
      <c r="I95" s="310">
        <f t="shared" ca="1" si="30"/>
        <v>0</v>
      </c>
      <c r="J95" s="310">
        <f t="shared" ca="1" si="30"/>
        <v>0</v>
      </c>
      <c r="K95" s="310">
        <f t="shared" ca="1" si="30"/>
        <v>0</v>
      </c>
      <c r="L95" s="310">
        <f t="shared" ca="1" si="30"/>
        <v>0</v>
      </c>
      <c r="M95" s="310">
        <f t="shared" ca="1" si="30"/>
        <v>0</v>
      </c>
      <c r="N95" s="310">
        <f t="shared" ca="1" si="30"/>
        <v>0</v>
      </c>
      <c r="O95" s="310">
        <f t="shared" ca="1" si="30"/>
        <v>0</v>
      </c>
      <c r="P95" s="310">
        <f t="shared" ca="1" si="30"/>
        <v>0</v>
      </c>
      <c r="Q95" s="310">
        <f t="shared" ca="1" si="30"/>
        <v>0</v>
      </c>
      <c r="R95" s="310">
        <f t="shared" ca="1" si="30"/>
        <v>0</v>
      </c>
      <c r="S95" s="310">
        <f t="shared" ca="1" si="30"/>
        <v>0</v>
      </c>
      <c r="T95" s="310">
        <f t="shared" ca="1" si="30"/>
        <v>0</v>
      </c>
      <c r="U95" s="310">
        <f t="shared" ca="1" si="30"/>
        <v>0</v>
      </c>
      <c r="V95" s="310">
        <f t="shared" ca="1" si="30"/>
        <v>0</v>
      </c>
      <c r="W95" s="310">
        <f t="shared" ca="1" si="30"/>
        <v>0</v>
      </c>
      <c r="X95" s="310">
        <f t="shared" ca="1" si="30"/>
        <v>0</v>
      </c>
      <c r="Y95" s="310">
        <f t="shared" ca="1" si="30"/>
        <v>0</v>
      </c>
      <c r="Z95" s="310">
        <f t="shared" ca="1" si="30"/>
        <v>0</v>
      </c>
      <c r="AA95" s="310">
        <f t="shared" ca="1" si="30"/>
        <v>0</v>
      </c>
      <c r="AB95" s="310">
        <f t="shared" ca="1" si="30"/>
        <v>0</v>
      </c>
      <c r="AC95" s="310">
        <f t="shared" ca="1" si="30"/>
        <v>0</v>
      </c>
      <c r="AD95" s="310">
        <f t="shared" ca="1" si="30"/>
        <v>0</v>
      </c>
      <c r="AE95" s="310" t="e">
        <f t="shared" ca="1" si="30"/>
        <v>#N/A</v>
      </c>
      <c r="AF95" s="310" t="e">
        <f t="shared" ca="1" si="30"/>
        <v>#N/A</v>
      </c>
      <c r="AG95" s="198"/>
      <c r="AH95" s="310">
        <f>IF(AH93=0,0,AH93-AH94)</f>
        <v>0</v>
      </c>
      <c r="AI95" s="310">
        <f>IF(AI93=0,0,AI93-AI94)</f>
        <v>0</v>
      </c>
      <c r="AJ95" s="310">
        <f>IF(AJ93=0,0,AJ93-AJ94)</f>
        <v>0</v>
      </c>
      <c r="AK95" s="310">
        <f>IF(AK93=0,0,AK93-AK94)</f>
        <v>0</v>
      </c>
      <c r="AL95" s="310">
        <f>IF(AL93=0,0,AL93-AL94)</f>
        <v>0</v>
      </c>
      <c r="AM95" s="198"/>
      <c r="AN95" s="198"/>
      <c r="AO95" s="198"/>
      <c r="AP95" s="198"/>
      <c r="AQ95" s="198"/>
      <c r="AR95" s="198"/>
      <c r="AS95" s="198"/>
      <c r="AT95" s="159"/>
      <c r="AU95" s="198"/>
      <c r="AV95" s="198"/>
      <c r="AW95" s="198"/>
      <c r="AX95" s="198"/>
      <c r="AY95" s="198"/>
      <c r="AZ95" s="159"/>
    </row>
    <row r="96" spans="1:52" s="213" customFormat="1">
      <c r="A96" s="282" t="s">
        <v>86</v>
      </c>
      <c r="B96" s="311">
        <f t="shared" ref="B96:AE96" si="31">SUM(B85:B87,B92)</f>
        <v>0</v>
      </c>
      <c r="C96" s="311">
        <f t="shared" si="31"/>
        <v>0</v>
      </c>
      <c r="D96" s="311">
        <f>SUM(D85:D87,D92)</f>
        <v>0</v>
      </c>
      <c r="E96" s="311">
        <f t="shared" si="31"/>
        <v>0</v>
      </c>
      <c r="F96" s="311">
        <f t="shared" ca="1" si="31"/>
        <v>0</v>
      </c>
      <c r="G96" s="311">
        <f t="shared" ca="1" si="31"/>
        <v>0</v>
      </c>
      <c r="H96" s="311">
        <f t="shared" ca="1" si="31"/>
        <v>0</v>
      </c>
      <c r="I96" s="311">
        <f t="shared" ca="1" si="31"/>
        <v>0</v>
      </c>
      <c r="J96" s="311">
        <f t="shared" ca="1" si="31"/>
        <v>0</v>
      </c>
      <c r="K96" s="311">
        <f ca="1">SUM(K85:K87,K92)</f>
        <v>0</v>
      </c>
      <c r="L96" s="311">
        <f t="shared" ca="1" si="31"/>
        <v>0</v>
      </c>
      <c r="M96" s="311">
        <f t="shared" ca="1" si="31"/>
        <v>0</v>
      </c>
      <c r="N96" s="311">
        <f t="shared" ca="1" si="31"/>
        <v>0</v>
      </c>
      <c r="O96" s="311">
        <f t="shared" ca="1" si="31"/>
        <v>0</v>
      </c>
      <c r="P96" s="311">
        <f t="shared" ca="1" si="31"/>
        <v>0</v>
      </c>
      <c r="Q96" s="311">
        <f t="shared" ca="1" si="31"/>
        <v>0</v>
      </c>
      <c r="R96" s="311">
        <f t="shared" ca="1" si="31"/>
        <v>0</v>
      </c>
      <c r="S96" s="311">
        <f t="shared" ca="1" si="31"/>
        <v>0</v>
      </c>
      <c r="T96" s="311">
        <f t="shared" ca="1" si="31"/>
        <v>0</v>
      </c>
      <c r="U96" s="311">
        <f t="shared" ca="1" si="31"/>
        <v>0</v>
      </c>
      <c r="V96" s="311">
        <f t="shared" ca="1" si="31"/>
        <v>0</v>
      </c>
      <c r="W96" s="311">
        <f t="shared" ca="1" si="31"/>
        <v>0</v>
      </c>
      <c r="X96" s="311">
        <f t="shared" ca="1" si="31"/>
        <v>0</v>
      </c>
      <c r="Y96" s="311">
        <f t="shared" ca="1" si="31"/>
        <v>0</v>
      </c>
      <c r="Z96" s="311">
        <f t="shared" ca="1" si="31"/>
        <v>0</v>
      </c>
      <c r="AA96" s="311">
        <f t="shared" ca="1" si="31"/>
        <v>0</v>
      </c>
      <c r="AB96" s="311">
        <f t="shared" ca="1" si="31"/>
        <v>0</v>
      </c>
      <c r="AC96" s="311">
        <f t="shared" ca="1" si="31"/>
        <v>0</v>
      </c>
      <c r="AD96" s="311">
        <f t="shared" ca="1" si="31"/>
        <v>0</v>
      </c>
      <c r="AE96" s="311" t="e">
        <f t="shared" ca="1" si="31"/>
        <v>#N/A</v>
      </c>
      <c r="AF96" s="311"/>
      <c r="AG96" s="234"/>
      <c r="AH96" s="311">
        <f>SUM(AH85:AH87,AH92)</f>
        <v>0</v>
      </c>
      <c r="AI96" s="311">
        <f>SUM(AI85:AI87,AI92)</f>
        <v>0</v>
      </c>
      <c r="AJ96" s="311">
        <f>SUM(AJ85:AJ87,AJ92)</f>
        <v>0</v>
      </c>
      <c r="AK96" s="311">
        <f>SUM(AK85:AK87,AK92)</f>
        <v>0</v>
      </c>
      <c r="AL96" s="311">
        <f>SUM(AL85:AL87,AL92)</f>
        <v>0</v>
      </c>
      <c r="AM96" s="234"/>
      <c r="AN96" s="234"/>
      <c r="AO96" s="234"/>
      <c r="AP96" s="234"/>
      <c r="AQ96" s="234"/>
      <c r="AR96" s="234"/>
      <c r="AS96" s="234"/>
      <c r="AT96" s="159"/>
      <c r="AU96" s="234"/>
      <c r="AV96" s="234"/>
      <c r="AW96" s="234"/>
      <c r="AX96" s="234"/>
      <c r="AY96" s="234"/>
      <c r="AZ96" s="159"/>
    </row>
    <row r="97" spans="1:52">
      <c r="A97" s="235" t="s">
        <v>537</v>
      </c>
      <c r="B97" s="236">
        <f t="shared" ref="B97:AF97" si="32">IF(B96-B22=0,0,IF(ABS(B96-B22)&gt;0,ABS(B96-B22),0))</f>
        <v>0</v>
      </c>
      <c r="C97" s="236">
        <f t="shared" si="32"/>
        <v>0</v>
      </c>
      <c r="D97" s="236">
        <f>IF(D96-D22=0,0,IF(ABS(D96-D22)&gt;0,ABS(D96-D22),0))</f>
        <v>0</v>
      </c>
      <c r="E97" s="236">
        <f t="shared" si="32"/>
        <v>0</v>
      </c>
      <c r="F97" s="236">
        <f t="shared" ca="1" si="32"/>
        <v>0</v>
      </c>
      <c r="G97" s="236">
        <f t="shared" ca="1" si="32"/>
        <v>0</v>
      </c>
      <c r="H97" s="236">
        <f t="shared" ca="1" si="32"/>
        <v>0</v>
      </c>
      <c r="I97" s="236">
        <f t="shared" ca="1" si="32"/>
        <v>0</v>
      </c>
      <c r="J97" s="236">
        <f t="shared" ca="1" si="32"/>
        <v>0</v>
      </c>
      <c r="K97" s="236">
        <f t="shared" ca="1" si="32"/>
        <v>0</v>
      </c>
      <c r="L97" s="236">
        <f t="shared" ca="1" si="32"/>
        <v>0</v>
      </c>
      <c r="M97" s="236">
        <f t="shared" ca="1" si="32"/>
        <v>0</v>
      </c>
      <c r="N97" s="236">
        <f t="shared" ca="1" si="32"/>
        <v>0</v>
      </c>
      <c r="O97" s="236">
        <f t="shared" ca="1" si="32"/>
        <v>0</v>
      </c>
      <c r="P97" s="236">
        <f ca="1">IF(P96-P22=0,0,IF(ABS(P96-P22)&gt;0,ABS(P96-P22),0))</f>
        <v>0</v>
      </c>
      <c r="Q97" s="236">
        <f t="shared" ca="1" si="32"/>
        <v>0</v>
      </c>
      <c r="R97" s="236">
        <f t="shared" ca="1" si="32"/>
        <v>0</v>
      </c>
      <c r="S97" s="236">
        <f t="shared" ca="1" si="32"/>
        <v>0</v>
      </c>
      <c r="T97" s="236">
        <f t="shared" ca="1" si="32"/>
        <v>0</v>
      </c>
      <c r="U97" s="236">
        <f ca="1">IF(U96-U22=0,0,IF(ABS(U96-U22)&gt;0,ABS(U96-U22),0))</f>
        <v>0</v>
      </c>
      <c r="V97" s="236">
        <f t="shared" ca="1" si="32"/>
        <v>0</v>
      </c>
      <c r="W97" s="236">
        <f t="shared" ca="1" si="32"/>
        <v>0</v>
      </c>
      <c r="X97" s="236">
        <f t="shared" ca="1" si="32"/>
        <v>0</v>
      </c>
      <c r="Y97" s="236">
        <f t="shared" ca="1" si="32"/>
        <v>0</v>
      </c>
      <c r="Z97" s="236">
        <f t="shared" ca="1" si="32"/>
        <v>0</v>
      </c>
      <c r="AA97" s="236">
        <f t="shared" ca="1" si="32"/>
        <v>0</v>
      </c>
      <c r="AB97" s="236">
        <f t="shared" ca="1" si="32"/>
        <v>0</v>
      </c>
      <c r="AC97" s="236">
        <f t="shared" ca="1" si="32"/>
        <v>0</v>
      </c>
      <c r="AD97" s="236">
        <f t="shared" ca="1" si="32"/>
        <v>0</v>
      </c>
      <c r="AE97" s="236" t="e">
        <f t="shared" ca="1" si="32"/>
        <v>#N/A</v>
      </c>
      <c r="AF97" s="236">
        <f t="shared" si="32"/>
        <v>0</v>
      </c>
      <c r="AG97" s="167"/>
      <c r="AH97" s="236">
        <f>IF(AH96-AH22=0,0,IF(ABS(AH96-AH22)&gt;0,ABS(AH96-AH22),0))</f>
        <v>0</v>
      </c>
      <c r="AI97" s="236">
        <f>IF(AI96-AI22=0,0,IF(ABS(AI96-AI22)&gt;0,ABS(AI96-AI22),0))</f>
        <v>0</v>
      </c>
      <c r="AJ97" s="236">
        <f>IF(AJ96-AJ22=0,0,IF(ABS(AJ96-AJ22)&gt;0,ABS(AJ96-AJ22),0))</f>
        <v>0</v>
      </c>
      <c r="AK97" s="236">
        <f>IF(AK96-AK22=0,0,IF(ABS(AK96-AK22)&gt;0,ABS(AK96-AK22),0))</f>
        <v>0</v>
      </c>
      <c r="AL97" s="236">
        <f>IF(AL96-AL22=0,0,IF(ABS(AL96-AL22)&gt;0,ABS(AL96-AL22),0))</f>
        <v>0</v>
      </c>
      <c r="AM97" s="167"/>
      <c r="AN97" s="167"/>
      <c r="AO97" s="167"/>
      <c r="AP97" s="167"/>
      <c r="AQ97" s="167"/>
      <c r="AR97" s="167"/>
      <c r="AS97" s="167"/>
    </row>
    <row r="98" spans="1:52">
      <c r="A98" s="235"/>
      <c r="B98" s="239"/>
      <c r="C98" s="239"/>
      <c r="D98" s="239"/>
      <c r="E98" s="239"/>
      <c r="F98" s="239"/>
      <c r="G98" s="239"/>
      <c r="H98" s="239"/>
      <c r="I98" s="239"/>
      <c r="J98" s="239"/>
      <c r="K98" s="239"/>
      <c r="L98" s="239"/>
      <c r="M98" s="239"/>
      <c r="N98" s="239"/>
      <c r="O98" s="239"/>
      <c r="P98" s="239"/>
      <c r="Q98" s="239"/>
      <c r="R98" s="167"/>
      <c r="S98" s="167"/>
      <c r="T98" s="167"/>
      <c r="U98" s="167"/>
      <c r="V98" s="167"/>
      <c r="W98" s="167"/>
      <c r="X98" s="167"/>
      <c r="Y98" s="167"/>
      <c r="Z98" s="167"/>
      <c r="AA98" s="167"/>
      <c r="AB98" s="167"/>
      <c r="AC98" s="167"/>
      <c r="AD98" s="167"/>
      <c r="AE98" s="167"/>
      <c r="AF98" s="167"/>
      <c r="AG98" s="167"/>
      <c r="AM98" s="167"/>
      <c r="AN98" s="167"/>
      <c r="AO98" s="167"/>
      <c r="AP98" s="167"/>
      <c r="AQ98" s="167"/>
      <c r="AR98" s="167"/>
      <c r="AS98" s="167"/>
    </row>
    <row r="99" spans="1:52" hidden="1" outlineLevel="1">
      <c r="A99" s="235"/>
      <c r="B99" s="239"/>
      <c r="C99" s="239"/>
      <c r="D99" s="239"/>
      <c r="E99" s="239"/>
      <c r="F99" s="239"/>
      <c r="G99" s="239"/>
      <c r="H99" s="239"/>
      <c r="I99" s="239"/>
      <c r="J99" s="239"/>
      <c r="K99" s="239"/>
      <c r="L99" s="239"/>
      <c r="M99" s="239"/>
      <c r="N99" s="239"/>
      <c r="O99" s="239"/>
      <c r="P99" s="239"/>
      <c r="Q99" s="239"/>
      <c r="R99" s="167"/>
      <c r="S99" s="167"/>
      <c r="T99" s="167"/>
      <c r="U99" s="167"/>
      <c r="V99" s="167"/>
      <c r="W99" s="167"/>
      <c r="X99" s="167"/>
      <c r="Y99" s="167"/>
      <c r="Z99" s="167"/>
      <c r="AA99" s="167"/>
      <c r="AB99" s="167"/>
      <c r="AC99" s="167"/>
      <c r="AD99" s="167"/>
      <c r="AE99" s="845"/>
      <c r="AF99" s="167"/>
      <c r="AG99" s="167"/>
      <c r="AH99" s="845"/>
      <c r="AI99" s="845"/>
      <c r="AJ99" s="845"/>
      <c r="AK99" s="845"/>
      <c r="AL99" s="845"/>
      <c r="AM99" s="167"/>
      <c r="AN99" s="167"/>
      <c r="AO99" s="167"/>
      <c r="AP99" s="167"/>
      <c r="AQ99" s="167"/>
      <c r="AR99" s="167"/>
      <c r="AS99" s="167"/>
    </row>
    <row r="100" spans="1:52" s="213" customFormat="1" ht="15" hidden="1" outlineLevel="1">
      <c r="A100" s="230" t="s">
        <v>550</v>
      </c>
    </row>
    <row r="101" spans="1:52" s="249" customFormat="1" hidden="1" outlineLevel="1">
      <c r="A101" s="508">
        <f>'Gen Info'!$B$50</f>
        <v>0</v>
      </c>
      <c r="B101" s="213"/>
      <c r="C101" s="213"/>
      <c r="D101" s="213"/>
      <c r="E101" s="213"/>
      <c r="F101" s="213"/>
      <c r="G101" s="213"/>
      <c r="H101" s="213"/>
      <c r="I101" s="213"/>
      <c r="J101" s="213"/>
      <c r="K101" s="213"/>
      <c r="L101" s="213"/>
      <c r="M101" s="213"/>
      <c r="N101" s="213"/>
      <c r="O101" s="213"/>
      <c r="P101" s="213"/>
      <c r="Q101" s="213"/>
      <c r="R101" s="213"/>
      <c r="S101" s="1166">
        <f>S82</f>
        <v>694327</v>
      </c>
      <c r="T101" s="1167"/>
      <c r="U101" s="1167"/>
      <c r="V101" s="1167"/>
      <c r="W101" s="1167"/>
      <c r="X101" s="1167"/>
      <c r="Y101" s="1167"/>
      <c r="Z101" s="1167"/>
      <c r="AA101" s="1167"/>
      <c r="AB101" s="1167"/>
      <c r="AC101" s="1167"/>
      <c r="AD101" s="1167"/>
      <c r="AE101" s="213"/>
      <c r="AF101" s="213"/>
      <c r="AG101" s="265"/>
      <c r="AH101" s="737">
        <f ca="1">AH$7</f>
        <v>694327</v>
      </c>
      <c r="AI101" s="737">
        <f ca="1">AI$7</f>
        <v>694692</v>
      </c>
      <c r="AJ101" s="737">
        <f ca="1">AJ$7</f>
        <v>695057</v>
      </c>
      <c r="AK101" s="737">
        <f ca="1">AK$7</f>
        <v>695422</v>
      </c>
      <c r="AL101" s="737">
        <f ca="1">AL$7</f>
        <v>695787</v>
      </c>
    </row>
    <row r="102" spans="1:52" s="249" customFormat="1" hidden="1" outlineLevel="1">
      <c r="A102" s="307"/>
      <c r="B102" s="213"/>
      <c r="C102" s="213"/>
      <c r="D102" s="213"/>
      <c r="E102" s="213"/>
      <c r="F102" s="213"/>
      <c r="G102" s="213"/>
      <c r="H102" s="213"/>
      <c r="I102" s="213"/>
      <c r="J102" s="213"/>
      <c r="K102" s="213"/>
      <c r="L102" s="213"/>
      <c r="M102" s="213"/>
      <c r="N102" s="213"/>
      <c r="O102" s="213"/>
      <c r="P102" s="213"/>
      <c r="Q102" s="213"/>
      <c r="R102" s="213"/>
      <c r="S102" s="246">
        <f t="shared" ref="S102:AD102" ca="1" si="33">S$7</f>
        <v>31</v>
      </c>
      <c r="T102" s="246">
        <f t="shared" ca="1" si="33"/>
        <v>59</v>
      </c>
      <c r="U102" s="246">
        <f t="shared" ca="1" si="33"/>
        <v>91</v>
      </c>
      <c r="V102" s="246">
        <f t="shared" ca="1" si="33"/>
        <v>121</v>
      </c>
      <c r="W102" s="246">
        <f t="shared" ca="1" si="33"/>
        <v>152</v>
      </c>
      <c r="X102" s="246">
        <f t="shared" ca="1" si="33"/>
        <v>182</v>
      </c>
      <c r="Y102" s="246">
        <f t="shared" ca="1" si="33"/>
        <v>213</v>
      </c>
      <c r="Z102" s="246">
        <f t="shared" ca="1" si="33"/>
        <v>244</v>
      </c>
      <c r="AA102" s="246">
        <f t="shared" ca="1" si="33"/>
        <v>274</v>
      </c>
      <c r="AB102" s="246">
        <f t="shared" ca="1" si="33"/>
        <v>305</v>
      </c>
      <c r="AC102" s="246">
        <f t="shared" ca="1" si="33"/>
        <v>335</v>
      </c>
      <c r="AD102" s="246">
        <f t="shared" ca="1" si="33"/>
        <v>366</v>
      </c>
      <c r="AE102" s="213"/>
      <c r="AF102" s="213"/>
      <c r="AG102" s="265"/>
      <c r="AH102" s="595"/>
      <c r="AI102" s="595"/>
      <c r="AJ102" s="595"/>
      <c r="AK102" s="595"/>
      <c r="AL102" s="595"/>
    </row>
    <row r="103" spans="1:52" s="218" customFormat="1" hidden="1" outlineLevel="1">
      <c r="A103" s="522" t="s">
        <v>552</v>
      </c>
      <c r="B103" s="213"/>
      <c r="C103" s="213"/>
      <c r="D103" s="213"/>
      <c r="E103" s="213"/>
      <c r="F103" s="213"/>
      <c r="G103" s="213"/>
      <c r="H103" s="213"/>
      <c r="I103" s="213"/>
      <c r="J103" s="213"/>
      <c r="K103" s="213"/>
      <c r="L103" s="213"/>
      <c r="M103" s="213"/>
      <c r="N103" s="213"/>
      <c r="O103" s="213"/>
      <c r="P103" s="213"/>
      <c r="Q103" s="213"/>
      <c r="R103" s="213"/>
      <c r="S103" s="312">
        <f>SUM(S104:S105)</f>
        <v>0</v>
      </c>
      <c r="T103" s="312">
        <f t="shared" ref="T103:AD103" si="34">SUM(T104:T105)</f>
        <v>0</v>
      </c>
      <c r="U103" s="312">
        <f t="shared" si="34"/>
        <v>0</v>
      </c>
      <c r="V103" s="312">
        <f t="shared" si="34"/>
        <v>0</v>
      </c>
      <c r="W103" s="312">
        <f t="shared" si="34"/>
        <v>0</v>
      </c>
      <c r="X103" s="312">
        <f t="shared" si="34"/>
        <v>0</v>
      </c>
      <c r="Y103" s="312">
        <f t="shared" si="34"/>
        <v>0</v>
      </c>
      <c r="Z103" s="312">
        <f t="shared" si="34"/>
        <v>0</v>
      </c>
      <c r="AA103" s="312">
        <f t="shared" si="34"/>
        <v>0</v>
      </c>
      <c r="AB103" s="312">
        <f t="shared" si="34"/>
        <v>0</v>
      </c>
      <c r="AC103" s="312">
        <f t="shared" si="34"/>
        <v>0</v>
      </c>
      <c r="AD103" s="312">
        <f t="shared" si="34"/>
        <v>0</v>
      </c>
      <c r="AE103" s="213"/>
      <c r="AF103" s="213"/>
      <c r="AG103" s="207"/>
      <c r="AH103" s="312">
        <f>SUM(AH104:AH105)</f>
        <v>0</v>
      </c>
      <c r="AI103" s="312">
        <f>SUM(AI104:AI105)</f>
        <v>0</v>
      </c>
      <c r="AJ103" s="312">
        <f>SUM(AJ104:AJ105)</f>
        <v>0</v>
      </c>
      <c r="AK103" s="312">
        <f>SUM(AK104:AK105)</f>
        <v>0</v>
      </c>
      <c r="AL103" s="312">
        <f>SUM(AL104:AL105)</f>
        <v>0</v>
      </c>
      <c r="AM103" s="207"/>
      <c r="AN103" s="207"/>
      <c r="AO103" s="207"/>
      <c r="AP103" s="207"/>
      <c r="AQ103" s="207"/>
      <c r="AR103" s="207"/>
      <c r="AS103" s="207"/>
      <c r="AT103" s="222"/>
      <c r="AU103" s="207"/>
      <c r="AV103" s="207"/>
      <c r="AW103" s="207"/>
      <c r="AX103" s="207"/>
      <c r="AY103" s="207"/>
      <c r="AZ103" s="222"/>
    </row>
    <row r="104" spans="1:52" s="213" customFormat="1" hidden="1" outlineLevel="1">
      <c r="A104" s="523" t="s">
        <v>526</v>
      </c>
      <c r="S104" s="205"/>
      <c r="T104" s="205"/>
      <c r="U104" s="205"/>
      <c r="V104" s="205"/>
      <c r="W104" s="205"/>
      <c r="X104" s="205"/>
      <c r="Y104" s="205"/>
      <c r="Z104" s="205"/>
      <c r="AA104" s="205"/>
      <c r="AB104" s="205"/>
      <c r="AC104" s="205"/>
      <c r="AD104" s="205"/>
      <c r="AG104" s="198"/>
      <c r="AH104" s="205"/>
      <c r="AI104" s="205"/>
      <c r="AJ104" s="205"/>
      <c r="AK104" s="205"/>
      <c r="AL104" s="205"/>
      <c r="AM104" s="198"/>
      <c r="AN104" s="198"/>
      <c r="AO104" s="198"/>
      <c r="AP104" s="198"/>
      <c r="AQ104" s="198"/>
      <c r="AR104" s="198"/>
      <c r="AS104" s="198"/>
      <c r="AT104" s="159"/>
      <c r="AU104" s="198"/>
      <c r="AV104" s="198"/>
      <c r="AW104" s="198"/>
      <c r="AX104" s="198"/>
      <c r="AY104" s="198"/>
      <c r="AZ104" s="159"/>
    </row>
    <row r="105" spans="1:52" s="213" customFormat="1" hidden="1" outlineLevel="1">
      <c r="A105" s="523" t="s">
        <v>1</v>
      </c>
      <c r="S105" s="205"/>
      <c r="T105" s="205"/>
      <c r="U105" s="205"/>
      <c r="V105" s="205"/>
      <c r="W105" s="205"/>
      <c r="X105" s="205"/>
      <c r="Y105" s="205"/>
      <c r="Z105" s="205"/>
      <c r="AA105" s="205"/>
      <c r="AB105" s="205"/>
      <c r="AC105" s="205"/>
      <c r="AD105" s="205"/>
      <c r="AG105" s="198"/>
      <c r="AH105" s="205"/>
      <c r="AI105" s="205"/>
      <c r="AJ105" s="205"/>
      <c r="AK105" s="205"/>
      <c r="AL105" s="205"/>
      <c r="AM105" s="198"/>
      <c r="AN105" s="198"/>
      <c r="AO105" s="198"/>
      <c r="AP105" s="198"/>
      <c r="AQ105" s="198"/>
      <c r="AR105" s="198"/>
      <c r="AS105" s="198"/>
      <c r="AT105" s="159"/>
      <c r="AU105" s="198"/>
      <c r="AV105" s="198"/>
      <c r="AW105" s="198"/>
      <c r="AX105" s="198"/>
      <c r="AY105" s="198"/>
      <c r="AZ105" s="159"/>
    </row>
    <row r="106" spans="1:52" s="218" customFormat="1" hidden="1" outlineLevel="1">
      <c r="A106" s="522" t="s">
        <v>22</v>
      </c>
      <c r="B106" s="213"/>
      <c r="C106" s="213"/>
      <c r="D106" s="213"/>
      <c r="E106" s="213"/>
      <c r="F106" s="213"/>
      <c r="G106" s="213"/>
      <c r="H106" s="213"/>
      <c r="I106" s="213"/>
      <c r="J106" s="213"/>
      <c r="K106" s="213"/>
      <c r="L106" s="213"/>
      <c r="M106" s="213"/>
      <c r="N106" s="213"/>
      <c r="O106" s="213"/>
      <c r="P106" s="213"/>
      <c r="Q106" s="213"/>
      <c r="R106" s="213"/>
      <c r="S106" s="312">
        <f t="shared" ref="S106:AD106" si="35">SUM(S107:S109)</f>
        <v>0</v>
      </c>
      <c r="T106" s="312">
        <f t="shared" si="35"/>
        <v>0</v>
      </c>
      <c r="U106" s="312">
        <f t="shared" si="35"/>
        <v>0</v>
      </c>
      <c r="V106" s="312">
        <f t="shared" si="35"/>
        <v>0</v>
      </c>
      <c r="W106" s="312">
        <f t="shared" si="35"/>
        <v>0</v>
      </c>
      <c r="X106" s="312">
        <f t="shared" si="35"/>
        <v>0</v>
      </c>
      <c r="Y106" s="312">
        <f t="shared" si="35"/>
        <v>0</v>
      </c>
      <c r="Z106" s="312">
        <f t="shared" si="35"/>
        <v>0</v>
      </c>
      <c r="AA106" s="312">
        <f t="shared" si="35"/>
        <v>0</v>
      </c>
      <c r="AB106" s="312">
        <f t="shared" si="35"/>
        <v>0</v>
      </c>
      <c r="AC106" s="312">
        <f t="shared" si="35"/>
        <v>0</v>
      </c>
      <c r="AD106" s="312">
        <f t="shared" si="35"/>
        <v>0</v>
      </c>
      <c r="AE106" s="213"/>
      <c r="AF106" s="213"/>
      <c r="AG106" s="207"/>
      <c r="AH106" s="312">
        <f>SUM(AH107:AH109)</f>
        <v>0</v>
      </c>
      <c r="AI106" s="312">
        <f>SUM(AI107:AI109)</f>
        <v>0</v>
      </c>
      <c r="AJ106" s="312">
        <f>SUM(AJ107:AJ109)</f>
        <v>0</v>
      </c>
      <c r="AK106" s="312">
        <f>SUM(AK107:AK109)</f>
        <v>0</v>
      </c>
      <c r="AL106" s="312">
        <f>SUM(AL107:AL109)</f>
        <v>0</v>
      </c>
      <c r="AM106" s="207"/>
      <c r="AN106" s="207"/>
      <c r="AO106" s="207"/>
      <c r="AP106" s="207"/>
      <c r="AQ106" s="207"/>
      <c r="AR106" s="207"/>
      <c r="AS106" s="207"/>
      <c r="AT106" s="222"/>
      <c r="AU106" s="207"/>
      <c r="AV106" s="207"/>
      <c r="AW106" s="207"/>
      <c r="AX106" s="207"/>
      <c r="AY106" s="207"/>
      <c r="AZ106" s="222"/>
    </row>
    <row r="107" spans="1:52" s="213" customFormat="1" hidden="1" outlineLevel="1">
      <c r="A107" s="524" t="s">
        <v>553</v>
      </c>
      <c r="S107" s="205"/>
      <c r="T107" s="205"/>
      <c r="U107" s="205"/>
      <c r="V107" s="205"/>
      <c r="W107" s="205"/>
      <c r="X107" s="205"/>
      <c r="Y107" s="205"/>
      <c r="Z107" s="205"/>
      <c r="AA107" s="205"/>
      <c r="AB107" s="205"/>
      <c r="AC107" s="205"/>
      <c r="AD107" s="205"/>
      <c r="AG107" s="198"/>
      <c r="AH107" s="205"/>
      <c r="AI107" s="205"/>
      <c r="AJ107" s="205"/>
      <c r="AK107" s="205"/>
      <c r="AL107" s="205"/>
      <c r="AM107" s="198"/>
      <c r="AN107" s="198"/>
      <c r="AO107" s="198"/>
      <c r="AP107" s="198"/>
      <c r="AQ107" s="198"/>
      <c r="AR107" s="198"/>
      <c r="AS107" s="198"/>
      <c r="AT107" s="159"/>
      <c r="AU107" s="198"/>
      <c r="AV107" s="198"/>
      <c r="AW107" s="198"/>
      <c r="AX107" s="198"/>
      <c r="AY107" s="198"/>
      <c r="AZ107" s="159"/>
    </row>
    <row r="108" spans="1:52" s="213" customFormat="1" hidden="1" outlineLevel="1">
      <c r="A108" s="524" t="s">
        <v>551</v>
      </c>
      <c r="S108" s="205"/>
      <c r="T108" s="205"/>
      <c r="U108" s="205"/>
      <c r="V108" s="205"/>
      <c r="W108" s="205"/>
      <c r="X108" s="205"/>
      <c r="Y108" s="205"/>
      <c r="Z108" s="205"/>
      <c r="AA108" s="205"/>
      <c r="AB108" s="205"/>
      <c r="AC108" s="205"/>
      <c r="AD108" s="205"/>
      <c r="AG108" s="198"/>
      <c r="AH108" s="205">
        <v>0</v>
      </c>
      <c r="AI108" s="205">
        <v>0</v>
      </c>
      <c r="AJ108" s="205">
        <v>0</v>
      </c>
      <c r="AK108" s="205">
        <v>0</v>
      </c>
      <c r="AL108" s="205"/>
      <c r="AM108" s="198"/>
      <c r="AN108" s="198"/>
      <c r="AO108" s="198"/>
      <c r="AP108" s="198"/>
      <c r="AQ108" s="198"/>
      <c r="AR108" s="198"/>
      <c r="AS108" s="198"/>
      <c r="AT108" s="159"/>
      <c r="AU108" s="198"/>
      <c r="AV108" s="198"/>
      <c r="AW108" s="198"/>
      <c r="AX108" s="198"/>
      <c r="AY108" s="198"/>
      <c r="AZ108" s="159"/>
    </row>
    <row r="109" spans="1:52" s="213" customFormat="1" hidden="1" outlineLevel="1">
      <c r="A109" s="524" t="s">
        <v>5</v>
      </c>
      <c r="S109" s="205"/>
      <c r="T109" s="205"/>
      <c r="U109" s="205"/>
      <c r="V109" s="205"/>
      <c r="W109" s="205"/>
      <c r="X109" s="205"/>
      <c r="Y109" s="205"/>
      <c r="Z109" s="205"/>
      <c r="AA109" s="205"/>
      <c r="AB109" s="205"/>
      <c r="AC109" s="205"/>
      <c r="AD109" s="205"/>
      <c r="AG109" s="198"/>
      <c r="AH109" s="205"/>
      <c r="AI109" s="205"/>
      <c r="AJ109" s="205"/>
      <c r="AK109" s="205"/>
      <c r="AL109" s="205"/>
      <c r="AM109" s="198"/>
      <c r="AN109" s="198"/>
      <c r="AO109" s="198"/>
      <c r="AP109" s="198"/>
      <c r="AQ109" s="198"/>
      <c r="AR109" s="198"/>
      <c r="AS109" s="198"/>
      <c r="AT109" s="159"/>
      <c r="AU109" s="198"/>
      <c r="AV109" s="198"/>
      <c r="AW109" s="198"/>
      <c r="AX109" s="198"/>
      <c r="AY109" s="198"/>
      <c r="AZ109" s="159"/>
    </row>
    <row r="110" spans="1:52" hidden="1" outlineLevel="1">
      <c r="A110" s="235"/>
      <c r="S110" s="167"/>
      <c r="T110" s="167"/>
      <c r="U110" s="167"/>
      <c r="V110" s="167"/>
      <c r="W110" s="167"/>
      <c r="X110" s="167"/>
      <c r="Y110" s="167"/>
      <c r="Z110" s="167"/>
      <c r="AA110" s="167"/>
      <c r="AB110" s="167"/>
      <c r="AC110" s="167"/>
      <c r="AD110" s="167"/>
      <c r="AG110" s="167"/>
      <c r="AM110" s="167"/>
      <c r="AN110" s="167"/>
      <c r="AO110" s="167"/>
      <c r="AP110" s="167"/>
      <c r="AQ110" s="167"/>
      <c r="AR110" s="167"/>
      <c r="AS110" s="167"/>
    </row>
    <row r="111" spans="1:52" collapsed="1">
      <c r="A111" s="235"/>
      <c r="B111" s="239"/>
      <c r="C111" s="239"/>
      <c r="D111" s="239"/>
      <c r="E111" s="239"/>
      <c r="F111" s="239"/>
      <c r="G111" s="239"/>
      <c r="H111" s="239"/>
      <c r="I111" s="239"/>
      <c r="J111" s="239"/>
      <c r="K111" s="239"/>
      <c r="L111" s="239"/>
      <c r="M111" s="239"/>
      <c r="N111" s="239"/>
      <c r="O111" s="239"/>
      <c r="P111" s="239"/>
      <c r="Q111" s="239"/>
      <c r="R111" s="167"/>
      <c r="S111" s="167"/>
      <c r="T111" s="167"/>
      <c r="U111" s="167"/>
      <c r="V111" s="167"/>
      <c r="W111" s="167"/>
      <c r="X111" s="167"/>
      <c r="Y111" s="167"/>
      <c r="Z111" s="167"/>
      <c r="AA111" s="167"/>
      <c r="AB111" s="167"/>
      <c r="AC111" s="167"/>
      <c r="AD111" s="167"/>
      <c r="AE111" s="167"/>
      <c r="AF111" s="167"/>
      <c r="AG111" s="167"/>
      <c r="AM111" s="167"/>
      <c r="AN111" s="167"/>
      <c r="AO111" s="167"/>
      <c r="AP111" s="167"/>
      <c r="AQ111" s="167"/>
      <c r="AR111" s="167"/>
      <c r="AS111" s="167"/>
    </row>
    <row r="112" spans="1:52" ht="15">
      <c r="A112" s="230" t="s">
        <v>531</v>
      </c>
      <c r="B112" s="239"/>
      <c r="C112" s="239"/>
      <c r="D112" s="239"/>
      <c r="E112" s="239"/>
      <c r="F112" s="239"/>
      <c r="G112" s="239"/>
      <c r="H112" s="239"/>
      <c r="I112" s="239"/>
      <c r="J112" s="239"/>
      <c r="K112" s="239"/>
      <c r="L112" s="239"/>
      <c r="M112" s="239"/>
      <c r="N112" s="239"/>
      <c r="O112" s="239"/>
      <c r="P112" s="239"/>
      <c r="Q112" s="239"/>
      <c r="R112" s="167"/>
      <c r="S112" s="167"/>
      <c r="T112" s="167"/>
      <c r="U112" s="167"/>
      <c r="V112" s="167"/>
      <c r="W112" s="167"/>
      <c r="X112" s="167"/>
      <c r="Y112" s="167"/>
      <c r="Z112" s="167"/>
      <c r="AA112" s="167"/>
      <c r="AB112" s="167"/>
      <c r="AC112" s="167"/>
      <c r="AD112" s="167"/>
      <c r="AE112" s="167"/>
      <c r="AF112" s="167"/>
      <c r="AG112" s="167"/>
      <c r="AM112" s="167"/>
      <c r="AN112" s="167"/>
      <c r="AO112" s="167"/>
      <c r="AP112" s="167"/>
      <c r="AQ112" s="167"/>
      <c r="AR112" s="167"/>
      <c r="AS112" s="167"/>
    </row>
    <row r="113" spans="1:94" s="249" customFormat="1">
      <c r="A113" s="245"/>
      <c r="B113" s="737"/>
      <c r="C113" s="737"/>
      <c r="D113" s="737"/>
      <c r="E113" s="737"/>
      <c r="F113" s="1166">
        <f>F82</f>
        <v>693962</v>
      </c>
      <c r="G113" s="1167"/>
      <c r="H113" s="1167"/>
      <c r="I113" s="1167"/>
      <c r="J113" s="1167"/>
      <c r="K113" s="1167"/>
      <c r="L113" s="1167"/>
      <c r="M113" s="1167"/>
      <c r="N113" s="1167"/>
      <c r="O113" s="1167"/>
      <c r="P113" s="1167"/>
      <c r="Q113" s="1167"/>
      <c r="R113" s="906" t="s">
        <v>367</v>
      </c>
      <c r="S113" s="1166">
        <f>F113+365</f>
        <v>694327</v>
      </c>
      <c r="T113" s="1167"/>
      <c r="U113" s="1167"/>
      <c r="V113" s="1167"/>
      <c r="W113" s="1167"/>
      <c r="X113" s="1167"/>
      <c r="Y113" s="1167"/>
      <c r="Z113" s="1167"/>
      <c r="AA113" s="1167"/>
      <c r="AB113" s="1167"/>
      <c r="AC113" s="1167"/>
      <c r="AD113" s="1167"/>
      <c r="AE113" s="595"/>
      <c r="AF113" s="167"/>
      <c r="AG113" s="265"/>
      <c r="AH113" s="737">
        <f ca="1">AH$7</f>
        <v>694327</v>
      </c>
      <c r="AI113" s="737">
        <f ca="1">AI$7</f>
        <v>694692</v>
      </c>
      <c r="AJ113" s="737">
        <f ca="1">AJ$7</f>
        <v>695057</v>
      </c>
      <c r="AK113" s="737">
        <f ca="1">AK$7</f>
        <v>695422</v>
      </c>
      <c r="AL113" s="737">
        <f ca="1">AL$7</f>
        <v>695787</v>
      </c>
    </row>
    <row r="114" spans="1:94" s="249" customFormat="1">
      <c r="A114" s="306"/>
      <c r="B114" s="1070">
        <f>B$7</f>
        <v>692501</v>
      </c>
      <c r="C114" s="1070">
        <f>C$7</f>
        <v>692867</v>
      </c>
      <c r="D114" s="1070">
        <f>D$7</f>
        <v>693232</v>
      </c>
      <c r="E114" s="1070">
        <f>E$7</f>
        <v>693597</v>
      </c>
      <c r="F114" s="246">
        <f ca="1">F$7</f>
        <v>693628</v>
      </c>
      <c r="G114" s="246">
        <f t="shared" ref="G114:AE114" ca="1" si="36">G$7</f>
        <v>693656</v>
      </c>
      <c r="H114" s="246">
        <f t="shared" ca="1" si="36"/>
        <v>693687</v>
      </c>
      <c r="I114" s="246">
        <f t="shared" ca="1" si="36"/>
        <v>693717</v>
      </c>
      <c r="J114" s="246">
        <f t="shared" ca="1" si="36"/>
        <v>693748</v>
      </c>
      <c r="K114" s="246">
        <f t="shared" ca="1" si="36"/>
        <v>693778</v>
      </c>
      <c r="L114" s="246">
        <f t="shared" ca="1" si="36"/>
        <v>693809</v>
      </c>
      <c r="M114" s="246">
        <f t="shared" ca="1" si="36"/>
        <v>693840</v>
      </c>
      <c r="N114" s="246">
        <f t="shared" ca="1" si="36"/>
        <v>693870</v>
      </c>
      <c r="O114" s="246">
        <f t="shared" ca="1" si="36"/>
        <v>693901</v>
      </c>
      <c r="P114" s="246">
        <f t="shared" ca="1" si="36"/>
        <v>693931</v>
      </c>
      <c r="Q114" s="246">
        <f t="shared" ca="1" si="36"/>
        <v>693962</v>
      </c>
      <c r="R114" s="1065">
        <f ca="1">R7</f>
        <v>693962</v>
      </c>
      <c r="S114" s="246">
        <f t="shared" ca="1" si="36"/>
        <v>31</v>
      </c>
      <c r="T114" s="246">
        <f t="shared" ca="1" si="36"/>
        <v>59</v>
      </c>
      <c r="U114" s="246">
        <f t="shared" ca="1" si="36"/>
        <v>91</v>
      </c>
      <c r="V114" s="246">
        <f t="shared" ca="1" si="36"/>
        <v>121</v>
      </c>
      <c r="W114" s="246">
        <f t="shared" ca="1" si="36"/>
        <v>152</v>
      </c>
      <c r="X114" s="246">
        <f t="shared" ca="1" si="36"/>
        <v>182</v>
      </c>
      <c r="Y114" s="246">
        <f t="shared" ca="1" si="36"/>
        <v>213</v>
      </c>
      <c r="Z114" s="246">
        <f t="shared" ca="1" si="36"/>
        <v>244</v>
      </c>
      <c r="AA114" s="246">
        <f t="shared" ca="1" si="36"/>
        <v>274</v>
      </c>
      <c r="AB114" s="246">
        <f t="shared" ca="1" si="36"/>
        <v>305</v>
      </c>
      <c r="AC114" s="246">
        <f t="shared" ca="1" si="36"/>
        <v>335</v>
      </c>
      <c r="AD114" s="246">
        <f t="shared" ca="1" si="36"/>
        <v>366</v>
      </c>
      <c r="AE114" s="246" t="e">
        <f t="shared" ca="1" si="36"/>
        <v>#N/A</v>
      </c>
      <c r="AF114" s="167"/>
      <c r="AG114" s="265"/>
      <c r="AH114" s="595"/>
      <c r="AI114" s="595"/>
      <c r="AJ114" s="595"/>
      <c r="AK114" s="595"/>
      <c r="AL114" s="595"/>
    </row>
    <row r="115" spans="1:94" s="213" customFormat="1">
      <c r="A115" s="260" t="s">
        <v>55</v>
      </c>
      <c r="B115" s="168">
        <f>IFERROR(HLOOKUP('Hist &amp; Proj'!B$114,Data_Formatting!$GA$122:$GE$129,ROW('Hist &amp; Proj'!B115)-ROW('Hist &amp; Proj'!B$114)+2,FALSE),0)</f>
        <v>0</v>
      </c>
      <c r="C115" s="168">
        <f>IFERROR(HLOOKUP('Hist &amp; Proj'!C$114,Data_Formatting!$GA$122:$GE$129,ROW('Hist &amp; Proj'!C115)-ROW('Hist &amp; Proj'!C$114)+2,FALSE),0)</f>
        <v>0</v>
      </c>
      <c r="D115" s="168">
        <f>IFERROR(HLOOKUP('Hist &amp; Proj'!D$114,Data_Formatting!$GA$122:$GE$129,ROW('Hist &amp; Proj'!D115)-ROW('Hist &amp; Proj'!D$114)+2,FALSE),0)</f>
        <v>0</v>
      </c>
      <c r="E115" s="168">
        <f>IFERROR(HLOOKUP('Hist &amp; Proj'!E$114,Data_Formatting!$GA$122:$GE$129,ROW('Hist &amp; Proj'!E115)-ROW('Hist &amp; Proj'!E$114)+2,FALSE),0)</f>
        <v>0</v>
      </c>
      <c r="F115" s="168">
        <f ca="1">IFERROR(HLOOKUP('Hist &amp; Proj'!F$114,Data_Formatting!$EO$122:$FX$129,ROW('Hist &amp; Proj'!F115)-ROW('Hist &amp; Proj'!F$114)+2,FALSE),0)</f>
        <v>0</v>
      </c>
      <c r="G115" s="168">
        <f ca="1">IFERROR(HLOOKUP('Hist &amp; Proj'!G$114,Data_Formatting!$EO$122:$FX$129,ROW('Hist &amp; Proj'!G115)-ROW('Hist &amp; Proj'!G$114)+2,FALSE),0)</f>
        <v>0</v>
      </c>
      <c r="H115" s="168">
        <f ca="1">IFERROR(HLOOKUP('Hist &amp; Proj'!H$114,Data_Formatting!$EO$122:$FX$129,ROW('Hist &amp; Proj'!H115)-ROW('Hist &amp; Proj'!H$114)+2,FALSE),0)</f>
        <v>0</v>
      </c>
      <c r="I115" s="168">
        <f ca="1">IFERROR(HLOOKUP('Hist &amp; Proj'!I$114,Data_Formatting!$EO$122:$FX$129,ROW('Hist &amp; Proj'!I115)-ROW('Hist &amp; Proj'!I$114)+2,FALSE),0)</f>
        <v>0</v>
      </c>
      <c r="J115" s="168">
        <f ca="1">IFERROR(HLOOKUP('Hist &amp; Proj'!J$114,Data_Formatting!$EO$122:$FX$129,ROW('Hist &amp; Proj'!J115)-ROW('Hist &amp; Proj'!J$114)+2,FALSE),0)</f>
        <v>0</v>
      </c>
      <c r="K115" s="168">
        <f ca="1">IFERROR(HLOOKUP('Hist &amp; Proj'!K$114,Data_Formatting!$EO$122:$FX$129,ROW('Hist &amp; Proj'!K115)-ROW('Hist &amp; Proj'!K$114)+2,FALSE),0)</f>
        <v>0</v>
      </c>
      <c r="L115" s="168">
        <f ca="1">IFERROR(HLOOKUP('Hist &amp; Proj'!L$114,Data_Formatting!$EO$122:$FX$129,ROW('Hist &amp; Proj'!L115)-ROW('Hist &amp; Proj'!L$114)+2,FALSE),0)</f>
        <v>0</v>
      </c>
      <c r="M115" s="168">
        <f ca="1">IFERROR(HLOOKUP('Hist &amp; Proj'!M$114,Data_Formatting!$EO$122:$FX$129,ROW('Hist &amp; Proj'!M115)-ROW('Hist &amp; Proj'!M$114)+2,FALSE),0)</f>
        <v>0</v>
      </c>
      <c r="N115" s="168">
        <f ca="1">IFERROR(HLOOKUP('Hist &amp; Proj'!N$114,Data_Formatting!$EO$122:$FX$129,ROW('Hist &amp; Proj'!N115)-ROW('Hist &amp; Proj'!N$114)+2,FALSE),0)</f>
        <v>0</v>
      </c>
      <c r="O115" s="168">
        <f ca="1">IFERROR(HLOOKUP('Hist &amp; Proj'!O$114,Data_Formatting!$EO$122:$FX$129,ROW('Hist &amp; Proj'!O115)-ROW('Hist &amp; Proj'!O$114)+2,FALSE),0)</f>
        <v>0</v>
      </c>
      <c r="P115" s="168">
        <f ca="1">IFERROR(HLOOKUP('Hist &amp; Proj'!P$114,Data_Formatting!$EO$122:$FX$129,ROW('Hist &amp; Proj'!P115)-ROW('Hist &amp; Proj'!P$114)+2,FALSE),0)</f>
        <v>0</v>
      </c>
      <c r="Q115" s="168">
        <f ca="1">IFERROR(HLOOKUP('Hist &amp; Proj'!Q$114,Data_Formatting!$EO$122:$FX$129,ROW('Hist &amp; Proj'!Q115)-ROW('Hist &amp; Proj'!Q$114)+2,FALSE),0)</f>
        <v>0</v>
      </c>
      <c r="R115" s="168">
        <f ca="1">IFERROR(HLOOKUP('Hist &amp; Proj'!R$114,Data_Formatting!$GA$122:$GE$129,ROW('Hist &amp; Proj'!R115)-ROW('Hist &amp; Proj'!R$114)+2,FALSE),0)</f>
        <v>0</v>
      </c>
      <c r="S115" s="168">
        <f ca="1">IFERROR(HLOOKUP('Hist &amp; Proj'!S$114,Data_Formatting!$EO$122:$FX$129,ROW('Hist &amp; Proj'!S115)-ROW('Hist &amp; Proj'!S$114)+2,FALSE),0)</f>
        <v>0</v>
      </c>
      <c r="T115" s="168">
        <f ca="1">IFERROR(HLOOKUP('Hist &amp; Proj'!T$114,Data_Formatting!$EO$122:$FX$129,ROW('Hist &amp; Proj'!T115)-ROW('Hist &amp; Proj'!T$114)+2,FALSE),0)</f>
        <v>0</v>
      </c>
      <c r="U115" s="168">
        <f ca="1">IFERROR(HLOOKUP('Hist &amp; Proj'!U$114,Data_Formatting!$EO$122:$FX$129,ROW('Hist &amp; Proj'!U115)-ROW('Hist &amp; Proj'!U$114)+2,FALSE),0)</f>
        <v>0</v>
      </c>
      <c r="V115" s="168">
        <f ca="1">IFERROR(HLOOKUP('Hist &amp; Proj'!V$114,Data_Formatting!$EO$122:$FX$129,ROW('Hist &amp; Proj'!V115)-ROW('Hist &amp; Proj'!V$114)+2,FALSE),0)</f>
        <v>0</v>
      </c>
      <c r="W115" s="168">
        <f ca="1">IFERROR(HLOOKUP('Hist &amp; Proj'!W$114,Data_Formatting!$EO$122:$FX$129,ROW('Hist &amp; Proj'!W115)-ROW('Hist &amp; Proj'!W$114)+2,FALSE),0)</f>
        <v>0</v>
      </c>
      <c r="X115" s="168">
        <f ca="1">IFERROR(HLOOKUP('Hist &amp; Proj'!X$114,Data_Formatting!$EO$122:$FX$129,ROW('Hist &amp; Proj'!X115)-ROW('Hist &amp; Proj'!X$114)+2,FALSE),0)</f>
        <v>0</v>
      </c>
      <c r="Y115" s="168">
        <f ca="1">IFERROR(HLOOKUP('Hist &amp; Proj'!Y$114,Data_Formatting!$EO$122:$FX$129,ROW('Hist &amp; Proj'!Y115)-ROW('Hist &amp; Proj'!Y$114)+2,FALSE),0)</f>
        <v>0</v>
      </c>
      <c r="Z115" s="168">
        <f ca="1">IFERROR(HLOOKUP('Hist &amp; Proj'!Z$114,Data_Formatting!$EO$122:$FX$129,ROW('Hist &amp; Proj'!Z115)-ROW('Hist &amp; Proj'!Z$114)+2,FALSE),0)</f>
        <v>0</v>
      </c>
      <c r="AA115" s="168">
        <f ca="1">IFERROR(HLOOKUP('Hist &amp; Proj'!AA$114,Data_Formatting!$EO$122:$FX$129,ROW('Hist &amp; Proj'!AA115)-ROW('Hist &amp; Proj'!AA$114)+2,FALSE),0)</f>
        <v>0</v>
      </c>
      <c r="AB115" s="168">
        <f ca="1">IFERROR(HLOOKUP('Hist &amp; Proj'!AB$114,Data_Formatting!$EO$122:$FX$129,ROW('Hist &amp; Proj'!AB115)-ROW('Hist &amp; Proj'!AB$114)+2,FALSE),0)</f>
        <v>0</v>
      </c>
      <c r="AC115" s="168">
        <f ca="1">IFERROR(HLOOKUP('Hist &amp; Proj'!AC$114,Data_Formatting!$EO$122:$FX$129,ROW('Hist &amp; Proj'!AC115)-ROW('Hist &amp; Proj'!AC$114)+2,FALSE),0)</f>
        <v>0</v>
      </c>
      <c r="AD115" s="168">
        <f ca="1">IFERROR(HLOOKUP('Hist &amp; Proj'!AD$114,Data_Formatting!$EO$122:$FX$129,ROW('Hist &amp; Proj'!AD115)-ROW('Hist &amp; Proj'!AD$114)+2,FALSE),0)</f>
        <v>0</v>
      </c>
      <c r="AE115" s="267" t="e">
        <f ca="1">HLOOKUP(1,S$6:AD115,ROW(AE115)-5,FALSE)</f>
        <v>#N/A</v>
      </c>
      <c r="AF115" s="167"/>
      <c r="AG115" s="160"/>
      <c r="AH115" s="205"/>
      <c r="AI115" s="205"/>
      <c r="AJ115" s="205">
        <v>0</v>
      </c>
      <c r="AK115" s="205">
        <v>0</v>
      </c>
      <c r="AL115" s="205">
        <v>0</v>
      </c>
      <c r="AM115" s="159"/>
      <c r="AN115" s="159"/>
      <c r="AO115" s="159"/>
      <c r="AP115" s="159"/>
      <c r="AQ115" s="159"/>
      <c r="AR115" s="159"/>
      <c r="AS115" s="159"/>
      <c r="AT115" s="159"/>
      <c r="AU115" s="159"/>
      <c r="AV115" s="159"/>
      <c r="AW115" s="159"/>
      <c r="AX115" s="159"/>
      <c r="AY115" s="159"/>
      <c r="AZ115" s="159"/>
    </row>
    <row r="116" spans="1:94" s="213" customFormat="1">
      <c r="A116" s="260" t="s">
        <v>56</v>
      </c>
      <c r="B116" s="168">
        <f>IFERROR(HLOOKUP('Hist &amp; Proj'!B$114,Data_Formatting!$GA$122:$GE$129,ROW('Hist &amp; Proj'!B116)-ROW('Hist &amp; Proj'!B$114)+2,FALSE),0)</f>
        <v>0</v>
      </c>
      <c r="C116" s="168">
        <f>IFERROR(HLOOKUP('Hist &amp; Proj'!C$114,Data_Formatting!$GA$122:$GE$129,ROW('Hist &amp; Proj'!C116)-ROW('Hist &amp; Proj'!C$114)+2,FALSE),0)</f>
        <v>0</v>
      </c>
      <c r="D116" s="168">
        <f>IFERROR(HLOOKUP('Hist &amp; Proj'!D$114,Data_Formatting!$GA$122:$GE$129,ROW('Hist &amp; Proj'!D116)-ROW('Hist &amp; Proj'!D$114)+2,FALSE),0)</f>
        <v>0</v>
      </c>
      <c r="E116" s="168">
        <f>IFERROR(HLOOKUP('Hist &amp; Proj'!E$114,Data_Formatting!$GA$122:$GE$129,ROW('Hist &amp; Proj'!E116)-ROW('Hist &amp; Proj'!E$114)+2,FALSE),0)</f>
        <v>0</v>
      </c>
      <c r="F116" s="168">
        <f ca="1">IFERROR(HLOOKUP('Hist &amp; Proj'!F$114,Data_Formatting!$EO$122:$FX$129,ROW('Hist &amp; Proj'!F116)-ROW('Hist &amp; Proj'!F$114)+2,FALSE),0)</f>
        <v>0</v>
      </c>
      <c r="G116" s="168">
        <f ca="1">IFERROR(HLOOKUP('Hist &amp; Proj'!G$114,Data_Formatting!$EO$122:$FX$129,ROW('Hist &amp; Proj'!G116)-ROW('Hist &amp; Proj'!G$114)+2,FALSE),0)</f>
        <v>0</v>
      </c>
      <c r="H116" s="168">
        <f ca="1">IFERROR(HLOOKUP('Hist &amp; Proj'!H$114,Data_Formatting!$EO$122:$FX$129,ROW('Hist &amp; Proj'!H116)-ROW('Hist &amp; Proj'!H$114)+2,FALSE),0)</f>
        <v>0</v>
      </c>
      <c r="I116" s="168">
        <f ca="1">IFERROR(HLOOKUP('Hist &amp; Proj'!I$114,Data_Formatting!$EO$122:$FX$129,ROW('Hist &amp; Proj'!I116)-ROW('Hist &amp; Proj'!I$114)+2,FALSE),0)</f>
        <v>0</v>
      </c>
      <c r="J116" s="168">
        <f ca="1">IFERROR(HLOOKUP('Hist &amp; Proj'!J$114,Data_Formatting!$EO$122:$FX$129,ROW('Hist &amp; Proj'!J116)-ROW('Hist &amp; Proj'!J$114)+2,FALSE),0)</f>
        <v>0</v>
      </c>
      <c r="K116" s="168">
        <f ca="1">IFERROR(HLOOKUP('Hist &amp; Proj'!K$114,Data_Formatting!$EO$122:$FX$129,ROW('Hist &amp; Proj'!K116)-ROW('Hist &amp; Proj'!K$114)+2,FALSE),0)</f>
        <v>0</v>
      </c>
      <c r="L116" s="168">
        <f ca="1">IFERROR(HLOOKUP('Hist &amp; Proj'!L$114,Data_Formatting!$EO$122:$FX$129,ROW('Hist &amp; Proj'!L116)-ROW('Hist &amp; Proj'!L$114)+2,FALSE),0)</f>
        <v>0</v>
      </c>
      <c r="M116" s="168">
        <f ca="1">IFERROR(HLOOKUP('Hist &amp; Proj'!M$114,Data_Formatting!$EO$122:$FX$129,ROW('Hist &amp; Proj'!M116)-ROW('Hist &amp; Proj'!M$114)+2,FALSE),0)</f>
        <v>0</v>
      </c>
      <c r="N116" s="168">
        <f ca="1">IFERROR(HLOOKUP('Hist &amp; Proj'!N$114,Data_Formatting!$EO$122:$FX$129,ROW('Hist &amp; Proj'!N116)-ROW('Hist &amp; Proj'!N$114)+2,FALSE),0)</f>
        <v>0</v>
      </c>
      <c r="O116" s="168">
        <f ca="1">IFERROR(HLOOKUP('Hist &amp; Proj'!O$114,Data_Formatting!$EO$122:$FX$129,ROW('Hist &amp; Proj'!O116)-ROW('Hist &amp; Proj'!O$114)+2,FALSE),0)</f>
        <v>0</v>
      </c>
      <c r="P116" s="168">
        <f ca="1">IFERROR(HLOOKUP('Hist &amp; Proj'!P$114,Data_Formatting!$EO$122:$FX$129,ROW('Hist &amp; Proj'!P116)-ROW('Hist &amp; Proj'!P$114)+2,FALSE),0)</f>
        <v>0</v>
      </c>
      <c r="Q116" s="168">
        <f ca="1">IFERROR(HLOOKUP('Hist &amp; Proj'!Q$114,Data_Formatting!$EO$122:$FX$129,ROW('Hist &amp; Proj'!Q116)-ROW('Hist &amp; Proj'!Q$114)+2,FALSE),0)</f>
        <v>0</v>
      </c>
      <c r="R116" s="168">
        <f ca="1">IFERROR(HLOOKUP('Hist &amp; Proj'!R$114,Data_Formatting!$GA$122:$GE$129,ROW('Hist &amp; Proj'!R116)-ROW('Hist &amp; Proj'!R$114)+2,FALSE),0)</f>
        <v>0</v>
      </c>
      <c r="S116" s="168">
        <f ca="1">IFERROR(HLOOKUP('Hist &amp; Proj'!S$114,Data_Formatting!$EO$122:$FX$129,ROW('Hist &amp; Proj'!S116)-ROW('Hist &amp; Proj'!S$114)+2,FALSE),0)</f>
        <v>0</v>
      </c>
      <c r="T116" s="168">
        <f ca="1">IFERROR(HLOOKUP('Hist &amp; Proj'!T$114,Data_Formatting!$EO$122:$FX$129,ROW('Hist &amp; Proj'!T116)-ROW('Hist &amp; Proj'!T$114)+2,FALSE),0)</f>
        <v>0</v>
      </c>
      <c r="U116" s="168">
        <f ca="1">IFERROR(HLOOKUP('Hist &amp; Proj'!U$114,Data_Formatting!$EO$122:$FX$129,ROW('Hist &amp; Proj'!U116)-ROW('Hist &amp; Proj'!U$114)+2,FALSE),0)</f>
        <v>0</v>
      </c>
      <c r="V116" s="168">
        <f ca="1">IFERROR(HLOOKUP('Hist &amp; Proj'!V$114,Data_Formatting!$EO$122:$FX$129,ROW('Hist &amp; Proj'!V116)-ROW('Hist &amp; Proj'!V$114)+2,FALSE),0)</f>
        <v>0</v>
      </c>
      <c r="W116" s="168">
        <f ca="1">IFERROR(HLOOKUP('Hist &amp; Proj'!W$114,Data_Formatting!$EO$122:$FX$129,ROW('Hist &amp; Proj'!W116)-ROW('Hist &amp; Proj'!W$114)+2,FALSE),0)</f>
        <v>0</v>
      </c>
      <c r="X116" s="168">
        <f ca="1">IFERROR(HLOOKUP('Hist &amp; Proj'!X$114,Data_Formatting!$EO$122:$FX$129,ROW('Hist &amp; Proj'!X116)-ROW('Hist &amp; Proj'!X$114)+2,FALSE),0)</f>
        <v>0</v>
      </c>
      <c r="Y116" s="168">
        <f ca="1">IFERROR(HLOOKUP('Hist &amp; Proj'!Y$114,Data_Formatting!$EO$122:$FX$129,ROW('Hist &amp; Proj'!Y116)-ROW('Hist &amp; Proj'!Y$114)+2,FALSE),0)</f>
        <v>0</v>
      </c>
      <c r="Z116" s="168">
        <f ca="1">IFERROR(HLOOKUP('Hist &amp; Proj'!Z$114,Data_Formatting!$EO$122:$FX$129,ROW('Hist &amp; Proj'!Z116)-ROW('Hist &amp; Proj'!Z$114)+2,FALSE),0)</f>
        <v>0</v>
      </c>
      <c r="AA116" s="168">
        <f ca="1">IFERROR(HLOOKUP('Hist &amp; Proj'!AA$114,Data_Formatting!$EO$122:$FX$129,ROW('Hist &amp; Proj'!AA116)-ROW('Hist &amp; Proj'!AA$114)+2,FALSE),0)</f>
        <v>0</v>
      </c>
      <c r="AB116" s="168">
        <f ca="1">IFERROR(HLOOKUP('Hist &amp; Proj'!AB$114,Data_Formatting!$EO$122:$FX$129,ROW('Hist &amp; Proj'!AB116)-ROW('Hist &amp; Proj'!AB$114)+2,FALSE),0)</f>
        <v>0</v>
      </c>
      <c r="AC116" s="168">
        <f ca="1">IFERROR(HLOOKUP('Hist &amp; Proj'!AC$114,Data_Formatting!$EO$122:$FX$129,ROW('Hist &amp; Proj'!AC116)-ROW('Hist &amp; Proj'!AC$114)+2,FALSE),0)</f>
        <v>0</v>
      </c>
      <c r="AD116" s="168">
        <f ca="1">IFERROR(HLOOKUP('Hist &amp; Proj'!AD$114,Data_Formatting!$EO$122:$FX$129,ROW('Hist &amp; Proj'!AD116)-ROW('Hist &amp; Proj'!AD$114)+2,FALSE),0)</f>
        <v>0</v>
      </c>
      <c r="AE116" s="267" t="e">
        <f ca="1">HLOOKUP(1,S$6:AD116,ROW(AE116)-5,FALSE)</f>
        <v>#N/A</v>
      </c>
      <c r="AF116" s="167"/>
      <c r="AG116" s="160"/>
      <c r="AH116" s="205"/>
      <c r="AI116" s="205"/>
      <c r="AJ116" s="205">
        <v>0</v>
      </c>
      <c r="AK116" s="205">
        <v>0</v>
      </c>
      <c r="AL116" s="205">
        <v>0</v>
      </c>
      <c r="AM116" s="159"/>
      <c r="AN116" s="159"/>
      <c r="AO116" s="159"/>
      <c r="AP116" s="159"/>
      <c r="AQ116" s="159"/>
      <c r="AR116" s="159"/>
      <c r="AS116" s="159"/>
      <c r="AT116" s="159"/>
      <c r="AU116" s="159"/>
      <c r="AV116" s="159"/>
      <c r="AW116" s="159"/>
      <c r="AX116" s="159"/>
      <c r="AY116" s="159"/>
      <c r="AZ116" s="159"/>
    </row>
    <row r="117" spans="1:94" s="213" customFormat="1">
      <c r="A117" s="260" t="s">
        <v>113</v>
      </c>
      <c r="B117" s="168">
        <f>IFERROR(HLOOKUP('Hist &amp; Proj'!B$114,Data_Formatting!$GA$122:$GE$129,ROW('Hist &amp; Proj'!B117)-ROW('Hist &amp; Proj'!B$114)+2,FALSE),0)</f>
        <v>0</v>
      </c>
      <c r="C117" s="168">
        <f>IFERROR(HLOOKUP('Hist &amp; Proj'!C$114,Data_Formatting!$GA$122:$GE$129,ROW('Hist &amp; Proj'!C117)-ROW('Hist &amp; Proj'!C$114)+2,FALSE),0)</f>
        <v>0</v>
      </c>
      <c r="D117" s="168">
        <f>IFERROR(HLOOKUP('Hist &amp; Proj'!D$114,Data_Formatting!$GA$122:$GE$129,ROW('Hist &amp; Proj'!D117)-ROW('Hist &amp; Proj'!D$114)+2,FALSE),0)</f>
        <v>0</v>
      </c>
      <c r="E117" s="168">
        <f>IFERROR(HLOOKUP('Hist &amp; Proj'!E$114,Data_Formatting!$GA$122:$GE$129,ROW('Hist &amp; Proj'!E117)-ROW('Hist &amp; Proj'!E$114)+2,FALSE),0)</f>
        <v>0</v>
      </c>
      <c r="F117" s="168">
        <f ca="1">IFERROR(HLOOKUP('Hist &amp; Proj'!F$114,Data_Formatting!$EO$122:$FX$129,ROW('Hist &amp; Proj'!F117)-ROW('Hist &amp; Proj'!F$114)+2,FALSE),0)</f>
        <v>0</v>
      </c>
      <c r="G117" s="168">
        <f ca="1">IFERROR(HLOOKUP('Hist &amp; Proj'!G$114,Data_Formatting!$EO$122:$FX$129,ROW('Hist &amp; Proj'!G117)-ROW('Hist &amp; Proj'!G$114)+2,FALSE),0)</f>
        <v>0</v>
      </c>
      <c r="H117" s="168">
        <f ca="1">IFERROR(HLOOKUP('Hist &amp; Proj'!H$114,Data_Formatting!$EO$122:$FX$129,ROW('Hist &amp; Proj'!H117)-ROW('Hist &amp; Proj'!H$114)+2,FALSE),0)</f>
        <v>0</v>
      </c>
      <c r="I117" s="168">
        <f ca="1">IFERROR(HLOOKUP('Hist &amp; Proj'!I$114,Data_Formatting!$EO$122:$FX$129,ROW('Hist &amp; Proj'!I117)-ROW('Hist &amp; Proj'!I$114)+2,FALSE),0)</f>
        <v>0</v>
      </c>
      <c r="J117" s="168">
        <f ca="1">IFERROR(HLOOKUP('Hist &amp; Proj'!J$114,Data_Formatting!$EO$122:$FX$129,ROW('Hist &amp; Proj'!J117)-ROW('Hist &amp; Proj'!J$114)+2,FALSE),0)</f>
        <v>0</v>
      </c>
      <c r="K117" s="168">
        <f ca="1">IFERROR(HLOOKUP('Hist &amp; Proj'!K$114,Data_Formatting!$EO$122:$FX$129,ROW('Hist &amp; Proj'!K117)-ROW('Hist &amp; Proj'!K$114)+2,FALSE),0)</f>
        <v>0</v>
      </c>
      <c r="L117" s="168">
        <f ca="1">IFERROR(HLOOKUP('Hist &amp; Proj'!L$114,Data_Formatting!$EO$122:$FX$129,ROW('Hist &amp; Proj'!L117)-ROW('Hist &amp; Proj'!L$114)+2,FALSE),0)</f>
        <v>0</v>
      </c>
      <c r="M117" s="168">
        <f ca="1">IFERROR(HLOOKUP('Hist &amp; Proj'!M$114,Data_Formatting!$EO$122:$FX$129,ROW('Hist &amp; Proj'!M117)-ROW('Hist &amp; Proj'!M$114)+2,FALSE),0)</f>
        <v>0</v>
      </c>
      <c r="N117" s="168">
        <f ca="1">IFERROR(HLOOKUP('Hist &amp; Proj'!N$114,Data_Formatting!$EO$122:$FX$129,ROW('Hist &amp; Proj'!N117)-ROW('Hist &amp; Proj'!N$114)+2,FALSE),0)</f>
        <v>0</v>
      </c>
      <c r="O117" s="168">
        <f ca="1">IFERROR(HLOOKUP('Hist &amp; Proj'!O$114,Data_Formatting!$EO$122:$FX$129,ROW('Hist &amp; Proj'!O117)-ROW('Hist &amp; Proj'!O$114)+2,FALSE),0)</f>
        <v>0</v>
      </c>
      <c r="P117" s="168">
        <f ca="1">IFERROR(HLOOKUP('Hist &amp; Proj'!P$114,Data_Formatting!$EO$122:$FX$129,ROW('Hist &amp; Proj'!P117)-ROW('Hist &amp; Proj'!P$114)+2,FALSE),0)</f>
        <v>0</v>
      </c>
      <c r="Q117" s="168">
        <f ca="1">IFERROR(HLOOKUP('Hist &amp; Proj'!Q$114,Data_Formatting!$EO$122:$FX$129,ROW('Hist &amp; Proj'!Q117)-ROW('Hist &amp; Proj'!Q$114)+2,FALSE),0)</f>
        <v>0</v>
      </c>
      <c r="R117" s="168">
        <f ca="1">IFERROR(HLOOKUP('Hist &amp; Proj'!R$114,Data_Formatting!$GA$122:$GE$129,ROW('Hist &amp; Proj'!R117)-ROW('Hist &amp; Proj'!R$114)+2,FALSE),0)</f>
        <v>0</v>
      </c>
      <c r="S117" s="168">
        <f ca="1">IFERROR(HLOOKUP('Hist &amp; Proj'!S$114,Data_Formatting!$EO$122:$FX$129,ROW('Hist &amp; Proj'!S117)-ROW('Hist &amp; Proj'!S$114)+2,FALSE),0)</f>
        <v>0</v>
      </c>
      <c r="T117" s="168">
        <f ca="1">IFERROR(HLOOKUP('Hist &amp; Proj'!T$114,Data_Formatting!$EO$122:$FX$129,ROW('Hist &amp; Proj'!T117)-ROW('Hist &amp; Proj'!T$114)+2,FALSE),0)</f>
        <v>0</v>
      </c>
      <c r="U117" s="168">
        <f ca="1">IFERROR(HLOOKUP('Hist &amp; Proj'!U$114,Data_Formatting!$EO$122:$FX$129,ROW('Hist &amp; Proj'!U117)-ROW('Hist &amp; Proj'!U$114)+2,FALSE),0)</f>
        <v>0</v>
      </c>
      <c r="V117" s="168">
        <f ca="1">IFERROR(HLOOKUP('Hist &amp; Proj'!V$114,Data_Formatting!$EO$122:$FX$129,ROW('Hist &amp; Proj'!V117)-ROW('Hist &amp; Proj'!V$114)+2,FALSE),0)</f>
        <v>0</v>
      </c>
      <c r="W117" s="168">
        <f ca="1">IFERROR(HLOOKUP('Hist &amp; Proj'!W$114,Data_Formatting!$EO$122:$FX$129,ROW('Hist &amp; Proj'!W117)-ROW('Hist &amp; Proj'!W$114)+2,FALSE),0)</f>
        <v>0</v>
      </c>
      <c r="X117" s="168">
        <f ca="1">IFERROR(HLOOKUP('Hist &amp; Proj'!X$114,Data_Formatting!$EO$122:$FX$129,ROW('Hist &amp; Proj'!X117)-ROW('Hist &amp; Proj'!X$114)+2,FALSE),0)</f>
        <v>0</v>
      </c>
      <c r="Y117" s="168">
        <f ca="1">IFERROR(HLOOKUP('Hist &amp; Proj'!Y$114,Data_Formatting!$EO$122:$FX$129,ROW('Hist &amp; Proj'!Y117)-ROW('Hist &amp; Proj'!Y$114)+2,FALSE),0)</f>
        <v>0</v>
      </c>
      <c r="Z117" s="168">
        <f ca="1">IFERROR(HLOOKUP('Hist &amp; Proj'!Z$114,Data_Formatting!$EO$122:$FX$129,ROW('Hist &amp; Proj'!Z117)-ROW('Hist &amp; Proj'!Z$114)+2,FALSE),0)</f>
        <v>0</v>
      </c>
      <c r="AA117" s="168">
        <f ca="1">IFERROR(HLOOKUP('Hist &amp; Proj'!AA$114,Data_Formatting!$EO$122:$FX$129,ROW('Hist &amp; Proj'!AA117)-ROW('Hist &amp; Proj'!AA$114)+2,FALSE),0)</f>
        <v>0</v>
      </c>
      <c r="AB117" s="168">
        <f ca="1">IFERROR(HLOOKUP('Hist &amp; Proj'!AB$114,Data_Formatting!$EO$122:$FX$129,ROW('Hist &amp; Proj'!AB117)-ROW('Hist &amp; Proj'!AB$114)+2,FALSE),0)</f>
        <v>0</v>
      </c>
      <c r="AC117" s="168">
        <f ca="1">IFERROR(HLOOKUP('Hist &amp; Proj'!AC$114,Data_Formatting!$EO$122:$FX$129,ROW('Hist &amp; Proj'!AC117)-ROW('Hist &amp; Proj'!AC$114)+2,FALSE),0)</f>
        <v>0</v>
      </c>
      <c r="AD117" s="168">
        <f ca="1">IFERROR(HLOOKUP('Hist &amp; Proj'!AD$114,Data_Formatting!$EO$122:$FX$129,ROW('Hist &amp; Proj'!AD117)-ROW('Hist &amp; Proj'!AD$114)+2,FALSE),0)</f>
        <v>0</v>
      </c>
      <c r="AE117" s="267" t="e">
        <f ca="1">HLOOKUP(1,S$6:AD117,ROW(AE117)-5,FALSE)</f>
        <v>#N/A</v>
      </c>
      <c r="AF117" s="167"/>
      <c r="AG117" s="160"/>
      <c r="AH117" s="205"/>
      <c r="AI117" s="205"/>
      <c r="AJ117" s="205">
        <v>0</v>
      </c>
      <c r="AK117" s="205">
        <v>0</v>
      </c>
      <c r="AL117" s="205">
        <v>0</v>
      </c>
      <c r="AM117" s="159"/>
      <c r="AN117" s="159"/>
      <c r="AO117" s="159"/>
      <c r="AP117" s="159"/>
      <c r="AQ117" s="159"/>
      <c r="AR117" s="159"/>
      <c r="AS117" s="159"/>
      <c r="AT117" s="159"/>
      <c r="AU117" s="159"/>
      <c r="AV117" s="159"/>
      <c r="AW117" s="159"/>
      <c r="AX117" s="159"/>
      <c r="AY117" s="159"/>
      <c r="AZ117" s="159"/>
      <c r="BA117" s="313"/>
    </row>
    <row r="118" spans="1:94" s="213" customFormat="1">
      <c r="A118" s="260" t="s">
        <v>57</v>
      </c>
      <c r="B118" s="168">
        <f>IFERROR(HLOOKUP('Hist &amp; Proj'!B$114,Data_Formatting!$GA$122:$GE$129,ROW('Hist &amp; Proj'!B118)-ROW('Hist &amp; Proj'!B$114)+2,FALSE),0)</f>
        <v>0</v>
      </c>
      <c r="C118" s="168">
        <f>IFERROR(HLOOKUP('Hist &amp; Proj'!C$114,Data_Formatting!$GA$122:$GE$129,ROW('Hist &amp; Proj'!C118)-ROW('Hist &amp; Proj'!C$114)+2,FALSE),0)</f>
        <v>0</v>
      </c>
      <c r="D118" s="168">
        <f>IFERROR(HLOOKUP('Hist &amp; Proj'!D$114,Data_Formatting!$GA$122:$GE$129,ROW('Hist &amp; Proj'!D118)-ROW('Hist &amp; Proj'!D$114)+2,FALSE),0)</f>
        <v>0</v>
      </c>
      <c r="E118" s="168">
        <f>IFERROR(HLOOKUP('Hist &amp; Proj'!E$114,Data_Formatting!$GA$122:$GE$129,ROW('Hist &amp; Proj'!E118)-ROW('Hist &amp; Proj'!E$114)+2,FALSE),0)</f>
        <v>0</v>
      </c>
      <c r="F118" s="168">
        <f ca="1">IFERROR(HLOOKUP('Hist &amp; Proj'!F$114,Data_Formatting!$EO$122:$FX$129,ROW('Hist &amp; Proj'!F118)-ROW('Hist &amp; Proj'!F$114)+2,FALSE),0)</f>
        <v>0</v>
      </c>
      <c r="G118" s="168">
        <f ca="1">IFERROR(HLOOKUP('Hist &amp; Proj'!G$114,Data_Formatting!$EO$122:$FX$129,ROW('Hist &amp; Proj'!G118)-ROW('Hist &amp; Proj'!G$114)+2,FALSE),0)</f>
        <v>0</v>
      </c>
      <c r="H118" s="168">
        <f ca="1">IFERROR(HLOOKUP('Hist &amp; Proj'!H$114,Data_Formatting!$EO$122:$FX$129,ROW('Hist &amp; Proj'!H118)-ROW('Hist &amp; Proj'!H$114)+2,FALSE),0)</f>
        <v>0</v>
      </c>
      <c r="I118" s="168">
        <f ca="1">IFERROR(HLOOKUP('Hist &amp; Proj'!I$114,Data_Formatting!$EO$122:$FX$129,ROW('Hist &amp; Proj'!I118)-ROW('Hist &amp; Proj'!I$114)+2,FALSE),0)</f>
        <v>0</v>
      </c>
      <c r="J118" s="168">
        <f ca="1">IFERROR(HLOOKUP('Hist &amp; Proj'!J$114,Data_Formatting!$EO$122:$FX$129,ROW('Hist &amp; Proj'!J118)-ROW('Hist &amp; Proj'!J$114)+2,FALSE),0)</f>
        <v>0</v>
      </c>
      <c r="K118" s="168">
        <f ca="1">IFERROR(HLOOKUP('Hist &amp; Proj'!K$114,Data_Formatting!$EO$122:$FX$129,ROW('Hist &amp; Proj'!K118)-ROW('Hist &amp; Proj'!K$114)+2,FALSE),0)</f>
        <v>0</v>
      </c>
      <c r="L118" s="168">
        <f ca="1">IFERROR(HLOOKUP('Hist &amp; Proj'!L$114,Data_Formatting!$EO$122:$FX$129,ROW('Hist &amp; Proj'!L118)-ROW('Hist &amp; Proj'!L$114)+2,FALSE),0)</f>
        <v>0</v>
      </c>
      <c r="M118" s="168">
        <f ca="1">IFERROR(HLOOKUP('Hist &amp; Proj'!M$114,Data_Formatting!$EO$122:$FX$129,ROW('Hist &amp; Proj'!M118)-ROW('Hist &amp; Proj'!M$114)+2,FALSE),0)</f>
        <v>0</v>
      </c>
      <c r="N118" s="168">
        <f ca="1">IFERROR(HLOOKUP('Hist &amp; Proj'!N$114,Data_Formatting!$EO$122:$FX$129,ROW('Hist &amp; Proj'!N118)-ROW('Hist &amp; Proj'!N$114)+2,FALSE),0)</f>
        <v>0</v>
      </c>
      <c r="O118" s="168">
        <f ca="1">IFERROR(HLOOKUP('Hist &amp; Proj'!O$114,Data_Formatting!$EO$122:$FX$129,ROW('Hist &amp; Proj'!O118)-ROW('Hist &amp; Proj'!O$114)+2,FALSE),0)</f>
        <v>0</v>
      </c>
      <c r="P118" s="168">
        <f ca="1">IFERROR(HLOOKUP('Hist &amp; Proj'!P$114,Data_Formatting!$EO$122:$FX$129,ROW('Hist &amp; Proj'!P118)-ROW('Hist &amp; Proj'!P$114)+2,FALSE),0)</f>
        <v>0</v>
      </c>
      <c r="Q118" s="168">
        <f ca="1">IFERROR(HLOOKUP('Hist &amp; Proj'!Q$114,Data_Formatting!$EO$122:$FX$129,ROW('Hist &amp; Proj'!Q118)-ROW('Hist &amp; Proj'!Q$114)+2,FALSE),0)</f>
        <v>0</v>
      </c>
      <c r="R118" s="168">
        <f ca="1">IFERROR(HLOOKUP('Hist &amp; Proj'!R$114,Data_Formatting!$GA$122:$GE$129,ROW('Hist &amp; Proj'!R118)-ROW('Hist &amp; Proj'!R$114)+2,FALSE),0)</f>
        <v>0</v>
      </c>
      <c r="S118" s="168">
        <f ca="1">IFERROR(HLOOKUP('Hist &amp; Proj'!S$114,Data_Formatting!$EO$122:$FX$129,ROW('Hist &amp; Proj'!S118)-ROW('Hist &amp; Proj'!S$114)+2,FALSE),0)</f>
        <v>0</v>
      </c>
      <c r="T118" s="168">
        <f ca="1">IFERROR(HLOOKUP('Hist &amp; Proj'!T$114,Data_Formatting!$EO$122:$FX$129,ROW('Hist &amp; Proj'!T118)-ROW('Hist &amp; Proj'!T$114)+2,FALSE),0)</f>
        <v>0</v>
      </c>
      <c r="U118" s="168">
        <f ca="1">IFERROR(HLOOKUP('Hist &amp; Proj'!U$114,Data_Formatting!$EO$122:$FX$129,ROW('Hist &amp; Proj'!U118)-ROW('Hist &amp; Proj'!U$114)+2,FALSE),0)</f>
        <v>0</v>
      </c>
      <c r="V118" s="168">
        <f ca="1">IFERROR(HLOOKUP('Hist &amp; Proj'!V$114,Data_Formatting!$EO$122:$FX$129,ROW('Hist &amp; Proj'!V118)-ROW('Hist &amp; Proj'!V$114)+2,FALSE),0)</f>
        <v>0</v>
      </c>
      <c r="W118" s="168">
        <f ca="1">IFERROR(HLOOKUP('Hist &amp; Proj'!W$114,Data_Formatting!$EO$122:$FX$129,ROW('Hist &amp; Proj'!W118)-ROW('Hist &amp; Proj'!W$114)+2,FALSE),0)</f>
        <v>0</v>
      </c>
      <c r="X118" s="168">
        <f ca="1">IFERROR(HLOOKUP('Hist &amp; Proj'!X$114,Data_Formatting!$EO$122:$FX$129,ROW('Hist &amp; Proj'!X118)-ROW('Hist &amp; Proj'!X$114)+2,FALSE),0)</f>
        <v>0</v>
      </c>
      <c r="Y118" s="168">
        <f ca="1">IFERROR(HLOOKUP('Hist &amp; Proj'!Y$114,Data_Formatting!$EO$122:$FX$129,ROW('Hist &amp; Proj'!Y118)-ROW('Hist &amp; Proj'!Y$114)+2,FALSE),0)</f>
        <v>0</v>
      </c>
      <c r="Z118" s="168">
        <f ca="1">IFERROR(HLOOKUP('Hist &amp; Proj'!Z$114,Data_Formatting!$EO$122:$FX$129,ROW('Hist &amp; Proj'!Z118)-ROW('Hist &amp; Proj'!Z$114)+2,FALSE),0)</f>
        <v>0</v>
      </c>
      <c r="AA118" s="168">
        <f ca="1">IFERROR(HLOOKUP('Hist &amp; Proj'!AA$114,Data_Formatting!$EO$122:$FX$129,ROW('Hist &amp; Proj'!AA118)-ROW('Hist &amp; Proj'!AA$114)+2,FALSE),0)</f>
        <v>0</v>
      </c>
      <c r="AB118" s="168">
        <f ca="1">IFERROR(HLOOKUP('Hist &amp; Proj'!AB$114,Data_Formatting!$EO$122:$FX$129,ROW('Hist &amp; Proj'!AB118)-ROW('Hist &amp; Proj'!AB$114)+2,FALSE),0)</f>
        <v>0</v>
      </c>
      <c r="AC118" s="168">
        <f ca="1">IFERROR(HLOOKUP('Hist &amp; Proj'!AC$114,Data_Formatting!$EO$122:$FX$129,ROW('Hist &amp; Proj'!AC118)-ROW('Hist &amp; Proj'!AC$114)+2,FALSE),0)</f>
        <v>0</v>
      </c>
      <c r="AD118" s="168">
        <f ca="1">IFERROR(HLOOKUP('Hist &amp; Proj'!AD$114,Data_Formatting!$EO$122:$FX$129,ROW('Hist &amp; Proj'!AD118)-ROW('Hist &amp; Proj'!AD$114)+2,FALSE),0)</f>
        <v>0</v>
      </c>
      <c r="AE118" s="267" t="e">
        <f ca="1">HLOOKUP(1,S$6:AD118,ROW(AE118)-5,FALSE)</f>
        <v>#N/A</v>
      </c>
      <c r="AF118" s="167"/>
      <c r="AG118" s="160"/>
      <c r="AH118" s="205"/>
      <c r="AI118" s="205"/>
      <c r="AJ118" s="205">
        <v>0</v>
      </c>
      <c r="AK118" s="205">
        <v>0</v>
      </c>
      <c r="AL118" s="205">
        <v>0</v>
      </c>
      <c r="AM118" s="159"/>
      <c r="AN118" s="159"/>
      <c r="AO118" s="159"/>
      <c r="AP118" s="159"/>
      <c r="AQ118" s="159"/>
      <c r="AR118" s="159"/>
      <c r="AS118" s="159"/>
      <c r="AT118" s="159"/>
      <c r="AU118" s="159"/>
      <c r="AV118" s="159"/>
      <c r="AW118" s="159"/>
      <c r="AX118" s="159"/>
      <c r="AY118" s="159"/>
      <c r="AZ118" s="159"/>
    </row>
    <row r="119" spans="1:94" s="213" customFormat="1">
      <c r="A119" s="260" t="s">
        <v>58</v>
      </c>
      <c r="B119" s="168">
        <f>IFERROR(HLOOKUP('Hist &amp; Proj'!B$114,Data_Formatting!$GA$122:$GE$129,ROW('Hist &amp; Proj'!B119)-ROW('Hist &amp; Proj'!B$114)+2,FALSE),0)</f>
        <v>0</v>
      </c>
      <c r="C119" s="168">
        <f>IFERROR(HLOOKUP('Hist &amp; Proj'!C$114,Data_Formatting!$GA$122:$GE$129,ROW('Hist &amp; Proj'!C119)-ROW('Hist &amp; Proj'!C$114)+2,FALSE),0)</f>
        <v>0</v>
      </c>
      <c r="D119" s="168">
        <f>IFERROR(HLOOKUP('Hist &amp; Proj'!D$114,Data_Formatting!$GA$122:$GE$129,ROW('Hist &amp; Proj'!D119)-ROW('Hist &amp; Proj'!D$114)+2,FALSE),0)</f>
        <v>0</v>
      </c>
      <c r="E119" s="168">
        <f>IFERROR(HLOOKUP('Hist &amp; Proj'!E$114,Data_Formatting!$GA$122:$GE$129,ROW('Hist &amp; Proj'!E119)-ROW('Hist &amp; Proj'!E$114)+2,FALSE),0)</f>
        <v>0</v>
      </c>
      <c r="F119" s="168">
        <f ca="1">IFERROR(HLOOKUP('Hist &amp; Proj'!F$114,Data_Formatting!$EO$122:$FX$129,ROW('Hist &amp; Proj'!F119)-ROW('Hist &amp; Proj'!F$114)+2,FALSE),0)</f>
        <v>0</v>
      </c>
      <c r="G119" s="168">
        <f ca="1">IFERROR(HLOOKUP('Hist &amp; Proj'!G$114,Data_Formatting!$EO$122:$FX$129,ROW('Hist &amp; Proj'!G119)-ROW('Hist &amp; Proj'!G$114)+2,FALSE),0)</f>
        <v>0</v>
      </c>
      <c r="H119" s="168">
        <f ca="1">IFERROR(HLOOKUP('Hist &amp; Proj'!H$114,Data_Formatting!$EO$122:$FX$129,ROW('Hist &amp; Proj'!H119)-ROW('Hist &amp; Proj'!H$114)+2,FALSE),0)</f>
        <v>0</v>
      </c>
      <c r="I119" s="168">
        <f ca="1">IFERROR(HLOOKUP('Hist &amp; Proj'!I$114,Data_Formatting!$EO$122:$FX$129,ROW('Hist &amp; Proj'!I119)-ROW('Hist &amp; Proj'!I$114)+2,FALSE),0)</f>
        <v>0</v>
      </c>
      <c r="J119" s="168">
        <f ca="1">IFERROR(HLOOKUP('Hist &amp; Proj'!J$114,Data_Formatting!$EO$122:$FX$129,ROW('Hist &amp; Proj'!J119)-ROW('Hist &amp; Proj'!J$114)+2,FALSE),0)</f>
        <v>0</v>
      </c>
      <c r="K119" s="168">
        <f ca="1">IFERROR(HLOOKUP('Hist &amp; Proj'!K$114,Data_Formatting!$EO$122:$FX$129,ROW('Hist &amp; Proj'!K119)-ROW('Hist &amp; Proj'!K$114)+2,FALSE),0)</f>
        <v>0</v>
      </c>
      <c r="L119" s="168">
        <f ca="1">IFERROR(HLOOKUP('Hist &amp; Proj'!L$114,Data_Formatting!$EO$122:$FX$129,ROW('Hist &amp; Proj'!L119)-ROW('Hist &amp; Proj'!L$114)+2,FALSE),0)</f>
        <v>0</v>
      </c>
      <c r="M119" s="168">
        <f ca="1">IFERROR(HLOOKUP('Hist &amp; Proj'!M$114,Data_Formatting!$EO$122:$FX$129,ROW('Hist &amp; Proj'!M119)-ROW('Hist &amp; Proj'!M$114)+2,FALSE),0)</f>
        <v>0</v>
      </c>
      <c r="N119" s="168">
        <f ca="1">IFERROR(HLOOKUP('Hist &amp; Proj'!N$114,Data_Formatting!$EO$122:$FX$129,ROW('Hist &amp; Proj'!N119)-ROW('Hist &amp; Proj'!N$114)+2,FALSE),0)</f>
        <v>0</v>
      </c>
      <c r="O119" s="168">
        <f ca="1">IFERROR(HLOOKUP('Hist &amp; Proj'!O$114,Data_Formatting!$EO$122:$FX$129,ROW('Hist &amp; Proj'!O119)-ROW('Hist &amp; Proj'!O$114)+2,FALSE),0)</f>
        <v>0</v>
      </c>
      <c r="P119" s="168">
        <f ca="1">IFERROR(HLOOKUP('Hist &amp; Proj'!P$114,Data_Formatting!$EO$122:$FX$129,ROW('Hist &amp; Proj'!P119)-ROW('Hist &amp; Proj'!P$114)+2,FALSE),0)</f>
        <v>0</v>
      </c>
      <c r="Q119" s="168">
        <f ca="1">IFERROR(HLOOKUP('Hist &amp; Proj'!Q$114,Data_Formatting!$EO$122:$FX$129,ROW('Hist &amp; Proj'!Q119)-ROW('Hist &amp; Proj'!Q$114)+2,FALSE),0)</f>
        <v>0</v>
      </c>
      <c r="R119" s="168">
        <f ca="1">IFERROR(HLOOKUP('Hist &amp; Proj'!R$114,Data_Formatting!$GA$122:$GE$129,ROW('Hist &amp; Proj'!R119)-ROW('Hist &amp; Proj'!R$114)+2,FALSE),0)</f>
        <v>0</v>
      </c>
      <c r="S119" s="168">
        <f ca="1">IFERROR(HLOOKUP('Hist &amp; Proj'!S$114,Data_Formatting!$EO$122:$FX$129,ROW('Hist &amp; Proj'!S119)-ROW('Hist &amp; Proj'!S$114)+2,FALSE),0)</f>
        <v>0</v>
      </c>
      <c r="T119" s="168">
        <f ca="1">IFERROR(HLOOKUP('Hist &amp; Proj'!T$114,Data_Formatting!$EO$122:$FX$129,ROW('Hist &amp; Proj'!T119)-ROW('Hist &amp; Proj'!T$114)+2,FALSE),0)</f>
        <v>0</v>
      </c>
      <c r="U119" s="168">
        <f ca="1">IFERROR(HLOOKUP('Hist &amp; Proj'!U$114,Data_Formatting!$EO$122:$FX$129,ROW('Hist &amp; Proj'!U119)-ROW('Hist &amp; Proj'!U$114)+2,FALSE),0)</f>
        <v>0</v>
      </c>
      <c r="V119" s="168">
        <f ca="1">IFERROR(HLOOKUP('Hist &amp; Proj'!V$114,Data_Formatting!$EO$122:$FX$129,ROW('Hist &amp; Proj'!V119)-ROW('Hist &amp; Proj'!V$114)+2,FALSE),0)</f>
        <v>0</v>
      </c>
      <c r="W119" s="168">
        <f ca="1">IFERROR(HLOOKUP('Hist &amp; Proj'!W$114,Data_Formatting!$EO$122:$FX$129,ROW('Hist &amp; Proj'!W119)-ROW('Hist &amp; Proj'!W$114)+2,FALSE),0)</f>
        <v>0</v>
      </c>
      <c r="X119" s="168">
        <f ca="1">IFERROR(HLOOKUP('Hist &amp; Proj'!X$114,Data_Formatting!$EO$122:$FX$129,ROW('Hist &amp; Proj'!X119)-ROW('Hist &amp; Proj'!X$114)+2,FALSE),0)</f>
        <v>0</v>
      </c>
      <c r="Y119" s="168">
        <f ca="1">IFERROR(HLOOKUP('Hist &amp; Proj'!Y$114,Data_Formatting!$EO$122:$FX$129,ROW('Hist &amp; Proj'!Y119)-ROW('Hist &amp; Proj'!Y$114)+2,FALSE),0)</f>
        <v>0</v>
      </c>
      <c r="Z119" s="168">
        <f ca="1">IFERROR(HLOOKUP('Hist &amp; Proj'!Z$114,Data_Formatting!$EO$122:$FX$129,ROW('Hist &amp; Proj'!Z119)-ROW('Hist &amp; Proj'!Z$114)+2,FALSE),0)</f>
        <v>0</v>
      </c>
      <c r="AA119" s="168">
        <f ca="1">IFERROR(HLOOKUP('Hist &amp; Proj'!AA$114,Data_Formatting!$EO$122:$FX$129,ROW('Hist &amp; Proj'!AA119)-ROW('Hist &amp; Proj'!AA$114)+2,FALSE),0)</f>
        <v>0</v>
      </c>
      <c r="AB119" s="168">
        <f ca="1">IFERROR(HLOOKUP('Hist &amp; Proj'!AB$114,Data_Formatting!$EO$122:$FX$129,ROW('Hist &amp; Proj'!AB119)-ROW('Hist &amp; Proj'!AB$114)+2,FALSE),0)</f>
        <v>0</v>
      </c>
      <c r="AC119" s="168">
        <f ca="1">IFERROR(HLOOKUP('Hist &amp; Proj'!AC$114,Data_Formatting!$EO$122:$FX$129,ROW('Hist &amp; Proj'!AC119)-ROW('Hist &amp; Proj'!AC$114)+2,FALSE),0)</f>
        <v>0</v>
      </c>
      <c r="AD119" s="168">
        <f ca="1">IFERROR(HLOOKUP('Hist &amp; Proj'!AD$114,Data_Formatting!$EO$122:$FX$129,ROW('Hist &amp; Proj'!AD119)-ROW('Hist &amp; Proj'!AD$114)+2,FALSE),0)</f>
        <v>0</v>
      </c>
      <c r="AE119" s="267" t="e">
        <f ca="1">HLOOKUP(1,S$6:AD119,ROW(AE119)-5,FALSE)</f>
        <v>#N/A</v>
      </c>
      <c r="AF119" s="167"/>
      <c r="AG119" s="160"/>
      <c r="AH119" s="205"/>
      <c r="AI119" s="205"/>
      <c r="AJ119" s="205">
        <v>0</v>
      </c>
      <c r="AK119" s="205">
        <v>0</v>
      </c>
      <c r="AL119" s="205">
        <v>0</v>
      </c>
      <c r="AM119" s="159"/>
      <c r="AN119" s="159"/>
      <c r="AO119" s="159"/>
      <c r="AP119" s="159"/>
      <c r="AQ119" s="159"/>
      <c r="AR119" s="159"/>
      <c r="AS119" s="159"/>
      <c r="AT119" s="159"/>
      <c r="AU119" s="159"/>
      <c r="AV119" s="159"/>
      <c r="AW119" s="159"/>
      <c r="AX119" s="159"/>
      <c r="AY119" s="159"/>
      <c r="AZ119" s="159"/>
    </row>
    <row r="120" spans="1:94" s="213" customFormat="1">
      <c r="A120" s="260" t="s">
        <v>59</v>
      </c>
      <c r="B120" s="168">
        <f>IFERROR(HLOOKUP('Hist &amp; Proj'!B$114,Data_Formatting!$GA$122:$GE$129,ROW('Hist &amp; Proj'!B120)-ROW('Hist &amp; Proj'!B$114)+2,FALSE),0)</f>
        <v>0</v>
      </c>
      <c r="C120" s="168">
        <f>IFERROR(HLOOKUP('Hist &amp; Proj'!C$114,Data_Formatting!$GA$122:$GE$129,ROW('Hist &amp; Proj'!C120)-ROW('Hist &amp; Proj'!C$114)+2,FALSE),0)</f>
        <v>0</v>
      </c>
      <c r="D120" s="168">
        <f>IFERROR(HLOOKUP('Hist &amp; Proj'!D$114,Data_Formatting!$GA$122:$GE$129,ROW('Hist &amp; Proj'!D120)-ROW('Hist &amp; Proj'!D$114)+2,FALSE),0)</f>
        <v>0</v>
      </c>
      <c r="E120" s="168">
        <f>IFERROR(HLOOKUP('Hist &amp; Proj'!E$114,Data_Formatting!$GA$122:$GE$129,ROW('Hist &amp; Proj'!E120)-ROW('Hist &amp; Proj'!E$114)+2,FALSE),0)</f>
        <v>0</v>
      </c>
      <c r="F120" s="168">
        <f ca="1">IFERROR(HLOOKUP('Hist &amp; Proj'!F$114,Data_Formatting!$EO$122:$FX$129,ROW('Hist &amp; Proj'!F120)-ROW('Hist &amp; Proj'!F$114)+2,FALSE),0)</f>
        <v>0</v>
      </c>
      <c r="G120" s="168">
        <f ca="1">IFERROR(HLOOKUP('Hist &amp; Proj'!G$114,Data_Formatting!$EO$122:$FX$129,ROW('Hist &amp; Proj'!G120)-ROW('Hist &amp; Proj'!G$114)+2,FALSE),0)</f>
        <v>0</v>
      </c>
      <c r="H120" s="168">
        <f ca="1">IFERROR(HLOOKUP('Hist &amp; Proj'!H$114,Data_Formatting!$EO$122:$FX$129,ROW('Hist &amp; Proj'!H120)-ROW('Hist &amp; Proj'!H$114)+2,FALSE),0)</f>
        <v>0</v>
      </c>
      <c r="I120" s="168">
        <f ca="1">IFERROR(HLOOKUP('Hist &amp; Proj'!I$114,Data_Formatting!$EO$122:$FX$129,ROW('Hist &amp; Proj'!I120)-ROW('Hist &amp; Proj'!I$114)+2,FALSE),0)</f>
        <v>0</v>
      </c>
      <c r="J120" s="168">
        <f ca="1">IFERROR(HLOOKUP('Hist &amp; Proj'!J$114,Data_Formatting!$EO$122:$FX$129,ROW('Hist &amp; Proj'!J120)-ROW('Hist &amp; Proj'!J$114)+2,FALSE),0)</f>
        <v>0</v>
      </c>
      <c r="K120" s="168">
        <f ca="1">IFERROR(HLOOKUP('Hist &amp; Proj'!K$114,Data_Formatting!$EO$122:$FX$129,ROW('Hist &amp; Proj'!K120)-ROW('Hist &amp; Proj'!K$114)+2,FALSE),0)</f>
        <v>0</v>
      </c>
      <c r="L120" s="168">
        <f ca="1">IFERROR(HLOOKUP('Hist &amp; Proj'!L$114,Data_Formatting!$EO$122:$FX$129,ROW('Hist &amp; Proj'!L120)-ROW('Hist &amp; Proj'!L$114)+2,FALSE),0)</f>
        <v>0</v>
      </c>
      <c r="M120" s="168">
        <f ca="1">IFERROR(HLOOKUP('Hist &amp; Proj'!M$114,Data_Formatting!$EO$122:$FX$129,ROW('Hist &amp; Proj'!M120)-ROW('Hist &amp; Proj'!M$114)+2,FALSE),0)</f>
        <v>0</v>
      </c>
      <c r="N120" s="168">
        <f ca="1">IFERROR(HLOOKUP('Hist &amp; Proj'!N$114,Data_Formatting!$EO$122:$FX$129,ROW('Hist &amp; Proj'!N120)-ROW('Hist &amp; Proj'!N$114)+2,FALSE),0)</f>
        <v>0</v>
      </c>
      <c r="O120" s="168">
        <f ca="1">IFERROR(HLOOKUP('Hist &amp; Proj'!O$114,Data_Formatting!$EO$122:$FX$129,ROW('Hist &amp; Proj'!O120)-ROW('Hist &amp; Proj'!O$114)+2,FALSE),0)</f>
        <v>0</v>
      </c>
      <c r="P120" s="168">
        <f ca="1">IFERROR(HLOOKUP('Hist &amp; Proj'!P$114,Data_Formatting!$EO$122:$FX$129,ROW('Hist &amp; Proj'!P120)-ROW('Hist &amp; Proj'!P$114)+2,FALSE),0)</f>
        <v>0</v>
      </c>
      <c r="Q120" s="168">
        <f ca="1">IFERROR(HLOOKUP('Hist &amp; Proj'!Q$114,Data_Formatting!$EO$122:$FX$129,ROW('Hist &amp; Proj'!Q120)-ROW('Hist &amp; Proj'!Q$114)+2,FALSE),0)</f>
        <v>0</v>
      </c>
      <c r="R120" s="168">
        <f ca="1">IFERROR(HLOOKUP('Hist &amp; Proj'!R$114,Data_Formatting!$GA$122:$GE$129,ROW('Hist &amp; Proj'!R120)-ROW('Hist &amp; Proj'!R$114)+2,FALSE),0)</f>
        <v>0</v>
      </c>
      <c r="S120" s="168">
        <f ca="1">IFERROR(HLOOKUP('Hist &amp; Proj'!S$114,Data_Formatting!$EO$122:$FX$129,ROW('Hist &amp; Proj'!S120)-ROW('Hist &amp; Proj'!S$114)+2,FALSE),0)</f>
        <v>0</v>
      </c>
      <c r="T120" s="168">
        <f ca="1">IFERROR(HLOOKUP('Hist &amp; Proj'!T$114,Data_Formatting!$EO$122:$FX$129,ROW('Hist &amp; Proj'!T120)-ROW('Hist &amp; Proj'!T$114)+2,FALSE),0)</f>
        <v>0</v>
      </c>
      <c r="U120" s="168">
        <f ca="1">IFERROR(HLOOKUP('Hist &amp; Proj'!U$114,Data_Formatting!$EO$122:$FX$129,ROW('Hist &amp; Proj'!U120)-ROW('Hist &amp; Proj'!U$114)+2,FALSE),0)</f>
        <v>0</v>
      </c>
      <c r="V120" s="168">
        <f ca="1">IFERROR(HLOOKUP('Hist &amp; Proj'!V$114,Data_Formatting!$EO$122:$FX$129,ROW('Hist &amp; Proj'!V120)-ROW('Hist &amp; Proj'!V$114)+2,FALSE),0)</f>
        <v>0</v>
      </c>
      <c r="W120" s="168">
        <f ca="1">IFERROR(HLOOKUP('Hist &amp; Proj'!W$114,Data_Formatting!$EO$122:$FX$129,ROW('Hist &amp; Proj'!W120)-ROW('Hist &amp; Proj'!W$114)+2,FALSE),0)</f>
        <v>0</v>
      </c>
      <c r="X120" s="168">
        <f ca="1">IFERROR(HLOOKUP('Hist &amp; Proj'!X$114,Data_Formatting!$EO$122:$FX$129,ROW('Hist &amp; Proj'!X120)-ROW('Hist &amp; Proj'!X$114)+2,FALSE),0)</f>
        <v>0</v>
      </c>
      <c r="Y120" s="168">
        <f ca="1">IFERROR(HLOOKUP('Hist &amp; Proj'!Y$114,Data_Formatting!$EO$122:$FX$129,ROW('Hist &amp; Proj'!Y120)-ROW('Hist &amp; Proj'!Y$114)+2,FALSE),0)</f>
        <v>0</v>
      </c>
      <c r="Z120" s="168">
        <f ca="1">IFERROR(HLOOKUP('Hist &amp; Proj'!Z$114,Data_Formatting!$EO$122:$FX$129,ROW('Hist &amp; Proj'!Z120)-ROW('Hist &amp; Proj'!Z$114)+2,FALSE),0)</f>
        <v>0</v>
      </c>
      <c r="AA120" s="168">
        <f ca="1">IFERROR(HLOOKUP('Hist &amp; Proj'!AA$114,Data_Formatting!$EO$122:$FX$129,ROW('Hist &amp; Proj'!AA120)-ROW('Hist &amp; Proj'!AA$114)+2,FALSE),0)</f>
        <v>0</v>
      </c>
      <c r="AB120" s="168">
        <f ca="1">IFERROR(HLOOKUP('Hist &amp; Proj'!AB$114,Data_Formatting!$EO$122:$FX$129,ROW('Hist &amp; Proj'!AB120)-ROW('Hist &amp; Proj'!AB$114)+2,FALSE),0)</f>
        <v>0</v>
      </c>
      <c r="AC120" s="168">
        <f ca="1">IFERROR(HLOOKUP('Hist &amp; Proj'!AC$114,Data_Formatting!$EO$122:$FX$129,ROW('Hist &amp; Proj'!AC120)-ROW('Hist &amp; Proj'!AC$114)+2,FALSE),0)</f>
        <v>0</v>
      </c>
      <c r="AD120" s="168">
        <f ca="1">IFERROR(HLOOKUP('Hist &amp; Proj'!AD$114,Data_Formatting!$EO$122:$FX$129,ROW('Hist &amp; Proj'!AD120)-ROW('Hist &amp; Proj'!AD$114)+2,FALSE),0)</f>
        <v>0</v>
      </c>
      <c r="AE120" s="267" t="e">
        <f ca="1">HLOOKUP(1,S$6:AD120,ROW(AE120)-5,FALSE)</f>
        <v>#N/A</v>
      </c>
      <c r="AF120" s="167"/>
      <c r="AG120" s="160"/>
      <c r="AH120" s="859"/>
      <c r="AI120" s="859"/>
      <c r="AJ120" s="859">
        <v>0</v>
      </c>
      <c r="AK120" s="859">
        <v>0</v>
      </c>
      <c r="AL120" s="859">
        <v>0</v>
      </c>
      <c r="AM120" s="159"/>
      <c r="AN120" s="159"/>
      <c r="AO120" s="159"/>
      <c r="AP120" s="159"/>
      <c r="AQ120" s="159"/>
      <c r="AR120" s="159"/>
      <c r="AS120" s="159"/>
      <c r="AT120" s="159"/>
      <c r="AU120" s="159"/>
      <c r="AV120" s="159"/>
      <c r="AW120" s="159"/>
      <c r="AX120" s="159"/>
      <c r="AY120" s="159"/>
      <c r="AZ120" s="159"/>
    </row>
    <row r="121" spans="1:94" ht="12.75" customHeight="1">
      <c r="A121" s="235"/>
      <c r="B121" s="239"/>
      <c r="C121" s="239"/>
      <c r="D121" s="239"/>
      <c r="E121" s="239"/>
      <c r="F121" s="239"/>
      <c r="G121" s="239"/>
      <c r="H121" s="239"/>
      <c r="I121" s="239"/>
      <c r="J121" s="239"/>
      <c r="K121" s="239"/>
      <c r="L121" s="239"/>
      <c r="M121" s="239"/>
      <c r="N121" s="239"/>
      <c r="O121" s="239"/>
      <c r="P121" s="239"/>
      <c r="Q121" s="239"/>
      <c r="R121" s="167"/>
      <c r="S121" s="167"/>
      <c r="T121" s="167"/>
      <c r="U121" s="167"/>
      <c r="V121" s="167"/>
      <c r="W121" s="167"/>
      <c r="X121" s="167"/>
      <c r="Y121" s="167"/>
      <c r="Z121" s="167"/>
      <c r="AA121" s="167"/>
      <c r="AB121" s="167"/>
      <c r="AC121" s="167"/>
      <c r="AD121" s="167"/>
      <c r="AE121" s="167"/>
      <c r="AF121" s="167"/>
      <c r="AG121" s="167"/>
      <c r="AM121" s="167"/>
      <c r="AN121" s="167"/>
      <c r="AO121" s="167"/>
      <c r="AP121" s="167"/>
      <c r="AQ121" s="167"/>
      <c r="AR121" s="167"/>
      <c r="AS121" s="167"/>
    </row>
    <row r="122" spans="1:94" ht="12.75" customHeight="1">
      <c r="R122" s="213" t="s">
        <v>935</v>
      </c>
      <c r="AF122" s="167"/>
    </row>
    <row r="123" spans="1:94" s="159" customFormat="1" ht="15.75" customHeight="1">
      <c r="A123" s="315" t="s">
        <v>715</v>
      </c>
      <c r="B123" s="213"/>
      <c r="C123" s="213"/>
      <c r="D123" s="213"/>
      <c r="E123" s="241"/>
      <c r="F123" s="213"/>
      <c r="G123" s="213"/>
      <c r="H123" s="213"/>
      <c r="I123" s="213"/>
      <c r="J123" s="213"/>
      <c r="K123" s="213"/>
      <c r="L123" s="213"/>
      <c r="M123" s="213"/>
      <c r="N123" s="213"/>
      <c r="O123" s="213"/>
      <c r="P123" s="213"/>
      <c r="Q123" s="213"/>
      <c r="R123" s="213"/>
      <c r="S123" s="213"/>
      <c r="T123" s="213"/>
      <c r="U123" s="213"/>
      <c r="V123" s="213"/>
      <c r="W123" s="213"/>
      <c r="X123" s="213"/>
      <c r="Y123" s="213"/>
      <c r="Z123" s="213"/>
      <c r="AA123" s="213"/>
      <c r="AB123" s="213"/>
      <c r="AC123" s="213"/>
      <c r="AD123" s="213"/>
      <c r="AE123" s="213"/>
      <c r="AF123" s="167"/>
      <c r="AG123" s="213"/>
      <c r="AH123" s="169"/>
      <c r="AI123" s="169"/>
      <c r="AJ123" s="169"/>
      <c r="AK123" s="169"/>
      <c r="AL123" s="169"/>
      <c r="AM123" s="213"/>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row>
    <row r="124" spans="1:94" ht="12.75" customHeight="1">
      <c r="A124" s="508">
        <f>'Gen Info'!$B$50</f>
        <v>0</v>
      </c>
      <c r="B124" s="737">
        <f>B$7</f>
        <v>692501</v>
      </c>
      <c r="C124" s="737">
        <f>C$7</f>
        <v>692867</v>
      </c>
      <c r="D124" s="737">
        <f>D$7</f>
        <v>693232</v>
      </c>
      <c r="E124" s="737">
        <f>E$7</f>
        <v>693597</v>
      </c>
      <c r="F124" s="246">
        <f ca="1">F$7</f>
        <v>693628</v>
      </c>
      <c r="G124" s="246">
        <f t="shared" ref="G124:AE124" ca="1" si="37">G$7</f>
        <v>693656</v>
      </c>
      <c r="H124" s="246">
        <f t="shared" ca="1" si="37"/>
        <v>693687</v>
      </c>
      <c r="I124" s="246">
        <f t="shared" ca="1" si="37"/>
        <v>693717</v>
      </c>
      <c r="J124" s="246">
        <f t="shared" ca="1" si="37"/>
        <v>693748</v>
      </c>
      <c r="K124" s="246">
        <f t="shared" ca="1" si="37"/>
        <v>693778</v>
      </c>
      <c r="L124" s="246">
        <f t="shared" ca="1" si="37"/>
        <v>693809</v>
      </c>
      <c r="M124" s="246">
        <f t="shared" ca="1" si="37"/>
        <v>693840</v>
      </c>
      <c r="N124" s="246">
        <f t="shared" ca="1" si="37"/>
        <v>693870</v>
      </c>
      <c r="O124" s="246">
        <f t="shared" ca="1" si="37"/>
        <v>693901</v>
      </c>
      <c r="P124" s="246">
        <f t="shared" ca="1" si="37"/>
        <v>693931</v>
      </c>
      <c r="Q124" s="246">
        <f t="shared" ca="1" si="37"/>
        <v>693962</v>
      </c>
      <c r="R124" s="737">
        <f ca="1">R$7</f>
        <v>693962</v>
      </c>
      <c r="S124" s="246">
        <f t="shared" ca="1" si="37"/>
        <v>31</v>
      </c>
      <c r="T124" s="246">
        <f t="shared" ca="1" si="37"/>
        <v>59</v>
      </c>
      <c r="U124" s="246">
        <f t="shared" ca="1" si="37"/>
        <v>91</v>
      </c>
      <c r="V124" s="246">
        <f t="shared" ca="1" si="37"/>
        <v>121</v>
      </c>
      <c r="W124" s="246">
        <f t="shared" ca="1" si="37"/>
        <v>152</v>
      </c>
      <c r="X124" s="246">
        <f t="shared" ca="1" si="37"/>
        <v>182</v>
      </c>
      <c r="Y124" s="246">
        <f t="shared" ca="1" si="37"/>
        <v>213</v>
      </c>
      <c r="Z124" s="246">
        <f t="shared" ca="1" si="37"/>
        <v>244</v>
      </c>
      <c r="AA124" s="246">
        <f t="shared" ca="1" si="37"/>
        <v>274</v>
      </c>
      <c r="AB124" s="246">
        <f t="shared" ca="1" si="37"/>
        <v>305</v>
      </c>
      <c r="AC124" s="246">
        <f t="shared" ca="1" si="37"/>
        <v>335</v>
      </c>
      <c r="AD124" s="246">
        <f t="shared" ca="1" si="37"/>
        <v>366</v>
      </c>
      <c r="AE124" s="246" t="e">
        <f t="shared" ca="1" si="37"/>
        <v>#N/A</v>
      </c>
      <c r="AF124" s="167"/>
      <c r="AG124" s="273"/>
      <c r="AM124" s="254"/>
      <c r="AN124" s="254"/>
      <c r="AO124" s="254"/>
      <c r="AP124" s="254"/>
      <c r="AQ124" s="254"/>
      <c r="AR124" s="254"/>
      <c r="AS124" s="255"/>
      <c r="AU124" s="255"/>
      <c r="AV124" s="255"/>
      <c r="AW124" s="255"/>
      <c r="AX124" s="255"/>
      <c r="AY124" s="255"/>
    </row>
    <row r="125" spans="1:94" s="303" customFormat="1" ht="15" customHeight="1">
      <c r="A125" s="316" t="s">
        <v>656</v>
      </c>
      <c r="B125" s="312">
        <f>IFERROR(IF(SUM(B126:B127)=0,HLOOKUP(B$124,Data_Formatting!$HU$122:$HY$128,2,FALSE),SUM(B126:B127)),0)</f>
        <v>0</v>
      </c>
      <c r="C125" s="312">
        <f>IFERROR(IF(SUM(C126:C127)=0,HLOOKUP(C$124,Data_Formatting!$HU$122:$HY$128,2,FALSE),SUM(C126:C127)),0)</f>
        <v>0</v>
      </c>
      <c r="D125" s="312">
        <f>IFERROR(IF(SUM(D126:D127)=0,HLOOKUP(D$124,Data_Formatting!$HU$122:$HY$128,2,FALSE),SUM(D126:D127)),0)</f>
        <v>0</v>
      </c>
      <c r="E125" s="312">
        <f>IFERROR(IF(SUM(E126:E127)=0,HLOOKUP(E$124,Data_Formatting!$HU$122:$HY$128,2,FALSE),SUM(E126:E127)),0)</f>
        <v>0</v>
      </c>
      <c r="F125" s="312">
        <f ca="1">IFERROR(IF(SUM(F126:F127)=0,HLOOKUP(F$124,Data_Formatting!$GH$122:$HQ$128,2,FALSE),SUM(F126:F127)),0)</f>
        <v>0</v>
      </c>
      <c r="G125" s="312">
        <f ca="1">IFERROR(IF(SUM(G126:G127)=0,HLOOKUP(G$124,Data_Formatting!$GH$122:$HQ$128,2,FALSE),SUM(G126:G127)),0)</f>
        <v>0</v>
      </c>
      <c r="H125" s="312">
        <f ca="1">IFERROR(IF(SUM(H126:H127)=0,HLOOKUP(H$124,Data_Formatting!$GH$122:$HQ$128,2,FALSE),SUM(H126:H127)),0)</f>
        <v>0</v>
      </c>
      <c r="I125" s="312">
        <f ca="1">IFERROR(IF(SUM(I126:I127)=0,HLOOKUP(I$124,Data_Formatting!$GH$122:$HQ$128,2,FALSE),SUM(I126:I127)),0)</f>
        <v>0</v>
      </c>
      <c r="J125" s="312">
        <f ca="1">IFERROR(IF(SUM(J126:J127)=0,HLOOKUP(J$124,Data_Formatting!$GH$122:$HQ$128,2,FALSE),SUM(J126:J127)),0)</f>
        <v>0</v>
      </c>
      <c r="K125" s="312">
        <f ca="1">IFERROR(IF(SUM(K126:K127)=0,HLOOKUP(K$124,Data_Formatting!$GH$122:$HQ$128,2,FALSE),SUM(K126:K127)),0)</f>
        <v>0</v>
      </c>
      <c r="L125" s="312">
        <f ca="1">IFERROR(IF(SUM(L126:L127)=0,HLOOKUP(L$124,Data_Formatting!$GH$122:$HQ$128,2,FALSE),SUM(L126:L127)),0)</f>
        <v>0</v>
      </c>
      <c r="M125" s="312">
        <f ca="1">IFERROR(IF(SUM(M126:M127)=0,HLOOKUP(M$124,Data_Formatting!$GH$122:$HQ$128,2,FALSE),SUM(M126:M127)),0)</f>
        <v>0</v>
      </c>
      <c r="N125" s="312">
        <f ca="1">IFERROR(IF(SUM(N126:N127)=0,HLOOKUP(N$124,Data_Formatting!$GH$122:$HQ$128,2,FALSE),SUM(N126:N127)),0)</f>
        <v>0</v>
      </c>
      <c r="O125" s="312">
        <f ca="1">IFERROR(IF(SUM(O126:O127)=0,HLOOKUP(O$124,Data_Formatting!$GH$122:$HQ$128,2,FALSE),SUM(O126:O127)),0)</f>
        <v>0</v>
      </c>
      <c r="P125" s="312">
        <f ca="1">IFERROR(IF(SUM(P126:P127)=0,HLOOKUP(P$124,Data_Formatting!$GH$122:$HQ$128,2,FALSE),SUM(P126:P127)),0)</f>
        <v>0</v>
      </c>
      <c r="Q125" s="312">
        <f ca="1">IFERROR(IF(SUM(Q126:Q127)=0,HLOOKUP(Q$124,Data_Formatting!$GH$122:$HQ$128,2,FALSE),SUM(Q126:Q127)),0)</f>
        <v>0</v>
      </c>
      <c r="R125" s="312">
        <f ca="1">IFERROR(IF(SUM(R126:R127)=0,HLOOKUP(R$124,Data_Formatting!$HU$122:$HY$128,2,FALSE),SUM(R126:R127)),0)</f>
        <v>0</v>
      </c>
      <c r="S125" s="312">
        <f ca="1">IFERROR(IF(SUM(S126:S127)=0,HLOOKUP(S$124,Data_Formatting!$GH$122:$HQ$128,2,FALSE),SUM(S126:S127)),0)</f>
        <v>0</v>
      </c>
      <c r="T125" s="312">
        <f ca="1">IFERROR(IF(SUM(T126:T127)=0,HLOOKUP(T$124,Data_Formatting!$GH$122:$HQ$128,2,FALSE),SUM(T126:T127)),0)</f>
        <v>0</v>
      </c>
      <c r="U125" s="312">
        <f ca="1">IFERROR(IF(SUM(U126:U127)=0,HLOOKUP(U$124,Data_Formatting!$GH$122:$HQ$128,2,FALSE),SUM(U126:U127)),0)</f>
        <v>0</v>
      </c>
      <c r="V125" s="312">
        <f ca="1">IFERROR(IF(SUM(V126:V127)=0,HLOOKUP(V$124,Data_Formatting!$GH$122:$HQ$128,2,FALSE),SUM(V126:V127)),0)</f>
        <v>0</v>
      </c>
      <c r="W125" s="312">
        <f ca="1">IFERROR(IF(SUM(W126:W127)=0,HLOOKUP(W$124,Data_Formatting!$GH$122:$HQ$128,2,FALSE),SUM(W126:W127)),0)</f>
        <v>0</v>
      </c>
      <c r="X125" s="312">
        <f ca="1">IFERROR(IF(SUM(X126:X127)=0,HLOOKUP(X$124,Data_Formatting!$GH$122:$HQ$128,2,FALSE),SUM(X126:X127)),0)</f>
        <v>0</v>
      </c>
      <c r="Y125" s="312">
        <f ca="1">IFERROR(IF(SUM(Y126:Y127)=0,HLOOKUP(Y$124,Data_Formatting!$GH$122:$HQ$128,2,FALSE),SUM(Y126:Y127)),0)</f>
        <v>0</v>
      </c>
      <c r="Z125" s="312">
        <f ca="1">IFERROR(IF(SUM(Z126:Z127)=0,HLOOKUP(Z$124,Data_Formatting!$GH$122:$HQ$128,2,FALSE),SUM(Z126:Z127)),0)</f>
        <v>0</v>
      </c>
      <c r="AA125" s="312">
        <f ca="1">IFERROR(IF(SUM(AA126:AA127)=0,HLOOKUP(AA$124,Data_Formatting!$GH$122:$HQ$128,2,FALSE),SUM(AA126:AA127)),0)</f>
        <v>0</v>
      </c>
      <c r="AB125" s="312">
        <f ca="1">IFERROR(IF(SUM(AB126:AB127)=0,HLOOKUP(AB$124,Data_Formatting!$GH$122:$HQ$128,2,FALSE),SUM(AB126:AB127)),0)</f>
        <v>0</v>
      </c>
      <c r="AC125" s="312">
        <f ca="1">IFERROR(IF(SUM(AC126:AC127)=0,HLOOKUP(AC$124,Data_Formatting!$GH$122:$HQ$128,2,FALSE),SUM(AC126:AC127)),0)</f>
        <v>0</v>
      </c>
      <c r="AD125" s="312">
        <f ca="1">IFERROR(IF(SUM(AD126:AD127)=0,HLOOKUP(AD$124,Data_Formatting!$GH$122:$HQ$128,2,FALSE),SUM(AD126:AD127)),0)</f>
        <v>0</v>
      </c>
      <c r="AE125" s="312">
        <f ca="1">IFERROR(IF(SUM(AE126:AE127)=0,HLOOKUP(AE$124,Data_Formatting!$GH$122:$HQ$128,2,FALSE),SUM(AE126:AE127)),0)</f>
        <v>0</v>
      </c>
      <c r="AF125" s="167"/>
      <c r="AG125" s="195"/>
      <c r="AM125" s="195"/>
      <c r="AN125" s="195"/>
      <c r="AO125" s="195"/>
      <c r="AP125" s="195"/>
      <c r="AQ125" s="195"/>
      <c r="AR125" s="195"/>
      <c r="AS125" s="195"/>
      <c r="AT125" s="195"/>
      <c r="AU125" s="195"/>
      <c r="AV125" s="195"/>
      <c r="AW125" s="195"/>
      <c r="AX125" s="195"/>
      <c r="AY125" s="195"/>
      <c r="AZ125" s="317"/>
    </row>
    <row r="126" spans="1:94" ht="12.75" customHeight="1">
      <c r="A126" s="307" t="s">
        <v>21</v>
      </c>
      <c r="B126" s="205">
        <f>IFERROR(IF(HLOOKUP(B$124,Data_Formatting!$HU$43:$HY$53,6,FALSE)=0,HLOOKUP(B$124,Data_Formatting!$HU$122:$HY$128,4,FALSE),HLOOKUP(B$124,Data_Formatting!$HU$43:$HY$53,6,FALSE)),0)</f>
        <v>0</v>
      </c>
      <c r="C126" s="205">
        <f>IFERROR(IF(HLOOKUP(C$124,Data_Formatting!$HU$43:$HY$53,6,FALSE)=0,HLOOKUP(C$124,Data_Formatting!$HU$122:$HY$128,4,FALSE),HLOOKUP(C$124,Data_Formatting!$HU$43:$HY$53,6,FALSE)),0)</f>
        <v>0</v>
      </c>
      <c r="D126" s="205">
        <f>IFERROR(IF(HLOOKUP(D$124,Data_Formatting!$HU$43:$HY$53,6,FALSE)=0,HLOOKUP(D$124,Data_Formatting!$HU$122:$HY$128,4,FALSE),HLOOKUP(D$124,Data_Formatting!$HU$43:$HY$53,6,FALSE)),0)</f>
        <v>0</v>
      </c>
      <c r="E126" s="205">
        <f>IFERROR(IF(HLOOKUP(E$124,Data_Formatting!$HU$43:$HY$53,6,FALSE)=0,HLOOKUP(E$124,Data_Formatting!$HU$122:$HY$128,4,FALSE),HLOOKUP(E$124,Data_Formatting!$HU$43:$HY$53,6,FALSE)),0)</f>
        <v>0</v>
      </c>
      <c r="F126" s="205">
        <f ca="1">IFERROR(IF(HLOOKUP(F$124,Data_Formatting!$GH$43:$HQ$53,6,FALSE)=0,HLOOKUP(F$124,Data_Formatting!$GH$122:$HQ$128,4,FALSE),HLOOKUP(F$124,Data_Formatting!$GH$43:$HQ$53,6,FALSE)),0)</f>
        <v>0</v>
      </c>
      <c r="G126" s="205">
        <f ca="1">IFERROR(IF(HLOOKUP(G$124,Data_Formatting!$GH$43:$HQ$53,6,FALSE)=0,HLOOKUP(G$124,Data_Formatting!$GH$122:$HQ$128,4,FALSE),HLOOKUP(G$124,Data_Formatting!$GH$43:$HQ$53,6,FALSE)),0)</f>
        <v>0</v>
      </c>
      <c r="H126" s="205">
        <f ca="1">IFERROR(IF(HLOOKUP(H$124,Data_Formatting!$GH$43:$HQ$53,6,FALSE)=0,HLOOKUP(H$124,Data_Formatting!$GH$122:$HQ$128,4,FALSE),HLOOKUP(H$124,Data_Formatting!$GH$43:$HQ$53,6,FALSE)),0)</f>
        <v>0</v>
      </c>
      <c r="I126" s="205">
        <f ca="1">IFERROR(IF(HLOOKUP(I$124,Data_Formatting!$GH$43:$HQ$53,6,FALSE)=0,HLOOKUP(I$124,Data_Formatting!$GH$122:$HQ$128,4,FALSE),HLOOKUP(I$124,Data_Formatting!$GH$43:$HQ$53,6,FALSE)),0)</f>
        <v>0</v>
      </c>
      <c r="J126" s="205">
        <f ca="1">IFERROR(IF(HLOOKUP(J$124,Data_Formatting!$GH$43:$HQ$53,6,FALSE)=0,HLOOKUP(J$124,Data_Formatting!$GH$122:$HQ$128,4,FALSE),HLOOKUP(J$124,Data_Formatting!$GH$43:$HQ$53,6,FALSE)),0)</f>
        <v>0</v>
      </c>
      <c r="K126" s="205">
        <f ca="1">IFERROR(IF(HLOOKUP(K$124,Data_Formatting!$GH$43:$HQ$53,6,FALSE)=0,HLOOKUP(K$124,Data_Formatting!$GH$122:$HQ$128,4,FALSE),HLOOKUP(K$124,Data_Formatting!$GH$43:$HQ$53,6,FALSE)),0)</f>
        <v>0</v>
      </c>
      <c r="L126" s="205">
        <f ca="1">IFERROR(IF(HLOOKUP(L$124,Data_Formatting!$GH$43:$HQ$53,6,FALSE)=0,HLOOKUP(L$124,Data_Formatting!$GH$122:$HQ$128,4,FALSE),HLOOKUP(L$124,Data_Formatting!$GH$43:$HQ$53,6,FALSE)),0)</f>
        <v>0</v>
      </c>
      <c r="M126" s="205">
        <f ca="1">IFERROR(IF(HLOOKUP(M$124,Data_Formatting!$GH$43:$HQ$53,6,FALSE)=0,HLOOKUP(M$124,Data_Formatting!$GH$122:$HQ$128,4,FALSE),HLOOKUP(M$124,Data_Formatting!$GH$43:$HQ$53,6,FALSE)),0)</f>
        <v>0</v>
      </c>
      <c r="N126" s="205">
        <f ca="1">IFERROR(IF(HLOOKUP(N$124,Data_Formatting!$GH$43:$HQ$53,6,FALSE)=0,HLOOKUP(N$124,Data_Formatting!$GH$122:$HQ$128,4,FALSE),HLOOKUP(N$124,Data_Formatting!$GH$43:$HQ$53,6,FALSE)),0)</f>
        <v>0</v>
      </c>
      <c r="O126" s="205">
        <f ca="1">IFERROR(IF(HLOOKUP(O$124,Data_Formatting!$GH$43:$HQ$53,6,FALSE)=0,HLOOKUP(O$124,Data_Formatting!$GH$122:$HQ$128,4,FALSE),HLOOKUP(O$124,Data_Formatting!$GH$43:$HQ$53,6,FALSE)),0)</f>
        <v>0</v>
      </c>
      <c r="P126" s="205">
        <f ca="1">IFERROR(IF(HLOOKUP(P$124,Data_Formatting!$GH$43:$HQ$53,6,FALSE)=0,HLOOKUP(P$124,Data_Formatting!$GH$122:$HQ$128,4,FALSE),HLOOKUP(P$124,Data_Formatting!$GH$43:$HQ$53,6,FALSE)),0)</f>
        <v>0</v>
      </c>
      <c r="Q126" s="205">
        <f ca="1">IFERROR(IF(HLOOKUP(Q$124,Data_Formatting!$GH$43:$HQ$53,6,FALSE)=0,HLOOKUP(Q$124,Data_Formatting!$GH$122:$HQ$128,4,FALSE),HLOOKUP(Q$124,Data_Formatting!$GH$43:$HQ$53,6,FALSE)),0)</f>
        <v>0</v>
      </c>
      <c r="R126" s="205">
        <f ca="1">IFERROR(IF(HLOOKUP(R$124,Data_Formatting!$HU$43:$HY$53,6,FALSE)=0,HLOOKUP(R$124,Data_Formatting!$HU$122:$HY$128,4,FALSE),HLOOKUP(R$124,Data_Formatting!$HU$43:$HY$53,6,FALSE)),0)</f>
        <v>0</v>
      </c>
      <c r="S126" s="205">
        <f ca="1">IFERROR(IF(HLOOKUP(S$124,Data_Formatting!$GH$43:$HQ$53,6,FALSE)=0,HLOOKUP(S$124,Data_Formatting!$GH$122:$HQ$128,4,FALSE),HLOOKUP(S$124,Data_Formatting!$GH$43:$HQ$53,6,FALSE)),0)</f>
        <v>0</v>
      </c>
      <c r="T126" s="205">
        <f ca="1">IFERROR(IF(HLOOKUP(T$124,Data_Formatting!$GH$43:$HQ$53,6,FALSE)=0,HLOOKUP(T$124,Data_Formatting!$GH$122:$HQ$128,4,FALSE),HLOOKUP(T$124,Data_Formatting!$GH$43:$HQ$53,6,FALSE)),0)</f>
        <v>0</v>
      </c>
      <c r="U126" s="205">
        <f ca="1">IFERROR(IF(HLOOKUP(U$124,Data_Formatting!$GH$43:$HQ$53,6,FALSE)=0,HLOOKUP(U$124,Data_Formatting!$GH$122:$HQ$128,4,FALSE),HLOOKUP(U$124,Data_Formatting!$GH$43:$HQ$53,6,FALSE)),0)</f>
        <v>0</v>
      </c>
      <c r="V126" s="205">
        <f ca="1">IFERROR(IF(HLOOKUP(V$124,Data_Formatting!$GH$43:$HQ$53,6,FALSE)=0,HLOOKUP(V$124,Data_Formatting!$GH$122:$HQ$128,4,FALSE),HLOOKUP(V$124,Data_Formatting!$GH$43:$HQ$53,6,FALSE)),0)</f>
        <v>0</v>
      </c>
      <c r="W126" s="205">
        <f ca="1">IFERROR(IF(HLOOKUP(W$124,Data_Formatting!$GH$43:$HQ$53,6,FALSE)=0,HLOOKUP(W$124,Data_Formatting!$GH$122:$HQ$128,4,FALSE),HLOOKUP(W$124,Data_Formatting!$GH$43:$HQ$53,6,FALSE)),0)</f>
        <v>0</v>
      </c>
      <c r="X126" s="205">
        <f ca="1">IFERROR(IF(HLOOKUP(X$124,Data_Formatting!$GH$43:$HQ$53,6,FALSE)=0,HLOOKUP(X$124,Data_Formatting!$GH$122:$HQ$128,4,FALSE),HLOOKUP(X$124,Data_Formatting!$GH$43:$HQ$53,6,FALSE)),0)</f>
        <v>0</v>
      </c>
      <c r="Y126" s="205">
        <f ca="1">IFERROR(IF(HLOOKUP(Y$124,Data_Formatting!$GH$43:$HQ$53,6,FALSE)=0,HLOOKUP(Y$124,Data_Formatting!$GH$122:$HQ$128,4,FALSE),HLOOKUP(Y$124,Data_Formatting!$GH$43:$HQ$53,6,FALSE)),0)</f>
        <v>0</v>
      </c>
      <c r="Z126" s="205">
        <f ca="1">IFERROR(IF(HLOOKUP(Z$124,Data_Formatting!$GH$43:$HQ$53,6,FALSE)=0,HLOOKUP(Z$124,Data_Formatting!$GH$122:$HQ$128,4,FALSE),HLOOKUP(Z$124,Data_Formatting!$GH$43:$HQ$53,6,FALSE)),0)</f>
        <v>0</v>
      </c>
      <c r="AA126" s="205">
        <f ca="1">IFERROR(IF(HLOOKUP(AA$124,Data_Formatting!$GH$43:$HQ$53,6,FALSE)=0,HLOOKUP(AA$124,Data_Formatting!$GH$122:$HQ$128,4,FALSE),HLOOKUP(AA$124,Data_Formatting!$GH$43:$HQ$53,6,FALSE)),0)</f>
        <v>0</v>
      </c>
      <c r="AB126" s="205">
        <f ca="1">IFERROR(IF(HLOOKUP(AB$124,Data_Formatting!$GH$43:$HQ$53,6,FALSE)=0,HLOOKUP(AB$124,Data_Formatting!$GH$122:$HQ$128,4,FALSE),HLOOKUP(AB$124,Data_Formatting!$GH$43:$HQ$53,6,FALSE)),0)</f>
        <v>0</v>
      </c>
      <c r="AC126" s="205">
        <f ca="1">IFERROR(IF(HLOOKUP(AC$124,Data_Formatting!$GH$43:$HQ$53,6,FALSE)=0,HLOOKUP(AC$124,Data_Formatting!$GH$122:$HQ$128,4,FALSE),HLOOKUP(AC$124,Data_Formatting!$GH$43:$HQ$53,6,FALSE)),0)</f>
        <v>0</v>
      </c>
      <c r="AD126" s="205">
        <f ca="1">IFERROR(IF(HLOOKUP(AD$124,Data_Formatting!$GH$43:$HQ$53,6,FALSE)=0,HLOOKUP(AD$124,Data_Formatting!$GH$122:$HQ$128,4,FALSE),HLOOKUP(AD$124,Data_Formatting!$GH$43:$HQ$53,6,FALSE)),0)</f>
        <v>0</v>
      </c>
      <c r="AE126" s="267" t="e">
        <f ca="1">HLOOKUP(1,S$6:AD126,ROW(AE126)-5,FALSE)</f>
        <v>#N/A</v>
      </c>
      <c r="AF126" s="167"/>
      <c r="AG126" s="171"/>
      <c r="AM126" s="171"/>
      <c r="AN126" s="171"/>
      <c r="AO126" s="171"/>
      <c r="AP126" s="171"/>
      <c r="AQ126" s="171"/>
      <c r="AR126" s="171"/>
      <c r="AS126" s="171"/>
      <c r="AT126" s="171"/>
      <c r="AU126" s="171"/>
      <c r="AV126" s="171"/>
      <c r="AW126" s="171"/>
      <c r="AX126" s="171"/>
      <c r="AY126" s="171"/>
      <c r="AZ126" s="314"/>
    </row>
    <row r="127" spans="1:94" ht="12.75" customHeight="1">
      <c r="A127" s="307" t="s">
        <v>655</v>
      </c>
      <c r="B127" s="205">
        <f>IFERROR(HLOOKUP(B$124,Data_Formatting!$HU$43:$HY$53,5,FALSE)+HLOOKUP(B$124,Data_Formatting!$HU$43:$HY$53,7,FALSE),0)</f>
        <v>0</v>
      </c>
      <c r="C127" s="205">
        <f>IFERROR(HLOOKUP(C$124,Data_Formatting!$HU$43:$HY$53,5,FALSE)+HLOOKUP(C$124,Data_Formatting!$HU$43:$HY$53,7,FALSE),0)</f>
        <v>0</v>
      </c>
      <c r="D127" s="205">
        <f>IFERROR(HLOOKUP(D$124,Data_Formatting!$HU$43:$HY$53,5,FALSE)+HLOOKUP(D$124,Data_Formatting!$HU$43:$HY$53,7,FALSE),0)</f>
        <v>0</v>
      </c>
      <c r="E127" s="205">
        <f>IFERROR(HLOOKUP(E$124,Data_Formatting!$HU$43:$HY$53,5,FALSE)+HLOOKUP(E$124,Data_Formatting!$HU$43:$HY$53,7,FALSE),0)</f>
        <v>0</v>
      </c>
      <c r="F127" s="205">
        <f ca="1">IFERROR(HLOOKUP(F$124,Data_Formatting!$GH$43:$HQ$53,5,FALSE)+HLOOKUP(F$124,Data_Formatting!$GH$43:$HQ$53,7,FALSE),0)</f>
        <v>0</v>
      </c>
      <c r="G127" s="205">
        <f ca="1">IFERROR(HLOOKUP(G$124,Data_Formatting!$GH$43:$HQ$53,5,FALSE)+HLOOKUP(G$124,Data_Formatting!$GH$43:$HQ$53,7,FALSE),0)</f>
        <v>0</v>
      </c>
      <c r="H127" s="205">
        <f ca="1">IFERROR(HLOOKUP(H$124,Data_Formatting!$GH$43:$HQ$53,5,FALSE)+HLOOKUP(H$124,Data_Formatting!$GH$43:$HQ$53,7,FALSE),0)</f>
        <v>0</v>
      </c>
      <c r="I127" s="205">
        <f ca="1">IFERROR(HLOOKUP(I$124,Data_Formatting!$GH$43:$HQ$53,5,FALSE)+HLOOKUP(I$124,Data_Formatting!$GH$43:$HQ$53,7,FALSE),0)</f>
        <v>0</v>
      </c>
      <c r="J127" s="205">
        <f ca="1">IFERROR(HLOOKUP(J$124,Data_Formatting!$GH$43:$HQ$53,5,FALSE)+HLOOKUP(J$124,Data_Formatting!$GH$43:$HQ$53,7,FALSE),0)</f>
        <v>0</v>
      </c>
      <c r="K127" s="205">
        <f ca="1">IFERROR(HLOOKUP(K$124,Data_Formatting!$GH$43:$HQ$53,5,FALSE)+HLOOKUP(K$124,Data_Formatting!$GH$43:$HQ$53,7,FALSE),0)</f>
        <v>0</v>
      </c>
      <c r="L127" s="205">
        <f ca="1">IFERROR(HLOOKUP(L$124,Data_Formatting!$GH$43:$HQ$53,5,FALSE)+HLOOKUP(L$124,Data_Formatting!$GH$43:$HQ$53,7,FALSE),0)</f>
        <v>0</v>
      </c>
      <c r="M127" s="205">
        <f ca="1">IFERROR(HLOOKUP(M$124,Data_Formatting!$GH$43:$HQ$53,5,FALSE)+HLOOKUP(M$124,Data_Formatting!$GH$43:$HQ$53,7,FALSE),0)</f>
        <v>0</v>
      </c>
      <c r="N127" s="205">
        <f ca="1">IFERROR(HLOOKUP(N$124,Data_Formatting!$GH$43:$HQ$53,5,FALSE)+HLOOKUP(N$124,Data_Formatting!$GH$43:$HQ$53,7,FALSE),0)</f>
        <v>0</v>
      </c>
      <c r="O127" s="205">
        <f ca="1">IFERROR(HLOOKUP(O$124,Data_Formatting!$GH$43:$HQ$53,5,FALSE)+HLOOKUP(O$124,Data_Formatting!$GH$43:$HQ$53,7,FALSE),0)</f>
        <v>0</v>
      </c>
      <c r="P127" s="205">
        <f ca="1">IFERROR(HLOOKUP(P$124,Data_Formatting!$GH$43:$HQ$53,5,FALSE)+HLOOKUP(P$124,Data_Formatting!$GH$43:$HQ$53,7,FALSE),0)</f>
        <v>0</v>
      </c>
      <c r="Q127" s="205">
        <f ca="1">IFERROR(HLOOKUP(Q$124,Data_Formatting!$GH$43:$HQ$53,5,FALSE)+HLOOKUP(Q$124,Data_Formatting!$GH$43:$HQ$53,7,FALSE),0)</f>
        <v>0</v>
      </c>
      <c r="R127" s="205">
        <f ca="1">IFERROR(HLOOKUP(R$124,Data_Formatting!$HU$43:$HY$53,5,FALSE)+HLOOKUP(R$124,Data_Formatting!$HU$43:$HY$53,7,FALSE),0)</f>
        <v>0</v>
      </c>
      <c r="S127" s="205">
        <f ca="1">IFERROR(HLOOKUP(S$124,Data_Formatting!$GH$43:$HQ$53,5,FALSE)+HLOOKUP(S$124,Data_Formatting!$GH$43:$HQ$53,7,FALSE),0)</f>
        <v>0</v>
      </c>
      <c r="T127" s="205">
        <f ca="1">IFERROR(HLOOKUP(T$124,Data_Formatting!$GH$43:$HQ$53,5,FALSE)+HLOOKUP(T$124,Data_Formatting!$GH$43:$HQ$53,7,FALSE),0)</f>
        <v>0</v>
      </c>
      <c r="U127" s="205">
        <f ca="1">IFERROR(HLOOKUP(U$124,Data_Formatting!$GH$43:$HQ$53,5,FALSE)+HLOOKUP(U$124,Data_Formatting!$GH$43:$HQ$53,7,FALSE),0)</f>
        <v>0</v>
      </c>
      <c r="V127" s="205">
        <f ca="1">IFERROR(HLOOKUP(V$124,Data_Formatting!$GH$43:$HQ$53,5,FALSE)+HLOOKUP(V$124,Data_Formatting!$GH$43:$HQ$53,7,FALSE),0)</f>
        <v>0</v>
      </c>
      <c r="W127" s="205">
        <f ca="1">IFERROR(HLOOKUP(W$124,Data_Formatting!$GH$43:$HQ$53,5,FALSE)+HLOOKUP(W$124,Data_Formatting!$GH$43:$HQ$53,7,FALSE),0)</f>
        <v>0</v>
      </c>
      <c r="X127" s="205">
        <f ca="1">IFERROR(HLOOKUP(X$124,Data_Formatting!$GH$43:$HQ$53,5,FALSE)+HLOOKUP(X$124,Data_Formatting!$GH$43:$HQ$53,7,FALSE),0)</f>
        <v>0</v>
      </c>
      <c r="Y127" s="205">
        <f ca="1">IFERROR(HLOOKUP(Y$124,Data_Formatting!$GH$43:$HQ$53,5,FALSE)+HLOOKUP(Y$124,Data_Formatting!$GH$43:$HQ$53,7,FALSE),0)</f>
        <v>0</v>
      </c>
      <c r="Z127" s="205">
        <f ca="1">IFERROR(HLOOKUP(Z$124,Data_Formatting!$GH$43:$HQ$53,5,FALSE)+HLOOKUP(Z$124,Data_Formatting!$GH$43:$HQ$53,7,FALSE),0)</f>
        <v>0</v>
      </c>
      <c r="AA127" s="205">
        <f ca="1">IFERROR(HLOOKUP(AA$124,Data_Formatting!$GH$43:$HQ$53,5,FALSE)+HLOOKUP(AA$124,Data_Formatting!$GH$43:$HQ$53,7,FALSE),0)</f>
        <v>0</v>
      </c>
      <c r="AB127" s="205">
        <f ca="1">IFERROR(HLOOKUP(AB$124,Data_Formatting!$GH$43:$HQ$53,5,FALSE)+HLOOKUP(AB$124,Data_Formatting!$GH$43:$HQ$53,7,FALSE),0)</f>
        <v>0</v>
      </c>
      <c r="AC127" s="205">
        <f ca="1">IFERROR(HLOOKUP(AC$124,Data_Formatting!$GH$43:$HQ$53,5,FALSE)+HLOOKUP(AC$124,Data_Formatting!$GH$43:$HQ$53,7,FALSE),0)</f>
        <v>0</v>
      </c>
      <c r="AD127" s="205">
        <f ca="1">IFERROR(HLOOKUP(AD$124,Data_Formatting!$GH$43:$HQ$53,5,FALSE)+HLOOKUP(AD$124,Data_Formatting!$GH$43:$HQ$53,7,FALSE),0)</f>
        <v>0</v>
      </c>
      <c r="AE127" s="267" t="e">
        <f ca="1">HLOOKUP(1,S$6:AD127,ROW(AE127)-5,FALSE)</f>
        <v>#N/A</v>
      </c>
      <c r="AF127" s="167"/>
      <c r="AG127" s="171"/>
      <c r="AM127" s="171"/>
      <c r="AN127" s="171"/>
      <c r="AO127" s="171"/>
      <c r="AP127" s="171"/>
      <c r="AQ127" s="171"/>
      <c r="AR127" s="171"/>
      <c r="AS127" s="171"/>
      <c r="AT127" s="171"/>
      <c r="AU127" s="171"/>
      <c r="AV127" s="171"/>
      <c r="AW127" s="171"/>
      <c r="AX127" s="171"/>
      <c r="AY127" s="171"/>
      <c r="AZ127" s="314"/>
    </row>
    <row r="128" spans="1:94" s="303" customFormat="1" ht="15" customHeight="1">
      <c r="A128" s="316" t="s">
        <v>368</v>
      </c>
      <c r="B128" s="312">
        <f>IFERROR(IF(SUM(B129:B131)=0,HLOOKUP(B$124,Data_Formatting!$GH$122:$HQ$128,5,FALSE),SUM(B129:B131)),0)</f>
        <v>0</v>
      </c>
      <c r="C128" s="312">
        <f>IFERROR(IF(SUM(C129:C131)=0,HLOOKUP(C$124,Data_Formatting!$GH$122:$HQ$128,5,FALSE),SUM(C129:C131)),0)</f>
        <v>0</v>
      </c>
      <c r="D128" s="312">
        <f>IFERROR(IF(SUM(D129:D131)=0,HLOOKUP(D$124,Data_Formatting!$GH$122:$HQ$128,5,FALSE),SUM(D129:D131)),0)</f>
        <v>0</v>
      </c>
      <c r="E128" s="312">
        <f>IFERROR(IF(SUM(E129:E131)=0,HLOOKUP(E$124,Data_Formatting!$GH$122:$HQ$128,5,FALSE),SUM(E129:E131)),0)</f>
        <v>0</v>
      </c>
      <c r="F128" s="312">
        <f ca="1">IFERROR(IF(SUM(F129:F131)=0,HLOOKUP(F$124,Data_Formatting!$GH$122:$HQ$128,5,FALSE),SUM(F129:F131)),0)</f>
        <v>0</v>
      </c>
      <c r="G128" s="312">
        <f ca="1">IFERROR(IF(SUM(G129:G131)=0,HLOOKUP(G$124,Data_Formatting!$GH$122:$HQ$128,5,FALSE),SUM(G129:G131)),0)</f>
        <v>0</v>
      </c>
      <c r="H128" s="312">
        <f ca="1">IFERROR(IF(SUM(H129:H131)=0,HLOOKUP(H$124,Data_Formatting!$GH$122:$HQ$128,5,FALSE),SUM(H129:H131)),0)</f>
        <v>0</v>
      </c>
      <c r="I128" s="312">
        <f ca="1">IFERROR(IF(SUM(I129:I131)=0,HLOOKUP(I$124,Data_Formatting!$GH$122:$HQ$128,5,FALSE),SUM(I129:I131)),0)</f>
        <v>0</v>
      </c>
      <c r="J128" s="312">
        <f ca="1">IFERROR(IF(SUM(J129:J131)=0,HLOOKUP(J$124,Data_Formatting!$GH$122:$HQ$128,5,FALSE),SUM(J129:J131)),0)</f>
        <v>0</v>
      </c>
      <c r="K128" s="312">
        <f ca="1">IFERROR(IF(SUM(K129:K131)=0,HLOOKUP(K$124,Data_Formatting!$GH$122:$HQ$128,5,FALSE),SUM(K129:K131)),0)</f>
        <v>0</v>
      </c>
      <c r="L128" s="312">
        <f ca="1">IFERROR(IF(SUM(L129:L131)=0,HLOOKUP(L$124,Data_Formatting!$GH$122:$HQ$128,5,FALSE),SUM(L129:L131)),0)</f>
        <v>0</v>
      </c>
      <c r="M128" s="312">
        <f ca="1">IFERROR(IF(SUM(M129:M131)=0,HLOOKUP(M$124,Data_Formatting!$GH$122:$HQ$128,5,FALSE),SUM(M129:M131)),0)</f>
        <v>0</v>
      </c>
      <c r="N128" s="312">
        <f ca="1">IFERROR(IF(SUM(N129:N131)=0,HLOOKUP(N$124,Data_Formatting!$GH$122:$HQ$128,5,FALSE),SUM(N129:N131)),0)</f>
        <v>0</v>
      </c>
      <c r="O128" s="312">
        <f ca="1">IFERROR(IF(SUM(O129:O131)=0,HLOOKUP(O$124,Data_Formatting!$GH$122:$HQ$128,5,FALSE),SUM(O129:O131)),0)</f>
        <v>0</v>
      </c>
      <c r="P128" s="312">
        <f ca="1">IFERROR(IF(SUM(P129:P131)=0,HLOOKUP(P$124,Data_Formatting!$GH$122:$HQ$128,5,FALSE),SUM(P129:P131)),0)</f>
        <v>0</v>
      </c>
      <c r="Q128" s="312">
        <f ca="1">IFERROR(IF(SUM(Q129:Q131)=0,HLOOKUP(Q$124,Data_Formatting!$GH$122:$HQ$128,5,FALSE),SUM(Q129:Q131)),0)</f>
        <v>0</v>
      </c>
      <c r="R128" s="312">
        <f ca="1">IFERROR(IF(SUM(R129:R131)=0,HLOOKUP(R$124,Data_Formatting!$GH$122:$HQ$128,5,FALSE),SUM(R129:R131)),0)</f>
        <v>0</v>
      </c>
      <c r="S128" s="312">
        <f ca="1">IFERROR(IF(SUM(S129:S131)=0,HLOOKUP(S$124,Data_Formatting!$GH$122:$HQ$128,5,FALSE),SUM(S129:S131)),0)</f>
        <v>0</v>
      </c>
      <c r="T128" s="312">
        <f ca="1">IFERROR(IF(SUM(T129:T131)=0,HLOOKUP(T$124,Data_Formatting!$GH$122:$HQ$128,5,FALSE),SUM(T129:T131)),0)</f>
        <v>0</v>
      </c>
      <c r="U128" s="312">
        <f ca="1">IFERROR(IF(SUM(U129:U131)=0,HLOOKUP(U$124,Data_Formatting!$GH$122:$HQ$128,5,FALSE),SUM(U129:U131)),0)</f>
        <v>0</v>
      </c>
      <c r="V128" s="312">
        <f ca="1">IFERROR(IF(SUM(V129:V131)=0,HLOOKUP(V$124,Data_Formatting!$GH$122:$HQ$128,5,FALSE),SUM(V129:V131)),0)</f>
        <v>0</v>
      </c>
      <c r="W128" s="312">
        <f ca="1">IFERROR(IF(SUM(W129:W131)=0,HLOOKUP(W$124,Data_Formatting!$GH$122:$HQ$128,5,FALSE),SUM(W129:W131)),0)</f>
        <v>0</v>
      </c>
      <c r="X128" s="312">
        <f ca="1">IFERROR(IF(SUM(X129:X131)=0,HLOOKUP(X$124,Data_Formatting!$GH$122:$HQ$128,5,FALSE),SUM(X129:X131)),0)</f>
        <v>0</v>
      </c>
      <c r="Y128" s="312">
        <f t="shared" ref="Y128:AD128" ca="1" si="38">SUM(Y129:Y131)</f>
        <v>0</v>
      </c>
      <c r="Z128" s="312">
        <f t="shared" ca="1" si="38"/>
        <v>0</v>
      </c>
      <c r="AA128" s="312">
        <f t="shared" ca="1" si="38"/>
        <v>0</v>
      </c>
      <c r="AB128" s="312">
        <f t="shared" ca="1" si="38"/>
        <v>0</v>
      </c>
      <c r="AC128" s="312">
        <f t="shared" ca="1" si="38"/>
        <v>0</v>
      </c>
      <c r="AD128" s="312">
        <f t="shared" ca="1" si="38"/>
        <v>0</v>
      </c>
      <c r="AE128" s="267" t="e">
        <f ca="1">HLOOKUP(1,S$6:AD128,ROW(AE128)-5,FALSE)</f>
        <v>#N/A</v>
      </c>
      <c r="AF128" s="167"/>
      <c r="AG128" s="195"/>
      <c r="AM128" s="195"/>
      <c r="AN128" s="195"/>
      <c r="AO128" s="195"/>
      <c r="AP128" s="195"/>
      <c r="AQ128" s="195"/>
      <c r="AR128" s="195"/>
      <c r="AS128" s="195"/>
      <c r="AT128" s="195"/>
      <c r="AU128" s="195"/>
      <c r="AV128" s="195"/>
      <c r="AW128" s="195"/>
      <c r="AX128" s="195"/>
      <c r="AY128" s="195"/>
      <c r="AZ128" s="317"/>
    </row>
    <row r="129" spans="1:52" ht="12.75" customHeight="1">
      <c r="A129" s="307" t="s">
        <v>23</v>
      </c>
      <c r="B129" s="205">
        <f>IFERROR(IF(HLOOKUP(B$124,Data_Formatting!$HU$43:$HY$53,9,FALSE)=0,HLOOKUP(B$124,Data_Formatting!$HU$7:$HY$14,7,FALSE),(HLOOKUP(B$124,Data_Formatting!$HU$43:$HY$53,9,FALSE))),0)</f>
        <v>0</v>
      </c>
      <c r="C129" s="205">
        <f>IFERROR(IF(HLOOKUP(C$124,Data_Formatting!$HU$43:$HY$53,9,FALSE)=0,HLOOKUP(C$124,Data_Formatting!$HU$7:$HY$14,7,FALSE),(HLOOKUP(C$124,Data_Formatting!$HU$43:$HY$53,9,FALSE))),0)</f>
        <v>0</v>
      </c>
      <c r="D129" s="205">
        <f>IFERROR(IF(HLOOKUP(D$124,Data_Formatting!$HU$43:$HY$53,9,FALSE)=0,HLOOKUP(D$124,Data_Formatting!$HU$7:$HY$14,7,FALSE),(HLOOKUP(D$124,Data_Formatting!$HU$43:$HY$53,9,FALSE))),0)</f>
        <v>0</v>
      </c>
      <c r="E129" s="205">
        <f>IFERROR(IF(HLOOKUP(E$124,Data_Formatting!$HU$43:$HY$53,9,FALSE)=0,HLOOKUP(E$124,Data_Formatting!$HU$7:$HY$14,7,FALSE),(HLOOKUP(E$124,Data_Formatting!$HU$43:$HY$53,9,FALSE))),0)</f>
        <v>0</v>
      </c>
      <c r="F129" s="205">
        <f ca="1">IFERROR(IF(HLOOKUP(F$124,Data_Formatting!$GH$43:$HQ$53,9,FALSE)=0,HLOOKUP(F$124,Data_Formatting!$GH$7:$HQ$14,7,FALSE),(HLOOKUP(F$124,Data_Formatting!$GH$43:$HQ$53,9,FALSE))),0)</f>
        <v>0</v>
      </c>
      <c r="G129" s="205">
        <f ca="1">IFERROR(IF(HLOOKUP(G$124,Data_Formatting!$GH$43:$HQ$53,9,FALSE)=0,HLOOKUP(G$124,Data_Formatting!$GH$7:$HQ$14,7,FALSE),(HLOOKUP(G$124,Data_Formatting!$GH$43:$HQ$53,9,FALSE))),0)</f>
        <v>0</v>
      </c>
      <c r="H129" s="205">
        <f ca="1">IFERROR(IF(HLOOKUP(H$124,Data_Formatting!$GH$43:$HQ$53,9,FALSE)=0,HLOOKUP(H$124,Data_Formatting!$GH$7:$HQ$14,7,FALSE),(HLOOKUP(H$124,Data_Formatting!$GH$43:$HQ$53,9,FALSE))),0)</f>
        <v>0</v>
      </c>
      <c r="I129" s="205">
        <f ca="1">IFERROR(IF(HLOOKUP(I$124,Data_Formatting!$GH$43:$HQ$53,9,FALSE)=0,HLOOKUP(I$124,Data_Formatting!$GH$7:$HQ$14,7,FALSE),(HLOOKUP(I$124,Data_Formatting!$GH$43:$HQ$53,9,FALSE))),0)</f>
        <v>0</v>
      </c>
      <c r="J129" s="205">
        <f ca="1">IFERROR(IF(HLOOKUP(J$124,Data_Formatting!$GH$43:$HQ$53,9,FALSE)=0,HLOOKUP(J$124,Data_Formatting!$GH$7:$HQ$14,7,FALSE),(HLOOKUP(J$124,Data_Formatting!$GH$43:$HQ$53,9,FALSE))),0)</f>
        <v>0</v>
      </c>
      <c r="K129" s="205">
        <f ca="1">IFERROR(IF(HLOOKUP(K$124,Data_Formatting!$GH$43:$HQ$53,9,FALSE)=0,HLOOKUP(K$124,Data_Formatting!$GH$7:$HQ$14,7,FALSE),(HLOOKUP(K$124,Data_Formatting!$GH$43:$HQ$53,9,FALSE))),0)</f>
        <v>0</v>
      </c>
      <c r="L129" s="205">
        <f ca="1">IFERROR(IF(HLOOKUP(L$124,Data_Formatting!$GH$43:$HQ$53,9,FALSE)=0,HLOOKUP(L$124,Data_Formatting!$GH$7:$HQ$14,7,FALSE),(HLOOKUP(L$124,Data_Formatting!$GH$43:$HQ$53,9,FALSE))),0)</f>
        <v>0</v>
      </c>
      <c r="M129" s="205">
        <f ca="1">IFERROR(IF(HLOOKUP(M$124,Data_Formatting!$GH$43:$HQ$53,9,FALSE)=0,HLOOKUP(M$124,Data_Formatting!$GH$7:$HQ$14,7,FALSE),(HLOOKUP(M$124,Data_Formatting!$GH$43:$HQ$53,9,FALSE))),0)</f>
        <v>0</v>
      </c>
      <c r="N129" s="205">
        <f ca="1">IFERROR(IF(HLOOKUP(N$124,Data_Formatting!$GH$43:$HQ$53,9,FALSE)=0,HLOOKUP(N$124,Data_Formatting!$GH$7:$HQ$14,7,FALSE),(HLOOKUP(N$124,Data_Formatting!$GH$43:$HQ$53,9,FALSE))),0)</f>
        <v>0</v>
      </c>
      <c r="O129" s="205">
        <f ca="1">IFERROR(IF(HLOOKUP(O$124,Data_Formatting!$GH$43:$HQ$53,9,FALSE)=0,HLOOKUP(O$124,Data_Formatting!$GH$7:$HQ$14,7,FALSE),(HLOOKUP(O$124,Data_Formatting!$GH$43:$HQ$53,9,FALSE))),0)</f>
        <v>0</v>
      </c>
      <c r="P129" s="205">
        <f ca="1">IFERROR(IF(HLOOKUP(P$124,Data_Formatting!$GH$43:$HQ$53,9,FALSE)=0,HLOOKUP(P$124,Data_Formatting!$GH$7:$HQ$14,7,FALSE),(HLOOKUP(P$124,Data_Formatting!$GH$43:$HQ$53,9,FALSE))),0)</f>
        <v>0</v>
      </c>
      <c r="Q129" s="205">
        <f ca="1">IFERROR(IF(HLOOKUP(Q$124,Data_Formatting!$GH$43:$HQ$53,9,FALSE)=0,HLOOKUP(Q$124,Data_Formatting!$GH$122:$HQ$128,6,FALSE),(HLOOKUP(Q$124,Data_Formatting!$GH$43:$HQ$53,9,FALSE))),0)</f>
        <v>0</v>
      </c>
      <c r="R129" s="205">
        <f ca="1">IFERROR(IF(HLOOKUP(R$124,Data_Formatting!$HU$43:$HY$53,9,FALSE)=0,HLOOKUP(R$124,Data_Formatting!$HU$7:$HY$14,7,FALSE),(HLOOKUP(R$124,Data_Formatting!$HU$43:$HY$53,9,FALSE))),0)</f>
        <v>0</v>
      </c>
      <c r="S129" s="205">
        <f ca="1">IFERROR(IF(HLOOKUP(S$124,Data_Formatting!$GH$43:$HQ$53,9,FALSE)=0,HLOOKUP(S$124,Data_Formatting!$GH$122:$HQ$128,6,FALSE),(HLOOKUP(S$124,Data_Formatting!$GH$43:$HQ$53,9,FALSE))),0)</f>
        <v>0</v>
      </c>
      <c r="T129" s="205">
        <f ca="1">IFERROR(IF(HLOOKUP(T$124,Data_Formatting!$GH$43:$HQ$53,9,FALSE)=0,HLOOKUP(T$124,Data_Formatting!$GH$122:$HQ$128,6,FALSE),(HLOOKUP(T$124,Data_Formatting!$GH$43:$HQ$53,9,FALSE))),0)</f>
        <v>0</v>
      </c>
      <c r="U129" s="205">
        <f ca="1">IFERROR(IF(HLOOKUP(U$124,Data_Formatting!$GH$43:$HQ$53,9,FALSE)=0,HLOOKUP(U$124,Data_Formatting!$GH$122:$HQ$128,6,FALSE),(HLOOKUP(U$124,Data_Formatting!$GH$43:$HQ$53,9,FALSE))),0)</f>
        <v>0</v>
      </c>
      <c r="V129" s="205">
        <f ca="1">IFERROR(IF(HLOOKUP(V$124,Data_Formatting!$GH$43:$HQ$53,9,FALSE)=0,HLOOKUP(V$124,Data_Formatting!$GH$122:$HQ$128,6,FALSE),(HLOOKUP(V$124,Data_Formatting!$GH$43:$HQ$53,9,FALSE))),0)</f>
        <v>0</v>
      </c>
      <c r="W129" s="205">
        <f ca="1">IFERROR(IF(HLOOKUP(W$124,Data_Formatting!$GH$43:$HQ$53,9,FALSE)=0,HLOOKUP(W$124,Data_Formatting!$GH$122:$HQ$128,6,FALSE),(HLOOKUP(W$124,Data_Formatting!$GH$43:$HQ$53,9,FALSE))),0)</f>
        <v>0</v>
      </c>
      <c r="X129" s="205">
        <f ca="1">IFERROR(IF(HLOOKUP(X$124,Data_Formatting!$GH$43:$HQ$53,9,FALSE)=0,HLOOKUP(X$124,Data_Formatting!$GH$122:$HQ$128,6,FALSE),(HLOOKUP(X$124,Data_Formatting!$GH$43:$HQ$53,9,FALSE))),0)</f>
        <v>0</v>
      </c>
      <c r="Y129" s="205">
        <f ca="1">IFERROR(IF(HLOOKUP(Y$124,Data_Formatting!$GH$43:$HQ$53,9,FALSE)=0,HLOOKUP(Y$124,Data_Formatting!$GH$122:$HQ$128,6,FALSE),(HLOOKUP(Y$124,Data_Formatting!$GH$43:$HQ$53,9,FALSE))),0)</f>
        <v>0</v>
      </c>
      <c r="Z129" s="205">
        <f ca="1">IFERROR(IF(HLOOKUP(Z$124,Data_Formatting!$GH$43:$HQ$53,9,FALSE)=0,HLOOKUP(Z$124,Data_Formatting!$GH$122:$HQ$128,6,FALSE),(HLOOKUP(Z$124,Data_Formatting!$GH$43:$HQ$53,9,FALSE))),0)</f>
        <v>0</v>
      </c>
      <c r="AA129" s="205">
        <f ca="1">IFERROR(IF(HLOOKUP(AA$124,Data_Formatting!$GH$43:$HQ$53,9,FALSE)=0,HLOOKUP(AA$124,Data_Formatting!$GH$122:$HQ$128,6,FALSE),(HLOOKUP(AA$124,Data_Formatting!$GH$43:$HQ$53,9,FALSE))),0)</f>
        <v>0</v>
      </c>
      <c r="AB129" s="205">
        <f ca="1">IFERROR(IF(HLOOKUP(AB$124,Data_Formatting!$GH$43:$HQ$53,9,FALSE)=0,HLOOKUP(AB$124,Data_Formatting!$GH$122:$HQ$128,6,FALSE),(HLOOKUP(AB$124,Data_Formatting!$GH$43:$HQ$53,9,FALSE))),0)</f>
        <v>0</v>
      </c>
      <c r="AC129" s="205">
        <f ca="1">IFERROR(IF(HLOOKUP(AC$124,Data_Formatting!$GH$43:$HQ$53,9,FALSE)=0,HLOOKUP(AC$124,Data_Formatting!$GH$122:$HQ$128,6,FALSE),(HLOOKUP(AC$124,Data_Formatting!$GH$43:$HQ$53,9,FALSE))),0)</f>
        <v>0</v>
      </c>
      <c r="AD129" s="205">
        <f ca="1">IFERROR(IF(HLOOKUP(AD$124,Data_Formatting!$GH$43:$HQ$53,9,FALSE)=0,HLOOKUP(AD$124,Data_Formatting!$GH$122:$HQ$128,6,FALSE),(HLOOKUP(AD$124,Data_Formatting!$GH$43:$HQ$53,9,FALSE))),0)</f>
        <v>0</v>
      </c>
      <c r="AE129" s="267" t="e">
        <f ca="1">HLOOKUP(1,S$6:AD129,ROW(AE129)-5,FALSE)</f>
        <v>#N/A</v>
      </c>
      <c r="AF129" s="167"/>
      <c r="AG129" s="171"/>
      <c r="AM129" s="171"/>
      <c r="AN129" s="171"/>
      <c r="AO129" s="171"/>
      <c r="AP129" s="171"/>
      <c r="AQ129" s="171"/>
      <c r="AR129" s="171"/>
      <c r="AS129" s="171"/>
      <c r="AT129" s="171"/>
      <c r="AU129" s="171"/>
      <c r="AV129" s="171"/>
      <c r="AW129" s="171"/>
      <c r="AX129" s="171"/>
      <c r="AY129" s="171"/>
      <c r="AZ129" s="314"/>
    </row>
    <row r="130" spans="1:52" ht="12.75" customHeight="1">
      <c r="A130" s="307" t="s">
        <v>24</v>
      </c>
      <c r="B130" s="205">
        <f>IFERROR(IF(HLOOKUP(B$124,Data_Formatting!$HU$43:$HY$53,10,FALSE)=0,(HLOOKUP(B$124,Data_Formatting!$HU$122:$HY$128,7,FALSE)),(HLOOKUP(B$124,Data_Formatting!$HU$43:$HY$53,10,FALSE))),0)</f>
        <v>0</v>
      </c>
      <c r="C130" s="205">
        <f>IFERROR(IF(HLOOKUP(C$124,Data_Formatting!$HU$43:$HY$53,10,FALSE)=0,(HLOOKUP(C$124,Data_Formatting!$HU$122:$HY$128,7,FALSE)),(HLOOKUP(C$124,Data_Formatting!$HU$43:$HY$53,10,FALSE))),0)</f>
        <v>0</v>
      </c>
      <c r="D130" s="205">
        <f>IFERROR(IF(HLOOKUP(D$124,Data_Formatting!$HU$43:$HY$53,10,FALSE)=0,(HLOOKUP(D$124,Data_Formatting!$HU$122:$HY$128,7,FALSE)),(HLOOKUP(D$124,Data_Formatting!$HU$43:$HY$53,10,FALSE))),0)</f>
        <v>0</v>
      </c>
      <c r="E130" s="205">
        <f>IFERROR(IF(HLOOKUP(E$124,Data_Formatting!$HU$43:$HY$53,10,FALSE)=0,(HLOOKUP(E$124,Data_Formatting!$HU$122:$HY$128,7,FALSE)),(HLOOKUP(E$124,Data_Formatting!$HU$43:$HY$53,10,FALSE))),0)</f>
        <v>0</v>
      </c>
      <c r="F130" s="205">
        <f ca="1">IFERROR(IF(HLOOKUP(F$124,Data_Formatting!$GH$43:$HQ$53,10,FALSE)=0,(HLOOKUP(F$124,Data_Formatting!$GH$122:$HQ$128,7,FALSE)),(HLOOKUP(F$124,Data_Formatting!$GH$43:$HQ$53,10,FALSE))),0)</f>
        <v>0</v>
      </c>
      <c r="G130" s="205">
        <f ca="1">IFERROR(IF(HLOOKUP(G$124,Data_Formatting!$GH$43:$HQ$53,10,FALSE)=0,(HLOOKUP(G$124,Data_Formatting!$GH$122:$HQ$128,7,FALSE)),(HLOOKUP(G$124,Data_Formatting!$GH$43:$HQ$53,10,FALSE))),0)</f>
        <v>0</v>
      </c>
      <c r="H130" s="205">
        <f ca="1">IFERROR(IF(HLOOKUP(H$124,Data_Formatting!$GH$43:$HQ$53,10,FALSE)=0,(HLOOKUP(H$124,Data_Formatting!$GH$122:$HQ$128,7,FALSE)),(HLOOKUP(H$124,Data_Formatting!$GH$43:$HQ$53,10,FALSE))),0)</f>
        <v>0</v>
      </c>
      <c r="I130" s="205">
        <f ca="1">IFERROR(IF(HLOOKUP(I$124,Data_Formatting!$GH$43:$HQ$53,10,FALSE)=0,(HLOOKUP(I$124,Data_Formatting!$GH$122:$HQ$128,7,FALSE)),(HLOOKUP(I$124,Data_Formatting!$GH$43:$HQ$53,10,FALSE))),0)</f>
        <v>0</v>
      </c>
      <c r="J130" s="205">
        <f ca="1">IFERROR(IF(HLOOKUP(J$124,Data_Formatting!$GH$43:$HQ$53,10,FALSE)=0,(HLOOKUP(J$124,Data_Formatting!$GH$122:$HQ$128,7,FALSE)),(HLOOKUP(J$124,Data_Formatting!$GH$43:$HQ$53,10,FALSE))),0)</f>
        <v>0</v>
      </c>
      <c r="K130" s="205">
        <f ca="1">IFERROR(IF(HLOOKUP(K$124,Data_Formatting!$GH$43:$HQ$53,10,FALSE)=0,(HLOOKUP(K$124,Data_Formatting!$GH$122:$HQ$128,7,FALSE)),(HLOOKUP(K$124,Data_Formatting!$GH$43:$HQ$53,10,FALSE))),0)</f>
        <v>0</v>
      </c>
      <c r="L130" s="205">
        <f ca="1">IFERROR(IF(HLOOKUP(L$124,Data_Formatting!$GH$43:$HQ$53,10,FALSE)=0,(HLOOKUP(L$124,Data_Formatting!$GH$122:$HQ$128,7,FALSE)),(HLOOKUP(L$124,Data_Formatting!$GH$43:$HQ$53,10,FALSE))),0)</f>
        <v>0</v>
      </c>
      <c r="M130" s="205">
        <f ca="1">IFERROR(IF(HLOOKUP(M$124,Data_Formatting!$GH$43:$HQ$53,10,FALSE)=0,(HLOOKUP(M$124,Data_Formatting!$GH$122:$HQ$128,7,FALSE)),(HLOOKUP(M$124,Data_Formatting!$GH$43:$HQ$53,10,FALSE))),0)</f>
        <v>0</v>
      </c>
      <c r="N130" s="205">
        <f ca="1">IFERROR(IF(HLOOKUP(N$124,Data_Formatting!$GH$43:$HQ$53,10,FALSE)=0,(HLOOKUP(N$124,Data_Formatting!$GH$122:$HQ$128,7,FALSE)),(HLOOKUP(N$124,Data_Formatting!$GH$43:$HQ$53,10,FALSE))),0)</f>
        <v>0</v>
      </c>
      <c r="O130" s="205">
        <f ca="1">IFERROR(IF(HLOOKUP(O$124,Data_Formatting!$GH$43:$HQ$53,10,FALSE)=0,(HLOOKUP(O$124,Data_Formatting!$GH$122:$HQ$128,7,FALSE)),(HLOOKUP(O$124,Data_Formatting!$GH$43:$HQ$53,10,FALSE))),0)</f>
        <v>0</v>
      </c>
      <c r="P130" s="205">
        <f ca="1">IFERROR(IF(HLOOKUP(P$124,Data_Formatting!$GH$43:$HQ$53,10,FALSE)=0,(HLOOKUP(P$124,Data_Formatting!$GH$122:$HQ$128,7,FALSE)),(HLOOKUP(P$124,Data_Formatting!$GH$43:$HQ$53,10,FALSE))),0)</f>
        <v>0</v>
      </c>
      <c r="Q130" s="205">
        <f ca="1">IFERROR(IF(HLOOKUP(Q$124,Data_Formatting!$GH$43:$HQ$53,10,FALSE)=0,(HLOOKUP(Q$124,Data_Formatting!$GH$122:$HQ$128,7,FALSE)),(HLOOKUP(Q$124,Data_Formatting!$GH$43:$HQ$53,10,FALSE))),0)</f>
        <v>0</v>
      </c>
      <c r="R130" s="205">
        <f ca="1">IFERROR(IF(HLOOKUP(R$124,Data_Formatting!$HU$43:$HY$53,10,FALSE)=0,(HLOOKUP(R$124,Data_Formatting!$HU$122:$HY$128,7,FALSE)),(HLOOKUP(R$124,Data_Formatting!$HU$43:$HY$53,10,FALSE))),0)</f>
        <v>0</v>
      </c>
      <c r="S130" s="205">
        <f ca="1">IFERROR(IF(HLOOKUP(S$124,Data_Formatting!$GH$43:$HQ$53,10,FALSE)=0,(HLOOKUP(S$124,Data_Formatting!$GH$122:$HQ$128,7,FALSE)),(HLOOKUP(S$124,Data_Formatting!$GH$43:$HQ$53,10,FALSE))),0)</f>
        <v>0</v>
      </c>
      <c r="T130" s="205">
        <f ca="1">IFERROR(IF(HLOOKUP(T$124,Data_Formatting!$GH$43:$HQ$53,10,FALSE)=0,(HLOOKUP(T$124,Data_Formatting!$GH$122:$HQ$128,7,FALSE)),(HLOOKUP(T$124,Data_Formatting!$GH$43:$HQ$53,10,FALSE))),0)</f>
        <v>0</v>
      </c>
      <c r="U130" s="205">
        <f ca="1">IFERROR(IF(HLOOKUP(U$124,Data_Formatting!$GH$43:$HQ$53,10,FALSE)=0,(HLOOKUP(U$124,Data_Formatting!$GH$122:$HQ$128,7,FALSE)),(HLOOKUP(U$124,Data_Formatting!$GH$43:$HQ$53,10,FALSE))),0)</f>
        <v>0</v>
      </c>
      <c r="V130" s="205">
        <f ca="1">IFERROR(IF(HLOOKUP(V$124,Data_Formatting!$GH$43:$HQ$53,10,FALSE)=0,(HLOOKUP(V$124,Data_Formatting!$GH$122:$HQ$128,7,FALSE)),(HLOOKUP(V$124,Data_Formatting!$GH$43:$HQ$53,10,FALSE))),0)</f>
        <v>0</v>
      </c>
      <c r="W130" s="205">
        <f ca="1">IFERROR(IF(HLOOKUP(W$124,Data_Formatting!$GH$43:$HQ$53,10,FALSE)=0,(HLOOKUP(W$124,Data_Formatting!$GH$122:$HQ$128,7,FALSE)),(HLOOKUP(W$124,Data_Formatting!$GH$43:$HQ$53,10,FALSE))),0)</f>
        <v>0</v>
      </c>
      <c r="X130" s="205">
        <f ca="1">IFERROR(IF(HLOOKUP(X$124,Data_Formatting!$GH$43:$HQ$53,10,FALSE)=0,(HLOOKUP(X$124,Data_Formatting!$GH$122:$HQ$128,7,FALSE)),(HLOOKUP(X$124,Data_Formatting!$GH$43:$HQ$53,10,FALSE))),0)</f>
        <v>0</v>
      </c>
      <c r="Y130" s="205">
        <f ca="1">IFERROR(IF(HLOOKUP(Y$124,Data_Formatting!$GH$43:$HQ$53,10,FALSE)=0,(HLOOKUP(Y$124,Data_Formatting!$GH$122:$HQ$128,7,FALSE)),(HLOOKUP(Y$124,Data_Formatting!$GH$43:$HQ$53,10,FALSE))),0)</f>
        <v>0</v>
      </c>
      <c r="Z130" s="205">
        <f ca="1">IFERROR(IF(HLOOKUP(Z$124,Data_Formatting!$GH$43:$HQ$53,10,FALSE)=0,(HLOOKUP(Z$124,Data_Formatting!$GH$122:$HQ$128,7,FALSE)),(HLOOKUP(Z$124,Data_Formatting!$GH$43:$HQ$53,10,FALSE))),0)</f>
        <v>0</v>
      </c>
      <c r="AA130" s="205">
        <f ca="1">IFERROR(IF(HLOOKUP(AA$124,Data_Formatting!$GH$43:$HQ$53,10,FALSE)=0,(HLOOKUP(AA$124,Data_Formatting!$GH$122:$HQ$128,7,FALSE)),(HLOOKUP(AA$124,Data_Formatting!$GH$43:$HQ$53,10,FALSE))),0)</f>
        <v>0</v>
      </c>
      <c r="AB130" s="205">
        <f ca="1">IFERROR(IF(HLOOKUP(AB$124,Data_Formatting!$GH$43:$HQ$53,10,FALSE)=0,(HLOOKUP(AB$124,Data_Formatting!$GH$122:$HQ$128,7,FALSE)),(HLOOKUP(AB$124,Data_Formatting!$GH$43:$HQ$53,10,FALSE))),0)</f>
        <v>0</v>
      </c>
      <c r="AC130" s="205">
        <f ca="1">IFERROR(IF(HLOOKUP(AC$124,Data_Formatting!$GH$43:$HQ$53,10,FALSE)=0,(HLOOKUP(AC$124,Data_Formatting!$GH$122:$HQ$128,7,FALSE)),(HLOOKUP(AC$124,Data_Formatting!$GH$43:$HQ$53,10,FALSE))),0)</f>
        <v>0</v>
      </c>
      <c r="AD130" s="205">
        <f ca="1">IFERROR(IF(HLOOKUP(AD$124,Data_Formatting!$GH$43:$HQ$53,10,FALSE)=0,(HLOOKUP(AD$124,Data_Formatting!$GH$122:$HQ$128,7,FALSE)),(HLOOKUP(AD$124,Data_Formatting!$GH$43:$HQ$53,10,FALSE))),0)</f>
        <v>0</v>
      </c>
      <c r="AE130" s="267" t="e">
        <f ca="1">HLOOKUP(1,S$6:AD130,ROW(AE130)-5,FALSE)</f>
        <v>#N/A</v>
      </c>
      <c r="AF130" s="167"/>
      <c r="AG130" s="171"/>
      <c r="AM130" s="171"/>
      <c r="AN130" s="171"/>
      <c r="AO130" s="171"/>
      <c r="AP130" s="171"/>
      <c r="AQ130" s="171"/>
      <c r="AR130" s="171"/>
      <c r="AS130" s="171"/>
      <c r="AT130" s="171"/>
      <c r="AU130" s="171"/>
      <c r="AV130" s="171"/>
      <c r="AW130" s="171"/>
      <c r="AX130" s="171"/>
      <c r="AY130" s="171"/>
      <c r="AZ130" s="314"/>
    </row>
    <row r="131" spans="1:52" ht="12.75" customHeight="1">
      <c r="A131" s="307" t="s">
        <v>650</v>
      </c>
      <c r="B131" s="205">
        <f>IFERROR(HLOOKUP(B$124,Data_Formatting!$HU$43:$HY$53,11,FALSE),0)</f>
        <v>0</v>
      </c>
      <c r="C131" s="205">
        <f>IFERROR(HLOOKUP(C$124,Data_Formatting!$HU$43:$HY$53,11,FALSE),0)</f>
        <v>0</v>
      </c>
      <c r="D131" s="205">
        <f>IFERROR(HLOOKUP(D$124,Data_Formatting!$HU$43:$HY$53,11,FALSE),0)</f>
        <v>0</v>
      </c>
      <c r="E131" s="205">
        <f>IFERROR(HLOOKUP(E$124,Data_Formatting!$HU$43:$HY$53,11,FALSE),0)</f>
        <v>0</v>
      </c>
      <c r="F131" s="205">
        <f ca="1">IFERROR(HLOOKUP(F$124,Data_Formatting!$GH$43:$HQ$53,11,FALSE),0)</f>
        <v>0</v>
      </c>
      <c r="G131" s="205">
        <f ca="1">IFERROR(HLOOKUP(G$124,Data_Formatting!$GH$43:$HQ$53,11,FALSE),0)</f>
        <v>0</v>
      </c>
      <c r="H131" s="205">
        <f ca="1">IFERROR(HLOOKUP(H$124,Data_Formatting!$GH$43:$HQ$53,11,FALSE),0)</f>
        <v>0</v>
      </c>
      <c r="I131" s="205">
        <f ca="1">IFERROR(HLOOKUP(I$124,Data_Formatting!$GH$43:$HQ$53,11,FALSE),0)</f>
        <v>0</v>
      </c>
      <c r="J131" s="205">
        <f ca="1">IFERROR(HLOOKUP(J$124,Data_Formatting!$GH$43:$HQ$53,11,FALSE),0)</f>
        <v>0</v>
      </c>
      <c r="K131" s="205">
        <f ca="1">IFERROR(HLOOKUP(K$124,Data_Formatting!$GH$43:$HQ$53,11,FALSE),0)</f>
        <v>0</v>
      </c>
      <c r="L131" s="205">
        <f ca="1">IFERROR(HLOOKUP(L$124,Data_Formatting!$GH$43:$HQ$53,11,FALSE),0)</f>
        <v>0</v>
      </c>
      <c r="M131" s="205">
        <f ca="1">IFERROR(HLOOKUP(M$124,Data_Formatting!$GH$43:$HQ$53,11,FALSE),0)</f>
        <v>0</v>
      </c>
      <c r="N131" s="205">
        <f ca="1">IFERROR(HLOOKUP(N$124,Data_Formatting!$GH$43:$HQ$53,11,FALSE),0)</f>
        <v>0</v>
      </c>
      <c r="O131" s="205">
        <f ca="1">IFERROR(HLOOKUP(O$124,Data_Formatting!$GH$43:$HQ$53,11,FALSE),0)</f>
        <v>0</v>
      </c>
      <c r="P131" s="205">
        <f ca="1">IFERROR(HLOOKUP(P$124,Data_Formatting!$GH$43:$HQ$53,11,FALSE),0)</f>
        <v>0</v>
      </c>
      <c r="Q131" s="205">
        <f ca="1">IFERROR(HLOOKUP(Q$124,Data_Formatting!$GH$43:$HQ$53,11,FALSE),0)</f>
        <v>0</v>
      </c>
      <c r="R131" s="205">
        <f ca="1">IFERROR(HLOOKUP(R$124,Data_Formatting!$HU$43:$HY$53,11,FALSE),0)</f>
        <v>0</v>
      </c>
      <c r="S131" s="205">
        <f ca="1">IFERROR(HLOOKUP(S$124,Data_Formatting!$GH$43:$HQ$53,11,FALSE),0)</f>
        <v>0</v>
      </c>
      <c r="T131" s="205">
        <f ca="1">IFERROR(HLOOKUP(T$124,Data_Formatting!$GH$43:$HQ$53,11,FALSE),0)</f>
        <v>0</v>
      </c>
      <c r="U131" s="205">
        <f ca="1">IFERROR(HLOOKUP(U$124,Data_Formatting!$GH$43:$HQ$53,11,FALSE),0)</f>
        <v>0</v>
      </c>
      <c r="V131" s="205">
        <f ca="1">IFERROR(HLOOKUP(V$124,Data_Formatting!$GH$43:$HQ$53,11,FALSE),0)</f>
        <v>0</v>
      </c>
      <c r="W131" s="205">
        <f ca="1">IFERROR(HLOOKUP(W$124,Data_Formatting!$GH$43:$HQ$53,11,FALSE),0)</f>
        <v>0</v>
      </c>
      <c r="X131" s="205">
        <f ca="1">IFERROR(HLOOKUP(X$124,Data_Formatting!$GH$43:$HQ$53,11,FALSE),0)</f>
        <v>0</v>
      </c>
      <c r="Y131" s="205">
        <f ca="1">IFERROR(HLOOKUP(Y$124,Data_Formatting!$GH$43:$HQ$53,11,FALSE),0)</f>
        <v>0</v>
      </c>
      <c r="Z131" s="205">
        <f ca="1">IFERROR(HLOOKUP(Z$124,Data_Formatting!$GH$43:$HQ$53,11,FALSE),0)</f>
        <v>0</v>
      </c>
      <c r="AA131" s="205">
        <f ca="1">IFERROR(HLOOKUP(AA$124,Data_Formatting!$GH$43:$HQ$53,11,FALSE),0)</f>
        <v>0</v>
      </c>
      <c r="AB131" s="205">
        <f ca="1">IFERROR(HLOOKUP(AB$124,Data_Formatting!$GH$43:$HQ$53,11,FALSE),0)</f>
        <v>0</v>
      </c>
      <c r="AC131" s="205">
        <f ca="1">IFERROR(HLOOKUP(AC$124,Data_Formatting!$GH$43:$HQ$53,11,FALSE),0)</f>
        <v>0</v>
      </c>
      <c r="AD131" s="205">
        <f ca="1">IFERROR(HLOOKUP(AD$124,Data_Formatting!$GH$43:$HQ$53,11,FALSE),0)</f>
        <v>0</v>
      </c>
      <c r="AE131" s="267" t="e">
        <f ca="1">HLOOKUP(1,S$6:AD131,ROW(AE131)-5,FALSE)</f>
        <v>#N/A</v>
      </c>
      <c r="AF131" s="167"/>
      <c r="AG131" s="171"/>
      <c r="AM131" s="171"/>
      <c r="AN131" s="171"/>
      <c r="AO131" s="171"/>
      <c r="AP131" s="171"/>
      <c r="AQ131" s="171"/>
      <c r="AR131" s="171"/>
      <c r="AS131" s="171"/>
      <c r="AT131" s="171"/>
      <c r="AU131" s="171"/>
      <c r="AV131" s="171"/>
      <c r="AW131" s="171"/>
      <c r="AX131" s="171"/>
      <c r="AY131" s="171"/>
      <c r="AZ131" s="314"/>
    </row>
    <row r="132" spans="1:52" s="213" customFormat="1" ht="12.75" customHeight="1">
      <c r="AF132" s="167"/>
      <c r="AH132" s="169"/>
      <c r="AI132" s="169"/>
      <c r="AJ132" s="169"/>
      <c r="AK132" s="169"/>
      <c r="AL132" s="169"/>
    </row>
    <row r="133" spans="1:52" s="159" customFormat="1" ht="18.75" customHeight="1">
      <c r="A133" s="318" t="s">
        <v>403</v>
      </c>
      <c r="B133" s="213"/>
      <c r="C133" s="213"/>
      <c r="D133" s="213"/>
      <c r="E133" s="213"/>
      <c r="F133" s="213"/>
      <c r="G133" s="213"/>
      <c r="H133" s="213"/>
      <c r="I133" s="213"/>
      <c r="J133" s="213"/>
      <c r="K133" s="213"/>
      <c r="L133" s="213"/>
      <c r="M133" s="213"/>
      <c r="N133" s="213"/>
      <c r="O133" s="213"/>
      <c r="P133" s="213"/>
      <c r="Q133" s="213"/>
      <c r="R133" s="213"/>
      <c r="S133" s="213"/>
      <c r="T133" s="213"/>
      <c r="U133" s="213"/>
      <c r="V133" s="213"/>
      <c r="W133" s="213"/>
      <c r="X133" s="213"/>
      <c r="Y133" s="213"/>
      <c r="Z133" s="213"/>
      <c r="AA133" s="213"/>
      <c r="AB133" s="213"/>
      <c r="AC133" s="213"/>
      <c r="AD133" s="213"/>
      <c r="AE133" s="213"/>
      <c r="AF133" s="167"/>
      <c r="AH133" s="169"/>
      <c r="AI133" s="169"/>
      <c r="AJ133" s="169"/>
      <c r="AK133" s="169"/>
      <c r="AL133" s="169"/>
    </row>
    <row r="134" spans="1:52" ht="12.75" customHeight="1">
      <c r="A134" s="508">
        <f>'Gen Info'!$B$50</f>
        <v>0</v>
      </c>
      <c r="B134" s="737">
        <f>B$7</f>
        <v>692501</v>
      </c>
      <c r="C134" s="737">
        <f>C$7</f>
        <v>692867</v>
      </c>
      <c r="D134" s="737">
        <f>D$7</f>
        <v>693232</v>
      </c>
      <c r="E134" s="737">
        <f>E$7</f>
        <v>693597</v>
      </c>
      <c r="F134" s="246">
        <f ca="1">F$7</f>
        <v>693628</v>
      </c>
      <c r="G134" s="246">
        <f t="shared" ref="G134:AE134" ca="1" si="39">G$7</f>
        <v>693656</v>
      </c>
      <c r="H134" s="246">
        <f t="shared" ca="1" si="39"/>
        <v>693687</v>
      </c>
      <c r="I134" s="246">
        <f t="shared" ca="1" si="39"/>
        <v>693717</v>
      </c>
      <c r="J134" s="246">
        <f t="shared" ca="1" si="39"/>
        <v>693748</v>
      </c>
      <c r="K134" s="246">
        <f t="shared" ca="1" si="39"/>
        <v>693778</v>
      </c>
      <c r="L134" s="246">
        <f t="shared" ca="1" si="39"/>
        <v>693809</v>
      </c>
      <c r="M134" s="246">
        <f t="shared" ca="1" si="39"/>
        <v>693840</v>
      </c>
      <c r="N134" s="246">
        <f t="shared" ca="1" si="39"/>
        <v>693870</v>
      </c>
      <c r="O134" s="246">
        <f t="shared" ca="1" si="39"/>
        <v>693901</v>
      </c>
      <c r="P134" s="246">
        <f t="shared" ca="1" si="39"/>
        <v>693931</v>
      </c>
      <c r="Q134" s="246">
        <f t="shared" ca="1" si="39"/>
        <v>693962</v>
      </c>
      <c r="R134" s="737">
        <f ca="1">R$7</f>
        <v>693962</v>
      </c>
      <c r="S134" s="246">
        <f t="shared" ca="1" si="39"/>
        <v>31</v>
      </c>
      <c r="T134" s="246">
        <f t="shared" ca="1" si="39"/>
        <v>59</v>
      </c>
      <c r="U134" s="246">
        <f t="shared" ca="1" si="39"/>
        <v>91</v>
      </c>
      <c r="V134" s="246">
        <f t="shared" ca="1" si="39"/>
        <v>121</v>
      </c>
      <c r="W134" s="246">
        <f t="shared" ca="1" si="39"/>
        <v>152</v>
      </c>
      <c r="X134" s="246">
        <f t="shared" ca="1" si="39"/>
        <v>182</v>
      </c>
      <c r="Y134" s="246">
        <f t="shared" ca="1" si="39"/>
        <v>213</v>
      </c>
      <c r="Z134" s="246">
        <f t="shared" ca="1" si="39"/>
        <v>244</v>
      </c>
      <c r="AA134" s="246">
        <f t="shared" ca="1" si="39"/>
        <v>274</v>
      </c>
      <c r="AB134" s="246">
        <f t="shared" ca="1" si="39"/>
        <v>305</v>
      </c>
      <c r="AC134" s="246">
        <f t="shared" ca="1" si="39"/>
        <v>335</v>
      </c>
      <c r="AD134" s="246">
        <f t="shared" ca="1" si="39"/>
        <v>366</v>
      </c>
      <c r="AE134" s="246" t="e">
        <f t="shared" ca="1" si="39"/>
        <v>#N/A</v>
      </c>
      <c r="AF134" s="167"/>
      <c r="AG134" s="273"/>
      <c r="AM134" s="254"/>
      <c r="AN134" s="254"/>
      <c r="AO134" s="254"/>
      <c r="AP134" s="254"/>
      <c r="AQ134" s="254"/>
      <c r="AR134" s="254"/>
      <c r="AS134" s="255"/>
      <c r="AU134" s="255"/>
      <c r="AV134" s="255"/>
      <c r="AW134" s="255"/>
      <c r="AX134" s="255"/>
      <c r="AY134" s="255"/>
    </row>
    <row r="135" spans="1:52" ht="12.75" customHeight="1">
      <c r="A135" s="521" t="s">
        <v>404</v>
      </c>
      <c r="B135" s="168">
        <f>IFERROR(HLOOKUP(B$124,Data_Formatting!$HU$43:$HY$66,15,FALSE)+HLOOKUP(B$124,Data_Formatting!$HU$43:$HY$66,21,FALSE),0)</f>
        <v>0</v>
      </c>
      <c r="C135" s="168">
        <f>IFERROR(HLOOKUP(C$124,Data_Formatting!$HU$43:$HY$66,15,FALSE)+HLOOKUP(C$124,Data_Formatting!$HU$43:$HY$66,21,FALSE),0)</f>
        <v>0</v>
      </c>
      <c r="D135" s="168">
        <f>IFERROR(HLOOKUP(D$124,Data_Formatting!$HU$43:$HY$66,15,FALSE)+HLOOKUP(D$124,Data_Formatting!$HU$43:$HY$66,21,FALSE),0)</f>
        <v>0</v>
      </c>
      <c r="E135" s="168">
        <f>IFERROR(HLOOKUP(E$124,Data_Formatting!$HU$43:$HY$66,15,FALSE)+HLOOKUP(E$124,Data_Formatting!$HU$43:$HY$66,21,FALSE),0)</f>
        <v>0</v>
      </c>
      <c r="F135" s="168">
        <f ca="1">IFERROR(HLOOKUP(F$124,Data_Formatting!$GH$43:$HQ$66,15,FALSE)+HLOOKUP(F$124,Data_Formatting!$GH$43:$HQ$66,21,FALSE),0)</f>
        <v>0</v>
      </c>
      <c r="G135" s="168">
        <f ca="1">IFERROR(HLOOKUP(G$124,Data_Formatting!$GH$43:$HQ$66,15,FALSE)+HLOOKUP(G$124,Data_Formatting!$GH$43:$HQ$66,21,FALSE),0)</f>
        <v>0</v>
      </c>
      <c r="H135" s="168">
        <f ca="1">IFERROR(HLOOKUP(H$124,Data_Formatting!$GH$43:$HQ$66,15,FALSE)+HLOOKUP(H$124,Data_Formatting!$GH$43:$HQ$66,21,FALSE),0)</f>
        <v>0</v>
      </c>
      <c r="I135" s="168">
        <f ca="1">IFERROR(HLOOKUP(I$124,Data_Formatting!$GH$43:$HQ$66,15,FALSE)+HLOOKUP(I$124,Data_Formatting!$GH$43:$HQ$66,21,FALSE),0)</f>
        <v>0</v>
      </c>
      <c r="J135" s="168">
        <f ca="1">IFERROR(HLOOKUP(J$124,Data_Formatting!$GH$43:$HQ$66,15,FALSE)+HLOOKUP(J$124,Data_Formatting!$GH$43:$HQ$66,21,FALSE),0)</f>
        <v>0</v>
      </c>
      <c r="K135" s="168">
        <f ca="1">IFERROR(HLOOKUP(K$124,Data_Formatting!$GH$43:$HQ$66,15,FALSE)+HLOOKUP(K$124,Data_Formatting!$GH$43:$HQ$66,21,FALSE),0)</f>
        <v>0</v>
      </c>
      <c r="L135" s="168">
        <f ca="1">IFERROR(HLOOKUP(L$124,Data_Formatting!$GH$43:$HQ$66,15,FALSE)+HLOOKUP(L$124,Data_Formatting!$GH$43:$HQ$66,21,FALSE),0)</f>
        <v>0</v>
      </c>
      <c r="M135" s="168">
        <f ca="1">IFERROR(HLOOKUP(M$124,Data_Formatting!$GH$43:$HQ$66,15,FALSE)+HLOOKUP(M$124,Data_Formatting!$GH$43:$HQ$66,21,FALSE),0)</f>
        <v>0</v>
      </c>
      <c r="N135" s="168">
        <f ca="1">IFERROR(HLOOKUP(N$124,Data_Formatting!$GH$43:$HQ$66,15,FALSE)+HLOOKUP(N$124,Data_Formatting!$GH$43:$HQ$66,21,FALSE),0)</f>
        <v>0</v>
      </c>
      <c r="O135" s="168">
        <f ca="1">IFERROR(HLOOKUP(O$124,Data_Formatting!$GH$43:$HQ$66,15,FALSE)+HLOOKUP(O$124,Data_Formatting!$GH$43:$HQ$66,21,FALSE),0)</f>
        <v>0</v>
      </c>
      <c r="P135" s="168">
        <f ca="1">IFERROR(HLOOKUP(P$124,Data_Formatting!$GH$43:$HQ$66,15,FALSE)+HLOOKUP(P$124,Data_Formatting!$GH$43:$HQ$66,21,FALSE),0)</f>
        <v>0</v>
      </c>
      <c r="Q135" s="168">
        <f ca="1">IFERROR(HLOOKUP(Q$124,Data_Formatting!$GH$43:$HQ$66,15,FALSE)+HLOOKUP(Q$124,Data_Formatting!$GH$43:$HQ$66,21,FALSE),0)</f>
        <v>0</v>
      </c>
      <c r="R135" s="168">
        <f ca="1">IFERROR(HLOOKUP(R$124,Data_Formatting!$HU$43:$HY$66,15,FALSE)+HLOOKUP(R$124,Data_Formatting!$HU$43:$HY$66,21,FALSE),0)</f>
        <v>0</v>
      </c>
      <c r="S135" s="168">
        <f ca="1">IFERROR(HLOOKUP(S$124,Data_Formatting!$GH$43:$HQ$66,15,FALSE)+HLOOKUP(S$124,Data_Formatting!$GH$43:$HQ$66,21,FALSE),0)</f>
        <v>0</v>
      </c>
      <c r="T135" s="168">
        <f ca="1">IFERROR(HLOOKUP(T$124,Data_Formatting!$GH$43:$HQ$66,15,FALSE)+HLOOKUP(T$124,Data_Formatting!$GH$43:$HQ$66,21,FALSE),0)</f>
        <v>0</v>
      </c>
      <c r="U135" s="168">
        <f ca="1">IFERROR(HLOOKUP(U$124,Data_Formatting!$GH$43:$HQ$66,15,FALSE)+HLOOKUP(U$124,Data_Formatting!$GH$43:$HQ$66,21,FALSE),0)</f>
        <v>0</v>
      </c>
      <c r="V135" s="168">
        <f ca="1">IFERROR(HLOOKUP(V$124,Data_Formatting!$GH$43:$HQ$66,15,FALSE)+HLOOKUP(V$124,Data_Formatting!$GH$43:$HQ$66,21,FALSE),0)</f>
        <v>0</v>
      </c>
      <c r="W135" s="168">
        <f ca="1">IFERROR(HLOOKUP(W$124,Data_Formatting!$GH$43:$HQ$66,15,FALSE)+HLOOKUP(W$124,Data_Formatting!$GH$43:$HQ$66,21,FALSE),0)</f>
        <v>0</v>
      </c>
      <c r="X135" s="168">
        <f ca="1">IFERROR(HLOOKUP(X$124,Data_Formatting!$GH$43:$HQ$66,15,FALSE)+HLOOKUP(X$124,Data_Formatting!$GH$43:$HQ$66,21,FALSE),0)</f>
        <v>0</v>
      </c>
      <c r="Y135" s="168">
        <f ca="1">IFERROR(HLOOKUP(Y$124,Data_Formatting!$GH$43:$HQ$66,15,FALSE)+HLOOKUP(Y$124,Data_Formatting!$GH$43:$HQ$66,21,FALSE),0)</f>
        <v>0</v>
      </c>
      <c r="Z135" s="168">
        <f ca="1">IFERROR(HLOOKUP(Z$124,Data_Formatting!$GH$43:$HQ$66,15,FALSE)+HLOOKUP(Z$124,Data_Formatting!$GH$43:$HQ$66,21,FALSE),0)</f>
        <v>0</v>
      </c>
      <c r="AA135" s="168">
        <f ca="1">IFERROR(HLOOKUP(AA$124,Data_Formatting!$GH$43:$HQ$66,15,FALSE)+HLOOKUP(AA$124,Data_Formatting!$GH$43:$HQ$66,21,FALSE),0)</f>
        <v>0</v>
      </c>
      <c r="AB135" s="168">
        <f ca="1">IFERROR(HLOOKUP(AB$124,Data_Formatting!$GH$43:$HQ$66,15,FALSE)+HLOOKUP(AB$124,Data_Formatting!$GH$43:$HQ$66,21,FALSE),0)</f>
        <v>0</v>
      </c>
      <c r="AC135" s="168">
        <f ca="1">IFERROR(HLOOKUP(AC$124,Data_Formatting!$GH$43:$HQ$66,15,FALSE)+HLOOKUP(AC$124,Data_Formatting!$GH$43:$HQ$66,21,FALSE),0)</f>
        <v>0</v>
      </c>
      <c r="AD135" s="168">
        <f ca="1">IFERROR(HLOOKUP(AD$124,Data_Formatting!$GH$43:$HQ$66,15,FALSE)+HLOOKUP(AD$124,Data_Formatting!$GH$43:$HQ$66,21,FALSE),0)</f>
        <v>0</v>
      </c>
      <c r="AE135" s="267" t="e">
        <f ca="1">HLOOKUP(1,S$6:AD135,ROW(AE135)-5,FALSE)</f>
        <v>#N/A</v>
      </c>
      <c r="AF135" s="167"/>
      <c r="AG135" s="171"/>
      <c r="AM135" s="171"/>
      <c r="AN135" s="171"/>
      <c r="AO135" s="171"/>
      <c r="AP135" s="171"/>
      <c r="AQ135" s="171"/>
      <c r="AR135" s="171"/>
      <c r="AS135" s="171"/>
      <c r="AT135" s="171"/>
      <c r="AU135" s="171"/>
      <c r="AV135" s="171"/>
      <c r="AW135" s="171"/>
      <c r="AX135" s="171"/>
      <c r="AY135" s="171"/>
      <c r="AZ135" s="314"/>
    </row>
    <row r="136" spans="1:52" ht="12.75" customHeight="1">
      <c r="A136" s="521" t="s">
        <v>387</v>
      </c>
      <c r="B136" s="168">
        <f>IFERROR(HLOOKUP(B$124,Data_Formatting!$HU$43:$HY$66,16,FALSE)+HLOOKUP(B$124,Data_Formatting!$HU$43:$HY$66,22,FALSE),0)</f>
        <v>0</v>
      </c>
      <c r="C136" s="168">
        <f>IFERROR(HLOOKUP(C$124,Data_Formatting!$HU$43:$HY$66,16,FALSE)+HLOOKUP(C$124,Data_Formatting!$HU$43:$HY$66,22,FALSE),0)</f>
        <v>0</v>
      </c>
      <c r="D136" s="168">
        <f>IFERROR(HLOOKUP(D$124,Data_Formatting!$HU$43:$HY$66,16,FALSE)+HLOOKUP(D$124,Data_Formatting!$HU$43:$HY$66,22,FALSE),0)</f>
        <v>0</v>
      </c>
      <c r="E136" s="168">
        <f>IFERROR(HLOOKUP(E$124,Data_Formatting!$HU$43:$HY$66,16,FALSE)+HLOOKUP(E$124,Data_Formatting!$HU$43:$HY$66,22,FALSE),0)</f>
        <v>0</v>
      </c>
      <c r="F136" s="168">
        <f ca="1">IFERROR(HLOOKUP(F$124,Data_Formatting!$GH$43:$HQ$66,16,FALSE)+HLOOKUP(F$124,Data_Formatting!$GH$43:$HQ$66,22,FALSE),0)</f>
        <v>0</v>
      </c>
      <c r="G136" s="168">
        <f ca="1">IFERROR(HLOOKUP(G$124,Data_Formatting!$GH$43:$HQ$66,16,FALSE)+HLOOKUP(G$124,Data_Formatting!$GH$43:$HQ$66,22,FALSE),0)</f>
        <v>0</v>
      </c>
      <c r="H136" s="168">
        <f ca="1">IFERROR(HLOOKUP(H$124,Data_Formatting!$GH$43:$HQ$66,16,FALSE)+HLOOKUP(H$124,Data_Formatting!$GH$43:$HQ$66,22,FALSE),0)</f>
        <v>0</v>
      </c>
      <c r="I136" s="168">
        <f ca="1">IFERROR(HLOOKUP(I$124,Data_Formatting!$GH$43:$HQ$66,16,FALSE)+HLOOKUP(I$124,Data_Formatting!$GH$43:$HQ$66,22,FALSE),0)</f>
        <v>0</v>
      </c>
      <c r="J136" s="168">
        <f ca="1">IFERROR(HLOOKUP(J$124,Data_Formatting!$GH$43:$HQ$66,16,FALSE)+HLOOKUP(J$124,Data_Formatting!$GH$43:$HQ$66,22,FALSE),0)</f>
        <v>0</v>
      </c>
      <c r="K136" s="168">
        <f ca="1">IFERROR(HLOOKUP(K$124,Data_Formatting!$GH$43:$HQ$66,16,FALSE)+HLOOKUP(K$124,Data_Formatting!$GH$43:$HQ$66,22,FALSE),0)</f>
        <v>0</v>
      </c>
      <c r="L136" s="168">
        <f ca="1">IFERROR(HLOOKUP(L$124,Data_Formatting!$GH$43:$HQ$66,16,FALSE)+HLOOKUP(L$124,Data_Formatting!$GH$43:$HQ$66,22,FALSE),0)</f>
        <v>0</v>
      </c>
      <c r="M136" s="168">
        <f ca="1">IFERROR(HLOOKUP(M$124,Data_Formatting!$GH$43:$HQ$66,16,FALSE)+HLOOKUP(M$124,Data_Formatting!$GH$43:$HQ$66,22,FALSE),0)</f>
        <v>0</v>
      </c>
      <c r="N136" s="168">
        <f ca="1">IFERROR(HLOOKUP(N$124,Data_Formatting!$GH$43:$HQ$66,16,FALSE)+HLOOKUP(N$124,Data_Formatting!$GH$43:$HQ$66,22,FALSE),0)</f>
        <v>0</v>
      </c>
      <c r="O136" s="168">
        <f ca="1">IFERROR(HLOOKUP(O$124,Data_Formatting!$GH$43:$HQ$66,16,FALSE)+HLOOKUP(O$124,Data_Formatting!$GH$43:$HQ$66,22,FALSE),0)</f>
        <v>0</v>
      </c>
      <c r="P136" s="168">
        <f ca="1">IFERROR(HLOOKUP(P$124,Data_Formatting!$GH$43:$HQ$66,16,FALSE)+HLOOKUP(P$124,Data_Formatting!$GH$43:$HQ$66,22,FALSE),0)</f>
        <v>0</v>
      </c>
      <c r="Q136" s="168">
        <f ca="1">IFERROR(HLOOKUP(Q$124,Data_Formatting!$GH$43:$HQ$66,16,FALSE)+HLOOKUP(Q$124,Data_Formatting!$GH$43:$HQ$66,22,FALSE),0)</f>
        <v>0</v>
      </c>
      <c r="R136" s="168">
        <f ca="1">IFERROR(HLOOKUP(R$124,Data_Formatting!$HU$43:$HY$66,15,FALSE)+HLOOKUP(R$124,Data_Formatting!$HU$43:$HY$66,21,FALSE),0)</f>
        <v>0</v>
      </c>
      <c r="S136" s="168">
        <f ca="1">IFERROR(HLOOKUP(S$124,Data_Formatting!$GH$43:$HQ$66,16,FALSE)+HLOOKUP(S$124,Data_Formatting!$GH$43:$HQ$66,22,FALSE),0)</f>
        <v>0</v>
      </c>
      <c r="T136" s="168">
        <f ca="1">IFERROR(HLOOKUP(T$124,Data_Formatting!$GH$43:$HQ$66,16,FALSE)+HLOOKUP(T$124,Data_Formatting!$GH$43:$HQ$66,22,FALSE),0)</f>
        <v>0</v>
      </c>
      <c r="U136" s="168">
        <f ca="1">IFERROR(HLOOKUP(U$124,Data_Formatting!$GH$43:$HQ$66,16,FALSE)+HLOOKUP(U$124,Data_Formatting!$GH$43:$HQ$66,22,FALSE),0)</f>
        <v>0</v>
      </c>
      <c r="V136" s="168">
        <f ca="1">IFERROR(HLOOKUP(V$124,Data_Formatting!$GH$43:$HQ$66,16,FALSE)+HLOOKUP(V$124,Data_Formatting!$GH$43:$HQ$66,22,FALSE),0)</f>
        <v>0</v>
      </c>
      <c r="W136" s="168">
        <f ca="1">IFERROR(HLOOKUP(W$124,Data_Formatting!$GH$43:$HQ$66,16,FALSE)+HLOOKUP(W$124,Data_Formatting!$GH$43:$HQ$66,22,FALSE),0)</f>
        <v>0</v>
      </c>
      <c r="X136" s="168">
        <f ca="1">IFERROR(HLOOKUP(X$124,Data_Formatting!$GH$43:$HQ$66,16,FALSE)+HLOOKUP(X$124,Data_Formatting!$GH$43:$HQ$66,22,FALSE),0)</f>
        <v>0</v>
      </c>
      <c r="Y136" s="168">
        <f ca="1">IFERROR(HLOOKUP(Y$124,Data_Formatting!$GH$43:$HQ$66,16,FALSE)+HLOOKUP(Y$124,Data_Formatting!$GH$43:$HQ$66,22,FALSE),0)</f>
        <v>0</v>
      </c>
      <c r="Z136" s="168">
        <f ca="1">IFERROR(HLOOKUP(Z$124,Data_Formatting!$GH$43:$HQ$66,16,FALSE)+HLOOKUP(Z$124,Data_Formatting!$GH$43:$HQ$66,22,FALSE),0)</f>
        <v>0</v>
      </c>
      <c r="AA136" s="168">
        <f ca="1">IFERROR(HLOOKUP(AA$124,Data_Formatting!$GH$43:$HQ$66,16,FALSE)+HLOOKUP(AA$124,Data_Formatting!$GH$43:$HQ$66,22,FALSE),0)</f>
        <v>0</v>
      </c>
      <c r="AB136" s="168">
        <f ca="1">IFERROR(HLOOKUP(AB$124,Data_Formatting!$GH$43:$HQ$66,16,FALSE)+HLOOKUP(AB$124,Data_Formatting!$GH$43:$HQ$66,22,FALSE),0)</f>
        <v>0</v>
      </c>
      <c r="AC136" s="168">
        <f ca="1">IFERROR(HLOOKUP(AC$124,Data_Formatting!$GH$43:$HQ$66,16,FALSE)+HLOOKUP(AC$124,Data_Formatting!$GH$43:$HQ$66,22,FALSE),0)</f>
        <v>0</v>
      </c>
      <c r="AD136" s="168">
        <f ca="1">IFERROR(HLOOKUP(AD$124,Data_Formatting!$GH$43:$HQ$66,16,FALSE)+HLOOKUP(AD$124,Data_Formatting!$GH$43:$HQ$66,22,FALSE),0)</f>
        <v>0</v>
      </c>
      <c r="AE136" s="267" t="e">
        <f ca="1">HLOOKUP(1,S$6:AD136,ROW(AE136)-5,FALSE)</f>
        <v>#N/A</v>
      </c>
      <c r="AF136" s="167"/>
      <c r="AG136" s="171"/>
      <c r="AM136" s="171"/>
      <c r="AN136" s="171"/>
      <c r="AO136" s="171"/>
      <c r="AP136" s="171"/>
      <c r="AQ136" s="171"/>
      <c r="AR136" s="171"/>
      <c r="AS136" s="171"/>
      <c r="AT136" s="171"/>
      <c r="AU136" s="171"/>
      <c r="AV136" s="171"/>
      <c r="AW136" s="171"/>
      <c r="AX136" s="171"/>
      <c r="AY136" s="171"/>
      <c r="AZ136" s="314"/>
    </row>
    <row r="137" spans="1:52" ht="12.75" customHeight="1">
      <c r="A137" s="521" t="s">
        <v>389</v>
      </c>
      <c r="B137" s="168">
        <f>IFERROR(HLOOKUP(B$124,Data_Formatting!$HU$43:$HY$66,17,FALSE)+HLOOKUP(B$124,Data_Formatting!$HU$43:$HY$66,23,FALSE),0)</f>
        <v>0</v>
      </c>
      <c r="C137" s="168">
        <f>IFERROR(HLOOKUP(C$124,Data_Formatting!$HU$43:$HY$66,17,FALSE)+HLOOKUP(C$124,Data_Formatting!$HU$43:$HY$66,23,FALSE),0)</f>
        <v>0</v>
      </c>
      <c r="D137" s="168">
        <f>IFERROR(HLOOKUP(D$124,Data_Formatting!$HU$43:$HY$66,17,FALSE)+HLOOKUP(D$124,Data_Formatting!$HU$43:$HY$66,23,FALSE),0)</f>
        <v>0</v>
      </c>
      <c r="E137" s="168">
        <f>IFERROR(HLOOKUP(E$124,Data_Formatting!$HU$43:$HY$66,17,FALSE)+HLOOKUP(E$124,Data_Formatting!$HU$43:$HY$66,23,FALSE),0)</f>
        <v>0</v>
      </c>
      <c r="F137" s="168">
        <f ca="1">IFERROR(HLOOKUP(F$124,Data_Formatting!$GH$43:$HQ$66,17,FALSE)+HLOOKUP(F$124,Data_Formatting!$GH$43:$HQ$66,23,FALSE),0)</f>
        <v>0</v>
      </c>
      <c r="G137" s="168">
        <f ca="1">IFERROR(HLOOKUP(G$124,Data_Formatting!$GH$43:$HQ$66,17,FALSE)+HLOOKUP(G$124,Data_Formatting!$GH$43:$HQ$66,23,FALSE),0)</f>
        <v>0</v>
      </c>
      <c r="H137" s="168">
        <f ca="1">IFERROR(HLOOKUP(H$124,Data_Formatting!$GH$43:$HQ$66,17,FALSE)+HLOOKUP(H$124,Data_Formatting!$GH$43:$HQ$66,23,FALSE),0)</f>
        <v>0</v>
      </c>
      <c r="I137" s="168">
        <f ca="1">IFERROR(HLOOKUP(I$124,Data_Formatting!$GH$43:$HQ$66,17,FALSE)+HLOOKUP(I$124,Data_Formatting!$GH$43:$HQ$66,23,FALSE),0)</f>
        <v>0</v>
      </c>
      <c r="J137" s="168">
        <f ca="1">IFERROR(HLOOKUP(J$124,Data_Formatting!$GH$43:$HQ$66,17,FALSE)+HLOOKUP(J$124,Data_Formatting!$GH$43:$HQ$66,23,FALSE),0)</f>
        <v>0</v>
      </c>
      <c r="K137" s="168">
        <f ca="1">IFERROR(HLOOKUP(K$124,Data_Formatting!$GH$43:$HQ$66,17,FALSE)+HLOOKUP(K$124,Data_Formatting!$GH$43:$HQ$66,23,FALSE),0)</f>
        <v>0</v>
      </c>
      <c r="L137" s="168">
        <f ca="1">IFERROR(HLOOKUP(L$124,Data_Formatting!$GH$43:$HQ$66,17,FALSE)+HLOOKUP(L$124,Data_Formatting!$GH$43:$HQ$66,23,FALSE),0)</f>
        <v>0</v>
      </c>
      <c r="M137" s="168">
        <f ca="1">IFERROR(HLOOKUP(M$124,Data_Formatting!$GH$43:$HQ$66,17,FALSE)+HLOOKUP(M$124,Data_Formatting!$GH$43:$HQ$66,23,FALSE),0)</f>
        <v>0</v>
      </c>
      <c r="N137" s="168">
        <f ca="1">IFERROR(HLOOKUP(N$124,Data_Formatting!$GH$43:$HQ$66,17,FALSE)+HLOOKUP(N$124,Data_Formatting!$GH$43:$HQ$66,23,FALSE),0)</f>
        <v>0</v>
      </c>
      <c r="O137" s="168">
        <f ca="1">IFERROR(HLOOKUP(O$124,Data_Formatting!$GH$43:$HQ$66,17,FALSE)+HLOOKUP(O$124,Data_Formatting!$GH$43:$HQ$66,23,FALSE),0)</f>
        <v>0</v>
      </c>
      <c r="P137" s="168">
        <f ca="1">IFERROR(HLOOKUP(P$124,Data_Formatting!$GH$43:$HQ$66,17,FALSE)+HLOOKUP(P$124,Data_Formatting!$GH$43:$HQ$66,23,FALSE),0)</f>
        <v>0</v>
      </c>
      <c r="Q137" s="168">
        <f ca="1">IFERROR(HLOOKUP(Q$124,Data_Formatting!$GH$43:$HQ$66,17,FALSE)+HLOOKUP(Q$124,Data_Formatting!$GH$43:$HQ$66,23,FALSE),0)</f>
        <v>0</v>
      </c>
      <c r="R137" s="168">
        <f ca="1">IFERROR(HLOOKUP(R$124,Data_Formatting!$HU$43:$HY$66,15,FALSE)+HLOOKUP(R$124,Data_Formatting!$HU$43:$HY$66,21,FALSE),0)</f>
        <v>0</v>
      </c>
      <c r="S137" s="168">
        <f ca="1">IFERROR(HLOOKUP(S$124,Data_Formatting!$GH$43:$HQ$66,17,FALSE)+HLOOKUP(S$124,Data_Formatting!$GH$43:$HQ$66,23,FALSE),0)</f>
        <v>0</v>
      </c>
      <c r="T137" s="168">
        <f ca="1">IFERROR(HLOOKUP(T$124,Data_Formatting!$GH$43:$HQ$66,17,FALSE)+HLOOKUP(T$124,Data_Formatting!$GH$43:$HQ$66,23,FALSE),0)</f>
        <v>0</v>
      </c>
      <c r="U137" s="168">
        <f ca="1">IFERROR(HLOOKUP(U$124,Data_Formatting!$GH$43:$HQ$66,17,FALSE)+HLOOKUP(U$124,Data_Formatting!$GH$43:$HQ$66,23,FALSE),0)</f>
        <v>0</v>
      </c>
      <c r="V137" s="168">
        <f ca="1">IFERROR(HLOOKUP(V$124,Data_Formatting!$GH$43:$HQ$66,17,FALSE)+HLOOKUP(V$124,Data_Formatting!$GH$43:$HQ$66,23,FALSE),0)</f>
        <v>0</v>
      </c>
      <c r="W137" s="168">
        <f ca="1">IFERROR(HLOOKUP(W$124,Data_Formatting!$GH$43:$HQ$66,17,FALSE)+HLOOKUP(W$124,Data_Formatting!$GH$43:$HQ$66,23,FALSE),0)</f>
        <v>0</v>
      </c>
      <c r="X137" s="168">
        <f ca="1">IFERROR(HLOOKUP(X$124,Data_Formatting!$GH$43:$HQ$66,17,FALSE)+HLOOKUP(X$124,Data_Formatting!$GH$43:$HQ$66,23,FALSE),0)</f>
        <v>0</v>
      </c>
      <c r="Y137" s="168">
        <f ca="1">IFERROR(HLOOKUP(Y$124,Data_Formatting!$GH$43:$HQ$66,17,FALSE)+HLOOKUP(Y$124,Data_Formatting!$GH$43:$HQ$66,23,FALSE),0)</f>
        <v>0</v>
      </c>
      <c r="Z137" s="168">
        <f ca="1">IFERROR(HLOOKUP(Z$124,Data_Formatting!$GH$43:$HQ$66,17,FALSE)+HLOOKUP(Z$124,Data_Formatting!$GH$43:$HQ$66,23,FALSE),0)</f>
        <v>0</v>
      </c>
      <c r="AA137" s="168">
        <f ca="1">IFERROR(HLOOKUP(AA$124,Data_Formatting!$GH$43:$HQ$66,17,FALSE)+HLOOKUP(AA$124,Data_Formatting!$GH$43:$HQ$66,23,FALSE),0)</f>
        <v>0</v>
      </c>
      <c r="AB137" s="168">
        <f ca="1">IFERROR(HLOOKUP(AB$124,Data_Formatting!$GH$43:$HQ$66,17,FALSE)+HLOOKUP(AB$124,Data_Formatting!$GH$43:$HQ$66,23,FALSE),0)</f>
        <v>0</v>
      </c>
      <c r="AC137" s="168">
        <f ca="1">IFERROR(HLOOKUP(AC$124,Data_Formatting!$GH$43:$HQ$66,17,FALSE)+HLOOKUP(AC$124,Data_Formatting!$GH$43:$HQ$66,23,FALSE),0)</f>
        <v>0</v>
      </c>
      <c r="AD137" s="168">
        <f ca="1">IFERROR(HLOOKUP(AD$124,Data_Formatting!$GH$43:$HQ$66,17,FALSE)+HLOOKUP(AD$124,Data_Formatting!$GH$43:$HQ$66,23,FALSE),0)</f>
        <v>0</v>
      </c>
      <c r="AE137" s="267" t="e">
        <f ca="1">HLOOKUP(1,S$6:AD137,ROW(AE137)-5,FALSE)</f>
        <v>#N/A</v>
      </c>
      <c r="AF137" s="167"/>
      <c r="AG137" s="171"/>
      <c r="AM137" s="171"/>
      <c r="AN137" s="171"/>
      <c r="AO137" s="171"/>
      <c r="AP137" s="171"/>
      <c r="AQ137" s="171"/>
      <c r="AR137" s="171"/>
      <c r="AS137" s="171"/>
      <c r="AT137" s="171"/>
      <c r="AU137" s="171"/>
      <c r="AV137" s="171"/>
      <c r="AW137" s="171"/>
      <c r="AX137" s="171"/>
      <c r="AY137" s="171"/>
      <c r="AZ137" s="314"/>
    </row>
    <row r="138" spans="1:52" ht="12.75" customHeight="1">
      <c r="A138" s="521" t="s">
        <v>391</v>
      </c>
      <c r="B138" s="168">
        <f>IFERROR(HLOOKUP(B$124,Data_Formatting!$HU$43:$HY$66,18,FALSE)+HLOOKUP(B$124,Data_Formatting!$HU$43:$HY$66,24,FALSE),0)</f>
        <v>0</v>
      </c>
      <c r="C138" s="168">
        <f>IFERROR(HLOOKUP(C$124,Data_Formatting!$HU$43:$HY$66,18,FALSE)+HLOOKUP(C$124,Data_Formatting!$HU$43:$HY$66,24,FALSE),0)</f>
        <v>0</v>
      </c>
      <c r="D138" s="168">
        <f>IFERROR(HLOOKUP(D$124,Data_Formatting!$HU$43:$HY$66,18,FALSE)+HLOOKUP(D$124,Data_Formatting!$HU$43:$HY$66,24,FALSE),0)</f>
        <v>0</v>
      </c>
      <c r="E138" s="168">
        <f>IFERROR(HLOOKUP(E$124,Data_Formatting!$HU$43:$HY$66,18,FALSE)+HLOOKUP(E$124,Data_Formatting!$HU$43:$HY$66,24,FALSE),0)</f>
        <v>0</v>
      </c>
      <c r="F138" s="168">
        <f ca="1">IFERROR(HLOOKUP(F$124,Data_Formatting!$GH$43:$HQ$66,18,FALSE)+HLOOKUP(F$124,Data_Formatting!$GH$43:$HQ$66,24,FALSE),0)</f>
        <v>0</v>
      </c>
      <c r="G138" s="168">
        <f ca="1">IFERROR(HLOOKUP(G$124,Data_Formatting!$GH$43:$HQ$66,18,FALSE)+HLOOKUP(G$124,Data_Formatting!$GH$43:$HQ$66,24,FALSE),0)</f>
        <v>0</v>
      </c>
      <c r="H138" s="168">
        <f ca="1">IFERROR(HLOOKUP(H$124,Data_Formatting!$GH$43:$HQ$66,18,FALSE)+HLOOKUP(H$124,Data_Formatting!$GH$43:$HQ$66,24,FALSE),0)</f>
        <v>0</v>
      </c>
      <c r="I138" s="168">
        <f ca="1">IFERROR(HLOOKUP(I$124,Data_Formatting!$GH$43:$HQ$66,18,FALSE)+HLOOKUP(I$124,Data_Formatting!$GH$43:$HQ$66,24,FALSE),0)</f>
        <v>0</v>
      </c>
      <c r="J138" s="168">
        <f ca="1">IFERROR(HLOOKUP(J$124,Data_Formatting!$GH$43:$HQ$66,18,FALSE)+HLOOKUP(J$124,Data_Formatting!$GH$43:$HQ$66,24,FALSE),0)</f>
        <v>0</v>
      </c>
      <c r="K138" s="168">
        <f ca="1">IFERROR(HLOOKUP(K$124,Data_Formatting!$GH$43:$HQ$66,18,FALSE)+HLOOKUP(K$124,Data_Formatting!$GH$43:$HQ$66,24,FALSE),0)</f>
        <v>0</v>
      </c>
      <c r="L138" s="168">
        <f ca="1">IFERROR(HLOOKUP(L$124,Data_Formatting!$GH$43:$HQ$66,18,FALSE)+HLOOKUP(L$124,Data_Formatting!$GH$43:$HQ$66,24,FALSE),0)</f>
        <v>0</v>
      </c>
      <c r="M138" s="168">
        <f ca="1">IFERROR(HLOOKUP(M$124,Data_Formatting!$GH$43:$HQ$66,18,FALSE)+HLOOKUP(M$124,Data_Formatting!$GH$43:$HQ$66,24,FALSE),0)</f>
        <v>0</v>
      </c>
      <c r="N138" s="168">
        <f ca="1">IFERROR(HLOOKUP(N$124,Data_Formatting!$GH$43:$HQ$66,18,FALSE)+HLOOKUP(N$124,Data_Formatting!$GH$43:$HQ$66,24,FALSE),0)</f>
        <v>0</v>
      </c>
      <c r="O138" s="168">
        <f ca="1">IFERROR(HLOOKUP(O$124,Data_Formatting!$GH$43:$HQ$66,18,FALSE)+HLOOKUP(O$124,Data_Formatting!$GH$43:$HQ$66,24,FALSE),0)</f>
        <v>0</v>
      </c>
      <c r="P138" s="168">
        <f ca="1">IFERROR(HLOOKUP(P$124,Data_Formatting!$GH$43:$HQ$66,18,FALSE)+HLOOKUP(P$124,Data_Formatting!$GH$43:$HQ$66,24,FALSE),0)</f>
        <v>0</v>
      </c>
      <c r="Q138" s="168">
        <f ca="1">IFERROR(HLOOKUP(Q$124,Data_Formatting!$GH$43:$HQ$66,18,FALSE)+HLOOKUP(Q$124,Data_Formatting!$GH$43:$HQ$66,24,FALSE),0)</f>
        <v>0</v>
      </c>
      <c r="R138" s="168">
        <f ca="1">IFERROR(HLOOKUP(R$124,Data_Formatting!$HU$43:$HY$66,15,FALSE)+HLOOKUP(R$124,Data_Formatting!$HU$43:$HY$66,21,FALSE),0)</f>
        <v>0</v>
      </c>
      <c r="S138" s="168">
        <f ca="1">IFERROR(HLOOKUP(S$124,Data_Formatting!$GH$43:$HQ$66,18,FALSE)+HLOOKUP(S$124,Data_Formatting!$GH$43:$HQ$66,24,FALSE),0)</f>
        <v>0</v>
      </c>
      <c r="T138" s="168">
        <f ca="1">IFERROR(HLOOKUP(T$124,Data_Formatting!$GH$43:$HQ$66,18,FALSE)+HLOOKUP(T$124,Data_Formatting!$GH$43:$HQ$66,24,FALSE),0)</f>
        <v>0</v>
      </c>
      <c r="U138" s="168">
        <f ca="1">IFERROR(HLOOKUP(U$124,Data_Formatting!$GH$43:$HQ$66,18,FALSE)+HLOOKUP(U$124,Data_Formatting!$GH$43:$HQ$66,24,FALSE),0)</f>
        <v>0</v>
      </c>
      <c r="V138" s="168">
        <f ca="1">IFERROR(HLOOKUP(V$124,Data_Formatting!$GH$43:$HQ$66,18,FALSE)+HLOOKUP(V$124,Data_Formatting!$GH$43:$HQ$66,24,FALSE),0)</f>
        <v>0</v>
      </c>
      <c r="W138" s="168">
        <f ca="1">IFERROR(HLOOKUP(W$124,Data_Formatting!$GH$43:$HQ$66,18,FALSE)+HLOOKUP(W$124,Data_Formatting!$GH$43:$HQ$66,24,FALSE),0)</f>
        <v>0</v>
      </c>
      <c r="X138" s="168">
        <f ca="1">IFERROR(HLOOKUP(X$124,Data_Formatting!$GH$43:$HQ$66,18,FALSE)+HLOOKUP(X$124,Data_Formatting!$GH$43:$HQ$66,24,FALSE),0)</f>
        <v>0</v>
      </c>
      <c r="Y138" s="168">
        <f ca="1">IFERROR(HLOOKUP(Y$124,Data_Formatting!$GH$43:$HQ$66,18,FALSE)+HLOOKUP(Y$124,Data_Formatting!$GH$43:$HQ$66,24,FALSE),0)</f>
        <v>0</v>
      </c>
      <c r="Z138" s="168">
        <f ca="1">IFERROR(HLOOKUP(Z$124,Data_Formatting!$GH$43:$HQ$66,18,FALSE)+HLOOKUP(Z$124,Data_Formatting!$GH$43:$HQ$66,24,FALSE),0)</f>
        <v>0</v>
      </c>
      <c r="AA138" s="168">
        <f ca="1">IFERROR(HLOOKUP(AA$124,Data_Formatting!$GH$43:$HQ$66,18,FALSE)+HLOOKUP(AA$124,Data_Formatting!$GH$43:$HQ$66,24,FALSE),0)</f>
        <v>0</v>
      </c>
      <c r="AB138" s="168">
        <f ca="1">IFERROR(HLOOKUP(AB$124,Data_Formatting!$GH$43:$HQ$66,18,FALSE)+HLOOKUP(AB$124,Data_Formatting!$GH$43:$HQ$66,24,FALSE),0)</f>
        <v>0</v>
      </c>
      <c r="AC138" s="168">
        <f ca="1">IFERROR(HLOOKUP(AC$124,Data_Formatting!$GH$43:$HQ$66,18,FALSE)+HLOOKUP(AC$124,Data_Formatting!$GH$43:$HQ$66,24,FALSE),0)</f>
        <v>0</v>
      </c>
      <c r="AD138" s="168">
        <f ca="1">IFERROR(HLOOKUP(AD$124,Data_Formatting!$GH$43:$HQ$66,18,FALSE)+HLOOKUP(AD$124,Data_Formatting!$GH$43:$HQ$66,24,FALSE),0)</f>
        <v>0</v>
      </c>
      <c r="AE138" s="267" t="e">
        <f ca="1">HLOOKUP(1,S$6:AD138,ROW(AE138)-5,FALSE)</f>
        <v>#N/A</v>
      </c>
      <c r="AF138" s="167"/>
      <c r="AG138" s="171"/>
      <c r="AM138" s="171"/>
      <c r="AN138" s="171"/>
      <c r="AO138" s="171"/>
      <c r="AP138" s="171"/>
      <c r="AQ138" s="171"/>
      <c r="AR138" s="171"/>
      <c r="AS138" s="171"/>
      <c r="AT138" s="171"/>
      <c r="AU138" s="171"/>
      <c r="AV138" s="171"/>
      <c r="AW138" s="171"/>
      <c r="AX138" s="171"/>
      <c r="AY138" s="171"/>
      <c r="AZ138" s="314"/>
    </row>
    <row r="139" spans="1:52" ht="12.75" customHeight="1">
      <c r="AF139" s="167"/>
    </row>
    <row r="140" spans="1:52" s="151" customFormat="1" ht="12.75" customHeight="1">
      <c r="A140" s="887"/>
      <c r="B140" s="887"/>
      <c r="C140" s="887"/>
      <c r="D140" s="888"/>
      <c r="E140" s="887"/>
    </row>
    <row r="141" spans="1:52" ht="12.75" customHeight="1">
      <c r="C141" s="241"/>
      <c r="D141" s="885"/>
      <c r="E141" s="885"/>
      <c r="G141" s="885"/>
      <c r="R141" s="885"/>
    </row>
    <row r="142" spans="1:52" ht="12.75" customHeight="1">
      <c r="C142" s="241"/>
      <c r="D142" s="885"/>
      <c r="E142" s="885"/>
      <c r="G142" s="885"/>
      <c r="R142" s="885"/>
    </row>
    <row r="143" spans="1:52" ht="12.75" customHeight="1">
      <c r="C143" s="241"/>
      <c r="D143" s="885"/>
      <c r="E143" s="885"/>
      <c r="G143" s="885"/>
      <c r="R143" s="885"/>
    </row>
    <row r="144" spans="1:52" ht="12.75" customHeight="1">
      <c r="C144" s="241"/>
      <c r="D144" s="885"/>
      <c r="E144" s="885"/>
      <c r="G144" s="885"/>
      <c r="R144" s="885"/>
    </row>
    <row r="145" spans="3:18" ht="12.75" customHeight="1">
      <c r="C145" s="241"/>
      <c r="D145" s="885"/>
      <c r="E145" s="885"/>
      <c r="G145" s="885"/>
      <c r="R145" s="885"/>
    </row>
    <row r="146" spans="3:18" ht="12.75" customHeight="1">
      <c r="C146" s="241"/>
      <c r="D146" s="885"/>
      <c r="E146" s="885"/>
      <c r="G146" s="885"/>
      <c r="R146" s="885"/>
    </row>
    <row r="147" spans="3:18" ht="12.75" customHeight="1">
      <c r="C147" s="241"/>
      <c r="D147" s="885"/>
      <c r="E147" s="885"/>
      <c r="G147" s="885"/>
      <c r="R147" s="885"/>
    </row>
    <row r="148" spans="3:18" ht="12.75" customHeight="1">
      <c r="C148" s="241"/>
      <c r="D148" s="885"/>
      <c r="E148" s="885"/>
      <c r="G148" s="885"/>
      <c r="R148" s="885"/>
    </row>
    <row r="149" spans="3:18" ht="12.75" customHeight="1">
      <c r="C149" s="241"/>
      <c r="D149" s="885"/>
      <c r="E149" s="885"/>
      <c r="G149" s="885"/>
      <c r="R149" s="885"/>
    </row>
    <row r="150" spans="3:18" ht="12.75" customHeight="1">
      <c r="C150" s="241"/>
      <c r="D150" s="885"/>
      <c r="E150" s="885"/>
      <c r="G150" s="885"/>
      <c r="R150" s="885"/>
    </row>
    <row r="151" spans="3:18" ht="12.75" customHeight="1">
      <c r="C151" s="241"/>
      <c r="D151" s="885"/>
      <c r="E151" s="885"/>
      <c r="G151" s="885"/>
      <c r="R151" s="885"/>
    </row>
    <row r="152" spans="3:18" ht="12.75" customHeight="1">
      <c r="C152" s="241"/>
      <c r="D152" s="885"/>
      <c r="E152" s="885"/>
      <c r="G152" s="885"/>
      <c r="R152" s="885"/>
    </row>
    <row r="153" spans="3:18" ht="12.75" customHeight="1">
      <c r="C153" s="241"/>
      <c r="D153" s="885"/>
      <c r="E153" s="885"/>
      <c r="G153" s="885"/>
      <c r="R153" s="885"/>
    </row>
    <row r="154" spans="3:18" ht="12.75" customHeight="1">
      <c r="C154" s="241"/>
      <c r="D154" s="885"/>
      <c r="E154" s="885"/>
      <c r="G154" s="885"/>
      <c r="R154" s="885"/>
    </row>
  </sheetData>
  <dataConsolidate/>
  <mergeCells count="9">
    <mergeCell ref="F113:Q113"/>
    <mergeCell ref="S113:AD113"/>
    <mergeCell ref="F82:Q82"/>
    <mergeCell ref="S82:AD82"/>
    <mergeCell ref="F13:Q13"/>
    <mergeCell ref="F47:Q47"/>
    <mergeCell ref="S13:AD13"/>
    <mergeCell ref="S47:AD47"/>
    <mergeCell ref="S101:AD101"/>
  </mergeCells>
  <phoneticPr fontId="46" type="noConversion"/>
  <conditionalFormatting sqref="AH44:AL44 B44:AE44 B97:AF97 AH97:AL97">
    <cfRule type="cellIs" dxfId="24" priority="11" stopIfTrue="1" operator="greaterThan">
      <formula>0</formula>
    </cfRule>
    <cfRule type="cellIs" dxfId="23" priority="12" stopIfTrue="1" operator="equal">
      <formula>0</formula>
    </cfRule>
  </conditionalFormatting>
  <dataValidations count="4">
    <dataValidation type="list" allowBlank="1" showInputMessage="1" showErrorMessage="1" sqref="AM15:AS15 B49:AF49 B15:AE15">
      <formula1>Audited</formula1>
    </dataValidation>
    <dataValidation showDropDown="1" showInputMessage="1" showErrorMessage="1" sqref="B8:E8"/>
    <dataValidation type="list" allowBlank="1" showInputMessage="1" showErrorMessage="1" promptTitle="Exchange Rate [USD / EURO]" sqref="A8">
      <formula1>FX</formula1>
    </dataValidation>
    <dataValidation type="list" allowBlank="1" showInputMessage="1" showErrorMessage="1" sqref="C1">
      <formula1>$D$1:$D$2</formula1>
    </dataValidation>
  </dataValidations>
  <pageMargins left="0.75" right="0.75" top="1" bottom="1" header="0.5" footer="0.5"/>
  <pageSetup scale="50" orientation="landscape"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sheetPr codeName="Sheet5" enableFormatConditionsCalculation="0">
    <tabColor theme="3" tint="0.59999389629810485"/>
    <pageSetUpPr fitToPage="1"/>
  </sheetPr>
  <dimension ref="A1:AZ175"/>
  <sheetViews>
    <sheetView showGridLines="0" zoomScale="85" zoomScaleNormal="85" zoomScaleSheetLayoutView="40" workbookViewId="0">
      <pane xSplit="1" topLeftCell="B1" activePane="topRight" state="frozen"/>
      <selection pane="topRight" activeCell="C40" sqref="C40"/>
    </sheetView>
  </sheetViews>
  <sheetFormatPr defaultRowHeight="12.75" outlineLevelRow="1"/>
  <cols>
    <col min="1" max="1" width="38.28515625" style="126" customWidth="1"/>
    <col min="2" max="7" width="21.5703125" style="126" customWidth="1"/>
    <col min="8" max="8" width="23.42578125" style="126" customWidth="1"/>
    <col min="9" max="9" width="24.42578125" style="126" customWidth="1"/>
    <col min="10" max="11" width="21.5703125" style="126" customWidth="1"/>
    <col min="12" max="13" width="24.28515625" style="126" customWidth="1"/>
    <col min="14" max="15" width="21.5703125" style="126" customWidth="1"/>
    <col min="16" max="17" width="24.85546875" style="126" customWidth="1"/>
    <col min="18" max="21" width="21.5703125" style="126" customWidth="1"/>
    <col min="22" max="22" width="25.7109375" style="126" customWidth="1"/>
    <col min="23" max="24" width="20" style="126" customWidth="1"/>
    <col min="25" max="16384" width="9.140625" style="126"/>
  </cols>
  <sheetData>
    <row r="1" spans="1:52" ht="21">
      <c r="A1" s="498">
        <f>'Gen Info'!B2</f>
        <v>0</v>
      </c>
      <c r="B1" s="125"/>
      <c r="C1" s="125"/>
      <c r="D1" s="125"/>
      <c r="E1" s="125"/>
      <c r="F1" s="125"/>
      <c r="G1" s="125"/>
      <c r="H1" s="125"/>
      <c r="I1" s="125"/>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row>
    <row r="2" spans="1:52" s="169" customFormat="1" ht="4.5" customHeight="1" thickBot="1">
      <c r="A2" s="482"/>
      <c r="B2" s="482"/>
      <c r="C2" s="482"/>
      <c r="D2" s="482"/>
      <c r="E2" s="482"/>
      <c r="F2" s="482"/>
      <c r="G2" s="482"/>
      <c r="H2" s="482"/>
      <c r="I2" s="482"/>
      <c r="J2" s="482"/>
      <c r="K2" s="482"/>
      <c r="L2" s="482"/>
      <c r="M2" s="482"/>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9"/>
      <c r="AX2" s="159"/>
      <c r="AY2" s="159"/>
      <c r="AZ2" s="159"/>
    </row>
    <row r="3" spans="1:52" ht="12.75" customHeight="1">
      <c r="A3" s="173"/>
      <c r="B3" s="173"/>
      <c r="C3" s="173"/>
      <c r="D3" s="173"/>
      <c r="E3" s="173"/>
      <c r="F3" s="173"/>
      <c r="G3" s="173"/>
      <c r="N3" s="151"/>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row>
    <row r="4" spans="1:52" ht="21">
      <c r="A4" s="499" t="s">
        <v>629</v>
      </c>
      <c r="B4" s="174"/>
      <c r="C4" s="174"/>
      <c r="D4" s="174"/>
      <c r="E4" s="174"/>
      <c r="F4" s="174"/>
      <c r="G4" s="174"/>
    </row>
    <row r="5" spans="1:52" ht="12.75" customHeight="1">
      <c r="A5" s="173"/>
      <c r="B5" s="173"/>
      <c r="C5" s="173"/>
      <c r="D5" s="173"/>
      <c r="E5" s="173"/>
      <c r="F5" s="173"/>
      <c r="G5" s="173"/>
    </row>
    <row r="6" spans="1:52" ht="12.75" customHeight="1">
      <c r="A6" s="173"/>
      <c r="B6" s="173"/>
      <c r="C6" s="173"/>
      <c r="D6" s="173"/>
      <c r="E6" s="173"/>
      <c r="F6" s="173"/>
      <c r="G6" s="173"/>
    </row>
    <row r="7" spans="1:52" ht="18.75">
      <c r="A7" s="442" t="s">
        <v>628</v>
      </c>
      <c r="B7" s="174"/>
      <c r="C7" s="174"/>
      <c r="D7" s="174"/>
      <c r="E7" s="174"/>
      <c r="F7" s="174"/>
      <c r="G7" s="174"/>
    </row>
    <row r="8" spans="1:52" ht="15.75">
      <c r="A8" s="483"/>
      <c r="B8" s="744">
        <f>'Hist &amp; Proj'!$E$7</f>
        <v>693597</v>
      </c>
      <c r="C8" s="744"/>
      <c r="D8" s="744">
        <f ca="1">'Hist &amp; Proj'!$R$7</f>
        <v>693962</v>
      </c>
      <c r="E8" s="744"/>
      <c r="F8" s="745" t="e">
        <f ca="1">'Hist &amp; Proj'!$AE$7</f>
        <v>#N/A</v>
      </c>
      <c r="G8" s="744"/>
      <c r="H8" s="744">
        <f>'Hist &amp; Proj'!$E$7</f>
        <v>693597</v>
      </c>
      <c r="I8" s="744"/>
      <c r="J8" s="744">
        <f ca="1">'Hist &amp; Proj'!$R$7</f>
        <v>693962</v>
      </c>
      <c r="K8" s="744"/>
      <c r="L8" s="745" t="e">
        <f ca="1">'Hist &amp; Proj'!$AE$7</f>
        <v>#N/A</v>
      </c>
      <c r="M8" s="744"/>
    </row>
    <row r="9" spans="1:52" ht="15.75" customHeight="1">
      <c r="A9" s="484"/>
      <c r="B9" s="485" t="s">
        <v>25</v>
      </c>
      <c r="C9" s="486" t="s">
        <v>85</v>
      </c>
      <c r="D9" s="485" t="s">
        <v>25</v>
      </c>
      <c r="E9" s="486" t="s">
        <v>85</v>
      </c>
      <c r="F9" s="485" t="s">
        <v>25</v>
      </c>
      <c r="G9" s="486" t="s">
        <v>85</v>
      </c>
      <c r="H9" s="486" t="s">
        <v>649</v>
      </c>
      <c r="I9" s="486" t="s">
        <v>648</v>
      </c>
      <c r="J9" s="486" t="s">
        <v>649</v>
      </c>
      <c r="K9" s="486" t="s">
        <v>648</v>
      </c>
      <c r="L9" s="486" t="s">
        <v>649</v>
      </c>
      <c r="M9" s="486" t="s">
        <v>648</v>
      </c>
    </row>
    <row r="10" spans="1:52" ht="16.5" customHeight="1">
      <c r="A10" s="487"/>
      <c r="B10" s="485"/>
      <c r="C10" s="509">
        <f>'Gen Info'!$B$50</f>
        <v>0</v>
      </c>
      <c r="D10" s="486"/>
      <c r="E10" s="509">
        <f>'Gen Info'!$B$50</f>
        <v>0</v>
      </c>
      <c r="F10" s="486"/>
      <c r="G10" s="509">
        <f>'Gen Info'!$B$50</f>
        <v>0</v>
      </c>
      <c r="H10" s="486"/>
      <c r="I10" s="486"/>
      <c r="J10" s="486"/>
      <c r="K10" s="486"/>
      <c r="L10" s="486"/>
      <c r="M10" s="486"/>
    </row>
    <row r="11" spans="1:52">
      <c r="A11" s="746" t="s">
        <v>26</v>
      </c>
      <c r="B11" s="747"/>
      <c r="C11" s="747"/>
      <c r="D11" s="747"/>
      <c r="E11" s="747"/>
      <c r="F11" s="747"/>
      <c r="G11" s="747"/>
      <c r="H11" s="747"/>
      <c r="I11" s="747"/>
      <c r="J11" s="747"/>
      <c r="K11" s="747"/>
      <c r="L11" s="747"/>
      <c r="M11" s="747"/>
    </row>
    <row r="12" spans="1:52">
      <c r="A12" s="488" t="s">
        <v>27</v>
      </c>
      <c r="B12" s="515"/>
      <c r="C12" s="515"/>
      <c r="D12" s="515"/>
      <c r="E12" s="515"/>
      <c r="F12" s="515"/>
      <c r="G12" s="515"/>
      <c r="H12" s="512">
        <f t="shared" ref="H12:M14" si="0">IF(B12=0,0,B12/B$15)</f>
        <v>0</v>
      </c>
      <c r="I12" s="512">
        <f t="shared" si="0"/>
        <v>0</v>
      </c>
      <c r="J12" s="512">
        <f t="shared" si="0"/>
        <v>0</v>
      </c>
      <c r="K12" s="512">
        <f t="shared" si="0"/>
        <v>0</v>
      </c>
      <c r="L12" s="512">
        <f t="shared" si="0"/>
        <v>0</v>
      </c>
      <c r="M12" s="512">
        <f t="shared" si="0"/>
        <v>0</v>
      </c>
    </row>
    <row r="13" spans="1:52">
      <c r="A13" s="488" t="s">
        <v>28</v>
      </c>
      <c r="B13" s="515"/>
      <c r="C13" s="515"/>
      <c r="D13" s="515"/>
      <c r="E13" s="515"/>
      <c r="F13" s="515"/>
      <c r="G13" s="515"/>
      <c r="H13" s="512">
        <f t="shared" si="0"/>
        <v>0</v>
      </c>
      <c r="I13" s="512">
        <f t="shared" si="0"/>
        <v>0</v>
      </c>
      <c r="J13" s="512">
        <f t="shared" si="0"/>
        <v>0</v>
      </c>
      <c r="K13" s="512">
        <f t="shared" si="0"/>
        <v>0</v>
      </c>
      <c r="L13" s="512">
        <f t="shared" si="0"/>
        <v>0</v>
      </c>
      <c r="M13" s="512">
        <f t="shared" si="0"/>
        <v>0</v>
      </c>
    </row>
    <row r="14" spans="1:52">
      <c r="A14" s="488" t="s">
        <v>919</v>
      </c>
      <c r="B14" s="515"/>
      <c r="C14" s="515"/>
      <c r="D14" s="515"/>
      <c r="E14" s="515"/>
      <c r="F14" s="515"/>
      <c r="G14" s="515"/>
      <c r="H14" s="512">
        <f t="shared" si="0"/>
        <v>0</v>
      </c>
      <c r="I14" s="512">
        <f t="shared" si="0"/>
        <v>0</v>
      </c>
      <c r="J14" s="512">
        <f t="shared" si="0"/>
        <v>0</v>
      </c>
      <c r="K14" s="512">
        <f>IF(E14=0,0,E14/E$15)</f>
        <v>0</v>
      </c>
      <c r="L14" s="512">
        <f>IF(F14=0,0,F14/F$15)</f>
        <v>0</v>
      </c>
      <c r="M14" s="512">
        <f>IF(G14=0,0,G14/G$15)</f>
        <v>0</v>
      </c>
    </row>
    <row r="15" spans="1:52">
      <c r="A15" s="489" t="s">
        <v>29</v>
      </c>
      <c r="B15" s="516">
        <f t="shared" ref="B15:M15" si="1">SUM(B12:B14)</f>
        <v>0</v>
      </c>
      <c r="C15" s="516">
        <f t="shared" si="1"/>
        <v>0</v>
      </c>
      <c r="D15" s="516">
        <f t="shared" si="1"/>
        <v>0</v>
      </c>
      <c r="E15" s="516">
        <f t="shared" si="1"/>
        <v>0</v>
      </c>
      <c r="F15" s="516">
        <f t="shared" si="1"/>
        <v>0</v>
      </c>
      <c r="G15" s="516">
        <f t="shared" si="1"/>
        <v>0</v>
      </c>
      <c r="H15" s="513">
        <f t="shared" si="1"/>
        <v>0</v>
      </c>
      <c r="I15" s="513">
        <f t="shared" si="1"/>
        <v>0</v>
      </c>
      <c r="J15" s="513">
        <f t="shared" si="1"/>
        <v>0</v>
      </c>
      <c r="K15" s="513">
        <f t="shared" si="1"/>
        <v>0</v>
      </c>
      <c r="L15" s="513">
        <f t="shared" si="1"/>
        <v>0</v>
      </c>
      <c r="M15" s="513">
        <f t="shared" si="1"/>
        <v>0</v>
      </c>
    </row>
    <row r="16" spans="1:52">
      <c r="A16" s="748" t="s">
        <v>30</v>
      </c>
      <c r="B16" s="749"/>
      <c r="C16" s="749"/>
      <c r="D16" s="749"/>
      <c r="E16" s="749"/>
      <c r="F16" s="749"/>
      <c r="G16" s="749"/>
      <c r="H16" s="750"/>
      <c r="I16" s="750"/>
      <c r="J16" s="750"/>
      <c r="K16" s="750"/>
      <c r="L16" s="750"/>
      <c r="M16" s="750"/>
    </row>
    <row r="17" spans="1:13">
      <c r="A17" s="488" t="s">
        <v>31</v>
      </c>
      <c r="B17" s="515"/>
      <c r="C17" s="515"/>
      <c r="D17" s="515"/>
      <c r="E17" s="515"/>
      <c r="F17" s="515"/>
      <c r="G17" s="515"/>
      <c r="H17" s="512">
        <f t="shared" ref="H17:M19" si="2">IF(B17=0,0,B17/B$20)</f>
        <v>0</v>
      </c>
      <c r="I17" s="512">
        <f t="shared" si="2"/>
        <v>0</v>
      </c>
      <c r="J17" s="512">
        <f t="shared" si="2"/>
        <v>0</v>
      </c>
      <c r="K17" s="512">
        <f t="shared" si="2"/>
        <v>0</v>
      </c>
      <c r="L17" s="512">
        <f t="shared" si="2"/>
        <v>0</v>
      </c>
      <c r="M17" s="512">
        <f t="shared" si="2"/>
        <v>0</v>
      </c>
    </row>
    <row r="18" spans="1:13">
      <c r="A18" s="488" t="s">
        <v>920</v>
      </c>
      <c r="B18" s="515"/>
      <c r="C18" s="515"/>
      <c r="D18" s="515"/>
      <c r="E18" s="515"/>
      <c r="F18" s="515"/>
      <c r="G18" s="515"/>
      <c r="H18" s="512">
        <f t="shared" si="2"/>
        <v>0</v>
      </c>
      <c r="I18" s="512">
        <f>IF(C18=0,0,C18/C$20)</f>
        <v>0</v>
      </c>
      <c r="J18" s="512">
        <f>IF(D18=0,0,D18/D$20)</f>
        <v>0</v>
      </c>
      <c r="K18" s="512">
        <f>IF(E18=0,0,E18/E$20)</f>
        <v>0</v>
      </c>
      <c r="L18" s="512">
        <f>IF(F18=0,0,F18/F$20)</f>
        <v>0</v>
      </c>
      <c r="M18" s="512">
        <f>IF(G18=0,0,G18/G$20)</f>
        <v>0</v>
      </c>
    </row>
    <row r="19" spans="1:13">
      <c r="A19" s="488" t="s">
        <v>32</v>
      </c>
      <c r="B19" s="515"/>
      <c r="C19" s="515"/>
      <c r="D19" s="515"/>
      <c r="E19" s="515"/>
      <c r="F19" s="515"/>
      <c r="G19" s="515"/>
      <c r="H19" s="512">
        <f t="shared" si="2"/>
        <v>0</v>
      </c>
      <c r="I19" s="512">
        <f t="shared" si="2"/>
        <v>0</v>
      </c>
      <c r="J19" s="512">
        <f t="shared" si="2"/>
        <v>0</v>
      </c>
      <c r="K19" s="512">
        <f t="shared" si="2"/>
        <v>0</v>
      </c>
      <c r="L19" s="512">
        <f t="shared" si="2"/>
        <v>0</v>
      </c>
      <c r="M19" s="512">
        <f t="shared" si="2"/>
        <v>0</v>
      </c>
    </row>
    <row r="20" spans="1:13">
      <c r="A20" s="489" t="s">
        <v>33</v>
      </c>
      <c r="B20" s="517">
        <f t="shared" ref="B20:M20" si="3">SUM(B17:B19)</f>
        <v>0</v>
      </c>
      <c r="C20" s="517">
        <f t="shared" si="3"/>
        <v>0</v>
      </c>
      <c r="D20" s="517">
        <f t="shared" si="3"/>
        <v>0</v>
      </c>
      <c r="E20" s="517">
        <f t="shared" si="3"/>
        <v>0</v>
      </c>
      <c r="F20" s="517">
        <f t="shared" si="3"/>
        <v>0</v>
      </c>
      <c r="G20" s="517">
        <f t="shared" si="3"/>
        <v>0</v>
      </c>
      <c r="H20" s="513">
        <f t="shared" si="3"/>
        <v>0</v>
      </c>
      <c r="I20" s="513">
        <f t="shared" si="3"/>
        <v>0</v>
      </c>
      <c r="J20" s="513">
        <f t="shared" si="3"/>
        <v>0</v>
      </c>
      <c r="K20" s="513">
        <f t="shared" si="3"/>
        <v>0</v>
      </c>
      <c r="L20" s="513">
        <f t="shared" si="3"/>
        <v>0</v>
      </c>
      <c r="M20" s="513">
        <f t="shared" si="3"/>
        <v>0</v>
      </c>
    </row>
    <row r="21" spans="1:13" outlineLevel="1">
      <c r="A21" s="748" t="s">
        <v>34</v>
      </c>
      <c r="B21" s="749"/>
      <c r="C21" s="749"/>
      <c r="D21" s="749"/>
      <c r="E21" s="749"/>
      <c r="F21" s="749"/>
      <c r="G21" s="749"/>
      <c r="H21" s="750"/>
      <c r="I21" s="750"/>
      <c r="J21" s="750"/>
      <c r="K21" s="750"/>
      <c r="L21" s="750"/>
      <c r="M21" s="750"/>
    </row>
    <row r="22" spans="1:13" outlineLevel="1">
      <c r="A22" s="733" t="s">
        <v>35</v>
      </c>
      <c r="B22" s="515"/>
      <c r="C22" s="515"/>
      <c r="D22" s="515"/>
      <c r="E22" s="515"/>
      <c r="F22" s="515"/>
      <c r="G22" s="515"/>
      <c r="H22" s="512">
        <f t="shared" ref="H22:M26" si="4">IF(B22=0,0,B22/B$27)</f>
        <v>0</v>
      </c>
      <c r="I22" s="512">
        <f t="shared" si="4"/>
        <v>0</v>
      </c>
      <c r="J22" s="512">
        <f t="shared" si="4"/>
        <v>0</v>
      </c>
      <c r="K22" s="512">
        <f t="shared" si="4"/>
        <v>0</v>
      </c>
      <c r="L22" s="512">
        <f t="shared" si="4"/>
        <v>0</v>
      </c>
      <c r="M22" s="512">
        <f t="shared" si="4"/>
        <v>0</v>
      </c>
    </row>
    <row r="23" spans="1:13" outlineLevel="1">
      <c r="A23" s="733" t="s">
        <v>36</v>
      </c>
      <c r="B23" s="515"/>
      <c r="C23" s="515"/>
      <c r="D23" s="515"/>
      <c r="E23" s="515"/>
      <c r="F23" s="515"/>
      <c r="G23" s="515"/>
      <c r="H23" s="512">
        <f t="shared" si="4"/>
        <v>0</v>
      </c>
      <c r="I23" s="512">
        <f t="shared" si="4"/>
        <v>0</v>
      </c>
      <c r="J23" s="512">
        <f t="shared" si="4"/>
        <v>0</v>
      </c>
      <c r="K23" s="512">
        <f t="shared" si="4"/>
        <v>0</v>
      </c>
      <c r="L23" s="512">
        <f t="shared" si="4"/>
        <v>0</v>
      </c>
      <c r="M23" s="512">
        <f t="shared" si="4"/>
        <v>0</v>
      </c>
    </row>
    <row r="24" spans="1:13" outlineLevel="1">
      <c r="A24" s="733" t="s">
        <v>37</v>
      </c>
      <c r="B24" s="515"/>
      <c r="C24" s="515"/>
      <c r="D24" s="515"/>
      <c r="E24" s="515"/>
      <c r="F24" s="515"/>
      <c r="G24" s="515"/>
      <c r="H24" s="512">
        <f t="shared" si="4"/>
        <v>0</v>
      </c>
      <c r="I24" s="512">
        <f t="shared" si="4"/>
        <v>0</v>
      </c>
      <c r="J24" s="512">
        <f t="shared" si="4"/>
        <v>0</v>
      </c>
      <c r="K24" s="512">
        <f t="shared" si="4"/>
        <v>0</v>
      </c>
      <c r="L24" s="512">
        <f t="shared" si="4"/>
        <v>0</v>
      </c>
      <c r="M24" s="512">
        <f t="shared" si="4"/>
        <v>0</v>
      </c>
    </row>
    <row r="25" spans="1:13" outlineLevel="1">
      <c r="A25" s="733" t="s">
        <v>38</v>
      </c>
      <c r="B25" s="515"/>
      <c r="C25" s="515"/>
      <c r="D25" s="515"/>
      <c r="E25" s="515"/>
      <c r="F25" s="515"/>
      <c r="G25" s="515"/>
      <c r="H25" s="512">
        <f t="shared" si="4"/>
        <v>0</v>
      </c>
      <c r="I25" s="512">
        <f t="shared" si="4"/>
        <v>0</v>
      </c>
      <c r="J25" s="512">
        <f t="shared" si="4"/>
        <v>0</v>
      </c>
      <c r="K25" s="512">
        <f t="shared" si="4"/>
        <v>0</v>
      </c>
      <c r="L25" s="512">
        <f t="shared" si="4"/>
        <v>0</v>
      </c>
      <c r="M25" s="512">
        <f t="shared" si="4"/>
        <v>0</v>
      </c>
    </row>
    <row r="26" spans="1:13" outlineLevel="1">
      <c r="A26" s="733" t="s">
        <v>39</v>
      </c>
      <c r="B26" s="515"/>
      <c r="C26" s="515"/>
      <c r="D26" s="515"/>
      <c r="E26" s="515"/>
      <c r="F26" s="515"/>
      <c r="G26" s="515"/>
      <c r="H26" s="512">
        <f t="shared" si="4"/>
        <v>0</v>
      </c>
      <c r="I26" s="512">
        <f t="shared" si="4"/>
        <v>0</v>
      </c>
      <c r="J26" s="512">
        <f t="shared" si="4"/>
        <v>0</v>
      </c>
      <c r="K26" s="512">
        <f t="shared" si="4"/>
        <v>0</v>
      </c>
      <c r="L26" s="512">
        <f t="shared" si="4"/>
        <v>0</v>
      </c>
      <c r="M26" s="512">
        <f t="shared" si="4"/>
        <v>0</v>
      </c>
    </row>
    <row r="27" spans="1:13" outlineLevel="1">
      <c r="A27" s="489" t="s">
        <v>33</v>
      </c>
      <c r="B27" s="517">
        <f t="shared" ref="B27:M27" si="5">SUM(B22:B26)</f>
        <v>0</v>
      </c>
      <c r="C27" s="517">
        <f t="shared" si="5"/>
        <v>0</v>
      </c>
      <c r="D27" s="517">
        <f t="shared" si="5"/>
        <v>0</v>
      </c>
      <c r="E27" s="517">
        <f t="shared" si="5"/>
        <v>0</v>
      </c>
      <c r="F27" s="517">
        <f t="shared" si="5"/>
        <v>0</v>
      </c>
      <c r="G27" s="517">
        <f t="shared" si="5"/>
        <v>0</v>
      </c>
      <c r="H27" s="514">
        <f t="shared" si="5"/>
        <v>0</v>
      </c>
      <c r="I27" s="514">
        <f t="shared" si="5"/>
        <v>0</v>
      </c>
      <c r="J27" s="514">
        <f t="shared" si="5"/>
        <v>0</v>
      </c>
      <c r="K27" s="514">
        <f t="shared" si="5"/>
        <v>0</v>
      </c>
      <c r="L27" s="514">
        <f t="shared" si="5"/>
        <v>0</v>
      </c>
      <c r="M27" s="514">
        <f t="shared" si="5"/>
        <v>0</v>
      </c>
    </row>
    <row r="28" spans="1:13" outlineLevel="1">
      <c r="A28" s="748" t="s">
        <v>40</v>
      </c>
      <c r="B28" s="749"/>
      <c r="C28" s="749"/>
      <c r="D28" s="749"/>
      <c r="E28" s="749"/>
      <c r="F28" s="749"/>
      <c r="G28" s="749"/>
      <c r="H28" s="750"/>
      <c r="I28" s="750"/>
      <c r="J28" s="750"/>
      <c r="K28" s="750"/>
      <c r="L28" s="750"/>
      <c r="M28" s="750"/>
    </row>
    <row r="29" spans="1:13" outlineLevel="1">
      <c r="A29" s="733" t="s">
        <v>41</v>
      </c>
      <c r="B29" s="515"/>
      <c r="C29" s="515"/>
      <c r="D29" s="515"/>
      <c r="E29" s="515"/>
      <c r="F29" s="515"/>
      <c r="G29" s="515"/>
      <c r="H29" s="512">
        <f t="shared" ref="H29:M33" si="6">IF(B29=0,0,B29/B$34)</f>
        <v>0</v>
      </c>
      <c r="I29" s="512">
        <f t="shared" si="6"/>
        <v>0</v>
      </c>
      <c r="J29" s="512">
        <f t="shared" si="6"/>
        <v>0</v>
      </c>
      <c r="K29" s="512">
        <f t="shared" si="6"/>
        <v>0</v>
      </c>
      <c r="L29" s="512">
        <f t="shared" si="6"/>
        <v>0</v>
      </c>
      <c r="M29" s="512">
        <f t="shared" si="6"/>
        <v>0</v>
      </c>
    </row>
    <row r="30" spans="1:13" outlineLevel="1">
      <c r="A30" s="733" t="s">
        <v>42</v>
      </c>
      <c r="B30" s="515"/>
      <c r="C30" s="515"/>
      <c r="D30" s="515"/>
      <c r="E30" s="515"/>
      <c r="F30" s="515"/>
      <c r="G30" s="515"/>
      <c r="H30" s="512">
        <f t="shared" si="6"/>
        <v>0</v>
      </c>
      <c r="I30" s="512">
        <f t="shared" si="6"/>
        <v>0</v>
      </c>
      <c r="J30" s="512">
        <f t="shared" si="6"/>
        <v>0</v>
      </c>
      <c r="K30" s="512">
        <f t="shared" si="6"/>
        <v>0</v>
      </c>
      <c r="L30" s="512">
        <f t="shared" si="6"/>
        <v>0</v>
      </c>
      <c r="M30" s="512">
        <f t="shared" si="6"/>
        <v>0</v>
      </c>
    </row>
    <row r="31" spans="1:13" outlineLevel="1">
      <c r="A31" s="733" t="s">
        <v>43</v>
      </c>
      <c r="B31" s="515"/>
      <c r="C31" s="515"/>
      <c r="D31" s="515"/>
      <c r="E31" s="515"/>
      <c r="F31" s="515"/>
      <c r="G31" s="515"/>
      <c r="H31" s="512">
        <f t="shared" si="6"/>
        <v>0</v>
      </c>
      <c r="I31" s="512">
        <f t="shared" si="6"/>
        <v>0</v>
      </c>
      <c r="J31" s="512">
        <f t="shared" si="6"/>
        <v>0</v>
      </c>
      <c r="K31" s="512">
        <f t="shared" si="6"/>
        <v>0</v>
      </c>
      <c r="L31" s="512">
        <f t="shared" si="6"/>
        <v>0</v>
      </c>
      <c r="M31" s="512">
        <f t="shared" si="6"/>
        <v>0</v>
      </c>
    </row>
    <row r="32" spans="1:13" outlineLevel="1">
      <c r="A32" s="733" t="s">
        <v>44</v>
      </c>
      <c r="B32" s="515"/>
      <c r="C32" s="515"/>
      <c r="D32" s="515"/>
      <c r="E32" s="515"/>
      <c r="F32" s="515"/>
      <c r="G32" s="515"/>
      <c r="H32" s="512">
        <f t="shared" si="6"/>
        <v>0</v>
      </c>
      <c r="I32" s="512">
        <f t="shared" si="6"/>
        <v>0</v>
      </c>
      <c r="J32" s="512">
        <f t="shared" si="6"/>
        <v>0</v>
      </c>
      <c r="K32" s="512">
        <f t="shared" si="6"/>
        <v>0</v>
      </c>
      <c r="L32" s="512">
        <f t="shared" si="6"/>
        <v>0</v>
      </c>
      <c r="M32" s="512">
        <f t="shared" si="6"/>
        <v>0</v>
      </c>
    </row>
    <row r="33" spans="1:21" outlineLevel="1">
      <c r="A33" s="733" t="s">
        <v>39</v>
      </c>
      <c r="B33" s="515"/>
      <c r="C33" s="515"/>
      <c r="D33" s="515"/>
      <c r="E33" s="515"/>
      <c r="F33" s="515"/>
      <c r="G33" s="515"/>
      <c r="H33" s="512">
        <f t="shared" si="6"/>
        <v>0</v>
      </c>
      <c r="I33" s="512">
        <f t="shared" si="6"/>
        <v>0</v>
      </c>
      <c r="J33" s="512">
        <f t="shared" si="6"/>
        <v>0</v>
      </c>
      <c r="K33" s="512">
        <f t="shared" si="6"/>
        <v>0</v>
      </c>
      <c r="L33" s="512">
        <f t="shared" si="6"/>
        <v>0</v>
      </c>
      <c r="M33" s="512">
        <f t="shared" si="6"/>
        <v>0</v>
      </c>
    </row>
    <row r="34" spans="1:21" outlineLevel="1">
      <c r="A34" s="489" t="s">
        <v>33</v>
      </c>
      <c r="B34" s="517">
        <f t="shared" ref="B34:M34" si="7">SUM(B29:B33)</f>
        <v>0</v>
      </c>
      <c r="C34" s="517">
        <f t="shared" si="7"/>
        <v>0</v>
      </c>
      <c r="D34" s="517">
        <f t="shared" si="7"/>
        <v>0</v>
      </c>
      <c r="E34" s="517">
        <f t="shared" si="7"/>
        <v>0</v>
      </c>
      <c r="F34" s="517">
        <f t="shared" si="7"/>
        <v>0</v>
      </c>
      <c r="G34" s="517">
        <f t="shared" si="7"/>
        <v>0</v>
      </c>
      <c r="H34" s="514">
        <f t="shared" si="7"/>
        <v>0</v>
      </c>
      <c r="I34" s="514">
        <f t="shared" si="7"/>
        <v>0</v>
      </c>
      <c r="J34" s="514">
        <f t="shared" si="7"/>
        <v>0</v>
      </c>
      <c r="K34" s="514">
        <f t="shared" si="7"/>
        <v>0</v>
      </c>
      <c r="L34" s="514">
        <f t="shared" si="7"/>
        <v>0</v>
      </c>
      <c r="M34" s="514">
        <f t="shared" si="7"/>
        <v>0</v>
      </c>
    </row>
    <row r="35" spans="1:21">
      <c r="A35" s="748" t="s">
        <v>45</v>
      </c>
      <c r="B35" s="749"/>
      <c r="C35" s="749"/>
      <c r="D35" s="749"/>
      <c r="E35" s="749"/>
      <c r="F35" s="749"/>
      <c r="G35" s="749"/>
      <c r="H35" s="750"/>
      <c r="I35" s="750"/>
      <c r="J35" s="750"/>
      <c r="K35" s="750"/>
      <c r="L35" s="750"/>
      <c r="M35" s="750"/>
    </row>
    <row r="36" spans="1:21">
      <c r="A36" s="488" t="s">
        <v>46</v>
      </c>
      <c r="B36" s="515"/>
      <c r="C36" s="515"/>
      <c r="D36" s="515"/>
      <c r="E36" s="515"/>
      <c r="F36" s="515"/>
      <c r="G36" s="515"/>
      <c r="H36" s="512">
        <f t="shared" ref="H36:M39" si="8">IF(B36=0,0,B36/B$40)</f>
        <v>0</v>
      </c>
      <c r="I36" s="512">
        <f t="shared" si="8"/>
        <v>0</v>
      </c>
      <c r="J36" s="512">
        <f t="shared" si="8"/>
        <v>0</v>
      </c>
      <c r="K36" s="512">
        <f t="shared" si="8"/>
        <v>0</v>
      </c>
      <c r="L36" s="512">
        <f t="shared" si="8"/>
        <v>0</v>
      </c>
      <c r="M36" s="512">
        <f t="shared" si="8"/>
        <v>0</v>
      </c>
    </row>
    <row r="37" spans="1:21">
      <c r="A37" s="488" t="s">
        <v>47</v>
      </c>
      <c r="B37" s="515"/>
      <c r="C37" s="515"/>
      <c r="D37" s="515"/>
      <c r="E37" s="515"/>
      <c r="F37" s="515"/>
      <c r="G37" s="515"/>
      <c r="H37" s="512">
        <f t="shared" si="8"/>
        <v>0</v>
      </c>
      <c r="I37" s="512">
        <f t="shared" si="8"/>
        <v>0</v>
      </c>
      <c r="J37" s="512">
        <f t="shared" si="8"/>
        <v>0</v>
      </c>
      <c r="K37" s="512">
        <f t="shared" si="8"/>
        <v>0</v>
      </c>
      <c r="L37" s="512">
        <f t="shared" si="8"/>
        <v>0</v>
      </c>
      <c r="M37" s="512">
        <f t="shared" si="8"/>
        <v>0</v>
      </c>
    </row>
    <row r="38" spans="1:21">
      <c r="A38" s="488" t="s">
        <v>48</v>
      </c>
      <c r="B38" s="515"/>
      <c r="C38" s="515"/>
      <c r="D38" s="515"/>
      <c r="E38" s="515"/>
      <c r="F38" s="515"/>
      <c r="G38" s="515"/>
      <c r="H38" s="512">
        <f t="shared" si="8"/>
        <v>0</v>
      </c>
      <c r="I38" s="512">
        <f t="shared" si="8"/>
        <v>0</v>
      </c>
      <c r="J38" s="512">
        <f t="shared" si="8"/>
        <v>0</v>
      </c>
      <c r="K38" s="512">
        <f t="shared" si="8"/>
        <v>0</v>
      </c>
      <c r="L38" s="512">
        <f t="shared" si="8"/>
        <v>0</v>
      </c>
      <c r="M38" s="512">
        <f t="shared" si="8"/>
        <v>0</v>
      </c>
    </row>
    <row r="39" spans="1:21">
      <c r="A39" s="488" t="s">
        <v>39</v>
      </c>
      <c r="B39" s="515"/>
      <c r="C39" s="515"/>
      <c r="D39" s="515"/>
      <c r="E39" s="515"/>
      <c r="F39" s="515"/>
      <c r="G39" s="515"/>
      <c r="H39" s="512">
        <f t="shared" si="8"/>
        <v>0</v>
      </c>
      <c r="I39" s="512">
        <f t="shared" si="8"/>
        <v>0</v>
      </c>
      <c r="J39" s="512">
        <f t="shared" si="8"/>
        <v>0</v>
      </c>
      <c r="K39" s="512">
        <f t="shared" si="8"/>
        <v>0</v>
      </c>
      <c r="L39" s="512">
        <f t="shared" si="8"/>
        <v>0</v>
      </c>
      <c r="M39" s="512">
        <f t="shared" si="8"/>
        <v>0</v>
      </c>
    </row>
    <row r="40" spans="1:21">
      <c r="A40" s="489" t="s">
        <v>33</v>
      </c>
      <c r="B40" s="517">
        <f t="shared" ref="B40:M40" si="9">SUM(B36:B39)</f>
        <v>0</v>
      </c>
      <c r="C40" s="517">
        <f t="shared" si="9"/>
        <v>0</v>
      </c>
      <c r="D40" s="517">
        <f t="shared" si="9"/>
        <v>0</v>
      </c>
      <c r="E40" s="517">
        <f t="shared" si="9"/>
        <v>0</v>
      </c>
      <c r="F40" s="517">
        <f t="shared" si="9"/>
        <v>0</v>
      </c>
      <c r="G40" s="517">
        <f t="shared" si="9"/>
        <v>0</v>
      </c>
      <c r="H40" s="514">
        <f t="shared" si="9"/>
        <v>0</v>
      </c>
      <c r="I40" s="514">
        <f t="shared" si="9"/>
        <v>0</v>
      </c>
      <c r="J40" s="514">
        <f t="shared" si="9"/>
        <v>0</v>
      </c>
      <c r="K40" s="514">
        <f t="shared" si="9"/>
        <v>0</v>
      </c>
      <c r="L40" s="514">
        <f t="shared" si="9"/>
        <v>0</v>
      </c>
      <c r="M40" s="514">
        <f t="shared" si="9"/>
        <v>0</v>
      </c>
    </row>
    <row r="41" spans="1:21" outlineLevel="1">
      <c r="A41" s="235" t="s">
        <v>895</v>
      </c>
      <c r="B41" s="768">
        <f>IF(AND(B$15=B$20,B$20=B$27,B$27=B$34,B$34=B$40,B$40='Hist &amp; Proj'!E$119),0,ABS(B$40-'Hist &amp; Proj'!E$119))</f>
        <v>0</v>
      </c>
      <c r="C41" s="768">
        <f>IF(AND(C$15=C$20,C$20=C$27,C$27=C$34,C$34=C$40,C$40='Hist &amp; Proj'!E$22),0,ABS(C$40-'Hist &amp; Proj'!E$22))</f>
        <v>0</v>
      </c>
      <c r="D41" s="768">
        <f ca="1">IF(AND(D$15=D$20,D$20=D$27,D$27=D$34,D$34=D$40,D$40='Hist &amp; Proj'!R$119),0,ABS(D$40-'Hist &amp; Proj'!R$119))</f>
        <v>0</v>
      </c>
      <c r="E41" s="768">
        <f ca="1">IF(AND(E$15=E$20,E$20=E$27,E$27=E$34,E$34=E$40,E$40='Hist &amp; Proj'!R$22),0,ABS(E$40-'Hist &amp; Proj'!R$22))</f>
        <v>0</v>
      </c>
      <c r="F41" s="768" t="e">
        <f ca="1">IF(AND(F$15=F$20,F$20=F$27,F$27=F$34,F$34=F$40,F$40='Hist &amp; Proj'!AE$119),0,ABS(F$40-'Hist &amp; Proj'!AE$119))</f>
        <v>#N/A</v>
      </c>
      <c r="G41" s="768" t="e">
        <f ca="1">IF(AND(G$15=G$20,G$20=G$27,G$27=G$34,G$34=G$40,G$40='Hist &amp; Proj'!AE$22),0,ABS(G$40-'Hist &amp; Proj'!AE$22))</f>
        <v>#N/A</v>
      </c>
      <c r="J41" s="176"/>
      <c r="K41" s="176"/>
      <c r="L41" s="176"/>
      <c r="M41" s="176"/>
      <c r="N41" s="176"/>
      <c r="O41" s="176"/>
    </row>
    <row r="42" spans="1:21" ht="15.75">
      <c r="A42" s="174"/>
      <c r="B42" s="490"/>
      <c r="C42" s="490"/>
      <c r="D42" s="490"/>
      <c r="E42" s="490"/>
      <c r="F42" s="490"/>
      <c r="G42" s="490"/>
      <c r="H42" s="490"/>
      <c r="I42" s="490"/>
      <c r="J42" s="127"/>
      <c r="K42" s="127"/>
      <c r="L42" s="127"/>
      <c r="M42" s="127"/>
      <c r="N42" s="127"/>
      <c r="O42" s="127"/>
      <c r="P42" s="490"/>
      <c r="Q42" s="490"/>
      <c r="U42" s="174"/>
    </row>
    <row r="43" spans="1:21" ht="15.75">
      <c r="A43" s="174"/>
      <c r="B43" s="490"/>
      <c r="C43" s="490"/>
      <c r="D43" s="490"/>
      <c r="E43" s="490"/>
      <c r="F43" s="490"/>
      <c r="G43" s="490"/>
      <c r="H43" s="490"/>
      <c r="I43" s="490"/>
      <c r="J43" s="127"/>
      <c r="K43" s="127"/>
      <c r="L43" s="127"/>
      <c r="M43" s="127"/>
      <c r="N43" s="127"/>
      <c r="O43" s="127"/>
      <c r="P43" s="490"/>
      <c r="Q43" s="490"/>
      <c r="U43" s="174"/>
    </row>
    <row r="44" spans="1:21" ht="18.75" outlineLevel="1">
      <c r="A44" s="736" t="s">
        <v>884</v>
      </c>
      <c r="B44" s="734"/>
      <c r="C44" s="734"/>
      <c r="D44" s="734"/>
      <c r="E44" s="734"/>
      <c r="F44" s="734"/>
      <c r="G44" s="734"/>
    </row>
    <row r="45" spans="1:21" ht="15.75" outlineLevel="1">
      <c r="A45" s="766"/>
      <c r="B45" s="744">
        <f>B$8</f>
        <v>693597</v>
      </c>
      <c r="C45" s="744"/>
      <c r="D45" s="744"/>
      <c r="F45" s="744">
        <f ca="1">D$8</f>
        <v>693962</v>
      </c>
      <c r="G45" s="744"/>
      <c r="H45" s="744"/>
      <c r="J45" s="745" t="e">
        <f ca="1">F$8</f>
        <v>#N/A</v>
      </c>
      <c r="K45" s="745"/>
      <c r="L45" s="745"/>
    </row>
    <row r="46" spans="1:21" ht="25.5" outlineLevel="1">
      <c r="A46" s="733"/>
      <c r="B46" s="735" t="s">
        <v>885</v>
      </c>
      <c r="C46" s="735" t="s">
        <v>886</v>
      </c>
      <c r="D46" s="735" t="s">
        <v>887</v>
      </c>
      <c r="F46" s="735" t="s">
        <v>885</v>
      </c>
      <c r="G46" s="735" t="s">
        <v>886</v>
      </c>
      <c r="H46" s="735" t="s">
        <v>887</v>
      </c>
      <c r="J46" s="735" t="s">
        <v>885</v>
      </c>
      <c r="K46" s="735" t="s">
        <v>886</v>
      </c>
      <c r="L46" s="735" t="s">
        <v>887</v>
      </c>
    </row>
    <row r="47" spans="1:21" outlineLevel="1">
      <c r="A47" s="733" t="s">
        <v>888</v>
      </c>
      <c r="B47" s="767"/>
      <c r="C47" s="891"/>
      <c r="D47" s="767"/>
      <c r="F47" s="767"/>
      <c r="G47" s="891"/>
      <c r="H47" s="767"/>
      <c r="J47" s="767"/>
      <c r="K47" s="767"/>
      <c r="L47" s="767"/>
    </row>
    <row r="48" spans="1:21" outlineLevel="1">
      <c r="A48" s="733" t="s">
        <v>889</v>
      </c>
      <c r="B48" s="767"/>
      <c r="C48" s="891"/>
      <c r="D48" s="767"/>
      <c r="F48" s="767"/>
      <c r="G48" s="891"/>
      <c r="H48" s="767"/>
      <c r="J48" s="767"/>
      <c r="K48" s="767"/>
      <c r="L48" s="767"/>
    </row>
    <row r="49" spans="1:38" outlineLevel="1"/>
    <row r="50" spans="1:38" ht="15.75">
      <c r="A50" s="174"/>
      <c r="B50" s="490"/>
      <c r="C50" s="490"/>
      <c r="D50" s="490"/>
      <c r="E50" s="490"/>
      <c r="F50" s="490"/>
      <c r="G50" s="490"/>
      <c r="H50" s="490"/>
      <c r="I50" s="490"/>
      <c r="J50" s="127"/>
      <c r="K50" s="127"/>
      <c r="L50" s="127"/>
      <c r="M50" s="127"/>
      <c r="N50" s="127"/>
      <c r="O50" s="127"/>
      <c r="P50" s="490"/>
      <c r="Q50" s="490"/>
      <c r="U50" s="174"/>
    </row>
    <row r="51" spans="1:38" s="445" customFormat="1" ht="18.75">
      <c r="A51" s="442" t="s">
        <v>609</v>
      </c>
      <c r="B51" s="443"/>
      <c r="C51" s="443"/>
      <c r="D51" s="443"/>
      <c r="E51" s="443"/>
      <c r="F51" s="444"/>
      <c r="R51" s="446"/>
      <c r="S51" s="446"/>
      <c r="T51" s="446"/>
      <c r="U51" s="446"/>
      <c r="V51" s="446"/>
      <c r="W51" s="446"/>
      <c r="X51" s="446"/>
      <c r="Y51" s="446"/>
      <c r="Z51" s="446"/>
      <c r="AA51" s="446"/>
      <c r="AB51" s="446"/>
      <c r="AC51" s="446"/>
      <c r="AD51" s="446"/>
      <c r="AE51" s="446"/>
      <c r="AF51" s="446"/>
      <c r="AG51" s="446"/>
      <c r="AH51" s="446"/>
      <c r="AI51" s="446"/>
      <c r="AJ51" s="446"/>
      <c r="AK51" s="447"/>
    </row>
    <row r="52" spans="1:38" s="445" customFormat="1">
      <c r="A52" s="250" t="e">
        <f ca="1">"Data as of "&amp;TEXT('Hist &amp; Proj'!$AE$7,"mmm")&amp;" of "&amp;YEAR('Hist &amp; Proj'!AE7)</f>
        <v>#N/A</v>
      </c>
      <c r="B52" s="443"/>
      <c r="C52" s="443"/>
      <c r="D52" s="443"/>
      <c r="E52" s="443"/>
      <c r="H52" s="448"/>
      <c r="R52" s="446"/>
      <c r="S52" s="446"/>
      <c r="T52" s="446"/>
      <c r="U52" s="446"/>
      <c r="V52" s="446"/>
      <c r="W52" s="446"/>
      <c r="X52" s="446"/>
      <c r="Y52" s="446"/>
      <c r="Z52" s="446"/>
      <c r="AA52" s="446"/>
      <c r="AB52" s="446"/>
      <c r="AC52" s="446"/>
      <c r="AD52" s="446"/>
      <c r="AE52" s="446"/>
      <c r="AF52" s="446"/>
      <c r="AG52" s="446"/>
      <c r="AH52" s="446"/>
      <c r="AI52" s="446"/>
      <c r="AJ52" s="446"/>
      <c r="AK52" s="446"/>
    </row>
    <row r="53" spans="1:38" s="445" customFormat="1">
      <c r="A53" s="508">
        <f>'Gen Info'!$B$50</f>
        <v>0</v>
      </c>
      <c r="B53" s="443"/>
      <c r="C53" s="443"/>
      <c r="D53" s="443"/>
      <c r="E53" s="443"/>
      <c r="H53" s="448"/>
      <c r="R53" s="446"/>
      <c r="S53" s="446"/>
      <c r="T53" s="446"/>
      <c r="U53" s="446"/>
      <c r="V53" s="446"/>
      <c r="W53" s="446"/>
      <c r="X53" s="446"/>
      <c r="Y53" s="446"/>
      <c r="Z53" s="446"/>
      <c r="AA53" s="446"/>
      <c r="AB53" s="446"/>
      <c r="AC53" s="446"/>
      <c r="AD53" s="446"/>
      <c r="AE53" s="446"/>
      <c r="AF53" s="446"/>
      <c r="AG53" s="446"/>
      <c r="AH53" s="446"/>
      <c r="AI53" s="446"/>
      <c r="AJ53" s="446"/>
      <c r="AK53" s="446"/>
    </row>
    <row r="54" spans="1:38" s="445" customFormat="1" ht="30" customHeight="1">
      <c r="A54" s="751" t="s">
        <v>590</v>
      </c>
      <c r="B54" s="752" t="s">
        <v>40</v>
      </c>
      <c r="C54" s="752" t="s">
        <v>591</v>
      </c>
      <c r="D54" s="752" t="s">
        <v>592</v>
      </c>
      <c r="E54" s="752" t="s">
        <v>57</v>
      </c>
      <c r="F54" s="752" t="s">
        <v>592</v>
      </c>
      <c r="G54" s="752" t="s">
        <v>593</v>
      </c>
      <c r="H54" s="752" t="s">
        <v>594</v>
      </c>
      <c r="I54" s="752" t="s">
        <v>65</v>
      </c>
      <c r="J54" s="752" t="s">
        <v>890</v>
      </c>
      <c r="K54" s="752" t="s">
        <v>619</v>
      </c>
      <c r="L54" s="752" t="s">
        <v>595</v>
      </c>
      <c r="M54" s="752" t="s">
        <v>606</v>
      </c>
      <c r="S54" s="446"/>
      <c r="T54" s="446"/>
      <c r="U54" s="446"/>
      <c r="V54" s="446"/>
      <c r="W54" s="446"/>
      <c r="X54" s="446"/>
      <c r="Y54" s="446"/>
      <c r="Z54" s="446"/>
      <c r="AA54" s="446"/>
      <c r="AB54" s="446"/>
      <c r="AC54" s="446"/>
      <c r="AD54" s="446"/>
      <c r="AE54" s="446"/>
      <c r="AF54" s="446"/>
      <c r="AG54" s="446"/>
      <c r="AH54" s="446"/>
      <c r="AI54" s="446"/>
      <c r="AJ54" s="446"/>
      <c r="AK54" s="446"/>
      <c r="AL54" s="446"/>
    </row>
    <row r="55" spans="1:38" s="445" customFormat="1" ht="15">
      <c r="A55" s="460"/>
      <c r="B55" s="461"/>
      <c r="C55" s="461"/>
      <c r="D55" s="449" t="e">
        <f>C55/C$58</f>
        <v>#DIV/0!</v>
      </c>
      <c r="E55" s="461"/>
      <c r="F55" s="449" t="e">
        <f>E55/E$58</f>
        <v>#DIV/0!</v>
      </c>
      <c r="G55" s="461"/>
      <c r="H55" s="450" t="e">
        <f>+G55/C55</f>
        <v>#DIV/0!</v>
      </c>
      <c r="I55" s="451" t="e">
        <f>C55/E55</f>
        <v>#DIV/0!</v>
      </c>
      <c r="J55" s="462"/>
      <c r="K55" s="463"/>
      <c r="L55" s="464"/>
      <c r="M55" s="461"/>
      <c r="S55" s="446"/>
      <c r="T55" s="446"/>
      <c r="U55" s="446"/>
      <c r="V55" s="446"/>
      <c r="W55" s="446"/>
      <c r="X55" s="446"/>
      <c r="Y55" s="446"/>
      <c r="Z55" s="446"/>
      <c r="AA55" s="446"/>
      <c r="AB55" s="446"/>
      <c r="AC55" s="446"/>
      <c r="AD55" s="446"/>
      <c r="AE55" s="446"/>
      <c r="AF55" s="446"/>
      <c r="AG55" s="446"/>
      <c r="AH55" s="446"/>
      <c r="AI55" s="446"/>
      <c r="AJ55" s="446"/>
      <c r="AK55" s="446"/>
      <c r="AL55" s="446"/>
    </row>
    <row r="56" spans="1:38" s="445" customFormat="1" ht="15">
      <c r="A56" s="460"/>
      <c r="B56" s="461"/>
      <c r="C56" s="461"/>
      <c r="D56" s="449" t="e">
        <f>C56/C$58</f>
        <v>#DIV/0!</v>
      </c>
      <c r="E56" s="461"/>
      <c r="F56" s="449" t="e">
        <f>E56/E$58</f>
        <v>#DIV/0!</v>
      </c>
      <c r="G56" s="461"/>
      <c r="H56" s="450" t="e">
        <f>+G56/C56</f>
        <v>#DIV/0!</v>
      </c>
      <c r="I56" s="451" t="e">
        <f>C56/E56</f>
        <v>#DIV/0!</v>
      </c>
      <c r="J56" s="462"/>
      <c r="K56" s="463"/>
      <c r="L56" s="464"/>
      <c r="M56" s="461"/>
      <c r="S56" s="446"/>
      <c r="T56" s="446"/>
      <c r="U56" s="446"/>
      <c r="V56" s="446"/>
      <c r="W56" s="446"/>
      <c r="X56" s="446"/>
      <c r="Y56" s="446"/>
      <c r="Z56" s="446"/>
      <c r="AA56" s="446"/>
      <c r="AB56" s="446"/>
      <c r="AC56" s="446"/>
      <c r="AD56" s="446"/>
      <c r="AE56" s="446"/>
      <c r="AF56" s="446"/>
      <c r="AG56" s="446"/>
      <c r="AH56" s="446"/>
      <c r="AI56" s="446"/>
      <c r="AJ56" s="446"/>
      <c r="AK56" s="446"/>
      <c r="AL56" s="446"/>
    </row>
    <row r="57" spans="1:38" s="445" customFormat="1" ht="15">
      <c r="A57" s="460"/>
      <c r="B57" s="461"/>
      <c r="C57" s="461"/>
      <c r="D57" s="449" t="e">
        <f>C57/C$58</f>
        <v>#DIV/0!</v>
      </c>
      <c r="E57" s="461"/>
      <c r="F57" s="449" t="e">
        <f>E57/E$58</f>
        <v>#DIV/0!</v>
      </c>
      <c r="G57" s="461"/>
      <c r="H57" s="450" t="e">
        <f>+G57/C57</f>
        <v>#DIV/0!</v>
      </c>
      <c r="I57" s="451" t="e">
        <f>C57/E57</f>
        <v>#DIV/0!</v>
      </c>
      <c r="J57" s="462"/>
      <c r="K57" s="463"/>
      <c r="L57" s="464"/>
      <c r="M57" s="461"/>
      <c r="S57" s="446"/>
      <c r="T57" s="446"/>
      <c r="U57" s="446"/>
      <c r="V57" s="446"/>
      <c r="W57" s="446"/>
      <c r="X57" s="446"/>
      <c r="Y57" s="446"/>
      <c r="Z57" s="446"/>
      <c r="AA57" s="446"/>
      <c r="AB57" s="446"/>
      <c r="AC57" s="446"/>
      <c r="AD57" s="446"/>
      <c r="AE57" s="446"/>
      <c r="AF57" s="446"/>
      <c r="AG57" s="446"/>
      <c r="AH57" s="446"/>
      <c r="AI57" s="446"/>
      <c r="AJ57" s="446"/>
      <c r="AK57" s="446"/>
      <c r="AL57" s="446"/>
    </row>
    <row r="58" spans="1:38" s="445" customFormat="1" ht="15">
      <c r="A58" s="452" t="s">
        <v>33</v>
      </c>
      <c r="B58" s="453"/>
      <c r="C58" s="453">
        <f>SUM(C55:C57)</f>
        <v>0</v>
      </c>
      <c r="D58" s="454" t="e">
        <f>SUM(D55:D57)</f>
        <v>#DIV/0!</v>
      </c>
      <c r="E58" s="453">
        <f>SUM(E55:E57)</f>
        <v>0</v>
      </c>
      <c r="F58" s="454" t="e">
        <f>SUM(F55:F57)</f>
        <v>#DIV/0!</v>
      </c>
      <c r="G58" s="453">
        <f>SUM(G55:G57)</f>
        <v>0</v>
      </c>
      <c r="H58" s="454" t="e">
        <f>+G58/C58</f>
        <v>#DIV/0!</v>
      </c>
      <c r="I58" s="455" t="e">
        <f>C58/E58</f>
        <v>#DIV/0!</v>
      </c>
      <c r="J58" s="462"/>
      <c r="K58" s="463"/>
      <c r="L58" s="455"/>
      <c r="M58" s="455"/>
      <c r="S58" s="446"/>
      <c r="T58" s="446"/>
      <c r="U58" s="446"/>
      <c r="V58" s="446"/>
      <c r="W58" s="446"/>
      <c r="X58" s="446"/>
      <c r="Y58" s="446"/>
      <c r="Z58" s="446"/>
      <c r="AA58" s="446"/>
      <c r="AB58" s="446"/>
      <c r="AC58" s="446"/>
      <c r="AD58" s="446"/>
      <c r="AE58" s="446"/>
      <c r="AF58" s="446"/>
      <c r="AG58" s="446"/>
      <c r="AH58" s="446"/>
      <c r="AI58" s="446"/>
      <c r="AJ58" s="446"/>
      <c r="AK58" s="446"/>
      <c r="AL58" s="446"/>
    </row>
    <row r="59" spans="1:38" s="445" customFormat="1" outlineLevel="1">
      <c r="A59" s="235" t="s">
        <v>895</v>
      </c>
      <c r="C59" s="768" t="e">
        <f ca="1">IF(C58='Hist &amp; Proj'!$AE$22,0,ABS(C58-'Hist &amp; Proj'!$AE$22))</f>
        <v>#N/A</v>
      </c>
      <c r="D59" s="456"/>
      <c r="E59" s="768" t="e">
        <f ca="1">IF(E58='Hist &amp; Proj'!$AE$118,0,ABS(E58-'Hist &amp; Proj'!$AE$118))</f>
        <v>#N/A</v>
      </c>
      <c r="G59" s="768" t="e">
        <f ca="1">IF(G58='Hist &amp; Proj'!$AE$87,0,ABS(G58-'Hist &amp; Proj'!$AE$87))</f>
        <v>#N/A</v>
      </c>
      <c r="R59" s="446"/>
      <c r="S59" s="446"/>
      <c r="T59" s="446"/>
      <c r="U59" s="446"/>
      <c r="V59" s="446"/>
      <c r="W59" s="446"/>
      <c r="X59" s="446"/>
      <c r="Y59" s="446"/>
      <c r="Z59" s="446"/>
      <c r="AA59" s="446"/>
      <c r="AB59" s="446"/>
      <c r="AC59" s="446"/>
      <c r="AD59" s="446"/>
      <c r="AE59" s="446"/>
      <c r="AF59" s="446"/>
      <c r="AG59" s="446"/>
      <c r="AH59" s="446"/>
      <c r="AI59" s="446"/>
      <c r="AJ59" s="446"/>
      <c r="AK59" s="446"/>
    </row>
    <row r="60" spans="1:38" s="445" customFormat="1">
      <c r="A60" s="235"/>
      <c r="B60" s="768"/>
      <c r="D60" s="456"/>
      <c r="R60" s="446"/>
      <c r="S60" s="446"/>
      <c r="T60" s="446"/>
      <c r="U60" s="446"/>
      <c r="V60" s="446"/>
      <c r="W60" s="446"/>
      <c r="X60" s="446"/>
      <c r="Y60" s="446"/>
      <c r="Z60" s="446"/>
      <c r="AA60" s="446"/>
      <c r="AB60" s="446"/>
      <c r="AC60" s="446"/>
      <c r="AD60" s="446"/>
      <c r="AE60" s="446"/>
      <c r="AF60" s="446"/>
      <c r="AG60" s="446"/>
      <c r="AH60" s="446"/>
      <c r="AI60" s="446"/>
      <c r="AJ60" s="446"/>
      <c r="AK60" s="446"/>
    </row>
    <row r="61" spans="1:38" s="445" customFormat="1">
      <c r="D61" s="456"/>
      <c r="R61" s="446"/>
      <c r="S61" s="446"/>
      <c r="T61" s="446"/>
      <c r="U61" s="446"/>
      <c r="V61" s="446"/>
      <c r="W61" s="446"/>
      <c r="X61" s="446"/>
      <c r="Y61" s="446"/>
      <c r="Z61" s="446"/>
      <c r="AA61" s="446"/>
      <c r="AB61" s="446"/>
      <c r="AC61" s="446"/>
      <c r="AD61" s="446"/>
      <c r="AE61" s="446"/>
      <c r="AF61" s="446"/>
      <c r="AG61" s="446"/>
      <c r="AH61" s="446"/>
      <c r="AI61" s="446"/>
      <c r="AJ61" s="446"/>
      <c r="AK61" s="446"/>
    </row>
    <row r="62" spans="1:38" s="445" customFormat="1" ht="18.75">
      <c r="A62" s="593" t="s">
        <v>610</v>
      </c>
      <c r="B62" s="443"/>
      <c r="C62" s="443"/>
      <c r="D62" s="443"/>
      <c r="E62" s="443"/>
      <c r="F62" s="444"/>
      <c r="R62" s="446"/>
      <c r="S62" s="446"/>
      <c r="T62" s="446"/>
      <c r="U62" s="446"/>
      <c r="V62" s="446"/>
      <c r="W62" s="446"/>
      <c r="X62" s="446"/>
      <c r="Y62" s="446"/>
      <c r="Z62" s="446"/>
      <c r="AA62" s="446"/>
      <c r="AB62" s="446"/>
      <c r="AC62" s="446"/>
      <c r="AD62" s="446"/>
      <c r="AE62" s="446"/>
      <c r="AF62" s="446"/>
      <c r="AG62" s="446"/>
      <c r="AH62" s="446"/>
      <c r="AI62" s="446"/>
      <c r="AJ62" s="446"/>
      <c r="AK62" s="447"/>
    </row>
    <row r="63" spans="1:38" s="445" customFormat="1">
      <c r="A63" s="250" t="e">
        <f ca="1">$A$52</f>
        <v>#N/A</v>
      </c>
      <c r="B63" s="443"/>
      <c r="C63" s="443"/>
      <c r="D63" s="443"/>
      <c r="E63" s="443"/>
      <c r="H63" s="448"/>
      <c r="R63" s="446"/>
      <c r="S63" s="446"/>
      <c r="T63" s="446"/>
      <c r="U63" s="446"/>
      <c r="V63" s="446"/>
      <c r="W63" s="446"/>
      <c r="X63" s="446"/>
      <c r="Y63" s="446"/>
      <c r="Z63" s="446"/>
      <c r="AA63" s="446"/>
      <c r="AB63" s="446"/>
      <c r="AC63" s="446"/>
      <c r="AD63" s="446"/>
      <c r="AE63" s="446"/>
      <c r="AF63" s="446"/>
      <c r="AG63" s="446"/>
      <c r="AH63" s="446"/>
      <c r="AI63" s="446"/>
      <c r="AJ63" s="446"/>
      <c r="AK63" s="446"/>
    </row>
    <row r="64" spans="1:38" s="445" customFormat="1">
      <c r="A64" s="508">
        <f>'Gen Info'!$B$50</f>
        <v>0</v>
      </c>
      <c r="B64" s="443"/>
      <c r="C64" s="443"/>
      <c r="D64" s="443"/>
      <c r="E64" s="443"/>
      <c r="H64" s="448"/>
      <c r="R64" s="446"/>
      <c r="S64" s="446"/>
      <c r="T64" s="446"/>
      <c r="U64" s="446"/>
      <c r="V64" s="446"/>
      <c r="W64" s="446"/>
      <c r="X64" s="446"/>
      <c r="Y64" s="446"/>
      <c r="Z64" s="446"/>
      <c r="AA64" s="446"/>
      <c r="AB64" s="446"/>
      <c r="AC64" s="446"/>
      <c r="AD64" s="446"/>
      <c r="AE64" s="446"/>
      <c r="AF64" s="446"/>
      <c r="AG64" s="446"/>
      <c r="AH64" s="446"/>
      <c r="AI64" s="446"/>
      <c r="AJ64" s="446"/>
      <c r="AK64" s="446"/>
    </row>
    <row r="65" spans="1:37" s="445" customFormat="1" ht="30">
      <c r="A65" s="751" t="s">
        <v>34</v>
      </c>
      <c r="B65" s="752" t="s">
        <v>591</v>
      </c>
      <c r="C65" s="752" t="s">
        <v>592</v>
      </c>
      <c r="D65" s="752" t="s">
        <v>57</v>
      </c>
      <c r="E65" s="752" t="s">
        <v>592</v>
      </c>
      <c r="F65" s="752" t="s">
        <v>593</v>
      </c>
      <c r="G65" s="752" t="s">
        <v>594</v>
      </c>
      <c r="H65" s="752" t="s">
        <v>65</v>
      </c>
      <c r="R65" s="446"/>
      <c r="S65" s="446"/>
      <c r="T65" s="446"/>
      <c r="U65" s="446"/>
      <c r="V65" s="446"/>
      <c r="W65" s="446"/>
      <c r="X65" s="446"/>
      <c r="Y65" s="446"/>
      <c r="Z65" s="446"/>
      <c r="AA65" s="446"/>
      <c r="AB65" s="446"/>
      <c r="AC65" s="446"/>
      <c r="AD65" s="446"/>
      <c r="AE65" s="446"/>
      <c r="AF65" s="446"/>
      <c r="AG65" s="446"/>
      <c r="AH65" s="446"/>
      <c r="AI65" s="446"/>
      <c r="AJ65" s="446"/>
      <c r="AK65" s="446"/>
    </row>
    <row r="66" spans="1:37" s="445" customFormat="1" ht="15">
      <c r="A66" s="461" t="s">
        <v>891</v>
      </c>
      <c r="B66" s="461"/>
      <c r="C66" s="449" t="e">
        <f>B66/B$75</f>
        <v>#DIV/0!</v>
      </c>
      <c r="D66" s="461"/>
      <c r="E66" s="449" t="e">
        <f>D66/D$75</f>
        <v>#DIV/0!</v>
      </c>
      <c r="F66" s="461"/>
      <c r="G66" s="450" t="e">
        <f>+F66/B66</f>
        <v>#DIV/0!</v>
      </c>
      <c r="H66" s="451" t="e">
        <f>B66/D66</f>
        <v>#DIV/0!</v>
      </c>
      <c r="R66" s="446"/>
      <c r="S66" s="446"/>
      <c r="T66" s="446"/>
      <c r="U66" s="446"/>
      <c r="V66" s="446"/>
      <c r="W66" s="446"/>
      <c r="X66" s="446"/>
      <c r="Y66" s="446"/>
      <c r="Z66" s="446"/>
      <c r="AA66" s="446"/>
      <c r="AB66" s="446"/>
      <c r="AC66" s="446"/>
      <c r="AD66" s="446"/>
      <c r="AE66" s="446"/>
      <c r="AF66" s="446"/>
      <c r="AG66" s="446"/>
      <c r="AH66" s="446"/>
      <c r="AI66" s="446"/>
      <c r="AJ66" s="446"/>
      <c r="AK66" s="446"/>
    </row>
    <row r="67" spans="1:37" s="445" customFormat="1" ht="15">
      <c r="A67" s="461" t="s">
        <v>892</v>
      </c>
      <c r="B67" s="461"/>
      <c r="C67" s="449" t="e">
        <f t="shared" ref="C67:C74" si="10">B67/B$75</f>
        <v>#DIV/0!</v>
      </c>
      <c r="D67" s="461"/>
      <c r="E67" s="449" t="e">
        <f t="shared" ref="E67:E74" si="11">D67/D$75</f>
        <v>#DIV/0!</v>
      </c>
      <c r="F67" s="461"/>
      <c r="G67" s="450" t="e">
        <f t="shared" ref="G67:G74" si="12">+F67/B67</f>
        <v>#DIV/0!</v>
      </c>
      <c r="H67" s="451" t="e">
        <f t="shared" ref="H67:H74" si="13">B67/D67</f>
        <v>#DIV/0!</v>
      </c>
      <c r="R67" s="446"/>
      <c r="S67" s="446"/>
      <c r="T67" s="446"/>
      <c r="U67" s="446"/>
      <c r="V67" s="446"/>
      <c r="W67" s="446"/>
      <c r="X67" s="446"/>
      <c r="Y67" s="446"/>
      <c r="Z67" s="446"/>
      <c r="AA67" s="446"/>
      <c r="AB67" s="446"/>
      <c r="AC67" s="446"/>
      <c r="AD67" s="446"/>
      <c r="AE67" s="446"/>
      <c r="AF67" s="446"/>
      <c r="AG67" s="446"/>
      <c r="AH67" s="446"/>
      <c r="AI67" s="446"/>
      <c r="AJ67" s="446"/>
      <c r="AK67" s="446"/>
    </row>
    <row r="68" spans="1:37" s="445" customFormat="1" ht="15">
      <c r="A68" s="461" t="s">
        <v>893</v>
      </c>
      <c r="B68" s="461"/>
      <c r="C68" s="449" t="e">
        <f t="shared" si="10"/>
        <v>#DIV/0!</v>
      </c>
      <c r="D68" s="461"/>
      <c r="E68" s="449" t="e">
        <f t="shared" si="11"/>
        <v>#DIV/0!</v>
      </c>
      <c r="F68" s="461"/>
      <c r="G68" s="450" t="e">
        <f t="shared" si="12"/>
        <v>#DIV/0!</v>
      </c>
      <c r="H68" s="451" t="e">
        <f t="shared" si="13"/>
        <v>#DIV/0!</v>
      </c>
      <c r="R68" s="446"/>
      <c r="S68" s="446"/>
      <c r="T68" s="446"/>
      <c r="U68" s="446"/>
      <c r="V68" s="446"/>
      <c r="W68" s="446"/>
      <c r="X68" s="446"/>
      <c r="Y68" s="446"/>
      <c r="Z68" s="446"/>
      <c r="AA68" s="446"/>
      <c r="AB68" s="446"/>
      <c r="AC68" s="446"/>
      <c r="AD68" s="446"/>
      <c r="AE68" s="446"/>
      <c r="AF68" s="446"/>
      <c r="AG68" s="446"/>
      <c r="AH68" s="446"/>
      <c r="AI68" s="446"/>
      <c r="AJ68" s="446"/>
      <c r="AK68" s="446"/>
    </row>
    <row r="69" spans="1:37" s="445" customFormat="1" ht="15">
      <c r="A69" s="461" t="s">
        <v>894</v>
      </c>
      <c r="B69" s="461"/>
      <c r="C69" s="449" t="e">
        <f t="shared" si="10"/>
        <v>#DIV/0!</v>
      </c>
      <c r="D69" s="461"/>
      <c r="E69" s="449" t="e">
        <f t="shared" si="11"/>
        <v>#DIV/0!</v>
      </c>
      <c r="F69" s="461"/>
      <c r="G69" s="450" t="e">
        <f t="shared" si="12"/>
        <v>#DIV/0!</v>
      </c>
      <c r="H69" s="451" t="e">
        <f t="shared" si="13"/>
        <v>#DIV/0!</v>
      </c>
      <c r="R69" s="446"/>
      <c r="S69" s="446"/>
      <c r="T69" s="446"/>
      <c r="U69" s="446"/>
      <c r="V69" s="446"/>
      <c r="W69" s="446"/>
      <c r="X69" s="446"/>
      <c r="Y69" s="446"/>
      <c r="Z69" s="446"/>
      <c r="AA69" s="446"/>
      <c r="AB69" s="446"/>
      <c r="AC69" s="446"/>
      <c r="AD69" s="446"/>
      <c r="AE69" s="446"/>
      <c r="AF69" s="446"/>
      <c r="AG69" s="446"/>
      <c r="AH69" s="446"/>
      <c r="AI69" s="446"/>
      <c r="AJ69" s="446"/>
      <c r="AK69" s="446"/>
    </row>
    <row r="70" spans="1:37" s="445" customFormat="1" ht="15">
      <c r="A70" s="461" t="s">
        <v>599</v>
      </c>
      <c r="B70" s="461"/>
      <c r="C70" s="449" t="e">
        <f t="shared" si="10"/>
        <v>#DIV/0!</v>
      </c>
      <c r="D70" s="461"/>
      <c r="E70" s="449" t="e">
        <f t="shared" si="11"/>
        <v>#DIV/0!</v>
      </c>
      <c r="F70" s="461"/>
      <c r="G70" s="450" t="e">
        <f t="shared" si="12"/>
        <v>#DIV/0!</v>
      </c>
      <c r="H70" s="451" t="e">
        <f t="shared" si="13"/>
        <v>#DIV/0!</v>
      </c>
      <c r="R70" s="446"/>
      <c r="S70" s="446"/>
      <c r="T70" s="446"/>
      <c r="U70" s="446"/>
      <c r="V70" s="446"/>
      <c r="W70" s="446"/>
      <c r="X70" s="446"/>
      <c r="Y70" s="446"/>
      <c r="Z70" s="446"/>
      <c r="AA70" s="446"/>
      <c r="AB70" s="446"/>
      <c r="AC70" s="446"/>
      <c r="AD70" s="446"/>
      <c r="AE70" s="446"/>
      <c r="AF70" s="446"/>
      <c r="AG70" s="446"/>
      <c r="AH70" s="446"/>
      <c r="AI70" s="446"/>
      <c r="AJ70" s="446"/>
      <c r="AK70" s="446"/>
    </row>
    <row r="71" spans="1:37" s="445" customFormat="1" ht="15">
      <c r="A71" s="461" t="s">
        <v>599</v>
      </c>
      <c r="B71" s="461"/>
      <c r="C71" s="449" t="e">
        <f t="shared" si="10"/>
        <v>#DIV/0!</v>
      </c>
      <c r="D71" s="461"/>
      <c r="E71" s="449" t="e">
        <f t="shared" si="11"/>
        <v>#DIV/0!</v>
      </c>
      <c r="F71" s="461"/>
      <c r="G71" s="450" t="e">
        <f t="shared" si="12"/>
        <v>#DIV/0!</v>
      </c>
      <c r="H71" s="451" t="e">
        <f t="shared" si="13"/>
        <v>#DIV/0!</v>
      </c>
      <c r="R71" s="446"/>
      <c r="S71" s="446"/>
      <c r="T71" s="446"/>
      <c r="U71" s="446"/>
      <c r="V71" s="446"/>
      <c r="W71" s="446"/>
      <c r="X71" s="446"/>
      <c r="Y71" s="446"/>
      <c r="Z71" s="446"/>
      <c r="AA71" s="446"/>
      <c r="AB71" s="446"/>
      <c r="AC71" s="446"/>
      <c r="AD71" s="446"/>
      <c r="AE71" s="446"/>
      <c r="AF71" s="446"/>
      <c r="AG71" s="446"/>
      <c r="AH71" s="446"/>
      <c r="AI71" s="446"/>
      <c r="AJ71" s="446"/>
      <c r="AK71" s="446"/>
    </row>
    <row r="72" spans="1:37" s="445" customFormat="1" ht="15">
      <c r="A72" s="461" t="s">
        <v>599</v>
      </c>
      <c r="B72" s="461"/>
      <c r="C72" s="449" t="e">
        <f t="shared" si="10"/>
        <v>#DIV/0!</v>
      </c>
      <c r="D72" s="461"/>
      <c r="E72" s="449" t="e">
        <f t="shared" si="11"/>
        <v>#DIV/0!</v>
      </c>
      <c r="F72" s="461"/>
      <c r="G72" s="450" t="e">
        <f t="shared" si="12"/>
        <v>#DIV/0!</v>
      </c>
      <c r="H72" s="451" t="e">
        <f t="shared" si="13"/>
        <v>#DIV/0!</v>
      </c>
      <c r="R72" s="446"/>
      <c r="S72" s="446"/>
      <c r="T72" s="446"/>
      <c r="U72" s="446"/>
      <c r="V72" s="446"/>
      <c r="W72" s="446"/>
      <c r="X72" s="446"/>
      <c r="Y72" s="446"/>
      <c r="Z72" s="446"/>
      <c r="AA72" s="446"/>
      <c r="AB72" s="446"/>
      <c r="AC72" s="446"/>
      <c r="AD72" s="446"/>
      <c r="AE72" s="446"/>
      <c r="AF72" s="446"/>
      <c r="AG72" s="446"/>
      <c r="AH72" s="446"/>
      <c r="AI72" s="446"/>
      <c r="AJ72" s="446"/>
      <c r="AK72" s="446"/>
    </row>
    <row r="73" spans="1:37" s="445" customFormat="1" ht="15">
      <c r="A73" s="461" t="s">
        <v>599</v>
      </c>
      <c r="B73" s="461"/>
      <c r="C73" s="449" t="e">
        <f>B73/B$75</f>
        <v>#DIV/0!</v>
      </c>
      <c r="D73" s="461"/>
      <c r="E73" s="449" t="e">
        <f t="shared" si="11"/>
        <v>#DIV/0!</v>
      </c>
      <c r="F73" s="461"/>
      <c r="G73" s="450" t="e">
        <f t="shared" si="12"/>
        <v>#DIV/0!</v>
      </c>
      <c r="H73" s="451" t="e">
        <f t="shared" si="13"/>
        <v>#DIV/0!</v>
      </c>
      <c r="R73" s="446"/>
      <c r="S73" s="446"/>
      <c r="T73" s="446"/>
      <c r="U73" s="446"/>
      <c r="V73" s="446"/>
      <c r="W73" s="446"/>
      <c r="X73" s="446"/>
      <c r="Y73" s="446"/>
      <c r="Z73" s="446"/>
      <c r="AA73" s="446"/>
      <c r="AB73" s="446"/>
      <c r="AC73" s="446"/>
      <c r="AD73" s="446"/>
      <c r="AE73" s="446"/>
      <c r="AF73" s="446"/>
      <c r="AG73" s="446"/>
      <c r="AH73" s="446"/>
      <c r="AI73" s="446"/>
      <c r="AJ73" s="446"/>
      <c r="AK73" s="446"/>
    </row>
    <row r="74" spans="1:37" s="445" customFormat="1" ht="15">
      <c r="A74" s="461" t="s">
        <v>599</v>
      </c>
      <c r="B74" s="461"/>
      <c r="C74" s="449" t="e">
        <f t="shared" si="10"/>
        <v>#DIV/0!</v>
      </c>
      <c r="D74" s="461"/>
      <c r="E74" s="449" t="e">
        <f t="shared" si="11"/>
        <v>#DIV/0!</v>
      </c>
      <c r="F74" s="461"/>
      <c r="G74" s="450" t="e">
        <f t="shared" si="12"/>
        <v>#DIV/0!</v>
      </c>
      <c r="H74" s="451" t="e">
        <f t="shared" si="13"/>
        <v>#DIV/0!</v>
      </c>
      <c r="R74" s="446"/>
      <c r="S74" s="446"/>
      <c r="T74" s="446"/>
      <c r="U74" s="446"/>
      <c r="V74" s="446"/>
      <c r="W74" s="446"/>
      <c r="X74" s="446"/>
      <c r="Y74" s="446"/>
      <c r="Z74" s="446"/>
      <c r="AA74" s="446"/>
      <c r="AB74" s="446"/>
      <c r="AC74" s="446"/>
      <c r="AD74" s="446"/>
      <c r="AE74" s="446"/>
      <c r="AF74" s="446"/>
      <c r="AG74" s="446"/>
      <c r="AH74" s="446"/>
      <c r="AI74" s="446"/>
      <c r="AJ74" s="446"/>
      <c r="AK74" s="446"/>
    </row>
    <row r="75" spans="1:37" s="445" customFormat="1" ht="15">
      <c r="A75" s="452" t="s">
        <v>33</v>
      </c>
      <c r="B75" s="453">
        <f>SUM(B66:B74)</f>
        <v>0</v>
      </c>
      <c r="C75" s="454" t="e">
        <f>SUM(C66:C74)</f>
        <v>#DIV/0!</v>
      </c>
      <c r="D75" s="453">
        <f>SUM(D66:D74)</f>
        <v>0</v>
      </c>
      <c r="E75" s="454" t="e">
        <f>SUM(E66:E74)</f>
        <v>#DIV/0!</v>
      </c>
      <c r="F75" s="453">
        <f>SUM(F66:F74)</f>
        <v>0</v>
      </c>
      <c r="G75" s="454" t="e">
        <f>+F75/B75</f>
        <v>#DIV/0!</v>
      </c>
      <c r="H75" s="455" t="e">
        <f>B75/D75</f>
        <v>#DIV/0!</v>
      </c>
      <c r="R75" s="446"/>
      <c r="S75" s="446"/>
      <c r="T75" s="446"/>
      <c r="U75" s="446"/>
      <c r="V75" s="446"/>
      <c r="W75" s="446"/>
      <c r="X75" s="446"/>
      <c r="Y75" s="446"/>
      <c r="Z75" s="446"/>
      <c r="AA75" s="446"/>
      <c r="AB75" s="446"/>
      <c r="AC75" s="446"/>
      <c r="AD75" s="446"/>
      <c r="AE75" s="446"/>
      <c r="AF75" s="446"/>
      <c r="AG75" s="446"/>
      <c r="AH75" s="446"/>
      <c r="AI75" s="446"/>
      <c r="AJ75" s="446"/>
      <c r="AK75" s="446"/>
    </row>
    <row r="76" spans="1:37" s="445" customFormat="1" outlineLevel="1">
      <c r="A76" s="235" t="s">
        <v>895</v>
      </c>
      <c r="B76" s="768" t="e">
        <f ca="1">IF(B75='Hist &amp; Proj'!$AE$22,0,ABS(B75-'Hist &amp; Proj'!$AE$22))</f>
        <v>#N/A</v>
      </c>
      <c r="C76" s="456"/>
      <c r="D76" s="768" t="e">
        <f ca="1">IF(D75='Hist &amp; Proj'!$AE$118,0,ABS(D75-'Hist &amp; Proj'!$AE$118))</f>
        <v>#N/A</v>
      </c>
      <c r="E76" s="768"/>
      <c r="F76" s="768" t="e">
        <f ca="1">IF(F75='Hist &amp; Proj'!$AE$87,0,ABS(F75-'Hist &amp; Proj'!$AE$87))</f>
        <v>#N/A</v>
      </c>
      <c r="R76" s="446"/>
      <c r="S76" s="446"/>
      <c r="T76" s="446"/>
      <c r="U76" s="446"/>
      <c r="V76" s="446"/>
      <c r="W76" s="446"/>
      <c r="X76" s="446"/>
      <c r="Y76" s="446"/>
      <c r="Z76" s="446"/>
      <c r="AA76" s="446"/>
      <c r="AB76" s="446"/>
      <c r="AC76" s="446"/>
      <c r="AD76" s="446"/>
      <c r="AE76" s="446"/>
      <c r="AF76" s="446"/>
      <c r="AG76" s="446"/>
      <c r="AH76" s="446"/>
      <c r="AI76" s="446"/>
      <c r="AJ76" s="446"/>
      <c r="AK76" s="446"/>
    </row>
    <row r="77" spans="1:37" s="445" customFormat="1">
      <c r="D77" s="456"/>
      <c r="R77" s="446"/>
      <c r="S77" s="446"/>
      <c r="T77" s="446"/>
      <c r="U77" s="446"/>
      <c r="V77" s="446"/>
      <c r="W77" s="446"/>
      <c r="X77" s="446"/>
      <c r="Y77" s="446"/>
      <c r="Z77" s="446"/>
      <c r="AA77" s="446"/>
      <c r="AB77" s="446"/>
      <c r="AC77" s="446"/>
      <c r="AD77" s="446"/>
      <c r="AE77" s="446"/>
      <c r="AF77" s="446"/>
      <c r="AG77" s="446"/>
      <c r="AH77" s="446"/>
      <c r="AI77" s="446"/>
      <c r="AJ77" s="446"/>
      <c r="AK77" s="446"/>
    </row>
    <row r="78" spans="1:37" s="445" customFormat="1" hidden="1">
      <c r="D78" s="456"/>
      <c r="R78" s="446"/>
      <c r="S78" s="446"/>
      <c r="T78" s="446"/>
      <c r="U78" s="446"/>
      <c r="V78" s="446"/>
      <c r="W78" s="446"/>
      <c r="X78" s="446"/>
      <c r="Y78" s="446"/>
      <c r="Z78" s="446"/>
      <c r="AA78" s="446"/>
      <c r="AB78" s="446"/>
      <c r="AC78" s="446"/>
      <c r="AD78" s="446"/>
      <c r="AE78" s="446"/>
      <c r="AF78" s="446"/>
      <c r="AG78" s="446"/>
      <c r="AH78" s="446"/>
      <c r="AI78" s="446"/>
      <c r="AJ78" s="446"/>
      <c r="AK78" s="446"/>
    </row>
    <row r="79" spans="1:37" s="445" customFormat="1" ht="18.75" hidden="1">
      <c r="A79" s="442" t="s">
        <v>902</v>
      </c>
      <c r="R79" s="446"/>
      <c r="S79" s="446"/>
      <c r="T79" s="446"/>
      <c r="U79" s="446"/>
      <c r="V79" s="446"/>
      <c r="W79" s="446"/>
      <c r="X79" s="446"/>
      <c r="Y79" s="446"/>
      <c r="Z79" s="446"/>
      <c r="AA79" s="446"/>
      <c r="AB79" s="446"/>
      <c r="AC79" s="446"/>
      <c r="AD79" s="446"/>
      <c r="AE79" s="446"/>
      <c r="AF79" s="446"/>
      <c r="AG79" s="446"/>
      <c r="AH79" s="446"/>
      <c r="AI79" s="446"/>
      <c r="AJ79" s="446"/>
      <c r="AK79" s="446"/>
    </row>
    <row r="80" spans="1:37" s="445" customFormat="1" hidden="1">
      <c r="A80" s="250" t="e">
        <f ca="1">$A$52</f>
        <v>#N/A</v>
      </c>
      <c r="B80" s="443"/>
      <c r="C80" s="443"/>
      <c r="D80" s="443"/>
      <c r="E80" s="443"/>
      <c r="H80" s="448"/>
      <c r="R80" s="446"/>
      <c r="S80" s="446"/>
      <c r="T80" s="446"/>
      <c r="U80" s="446"/>
      <c r="V80" s="446"/>
      <c r="W80" s="446"/>
      <c r="X80" s="446"/>
      <c r="Y80" s="446"/>
      <c r="Z80" s="446"/>
      <c r="AA80" s="446"/>
      <c r="AB80" s="446"/>
      <c r="AC80" s="446"/>
      <c r="AD80" s="446"/>
      <c r="AE80" s="446"/>
      <c r="AF80" s="446"/>
      <c r="AG80" s="446"/>
      <c r="AH80" s="446"/>
      <c r="AI80" s="446"/>
      <c r="AJ80" s="446"/>
      <c r="AK80" s="446"/>
    </row>
    <row r="81" spans="1:37" s="445" customFormat="1" hidden="1">
      <c r="A81" s="508">
        <f>'Gen Info'!$B$50</f>
        <v>0</v>
      </c>
      <c r="B81" s="443"/>
      <c r="C81" s="443"/>
      <c r="D81" s="443"/>
      <c r="E81" s="443"/>
      <c r="H81" s="448"/>
      <c r="R81" s="446"/>
      <c r="S81" s="446"/>
      <c r="T81" s="446"/>
      <c r="U81" s="446"/>
      <c r="V81" s="446"/>
      <c r="W81" s="446"/>
      <c r="X81" s="446"/>
      <c r="Y81" s="446"/>
      <c r="Z81" s="446"/>
      <c r="AA81" s="446"/>
      <c r="AB81" s="446"/>
      <c r="AC81" s="446"/>
      <c r="AD81" s="446"/>
      <c r="AE81" s="446"/>
      <c r="AF81" s="446"/>
      <c r="AG81" s="446"/>
      <c r="AH81" s="446"/>
      <c r="AI81" s="446"/>
      <c r="AJ81" s="446"/>
      <c r="AK81" s="446"/>
    </row>
    <row r="82" spans="1:37" s="445" customFormat="1" ht="30" hidden="1">
      <c r="A82" s="751" t="s">
        <v>903</v>
      </c>
      <c r="B82" s="752" t="s">
        <v>591</v>
      </c>
      <c r="C82" s="752" t="s">
        <v>592</v>
      </c>
      <c r="D82" s="752" t="s">
        <v>57</v>
      </c>
      <c r="E82" s="752" t="s">
        <v>592</v>
      </c>
      <c r="F82" s="752" t="s">
        <v>593</v>
      </c>
      <c r="G82" s="752" t="s">
        <v>594</v>
      </c>
      <c r="H82" s="752" t="s">
        <v>65</v>
      </c>
      <c r="R82" s="446"/>
      <c r="S82" s="446"/>
      <c r="T82" s="446"/>
      <c r="U82" s="446"/>
      <c r="V82" s="446"/>
      <c r="W82" s="446"/>
      <c r="X82" s="446"/>
      <c r="Y82" s="446"/>
      <c r="Z82" s="446"/>
      <c r="AA82" s="446"/>
      <c r="AB82" s="446"/>
      <c r="AC82" s="446"/>
      <c r="AD82" s="446"/>
      <c r="AE82" s="446"/>
      <c r="AF82" s="446"/>
      <c r="AG82" s="446"/>
      <c r="AH82" s="446"/>
      <c r="AI82" s="446"/>
      <c r="AJ82" s="446"/>
      <c r="AK82" s="446"/>
    </row>
    <row r="83" spans="1:37" s="445" customFormat="1" ht="15" hidden="1">
      <c r="A83" s="460" t="s">
        <v>927</v>
      </c>
      <c r="B83" s="461"/>
      <c r="C83" s="449" t="e">
        <f>B83/$B$94</f>
        <v>#DIV/0!</v>
      </c>
      <c r="D83" s="461"/>
      <c r="E83" s="449" t="e">
        <f>D83/$D$94</f>
        <v>#DIV/0!</v>
      </c>
      <c r="F83" s="461"/>
      <c r="G83" s="730" t="e">
        <f>+F83/B83</f>
        <v>#DIV/0!</v>
      </c>
      <c r="H83" s="451" t="e">
        <f>B83/D83</f>
        <v>#DIV/0!</v>
      </c>
      <c r="R83" s="446"/>
      <c r="S83" s="446"/>
      <c r="T83" s="446"/>
      <c r="U83" s="446"/>
      <c r="V83" s="446"/>
      <c r="W83" s="446"/>
      <c r="X83" s="446"/>
      <c r="Y83" s="446"/>
      <c r="Z83" s="446"/>
      <c r="AA83" s="446"/>
      <c r="AB83" s="446"/>
      <c r="AC83" s="446"/>
      <c r="AD83" s="446"/>
      <c r="AE83" s="446"/>
      <c r="AF83" s="446"/>
      <c r="AG83" s="446"/>
      <c r="AH83" s="446"/>
      <c r="AI83" s="446"/>
      <c r="AJ83" s="446"/>
      <c r="AK83" s="446"/>
    </row>
    <row r="84" spans="1:37" s="445" customFormat="1" ht="15" hidden="1">
      <c r="A84" s="460"/>
      <c r="B84" s="461"/>
      <c r="C84" s="449" t="e">
        <f t="shared" ref="C84:C93" si="14">B84/$B$94</f>
        <v>#DIV/0!</v>
      </c>
      <c r="D84" s="461"/>
      <c r="E84" s="449" t="e">
        <f t="shared" ref="E84:E93" si="15">D84/$D$94</f>
        <v>#DIV/0!</v>
      </c>
      <c r="F84" s="461"/>
      <c r="G84" s="450" t="e">
        <f t="shared" ref="G84:G93" si="16">+F84/B84</f>
        <v>#DIV/0!</v>
      </c>
      <c r="H84" s="451" t="e">
        <f t="shared" ref="H84:H93" si="17">B84/D84</f>
        <v>#DIV/0!</v>
      </c>
      <c r="R84" s="446"/>
      <c r="S84" s="446"/>
      <c r="T84" s="446"/>
      <c r="U84" s="446"/>
      <c r="V84" s="446"/>
      <c r="W84" s="446"/>
      <c r="X84" s="446"/>
      <c r="Y84" s="446"/>
      <c r="Z84" s="446"/>
      <c r="AA84" s="446"/>
      <c r="AB84" s="446"/>
      <c r="AC84" s="446"/>
      <c r="AD84" s="446"/>
      <c r="AE84" s="446"/>
      <c r="AF84" s="446"/>
      <c r="AG84" s="446"/>
      <c r="AH84" s="446"/>
      <c r="AI84" s="446"/>
      <c r="AJ84" s="446"/>
      <c r="AK84" s="446"/>
    </row>
    <row r="85" spans="1:37" s="445" customFormat="1" ht="15" hidden="1">
      <c r="A85" s="460"/>
      <c r="B85" s="461"/>
      <c r="C85" s="449" t="e">
        <f t="shared" si="14"/>
        <v>#DIV/0!</v>
      </c>
      <c r="D85" s="461"/>
      <c r="E85" s="449" t="e">
        <f t="shared" si="15"/>
        <v>#DIV/0!</v>
      </c>
      <c r="F85" s="461"/>
      <c r="G85" s="450" t="e">
        <f t="shared" si="16"/>
        <v>#DIV/0!</v>
      </c>
      <c r="H85" s="451" t="e">
        <f t="shared" si="17"/>
        <v>#DIV/0!</v>
      </c>
      <c r="R85" s="446"/>
      <c r="S85" s="446"/>
      <c r="T85" s="446"/>
      <c r="U85" s="446"/>
      <c r="V85" s="446"/>
      <c r="W85" s="446"/>
      <c r="X85" s="446"/>
      <c r="Y85" s="446"/>
      <c r="Z85" s="446"/>
      <c r="AA85" s="446"/>
      <c r="AB85" s="446"/>
      <c r="AC85" s="446"/>
      <c r="AD85" s="446"/>
      <c r="AE85" s="446"/>
      <c r="AF85" s="446"/>
      <c r="AG85" s="446"/>
      <c r="AH85" s="446"/>
      <c r="AI85" s="446"/>
      <c r="AJ85" s="446"/>
      <c r="AK85" s="446"/>
    </row>
    <row r="86" spans="1:37" s="445" customFormat="1" ht="15" hidden="1">
      <c r="A86" s="460"/>
      <c r="B86" s="461"/>
      <c r="C86" s="449" t="e">
        <f t="shared" si="14"/>
        <v>#DIV/0!</v>
      </c>
      <c r="D86" s="461"/>
      <c r="E86" s="449" t="e">
        <f t="shared" si="15"/>
        <v>#DIV/0!</v>
      </c>
      <c r="F86" s="461"/>
      <c r="G86" s="450" t="e">
        <f t="shared" si="16"/>
        <v>#DIV/0!</v>
      </c>
      <c r="H86" s="451" t="e">
        <f t="shared" si="17"/>
        <v>#DIV/0!</v>
      </c>
      <c r="R86" s="446"/>
      <c r="S86" s="446"/>
      <c r="T86" s="446"/>
      <c r="U86" s="446"/>
      <c r="V86" s="446"/>
      <c r="W86" s="446"/>
      <c r="X86" s="446"/>
      <c r="Y86" s="446"/>
      <c r="Z86" s="446"/>
      <c r="AA86" s="446"/>
      <c r="AB86" s="446"/>
      <c r="AC86" s="446"/>
      <c r="AD86" s="446"/>
      <c r="AE86" s="446"/>
      <c r="AF86" s="446"/>
      <c r="AG86" s="446"/>
      <c r="AH86" s="446"/>
      <c r="AI86" s="446"/>
      <c r="AJ86" s="446"/>
      <c r="AK86" s="446"/>
    </row>
    <row r="87" spans="1:37" s="445" customFormat="1" ht="15" hidden="1">
      <c r="A87" s="460"/>
      <c r="B87" s="461"/>
      <c r="C87" s="449" t="e">
        <f t="shared" si="14"/>
        <v>#DIV/0!</v>
      </c>
      <c r="D87" s="461"/>
      <c r="E87" s="449" t="e">
        <f t="shared" si="15"/>
        <v>#DIV/0!</v>
      </c>
      <c r="F87" s="461"/>
      <c r="G87" s="450" t="e">
        <f t="shared" si="16"/>
        <v>#DIV/0!</v>
      </c>
      <c r="H87" s="451" t="e">
        <f t="shared" si="17"/>
        <v>#DIV/0!</v>
      </c>
      <c r="R87" s="446"/>
      <c r="S87" s="446"/>
      <c r="T87" s="446"/>
      <c r="U87" s="446"/>
      <c r="V87" s="446"/>
      <c r="W87" s="446"/>
      <c r="X87" s="446"/>
      <c r="Y87" s="446"/>
      <c r="Z87" s="446"/>
      <c r="AA87" s="446"/>
      <c r="AB87" s="446"/>
      <c r="AC87" s="446"/>
      <c r="AD87" s="446"/>
      <c r="AE87" s="446"/>
      <c r="AF87" s="446"/>
      <c r="AG87" s="446"/>
      <c r="AH87" s="446"/>
      <c r="AI87" s="446"/>
      <c r="AJ87" s="446"/>
      <c r="AK87" s="446"/>
    </row>
    <row r="88" spans="1:37" s="445" customFormat="1" ht="15" hidden="1">
      <c r="A88" s="460"/>
      <c r="B88" s="461"/>
      <c r="C88" s="449" t="e">
        <f t="shared" si="14"/>
        <v>#DIV/0!</v>
      </c>
      <c r="D88" s="461"/>
      <c r="E88" s="449" t="e">
        <f t="shared" si="15"/>
        <v>#DIV/0!</v>
      </c>
      <c r="F88" s="461"/>
      <c r="G88" s="450" t="e">
        <f t="shared" si="16"/>
        <v>#DIV/0!</v>
      </c>
      <c r="H88" s="451" t="e">
        <f t="shared" si="17"/>
        <v>#DIV/0!</v>
      </c>
      <c r="R88" s="446"/>
      <c r="S88" s="446"/>
      <c r="T88" s="446"/>
      <c r="U88" s="446"/>
      <c r="V88" s="446"/>
      <c r="W88" s="446"/>
      <c r="X88" s="446"/>
      <c r="Y88" s="446"/>
      <c r="Z88" s="446"/>
      <c r="AA88" s="446"/>
      <c r="AB88" s="446"/>
      <c r="AC88" s="446"/>
      <c r="AD88" s="446"/>
      <c r="AE88" s="446"/>
      <c r="AF88" s="446"/>
      <c r="AG88" s="446"/>
      <c r="AH88" s="446"/>
      <c r="AI88" s="446"/>
      <c r="AJ88" s="446"/>
      <c r="AK88" s="446"/>
    </row>
    <row r="89" spans="1:37" s="445" customFormat="1" ht="15" hidden="1">
      <c r="A89" s="460"/>
      <c r="B89" s="461"/>
      <c r="C89" s="449" t="e">
        <f t="shared" si="14"/>
        <v>#DIV/0!</v>
      </c>
      <c r="D89" s="461"/>
      <c r="E89" s="449" t="e">
        <f t="shared" si="15"/>
        <v>#DIV/0!</v>
      </c>
      <c r="F89" s="461"/>
      <c r="G89" s="450" t="e">
        <f t="shared" si="16"/>
        <v>#DIV/0!</v>
      </c>
      <c r="H89" s="451" t="e">
        <f t="shared" si="17"/>
        <v>#DIV/0!</v>
      </c>
      <c r="R89" s="446"/>
      <c r="S89" s="446"/>
      <c r="T89" s="446"/>
      <c r="U89" s="446"/>
      <c r="V89" s="446"/>
      <c r="W89" s="446"/>
      <c r="X89" s="446"/>
      <c r="Y89" s="446"/>
      <c r="Z89" s="446"/>
      <c r="AA89" s="446"/>
      <c r="AB89" s="446"/>
      <c r="AC89" s="446"/>
      <c r="AD89" s="446"/>
      <c r="AE89" s="446"/>
      <c r="AF89" s="446"/>
      <c r="AG89" s="446"/>
      <c r="AH89" s="446"/>
      <c r="AI89" s="446"/>
      <c r="AJ89" s="446"/>
      <c r="AK89" s="446"/>
    </row>
    <row r="90" spans="1:37" s="445" customFormat="1" ht="15" hidden="1">
      <c r="A90" s="460"/>
      <c r="B90" s="461"/>
      <c r="C90" s="449" t="e">
        <f t="shared" si="14"/>
        <v>#DIV/0!</v>
      </c>
      <c r="D90" s="461"/>
      <c r="E90" s="449" t="e">
        <f t="shared" si="15"/>
        <v>#DIV/0!</v>
      </c>
      <c r="F90" s="461"/>
      <c r="G90" s="450" t="e">
        <f t="shared" si="16"/>
        <v>#DIV/0!</v>
      </c>
      <c r="H90" s="451" t="e">
        <f t="shared" si="17"/>
        <v>#DIV/0!</v>
      </c>
      <c r="R90" s="446"/>
      <c r="S90" s="446"/>
      <c r="T90" s="446"/>
      <c r="U90" s="446"/>
      <c r="V90" s="446"/>
      <c r="W90" s="446"/>
      <c r="X90" s="446"/>
      <c r="Y90" s="446"/>
      <c r="Z90" s="446"/>
      <c r="AA90" s="446"/>
      <c r="AB90" s="446"/>
      <c r="AC90" s="446"/>
      <c r="AD90" s="446"/>
      <c r="AE90" s="446"/>
      <c r="AF90" s="446"/>
      <c r="AG90" s="446"/>
      <c r="AH90" s="446"/>
      <c r="AI90" s="446"/>
      <c r="AJ90" s="446"/>
      <c r="AK90" s="446"/>
    </row>
    <row r="91" spans="1:37" s="445" customFormat="1" ht="15" hidden="1">
      <c r="A91" s="460"/>
      <c r="B91" s="461"/>
      <c r="C91" s="449" t="e">
        <f t="shared" si="14"/>
        <v>#DIV/0!</v>
      </c>
      <c r="D91" s="461"/>
      <c r="E91" s="449" t="e">
        <f t="shared" si="15"/>
        <v>#DIV/0!</v>
      </c>
      <c r="F91" s="461"/>
      <c r="G91" s="450" t="e">
        <f t="shared" si="16"/>
        <v>#DIV/0!</v>
      </c>
      <c r="H91" s="451" t="e">
        <f t="shared" si="17"/>
        <v>#DIV/0!</v>
      </c>
      <c r="R91" s="446"/>
      <c r="S91" s="446"/>
      <c r="T91" s="446"/>
      <c r="U91" s="446"/>
      <c r="V91" s="446"/>
      <c r="W91" s="446"/>
      <c r="X91" s="446"/>
      <c r="Y91" s="446"/>
      <c r="Z91" s="446"/>
      <c r="AA91" s="446"/>
      <c r="AB91" s="446"/>
      <c r="AC91" s="446"/>
      <c r="AD91" s="446"/>
      <c r="AE91" s="446"/>
      <c r="AF91" s="446"/>
      <c r="AG91" s="446"/>
      <c r="AH91" s="446"/>
      <c r="AI91" s="446"/>
      <c r="AJ91" s="446"/>
      <c r="AK91" s="446"/>
    </row>
    <row r="92" spans="1:37" s="445" customFormat="1" ht="15" hidden="1">
      <c r="A92" s="460"/>
      <c r="B92" s="461"/>
      <c r="C92" s="449" t="e">
        <f t="shared" si="14"/>
        <v>#DIV/0!</v>
      </c>
      <c r="D92" s="461"/>
      <c r="E92" s="449" t="e">
        <f t="shared" si="15"/>
        <v>#DIV/0!</v>
      </c>
      <c r="F92" s="461"/>
      <c r="G92" s="450" t="e">
        <f t="shared" si="16"/>
        <v>#DIV/0!</v>
      </c>
      <c r="H92" s="451" t="e">
        <f t="shared" si="17"/>
        <v>#DIV/0!</v>
      </c>
      <c r="R92" s="446"/>
      <c r="S92" s="446"/>
      <c r="T92" s="446"/>
      <c r="U92" s="446"/>
      <c r="V92" s="446"/>
      <c r="W92" s="446"/>
      <c r="X92" s="446"/>
      <c r="Y92" s="446"/>
      <c r="Z92" s="446"/>
      <c r="AA92" s="446"/>
      <c r="AB92" s="446"/>
      <c r="AC92" s="446"/>
      <c r="AD92" s="446"/>
      <c r="AE92" s="446"/>
      <c r="AF92" s="446"/>
      <c r="AG92" s="446"/>
      <c r="AH92" s="446"/>
      <c r="AI92" s="446"/>
      <c r="AJ92" s="446"/>
      <c r="AK92" s="446"/>
    </row>
    <row r="93" spans="1:37" s="445" customFormat="1" ht="15" hidden="1">
      <c r="A93" s="460"/>
      <c r="B93" s="461"/>
      <c r="C93" s="449" t="e">
        <f t="shared" si="14"/>
        <v>#DIV/0!</v>
      </c>
      <c r="D93" s="461"/>
      <c r="E93" s="449" t="e">
        <f t="shared" si="15"/>
        <v>#DIV/0!</v>
      </c>
      <c r="F93" s="461"/>
      <c r="G93" s="450" t="e">
        <f t="shared" si="16"/>
        <v>#DIV/0!</v>
      </c>
      <c r="H93" s="451" t="e">
        <f t="shared" si="17"/>
        <v>#DIV/0!</v>
      </c>
      <c r="R93" s="446"/>
      <c r="S93" s="446"/>
      <c r="T93" s="446"/>
      <c r="U93" s="446"/>
      <c r="V93" s="446"/>
      <c r="W93" s="446"/>
      <c r="X93" s="446"/>
      <c r="Y93" s="446"/>
      <c r="Z93" s="446"/>
      <c r="AA93" s="446"/>
      <c r="AB93" s="446"/>
      <c r="AC93" s="446"/>
      <c r="AD93" s="446"/>
      <c r="AE93" s="446"/>
      <c r="AF93" s="446"/>
      <c r="AG93" s="446"/>
      <c r="AH93" s="446"/>
      <c r="AI93" s="446"/>
      <c r="AJ93" s="446"/>
      <c r="AK93" s="446"/>
    </row>
    <row r="94" spans="1:37" s="445" customFormat="1" ht="15" hidden="1">
      <c r="A94" s="452" t="s">
        <v>33</v>
      </c>
      <c r="B94" s="453">
        <f>SUM(B83:B93)</f>
        <v>0</v>
      </c>
      <c r="C94" s="454" t="e">
        <f>SUM(C83:C93)</f>
        <v>#DIV/0!</v>
      </c>
      <c r="D94" s="453">
        <f>SUM(D83:D93)</f>
        <v>0</v>
      </c>
      <c r="E94" s="454" t="e">
        <f>SUM(E83:E93)</f>
        <v>#DIV/0!</v>
      </c>
      <c r="F94" s="453">
        <f>SUM(F83:F93)</f>
        <v>0</v>
      </c>
      <c r="G94" s="454" t="e">
        <f>+F94/B94</f>
        <v>#DIV/0!</v>
      </c>
      <c r="H94" s="455" t="e">
        <f>B94/D94</f>
        <v>#DIV/0!</v>
      </c>
      <c r="R94" s="446"/>
      <c r="S94" s="446"/>
      <c r="T94" s="446"/>
      <c r="U94" s="446"/>
      <c r="V94" s="446"/>
      <c r="W94" s="446"/>
      <c r="X94" s="446"/>
      <c r="Y94" s="446"/>
      <c r="Z94" s="446"/>
      <c r="AA94" s="446"/>
      <c r="AB94" s="446"/>
      <c r="AC94" s="446"/>
      <c r="AD94" s="446"/>
      <c r="AE94" s="446"/>
      <c r="AF94" s="446"/>
      <c r="AG94" s="446"/>
      <c r="AH94" s="446"/>
      <c r="AI94" s="446"/>
      <c r="AJ94" s="446"/>
      <c r="AK94" s="446"/>
    </row>
    <row r="95" spans="1:37" s="445" customFormat="1" hidden="1" outlineLevel="1">
      <c r="A95" s="235" t="s">
        <v>895</v>
      </c>
      <c r="B95" s="768" t="e">
        <f ca="1">IF(B94='Hist &amp; Proj'!$AE$22,0,ABS(B94-'Hist &amp; Proj'!$AE$22))</f>
        <v>#N/A</v>
      </c>
      <c r="C95" s="456"/>
      <c r="D95" s="768" t="e">
        <f ca="1">IF(D94='Hist &amp; Proj'!$AE$118,0,ABS(D94-'Hist &amp; Proj'!$AE$118))</f>
        <v>#N/A</v>
      </c>
      <c r="E95" s="768"/>
      <c r="F95" s="768" t="e">
        <f ca="1">IF(F94='Hist &amp; Proj'!$AE$87,0,ABS(F94-'Hist &amp; Proj'!$AE$87))</f>
        <v>#N/A</v>
      </c>
      <c r="R95" s="446"/>
      <c r="S95" s="446"/>
      <c r="T95" s="446"/>
      <c r="U95" s="446"/>
      <c r="V95" s="446"/>
      <c r="W95" s="446"/>
      <c r="X95" s="446"/>
      <c r="Y95" s="446"/>
      <c r="Z95" s="446"/>
      <c r="AA95" s="446"/>
      <c r="AB95" s="446"/>
      <c r="AC95" s="446"/>
      <c r="AD95" s="446"/>
      <c r="AE95" s="446"/>
      <c r="AF95" s="446"/>
      <c r="AG95" s="446"/>
      <c r="AH95" s="446"/>
      <c r="AI95" s="446"/>
      <c r="AJ95" s="446"/>
      <c r="AK95" s="446"/>
    </row>
    <row r="96" spans="1:37" s="445" customFormat="1" collapsed="1">
      <c r="R96" s="446"/>
      <c r="S96" s="446"/>
      <c r="T96" s="446"/>
      <c r="U96" s="446"/>
      <c r="V96" s="446"/>
      <c r="W96" s="446"/>
      <c r="X96" s="446"/>
      <c r="Y96" s="446"/>
      <c r="Z96" s="446"/>
      <c r="AA96" s="446"/>
      <c r="AB96" s="446"/>
      <c r="AC96" s="446"/>
      <c r="AD96" s="446"/>
      <c r="AE96" s="446"/>
      <c r="AF96" s="446"/>
      <c r="AG96" s="446"/>
      <c r="AH96" s="446"/>
      <c r="AI96" s="446"/>
      <c r="AJ96" s="446"/>
      <c r="AK96" s="446"/>
    </row>
    <row r="97" spans="1:37" s="445" customFormat="1">
      <c r="D97" s="456"/>
      <c r="R97" s="446"/>
      <c r="S97" s="446"/>
      <c r="T97" s="446"/>
      <c r="U97" s="446"/>
      <c r="V97" s="446"/>
      <c r="W97" s="446"/>
      <c r="X97" s="446"/>
      <c r="Y97" s="446"/>
      <c r="Z97" s="446"/>
      <c r="AA97" s="446"/>
      <c r="AB97" s="446"/>
      <c r="AC97" s="446"/>
      <c r="AD97" s="446"/>
      <c r="AE97" s="446"/>
      <c r="AF97" s="446"/>
      <c r="AG97" s="446"/>
      <c r="AH97" s="446"/>
      <c r="AI97" s="446"/>
      <c r="AJ97" s="446"/>
      <c r="AK97" s="446"/>
    </row>
    <row r="98" spans="1:37" s="445" customFormat="1" ht="18.75">
      <c r="A98" s="442" t="s">
        <v>612</v>
      </c>
      <c r="R98" s="446"/>
      <c r="S98" s="446"/>
      <c r="T98" s="446"/>
      <c r="U98" s="446"/>
      <c r="V98" s="446"/>
      <c r="W98" s="446"/>
      <c r="X98" s="446"/>
      <c r="Y98" s="446"/>
      <c r="Z98" s="446"/>
      <c r="AA98" s="446"/>
      <c r="AB98" s="446"/>
      <c r="AC98" s="446"/>
      <c r="AD98" s="446"/>
      <c r="AE98" s="446"/>
      <c r="AF98" s="446"/>
      <c r="AG98" s="446"/>
      <c r="AH98" s="446"/>
      <c r="AI98" s="446"/>
      <c r="AJ98" s="446"/>
      <c r="AK98" s="446"/>
    </row>
    <row r="99" spans="1:37" s="445" customFormat="1">
      <c r="A99" s="250" t="e">
        <f ca="1">$A$52</f>
        <v>#N/A</v>
      </c>
      <c r="B99" s="443"/>
      <c r="C99" s="443"/>
      <c r="D99" s="443"/>
      <c r="E99" s="443"/>
      <c r="H99" s="448"/>
      <c r="R99" s="446"/>
      <c r="S99" s="446"/>
      <c r="T99" s="446"/>
      <c r="U99" s="446"/>
      <c r="V99" s="446"/>
      <c r="W99" s="446"/>
      <c r="X99" s="446"/>
      <c r="Y99" s="446"/>
      <c r="Z99" s="446"/>
      <c r="AA99" s="446"/>
      <c r="AB99" s="446"/>
      <c r="AC99" s="446"/>
      <c r="AD99" s="446"/>
      <c r="AE99" s="446"/>
      <c r="AF99" s="446"/>
      <c r="AG99" s="446"/>
      <c r="AH99" s="446"/>
      <c r="AI99" s="446"/>
      <c r="AJ99" s="446"/>
      <c r="AK99" s="446"/>
    </row>
    <row r="100" spans="1:37" s="445" customFormat="1">
      <c r="A100" s="508">
        <f>'Gen Info'!$B$50</f>
        <v>0</v>
      </c>
      <c r="B100" s="443"/>
      <c r="C100" s="443"/>
      <c r="D100" s="443"/>
      <c r="E100" s="443"/>
      <c r="H100" s="448"/>
      <c r="R100" s="446"/>
      <c r="S100" s="446"/>
      <c r="T100" s="446"/>
      <c r="U100" s="446"/>
      <c r="V100" s="446"/>
      <c r="W100" s="446"/>
      <c r="X100" s="446"/>
      <c r="Y100" s="446"/>
      <c r="Z100" s="446"/>
      <c r="AA100" s="446"/>
      <c r="AB100" s="446"/>
      <c r="AC100" s="446"/>
      <c r="AD100" s="446"/>
      <c r="AE100" s="446"/>
      <c r="AF100" s="446"/>
      <c r="AG100" s="446"/>
      <c r="AH100" s="446"/>
      <c r="AI100" s="446"/>
      <c r="AJ100" s="446"/>
      <c r="AK100" s="446"/>
    </row>
    <row r="101" spans="1:37" s="445" customFormat="1" ht="30">
      <c r="A101" s="751" t="s">
        <v>613</v>
      </c>
      <c r="B101" s="752" t="s">
        <v>591</v>
      </c>
      <c r="C101" s="752" t="s">
        <v>592</v>
      </c>
      <c r="D101" s="752" t="s">
        <v>57</v>
      </c>
      <c r="E101" s="752" t="s">
        <v>592</v>
      </c>
      <c r="F101" s="752" t="s">
        <v>593</v>
      </c>
      <c r="G101" s="752" t="s">
        <v>594</v>
      </c>
      <c r="H101" s="752" t="s">
        <v>65</v>
      </c>
      <c r="R101" s="446"/>
      <c r="S101" s="446"/>
      <c r="T101" s="446"/>
      <c r="U101" s="446"/>
      <c r="V101" s="446"/>
      <c r="W101" s="446"/>
      <c r="X101" s="446"/>
      <c r="Y101" s="446"/>
      <c r="Z101" s="446"/>
      <c r="AA101" s="446"/>
      <c r="AB101" s="446"/>
      <c r="AC101" s="446"/>
      <c r="AD101" s="446"/>
      <c r="AE101" s="446"/>
      <c r="AF101" s="446"/>
      <c r="AG101" s="446"/>
      <c r="AH101" s="446"/>
      <c r="AI101" s="446"/>
      <c r="AJ101" s="446"/>
      <c r="AK101" s="446"/>
    </row>
    <row r="102" spans="1:37" s="445" customFormat="1" ht="15">
      <c r="A102" s="460" t="s">
        <v>589</v>
      </c>
      <c r="B102" s="461"/>
      <c r="C102" s="449" t="e">
        <f t="shared" ref="C102:C107" si="18">B102/B$108</f>
        <v>#DIV/0!</v>
      </c>
      <c r="D102" s="461"/>
      <c r="E102" s="449" t="e">
        <f t="shared" ref="E102:E107" si="19">D102/D$108</f>
        <v>#DIV/0!</v>
      </c>
      <c r="F102" s="461"/>
      <c r="G102" s="450" t="e">
        <f t="shared" ref="G102:G107" si="20">+F102/B102</f>
        <v>#DIV/0!</v>
      </c>
      <c r="H102" s="451" t="e">
        <f t="shared" ref="H102:H107" si="21">B102/D102</f>
        <v>#DIV/0!</v>
      </c>
      <c r="R102" s="446"/>
      <c r="S102" s="446"/>
      <c r="T102" s="446"/>
      <c r="U102" s="446"/>
      <c r="V102" s="446"/>
      <c r="W102" s="446"/>
      <c r="X102" s="446"/>
      <c r="Y102" s="446"/>
      <c r="Z102" s="446"/>
      <c r="AA102" s="446"/>
      <c r="AB102" s="446"/>
      <c r="AC102" s="446"/>
      <c r="AD102" s="446"/>
      <c r="AE102" s="446"/>
      <c r="AF102" s="446"/>
      <c r="AG102" s="446"/>
      <c r="AH102" s="446"/>
      <c r="AI102" s="446"/>
      <c r="AJ102" s="446"/>
      <c r="AK102" s="446"/>
    </row>
    <row r="103" spans="1:37" s="445" customFormat="1" ht="15">
      <c r="A103" s="460" t="s">
        <v>936</v>
      </c>
      <c r="B103" s="461"/>
      <c r="C103" s="449" t="e">
        <f t="shared" si="18"/>
        <v>#DIV/0!</v>
      </c>
      <c r="D103" s="461"/>
      <c r="E103" s="449" t="e">
        <f t="shared" si="19"/>
        <v>#DIV/0!</v>
      </c>
      <c r="F103" s="461"/>
      <c r="G103" s="450" t="e">
        <f t="shared" si="20"/>
        <v>#DIV/0!</v>
      </c>
      <c r="H103" s="451" t="e">
        <f t="shared" si="21"/>
        <v>#DIV/0!</v>
      </c>
      <c r="R103" s="446"/>
      <c r="S103" s="446"/>
      <c r="T103" s="446"/>
      <c r="U103" s="446"/>
      <c r="V103" s="446"/>
      <c r="W103" s="446"/>
      <c r="X103" s="446"/>
      <c r="Y103" s="446"/>
      <c r="Z103" s="446"/>
      <c r="AA103" s="446"/>
      <c r="AB103" s="446"/>
      <c r="AC103" s="446"/>
      <c r="AD103" s="446"/>
      <c r="AE103" s="446"/>
      <c r="AF103" s="446"/>
      <c r="AG103" s="446"/>
      <c r="AH103" s="446"/>
      <c r="AI103" s="446"/>
      <c r="AJ103" s="446"/>
      <c r="AK103" s="446"/>
    </row>
    <row r="104" spans="1:37" s="445" customFormat="1" ht="15">
      <c r="A104" s="460" t="s">
        <v>937</v>
      </c>
      <c r="B104" s="461"/>
      <c r="C104" s="449" t="e">
        <f t="shared" si="18"/>
        <v>#DIV/0!</v>
      </c>
      <c r="D104" s="461"/>
      <c r="E104" s="449" t="e">
        <f t="shared" si="19"/>
        <v>#DIV/0!</v>
      </c>
      <c r="F104" s="461"/>
      <c r="G104" s="450" t="e">
        <f t="shared" si="20"/>
        <v>#DIV/0!</v>
      </c>
      <c r="H104" s="451" t="e">
        <f t="shared" si="21"/>
        <v>#DIV/0!</v>
      </c>
      <c r="R104" s="446"/>
      <c r="S104" s="446"/>
      <c r="T104" s="446"/>
      <c r="U104" s="446"/>
      <c r="V104" s="446"/>
      <c r="W104" s="446"/>
      <c r="X104" s="446"/>
      <c r="Y104" s="446"/>
      <c r="Z104" s="446"/>
      <c r="AA104" s="446"/>
      <c r="AB104" s="446"/>
      <c r="AC104" s="446"/>
      <c r="AD104" s="446"/>
      <c r="AE104" s="446"/>
      <c r="AF104" s="446"/>
      <c r="AG104" s="446"/>
      <c r="AH104" s="446"/>
      <c r="AI104" s="446"/>
      <c r="AJ104" s="446"/>
      <c r="AK104" s="446"/>
    </row>
    <row r="105" spans="1:37" s="445" customFormat="1" ht="15">
      <c r="A105" s="460" t="s">
        <v>938</v>
      </c>
      <c r="B105" s="461"/>
      <c r="C105" s="449" t="e">
        <f t="shared" si="18"/>
        <v>#DIV/0!</v>
      </c>
      <c r="D105" s="461"/>
      <c r="E105" s="449" t="e">
        <f t="shared" si="19"/>
        <v>#DIV/0!</v>
      </c>
      <c r="F105" s="461"/>
      <c r="G105" s="450" t="e">
        <f t="shared" si="20"/>
        <v>#DIV/0!</v>
      </c>
      <c r="H105" s="451" t="e">
        <f t="shared" si="21"/>
        <v>#DIV/0!</v>
      </c>
      <c r="R105" s="446"/>
      <c r="S105" s="446"/>
      <c r="T105" s="446"/>
      <c r="U105" s="446"/>
      <c r="V105" s="446"/>
      <c r="W105" s="446"/>
      <c r="X105" s="446"/>
      <c r="Y105" s="446"/>
      <c r="Z105" s="446"/>
      <c r="AA105" s="446"/>
      <c r="AB105" s="446"/>
      <c r="AC105" s="446"/>
      <c r="AD105" s="446"/>
      <c r="AE105" s="446"/>
      <c r="AF105" s="446"/>
      <c r="AG105" s="446"/>
      <c r="AH105" s="446"/>
      <c r="AI105" s="446"/>
      <c r="AJ105" s="446"/>
      <c r="AK105" s="446"/>
    </row>
    <row r="106" spans="1:37" s="445" customFormat="1" ht="15">
      <c r="A106" s="460" t="s">
        <v>939</v>
      </c>
      <c r="B106" s="461"/>
      <c r="C106" s="449" t="e">
        <f t="shared" si="18"/>
        <v>#DIV/0!</v>
      </c>
      <c r="D106" s="461"/>
      <c r="E106" s="449" t="e">
        <f t="shared" si="19"/>
        <v>#DIV/0!</v>
      </c>
      <c r="F106" s="461"/>
      <c r="G106" s="450" t="e">
        <f t="shared" si="20"/>
        <v>#DIV/0!</v>
      </c>
      <c r="H106" s="451" t="e">
        <f t="shared" si="21"/>
        <v>#DIV/0!</v>
      </c>
      <c r="R106" s="446"/>
      <c r="S106" s="446"/>
      <c r="T106" s="446"/>
      <c r="U106" s="446"/>
      <c r="V106" s="446"/>
      <c r="W106" s="446"/>
      <c r="X106" s="446"/>
      <c r="Y106" s="446"/>
      <c r="Z106" s="446"/>
      <c r="AA106" s="446"/>
      <c r="AB106" s="446"/>
      <c r="AC106" s="446"/>
      <c r="AD106" s="446"/>
      <c r="AE106" s="446"/>
      <c r="AF106" s="446"/>
      <c r="AG106" s="446"/>
      <c r="AH106" s="446"/>
      <c r="AI106" s="446"/>
      <c r="AJ106" s="446"/>
      <c r="AK106" s="446"/>
    </row>
    <row r="107" spans="1:37" s="445" customFormat="1" ht="15">
      <c r="A107" s="460" t="s">
        <v>940</v>
      </c>
      <c r="B107" s="461"/>
      <c r="C107" s="449" t="e">
        <f t="shared" si="18"/>
        <v>#DIV/0!</v>
      </c>
      <c r="D107" s="461"/>
      <c r="E107" s="449" t="e">
        <f t="shared" si="19"/>
        <v>#DIV/0!</v>
      </c>
      <c r="F107" s="461"/>
      <c r="G107" s="450" t="e">
        <f t="shared" si="20"/>
        <v>#DIV/0!</v>
      </c>
      <c r="H107" s="451" t="e">
        <f t="shared" si="21"/>
        <v>#DIV/0!</v>
      </c>
      <c r="R107" s="446"/>
      <c r="S107" s="446"/>
      <c r="T107" s="446"/>
      <c r="U107" s="446"/>
      <c r="V107" s="446"/>
      <c r="W107" s="446"/>
      <c r="X107" s="446"/>
      <c r="Y107" s="446"/>
      <c r="Z107" s="446"/>
      <c r="AA107" s="446"/>
      <c r="AB107" s="446"/>
      <c r="AC107" s="446"/>
      <c r="AD107" s="446"/>
      <c r="AE107" s="446"/>
      <c r="AF107" s="446"/>
      <c r="AG107" s="446"/>
      <c r="AH107" s="446"/>
      <c r="AI107" s="446"/>
      <c r="AJ107" s="446"/>
      <c r="AK107" s="446"/>
    </row>
    <row r="108" spans="1:37" s="445" customFormat="1" ht="15">
      <c r="A108" s="452" t="s">
        <v>33</v>
      </c>
      <c r="B108" s="453">
        <f>SUM(B102:B107)</f>
        <v>0</v>
      </c>
      <c r="C108" s="454" t="e">
        <f>SUM(C102:C107)</f>
        <v>#DIV/0!</v>
      </c>
      <c r="D108" s="453">
        <f>SUM(D102:D107)</f>
        <v>0</v>
      </c>
      <c r="E108" s="454" t="e">
        <f>SUM(E102:E107)</f>
        <v>#DIV/0!</v>
      </c>
      <c r="F108" s="453">
        <f>SUM(F102:F107)</f>
        <v>0</v>
      </c>
      <c r="G108" s="454" t="e">
        <f>+F108/B108</f>
        <v>#DIV/0!</v>
      </c>
      <c r="H108" s="455" t="e">
        <f>B108/D108</f>
        <v>#DIV/0!</v>
      </c>
      <c r="R108" s="446"/>
      <c r="S108" s="446"/>
      <c r="T108" s="446"/>
      <c r="U108" s="446"/>
      <c r="V108" s="446"/>
      <c r="W108" s="446"/>
      <c r="X108" s="446"/>
      <c r="Y108" s="446"/>
      <c r="Z108" s="446"/>
      <c r="AA108" s="446"/>
      <c r="AB108" s="446"/>
      <c r="AC108" s="446"/>
      <c r="AD108" s="446"/>
      <c r="AE108" s="446"/>
      <c r="AF108" s="446"/>
      <c r="AG108" s="446"/>
      <c r="AH108" s="446"/>
      <c r="AI108" s="446"/>
      <c r="AJ108" s="446"/>
      <c r="AK108" s="446"/>
    </row>
    <row r="109" spans="1:37" s="445" customFormat="1" outlineLevel="1">
      <c r="A109" s="235" t="s">
        <v>895</v>
      </c>
      <c r="B109" s="768" t="e">
        <f ca="1">IF(B108='Hist &amp; Proj'!$AE$22,0,ABS(B108-'Hist &amp; Proj'!$AE$22))</f>
        <v>#N/A</v>
      </c>
      <c r="C109" s="456"/>
      <c r="D109" s="768" t="e">
        <f ca="1">IF(D108='Hist &amp; Proj'!$AE$118,0,ABS(D108-'Hist &amp; Proj'!$AE$118))</f>
        <v>#N/A</v>
      </c>
      <c r="E109" s="768"/>
      <c r="F109" s="768" t="e">
        <f ca="1">IF(F108='Hist &amp; Proj'!$AE$87,0,ABS(F108-'Hist &amp; Proj'!$AE$87))</f>
        <v>#N/A</v>
      </c>
      <c r="R109" s="446"/>
      <c r="S109" s="446"/>
      <c r="T109" s="446"/>
      <c r="U109" s="446"/>
      <c r="V109" s="446"/>
      <c r="W109" s="446"/>
      <c r="X109" s="446"/>
      <c r="Y109" s="446"/>
      <c r="Z109" s="446"/>
      <c r="AA109" s="446"/>
      <c r="AB109" s="446"/>
      <c r="AC109" s="446"/>
      <c r="AD109" s="446"/>
      <c r="AE109" s="446"/>
      <c r="AF109" s="446"/>
      <c r="AG109" s="446"/>
      <c r="AH109" s="446"/>
      <c r="AI109" s="446"/>
      <c r="AJ109" s="446"/>
      <c r="AK109" s="446"/>
    </row>
    <row r="110" spans="1:37" s="445" customFormat="1">
      <c r="R110" s="446"/>
      <c r="S110" s="446"/>
      <c r="T110" s="446"/>
      <c r="U110" s="446"/>
      <c r="V110" s="446"/>
      <c r="W110" s="446"/>
      <c r="X110" s="446"/>
      <c r="Y110" s="446"/>
      <c r="Z110" s="446"/>
      <c r="AA110" s="446"/>
      <c r="AB110" s="446"/>
      <c r="AC110" s="446"/>
      <c r="AD110" s="446"/>
      <c r="AE110" s="446"/>
      <c r="AF110" s="446"/>
      <c r="AG110" s="446"/>
      <c r="AH110" s="446"/>
      <c r="AI110" s="446"/>
      <c r="AJ110" s="446"/>
      <c r="AK110" s="446"/>
    </row>
    <row r="111" spans="1:37" s="445" customFormat="1">
      <c r="R111" s="446"/>
      <c r="S111" s="446"/>
      <c r="T111" s="446"/>
      <c r="U111" s="446"/>
      <c r="V111" s="446"/>
      <c r="W111" s="446"/>
      <c r="X111" s="446"/>
      <c r="Y111" s="446"/>
      <c r="Z111" s="446"/>
      <c r="AA111" s="446"/>
      <c r="AB111" s="446"/>
      <c r="AC111" s="446"/>
      <c r="AD111" s="446"/>
      <c r="AE111" s="446"/>
      <c r="AF111" s="446"/>
      <c r="AG111" s="446"/>
      <c r="AH111" s="446"/>
      <c r="AI111" s="446"/>
      <c r="AJ111" s="446"/>
      <c r="AK111" s="446"/>
    </row>
    <row r="112" spans="1:37" s="445" customFormat="1" ht="18.75">
      <c r="A112" s="442" t="s">
        <v>615</v>
      </c>
      <c r="R112" s="446"/>
      <c r="S112" s="446"/>
      <c r="T112" s="446"/>
      <c r="U112" s="446"/>
      <c r="V112" s="446"/>
      <c r="W112" s="446"/>
      <c r="X112" s="446"/>
      <c r="Y112" s="446"/>
      <c r="Z112" s="446"/>
      <c r="AA112" s="446"/>
      <c r="AB112" s="446"/>
      <c r="AC112" s="446"/>
      <c r="AD112" s="446"/>
      <c r="AE112" s="446"/>
      <c r="AF112" s="446"/>
      <c r="AG112" s="446"/>
      <c r="AH112" s="446"/>
      <c r="AI112" s="446"/>
      <c r="AJ112" s="446"/>
      <c r="AK112" s="446"/>
    </row>
    <row r="113" spans="1:37" s="445" customFormat="1">
      <c r="A113" s="250" t="e">
        <f ca="1">$A$52</f>
        <v>#N/A</v>
      </c>
      <c r="B113" s="443"/>
      <c r="C113" s="443"/>
      <c r="D113" s="443"/>
      <c r="E113" s="443"/>
      <c r="H113" s="448"/>
      <c r="R113" s="446"/>
      <c r="S113" s="446"/>
      <c r="T113" s="446"/>
      <c r="U113" s="446"/>
      <c r="V113" s="446"/>
      <c r="W113" s="446"/>
      <c r="X113" s="446"/>
      <c r="Y113" s="446"/>
      <c r="Z113" s="446"/>
      <c r="AA113" s="446"/>
      <c r="AB113" s="446"/>
      <c r="AC113" s="446"/>
      <c r="AD113" s="446"/>
      <c r="AE113" s="446"/>
      <c r="AF113" s="446"/>
      <c r="AG113" s="446"/>
      <c r="AH113" s="446"/>
      <c r="AI113" s="446"/>
      <c r="AJ113" s="446"/>
      <c r="AK113" s="446"/>
    </row>
    <row r="114" spans="1:37" s="445" customFormat="1">
      <c r="A114" s="508">
        <f>'Gen Info'!$B$50</f>
        <v>0</v>
      </c>
      <c r="B114" s="443"/>
      <c r="C114" s="443"/>
      <c r="D114" s="443"/>
      <c r="E114" s="443"/>
      <c r="H114" s="448"/>
      <c r="R114" s="446"/>
      <c r="S114" s="446"/>
      <c r="T114" s="446"/>
      <c r="U114" s="446"/>
      <c r="V114" s="446"/>
      <c r="W114" s="446"/>
      <c r="X114" s="446"/>
      <c r="Y114" s="446"/>
      <c r="Z114" s="446"/>
      <c r="AA114" s="446"/>
      <c r="AB114" s="446"/>
      <c r="AC114" s="446"/>
      <c r="AD114" s="446"/>
      <c r="AE114" s="446"/>
      <c r="AF114" s="446"/>
      <c r="AG114" s="446"/>
      <c r="AH114" s="446"/>
      <c r="AI114" s="446"/>
      <c r="AJ114" s="446"/>
      <c r="AK114" s="446"/>
    </row>
    <row r="115" spans="1:37" s="445" customFormat="1" ht="30">
      <c r="A115" s="751" t="s">
        <v>616</v>
      </c>
      <c r="B115" s="752" t="s">
        <v>591</v>
      </c>
      <c r="C115" s="752" t="s">
        <v>592</v>
      </c>
      <c r="D115" s="752" t="s">
        <v>57</v>
      </c>
      <c r="E115" s="752" t="s">
        <v>592</v>
      </c>
      <c r="F115" s="752" t="s">
        <v>593</v>
      </c>
      <c r="G115" s="752" t="s">
        <v>594</v>
      </c>
      <c r="H115" s="752" t="s">
        <v>65</v>
      </c>
      <c r="I115" s="752" t="s">
        <v>614</v>
      </c>
      <c r="R115" s="446"/>
      <c r="S115" s="446"/>
      <c r="T115" s="446"/>
      <c r="U115" s="446"/>
      <c r="V115" s="446"/>
      <c r="W115" s="446"/>
      <c r="X115" s="446"/>
      <c r="Y115" s="446"/>
      <c r="Z115" s="446"/>
      <c r="AA115" s="446"/>
      <c r="AB115" s="446"/>
      <c r="AC115" s="446"/>
      <c r="AD115" s="446"/>
      <c r="AE115" s="446"/>
      <c r="AF115" s="446"/>
      <c r="AG115" s="446"/>
      <c r="AH115" s="446"/>
      <c r="AI115" s="446"/>
      <c r="AJ115" s="446"/>
      <c r="AK115" s="446"/>
    </row>
    <row r="116" spans="1:37" s="445" customFormat="1" ht="15">
      <c r="A116" s="460"/>
      <c r="B116" s="461"/>
      <c r="C116" s="449" t="e">
        <f t="shared" ref="C116:C122" si="22">B116/B$123</f>
        <v>#DIV/0!</v>
      </c>
      <c r="D116" s="461"/>
      <c r="E116" s="449" t="e">
        <f t="shared" ref="E116:E122" si="23">D116/D$123</f>
        <v>#DIV/0!</v>
      </c>
      <c r="F116" s="461"/>
      <c r="G116" s="450" t="e">
        <f t="shared" ref="G116:G123" si="24">+F116/B116</f>
        <v>#DIV/0!</v>
      </c>
      <c r="H116" s="451" t="e">
        <f>B116/D116</f>
        <v>#DIV/0!</v>
      </c>
      <c r="I116" s="461"/>
      <c r="R116" s="446"/>
      <c r="S116" s="446"/>
      <c r="T116" s="446"/>
      <c r="U116" s="446"/>
      <c r="V116" s="446"/>
      <c r="W116" s="446"/>
      <c r="X116" s="446"/>
      <c r="Y116" s="446"/>
      <c r="Z116" s="446"/>
      <c r="AA116" s="446"/>
      <c r="AB116" s="446"/>
      <c r="AC116" s="446"/>
      <c r="AD116" s="446"/>
      <c r="AE116" s="446"/>
      <c r="AF116" s="446"/>
      <c r="AG116" s="446"/>
      <c r="AH116" s="446"/>
      <c r="AI116" s="446"/>
      <c r="AJ116" s="446"/>
      <c r="AK116" s="446"/>
    </row>
    <row r="117" spans="1:37" s="445" customFormat="1" ht="15">
      <c r="A117" s="460"/>
      <c r="B117" s="461"/>
      <c r="C117" s="449" t="e">
        <f t="shared" si="22"/>
        <v>#DIV/0!</v>
      </c>
      <c r="D117" s="461"/>
      <c r="E117" s="449" t="e">
        <f t="shared" si="23"/>
        <v>#DIV/0!</v>
      </c>
      <c r="F117" s="461"/>
      <c r="G117" s="450" t="e">
        <f t="shared" si="24"/>
        <v>#DIV/0!</v>
      </c>
      <c r="H117" s="451" t="e">
        <f t="shared" ref="H117:H122" si="25">B117/D117</f>
        <v>#DIV/0!</v>
      </c>
      <c r="I117" s="461"/>
      <c r="R117" s="446"/>
      <c r="S117" s="446"/>
      <c r="T117" s="446"/>
      <c r="U117" s="446"/>
      <c r="V117" s="446"/>
      <c r="W117" s="446"/>
      <c r="X117" s="446"/>
      <c r="Y117" s="446"/>
      <c r="Z117" s="446"/>
      <c r="AA117" s="446"/>
      <c r="AB117" s="446"/>
      <c r="AC117" s="446"/>
      <c r="AD117" s="446"/>
      <c r="AE117" s="446"/>
      <c r="AF117" s="446"/>
      <c r="AG117" s="446"/>
      <c r="AH117" s="446"/>
      <c r="AI117" s="446"/>
      <c r="AJ117" s="446"/>
      <c r="AK117" s="446"/>
    </row>
    <row r="118" spans="1:37" s="445" customFormat="1" ht="15">
      <c r="A118" s="460"/>
      <c r="B118" s="461"/>
      <c r="C118" s="449" t="e">
        <f t="shared" si="22"/>
        <v>#DIV/0!</v>
      </c>
      <c r="D118" s="461"/>
      <c r="E118" s="449" t="e">
        <f t="shared" si="23"/>
        <v>#DIV/0!</v>
      </c>
      <c r="F118" s="461"/>
      <c r="G118" s="450" t="e">
        <f t="shared" si="24"/>
        <v>#DIV/0!</v>
      </c>
      <c r="H118" s="451" t="e">
        <f t="shared" si="25"/>
        <v>#DIV/0!</v>
      </c>
      <c r="I118" s="461"/>
      <c r="R118" s="446"/>
      <c r="S118" s="446"/>
      <c r="T118" s="446"/>
      <c r="U118" s="446"/>
      <c r="V118" s="446"/>
      <c r="W118" s="446"/>
      <c r="X118" s="446"/>
      <c r="Y118" s="446"/>
      <c r="Z118" s="446"/>
      <c r="AA118" s="446"/>
      <c r="AB118" s="446"/>
      <c r="AC118" s="446"/>
      <c r="AD118" s="446"/>
      <c r="AE118" s="446"/>
      <c r="AF118" s="446"/>
      <c r="AG118" s="446"/>
      <c r="AH118" s="446"/>
      <c r="AI118" s="446"/>
      <c r="AJ118" s="446"/>
      <c r="AK118" s="446"/>
    </row>
    <row r="119" spans="1:37" s="445" customFormat="1" ht="15">
      <c r="A119" s="460"/>
      <c r="B119" s="461"/>
      <c r="C119" s="449" t="e">
        <f t="shared" si="22"/>
        <v>#DIV/0!</v>
      </c>
      <c r="D119" s="461"/>
      <c r="E119" s="449" t="e">
        <f t="shared" si="23"/>
        <v>#DIV/0!</v>
      </c>
      <c r="F119" s="461"/>
      <c r="G119" s="450" t="e">
        <f t="shared" si="24"/>
        <v>#DIV/0!</v>
      </c>
      <c r="H119" s="451" t="e">
        <f t="shared" si="25"/>
        <v>#DIV/0!</v>
      </c>
      <c r="I119" s="461"/>
      <c r="R119" s="446"/>
      <c r="S119" s="446"/>
      <c r="T119" s="446"/>
      <c r="U119" s="446"/>
      <c r="V119" s="446"/>
      <c r="W119" s="446"/>
      <c r="X119" s="446"/>
      <c r="Y119" s="446"/>
      <c r="Z119" s="446"/>
      <c r="AA119" s="446"/>
      <c r="AB119" s="446"/>
      <c r="AC119" s="446"/>
      <c r="AD119" s="446"/>
      <c r="AE119" s="446"/>
      <c r="AF119" s="446"/>
      <c r="AG119" s="446"/>
      <c r="AH119" s="446"/>
      <c r="AI119" s="446"/>
      <c r="AJ119" s="446"/>
      <c r="AK119" s="446"/>
    </row>
    <row r="120" spans="1:37" s="445" customFormat="1" ht="15">
      <c r="A120" s="460"/>
      <c r="B120" s="461"/>
      <c r="C120" s="449" t="e">
        <f t="shared" si="22"/>
        <v>#DIV/0!</v>
      </c>
      <c r="D120" s="461"/>
      <c r="E120" s="449" t="e">
        <f t="shared" si="23"/>
        <v>#DIV/0!</v>
      </c>
      <c r="F120" s="461"/>
      <c r="G120" s="450" t="e">
        <f t="shared" si="24"/>
        <v>#DIV/0!</v>
      </c>
      <c r="H120" s="451" t="e">
        <f t="shared" si="25"/>
        <v>#DIV/0!</v>
      </c>
      <c r="I120" s="461"/>
      <c r="R120" s="446"/>
      <c r="S120" s="446"/>
      <c r="T120" s="446"/>
      <c r="U120" s="446"/>
      <c r="V120" s="446"/>
      <c r="W120" s="446"/>
      <c r="X120" s="446"/>
      <c r="Y120" s="446"/>
      <c r="Z120" s="446"/>
      <c r="AA120" s="446"/>
      <c r="AB120" s="446"/>
      <c r="AC120" s="446"/>
      <c r="AD120" s="446"/>
      <c r="AE120" s="446"/>
      <c r="AF120" s="446"/>
      <c r="AG120" s="446"/>
      <c r="AH120" s="446"/>
      <c r="AI120" s="446"/>
      <c r="AJ120" s="446"/>
      <c r="AK120" s="446"/>
    </row>
    <row r="121" spans="1:37" s="445" customFormat="1" ht="15">
      <c r="A121" s="460"/>
      <c r="B121" s="461"/>
      <c r="C121" s="449" t="e">
        <f t="shared" si="22"/>
        <v>#DIV/0!</v>
      </c>
      <c r="D121" s="461"/>
      <c r="E121" s="449" t="e">
        <f t="shared" si="23"/>
        <v>#DIV/0!</v>
      </c>
      <c r="F121" s="461"/>
      <c r="G121" s="450" t="e">
        <f t="shared" si="24"/>
        <v>#DIV/0!</v>
      </c>
      <c r="H121" s="451" t="e">
        <f t="shared" si="25"/>
        <v>#DIV/0!</v>
      </c>
      <c r="I121" s="461"/>
      <c r="R121" s="446"/>
      <c r="S121" s="446"/>
      <c r="T121" s="446"/>
      <c r="U121" s="446"/>
      <c r="V121" s="446"/>
      <c r="W121" s="446"/>
      <c r="X121" s="446"/>
      <c r="Y121" s="446"/>
      <c r="Z121" s="446"/>
      <c r="AA121" s="446"/>
      <c r="AB121" s="446"/>
      <c r="AC121" s="446"/>
      <c r="AD121" s="446"/>
      <c r="AE121" s="446"/>
      <c r="AF121" s="446"/>
      <c r="AG121" s="446"/>
      <c r="AH121" s="446"/>
      <c r="AI121" s="446"/>
      <c r="AJ121" s="446"/>
      <c r="AK121" s="446"/>
    </row>
    <row r="122" spans="1:37" s="445" customFormat="1" ht="15">
      <c r="A122" s="460"/>
      <c r="B122" s="461"/>
      <c r="C122" s="449" t="e">
        <f t="shared" si="22"/>
        <v>#DIV/0!</v>
      </c>
      <c r="D122" s="461"/>
      <c r="E122" s="449" t="e">
        <f t="shared" si="23"/>
        <v>#DIV/0!</v>
      </c>
      <c r="F122" s="461"/>
      <c r="G122" s="450" t="e">
        <f t="shared" si="24"/>
        <v>#DIV/0!</v>
      </c>
      <c r="H122" s="451" t="e">
        <f t="shared" si="25"/>
        <v>#DIV/0!</v>
      </c>
      <c r="I122" s="461"/>
      <c r="R122" s="446"/>
      <c r="S122" s="446"/>
      <c r="T122" s="446"/>
      <c r="U122" s="446"/>
      <c r="V122" s="446"/>
      <c r="W122" s="446"/>
      <c r="X122" s="446"/>
      <c r="Y122" s="446"/>
      <c r="Z122" s="446"/>
      <c r="AA122" s="446"/>
      <c r="AB122" s="446"/>
      <c r="AC122" s="446"/>
      <c r="AD122" s="446"/>
      <c r="AE122" s="446"/>
      <c r="AF122" s="446"/>
      <c r="AG122" s="446"/>
      <c r="AH122" s="446"/>
      <c r="AI122" s="446"/>
      <c r="AJ122" s="446"/>
      <c r="AK122" s="446"/>
    </row>
    <row r="123" spans="1:37" s="445" customFormat="1" ht="15">
      <c r="A123" s="452" t="s">
        <v>33</v>
      </c>
      <c r="B123" s="453">
        <f>SUM(B116:B122)</f>
        <v>0</v>
      </c>
      <c r="C123" s="454" t="e">
        <f>SUM(C116:C122)</f>
        <v>#DIV/0!</v>
      </c>
      <c r="D123" s="453">
        <f>SUM(D116:D122)</f>
        <v>0</v>
      </c>
      <c r="E123" s="454" t="e">
        <f>SUM(E116:E122)</f>
        <v>#DIV/0!</v>
      </c>
      <c r="F123" s="453">
        <f>SUM(F116:F122)</f>
        <v>0</v>
      </c>
      <c r="G123" s="454" t="e">
        <f t="shared" si="24"/>
        <v>#DIV/0!</v>
      </c>
      <c r="H123" s="455" t="e">
        <f>B123/D123</f>
        <v>#DIV/0!</v>
      </c>
      <c r="I123" s="453">
        <f>SUM(I116:I122)</f>
        <v>0</v>
      </c>
      <c r="R123" s="446"/>
      <c r="S123" s="446"/>
      <c r="T123" s="446"/>
      <c r="U123" s="446"/>
      <c r="V123" s="446"/>
      <c r="W123" s="446"/>
      <c r="X123" s="446"/>
      <c r="Y123" s="446"/>
      <c r="Z123" s="446"/>
      <c r="AA123" s="446"/>
      <c r="AB123" s="446"/>
      <c r="AC123" s="446"/>
      <c r="AD123" s="446"/>
      <c r="AE123" s="446"/>
      <c r="AF123" s="446"/>
      <c r="AG123" s="446"/>
      <c r="AH123" s="446"/>
      <c r="AI123" s="446"/>
      <c r="AJ123" s="446"/>
      <c r="AK123" s="446"/>
    </row>
    <row r="124" spans="1:37" s="445" customFormat="1" outlineLevel="1">
      <c r="A124" s="235" t="s">
        <v>895</v>
      </c>
      <c r="B124" s="768" t="e">
        <f ca="1">IF(B123='Hist &amp; Proj'!$AE$22,0,ABS(B123-'Hist &amp; Proj'!$AE$22))</f>
        <v>#N/A</v>
      </c>
      <c r="C124" s="456"/>
      <c r="D124" s="768" t="e">
        <f ca="1">IF(D123='Hist &amp; Proj'!$AE$118,0,ABS(D123-'Hist &amp; Proj'!$AE$118))</f>
        <v>#N/A</v>
      </c>
      <c r="E124" s="768"/>
      <c r="F124" s="768" t="e">
        <f ca="1">IF(F123='Hist &amp; Proj'!$AE$87,0,ABS(F123-'Hist &amp; Proj'!$AE$87))</f>
        <v>#N/A</v>
      </c>
      <c r="R124" s="446"/>
      <c r="S124" s="446"/>
      <c r="T124" s="446"/>
      <c r="U124" s="446"/>
      <c r="V124" s="446"/>
      <c r="W124" s="446"/>
      <c r="X124" s="446"/>
      <c r="Y124" s="446"/>
      <c r="Z124" s="446"/>
      <c r="AA124" s="446"/>
      <c r="AB124" s="446"/>
      <c r="AC124" s="446"/>
      <c r="AD124" s="446"/>
      <c r="AE124" s="446"/>
      <c r="AF124" s="446"/>
      <c r="AG124" s="446"/>
      <c r="AH124" s="446"/>
      <c r="AI124" s="446"/>
      <c r="AJ124" s="446"/>
      <c r="AK124" s="446"/>
    </row>
    <row r="125" spans="1:37" s="445" customFormat="1">
      <c r="R125" s="446"/>
      <c r="S125" s="446"/>
      <c r="T125" s="446"/>
      <c r="U125" s="446"/>
      <c r="V125" s="446"/>
      <c r="W125" s="446"/>
      <c r="X125" s="446"/>
      <c r="Y125" s="446"/>
      <c r="Z125" s="446"/>
      <c r="AA125" s="446"/>
      <c r="AB125" s="446"/>
      <c r="AC125" s="446"/>
      <c r="AD125" s="446"/>
      <c r="AE125" s="446"/>
      <c r="AF125" s="446"/>
      <c r="AG125" s="446"/>
      <c r="AH125" s="446"/>
      <c r="AI125" s="446"/>
      <c r="AJ125" s="446"/>
      <c r="AK125" s="446"/>
    </row>
    <row r="126" spans="1:37" s="445" customFormat="1">
      <c r="B126" s="457"/>
      <c r="R126" s="446"/>
      <c r="S126" s="446"/>
      <c r="T126" s="446"/>
      <c r="U126" s="446"/>
      <c r="V126" s="446"/>
      <c r="W126" s="446"/>
      <c r="X126" s="446"/>
      <c r="Y126" s="446"/>
      <c r="Z126" s="446"/>
      <c r="AA126" s="446"/>
      <c r="AB126" s="446"/>
      <c r="AC126" s="446"/>
      <c r="AD126" s="446"/>
      <c r="AE126" s="446"/>
      <c r="AF126" s="446"/>
      <c r="AG126" s="446"/>
      <c r="AH126" s="446"/>
      <c r="AI126" s="446"/>
      <c r="AJ126" s="446"/>
      <c r="AK126" s="446"/>
    </row>
    <row r="127" spans="1:37" s="445" customFormat="1" ht="18.75">
      <c r="A127" s="442" t="s">
        <v>617</v>
      </c>
      <c r="B127" s="170"/>
      <c r="C127" s="471"/>
      <c r="D127" s="170"/>
      <c r="E127" s="170"/>
      <c r="F127" s="170"/>
      <c r="G127" s="153"/>
      <c r="H127" s="153"/>
      <c r="I127" s="153"/>
      <c r="J127" s="153"/>
      <c r="R127" s="446"/>
      <c r="S127" s="446"/>
      <c r="T127" s="446"/>
      <c r="U127" s="446"/>
      <c r="V127" s="446"/>
      <c r="W127" s="446"/>
      <c r="X127" s="446"/>
      <c r="Y127" s="446"/>
      <c r="Z127" s="446"/>
      <c r="AA127" s="446"/>
      <c r="AB127" s="446"/>
      <c r="AC127" s="446"/>
      <c r="AD127" s="446"/>
      <c r="AE127" s="446"/>
      <c r="AF127" s="446"/>
      <c r="AG127" s="446"/>
      <c r="AH127" s="446"/>
      <c r="AI127" s="446"/>
      <c r="AJ127" s="446"/>
      <c r="AK127" s="446"/>
    </row>
    <row r="128" spans="1:37" s="445" customFormat="1" ht="15">
      <c r="A128" s="250" t="e">
        <f ca="1">$A$52</f>
        <v>#N/A</v>
      </c>
      <c r="B128" s="458"/>
      <c r="C128" s="458"/>
      <c r="D128" s="458"/>
      <c r="E128" s="458"/>
      <c r="H128" s="448"/>
      <c r="R128" s="446"/>
      <c r="S128" s="446"/>
      <c r="T128" s="446"/>
      <c r="U128" s="446"/>
      <c r="V128" s="446"/>
      <c r="W128" s="446"/>
      <c r="X128" s="446"/>
      <c r="Y128" s="446"/>
      <c r="Z128" s="446"/>
      <c r="AA128" s="446"/>
      <c r="AB128" s="446"/>
      <c r="AC128" s="446"/>
      <c r="AD128" s="446"/>
      <c r="AE128" s="446"/>
      <c r="AF128" s="446"/>
      <c r="AG128" s="446"/>
      <c r="AH128" s="446"/>
      <c r="AI128" s="446"/>
      <c r="AJ128" s="446"/>
      <c r="AK128" s="446"/>
    </row>
    <row r="129" spans="1:37" s="445" customFormat="1" ht="15">
      <c r="A129" s="508">
        <f>'Gen Info'!$B$50</f>
        <v>0</v>
      </c>
      <c r="B129" s="458"/>
      <c r="C129" s="458"/>
      <c r="D129" s="458"/>
      <c r="E129" s="458"/>
      <c r="H129" s="448"/>
      <c r="R129" s="446"/>
      <c r="S129" s="446"/>
      <c r="T129" s="446"/>
      <c r="U129" s="446"/>
      <c r="V129" s="446"/>
      <c r="W129" s="446"/>
      <c r="X129" s="446"/>
      <c r="Y129" s="446"/>
      <c r="Z129" s="446"/>
      <c r="AA129" s="446"/>
      <c r="AB129" s="446"/>
      <c r="AC129" s="446"/>
      <c r="AD129" s="446"/>
      <c r="AE129" s="446"/>
      <c r="AF129" s="446"/>
      <c r="AG129" s="446"/>
      <c r="AH129" s="446"/>
      <c r="AI129" s="446"/>
      <c r="AJ129" s="446"/>
      <c r="AK129" s="446"/>
    </row>
    <row r="130" spans="1:37" s="445" customFormat="1" ht="32.25" customHeight="1">
      <c r="A130" s="754" t="s">
        <v>618</v>
      </c>
      <c r="B130" s="752" t="s">
        <v>591</v>
      </c>
      <c r="C130" s="752" t="s">
        <v>620</v>
      </c>
      <c r="D130" s="752" t="s">
        <v>592</v>
      </c>
      <c r="F130" s="153"/>
      <c r="G130" s="153"/>
      <c r="H130" s="153"/>
      <c r="I130" s="153"/>
      <c r="Q130" s="446"/>
      <c r="R130" s="446"/>
      <c r="S130" s="446"/>
      <c r="T130" s="446"/>
      <c r="U130" s="446"/>
      <c r="V130" s="446"/>
      <c r="W130" s="446"/>
      <c r="X130" s="446"/>
      <c r="Y130" s="446"/>
      <c r="Z130" s="446"/>
      <c r="AA130" s="446"/>
      <c r="AB130" s="446"/>
      <c r="AC130" s="446"/>
      <c r="AD130" s="446"/>
      <c r="AE130" s="446"/>
      <c r="AF130" s="446"/>
      <c r="AG130" s="446"/>
      <c r="AH130" s="446"/>
      <c r="AI130" s="446"/>
      <c r="AJ130" s="446"/>
    </row>
    <row r="131" spans="1:37" s="445" customFormat="1" ht="15">
      <c r="A131" s="460"/>
      <c r="B131" s="461"/>
      <c r="C131" s="463"/>
      <c r="D131" s="892" t="e">
        <f>B131/C$58</f>
        <v>#DIV/0!</v>
      </c>
      <c r="F131" s="153"/>
      <c r="G131" s="153"/>
      <c r="H131" s="153"/>
      <c r="I131" s="153"/>
      <c r="Q131" s="446"/>
      <c r="R131" s="446"/>
      <c r="S131" s="446"/>
      <c r="T131" s="446"/>
      <c r="U131" s="446"/>
      <c r="V131" s="446"/>
      <c r="W131" s="446"/>
      <c r="X131" s="446"/>
      <c r="Y131" s="446"/>
      <c r="Z131" s="446"/>
      <c r="AA131" s="446"/>
      <c r="AB131" s="446"/>
      <c r="AC131" s="446"/>
      <c r="AD131" s="446"/>
      <c r="AE131" s="446"/>
      <c r="AF131" s="446"/>
      <c r="AG131" s="446"/>
      <c r="AH131" s="446"/>
      <c r="AI131" s="446"/>
      <c r="AJ131" s="446"/>
    </row>
    <row r="132" spans="1:37" s="445" customFormat="1" ht="15">
      <c r="A132" s="460"/>
      <c r="B132" s="461"/>
      <c r="C132" s="463"/>
      <c r="D132" s="892" t="e">
        <f t="shared" ref="D132:D140" si="26">B132/C$58</f>
        <v>#DIV/0!</v>
      </c>
      <c r="F132" s="153"/>
      <c r="G132" s="153"/>
      <c r="H132" s="153"/>
      <c r="I132" s="153"/>
      <c r="Q132" s="446"/>
      <c r="R132" s="446"/>
      <c r="S132" s="446"/>
      <c r="T132" s="446"/>
      <c r="U132" s="446"/>
      <c r="V132" s="446"/>
      <c r="W132" s="446"/>
      <c r="X132" s="446"/>
      <c r="Y132" s="446"/>
      <c r="Z132" s="446"/>
      <c r="AA132" s="446"/>
      <c r="AB132" s="446"/>
      <c r="AC132" s="446"/>
      <c r="AD132" s="446"/>
      <c r="AE132" s="446"/>
      <c r="AF132" s="446"/>
      <c r="AG132" s="446"/>
      <c r="AH132" s="446"/>
      <c r="AI132" s="446"/>
      <c r="AJ132" s="446"/>
    </row>
    <row r="133" spans="1:37" s="445" customFormat="1" ht="15">
      <c r="A133" s="460"/>
      <c r="B133" s="461"/>
      <c r="C133" s="463"/>
      <c r="D133" s="892" t="e">
        <f t="shared" si="26"/>
        <v>#DIV/0!</v>
      </c>
      <c r="F133" s="153"/>
      <c r="G133" s="153"/>
      <c r="H133" s="153"/>
      <c r="I133" s="153"/>
      <c r="Q133" s="446"/>
      <c r="R133" s="446"/>
      <c r="S133" s="446"/>
      <c r="T133" s="446"/>
      <c r="U133" s="446"/>
      <c r="V133" s="446"/>
      <c r="W133" s="446"/>
      <c r="X133" s="446"/>
      <c r="Y133" s="446"/>
      <c r="Z133" s="446"/>
      <c r="AA133" s="446"/>
      <c r="AB133" s="446"/>
      <c r="AC133" s="446"/>
      <c r="AD133" s="446"/>
      <c r="AE133" s="446"/>
      <c r="AF133" s="446"/>
      <c r="AG133" s="446"/>
      <c r="AH133" s="446"/>
      <c r="AI133" s="446"/>
      <c r="AJ133" s="446"/>
    </row>
    <row r="134" spans="1:37" s="445" customFormat="1" ht="15">
      <c r="A134" s="460"/>
      <c r="B134" s="461"/>
      <c r="C134" s="463"/>
      <c r="D134" s="892" t="e">
        <f t="shared" si="26"/>
        <v>#DIV/0!</v>
      </c>
      <c r="F134" s="153"/>
      <c r="G134" s="153"/>
      <c r="H134" s="153"/>
      <c r="I134" s="153"/>
      <c r="Q134" s="446"/>
      <c r="R134" s="446"/>
      <c r="S134" s="446"/>
      <c r="T134" s="446"/>
      <c r="U134" s="446"/>
      <c r="V134" s="446"/>
      <c r="W134" s="446"/>
      <c r="X134" s="446"/>
      <c r="Y134" s="446"/>
      <c r="Z134" s="446"/>
      <c r="AA134" s="446"/>
      <c r="AB134" s="446"/>
      <c r="AC134" s="446"/>
      <c r="AD134" s="446"/>
      <c r="AE134" s="446"/>
      <c r="AF134" s="446"/>
      <c r="AG134" s="446"/>
      <c r="AH134" s="446"/>
      <c r="AI134" s="446"/>
      <c r="AJ134" s="446"/>
    </row>
    <row r="135" spans="1:37" s="445" customFormat="1" ht="15">
      <c r="A135" s="460"/>
      <c r="B135" s="461"/>
      <c r="C135" s="463"/>
      <c r="D135" s="892" t="e">
        <f t="shared" si="26"/>
        <v>#DIV/0!</v>
      </c>
      <c r="F135" s="153"/>
      <c r="G135" s="153"/>
      <c r="H135" s="153"/>
      <c r="I135" s="153"/>
      <c r="Q135" s="446"/>
      <c r="R135" s="446"/>
      <c r="S135" s="446"/>
      <c r="T135" s="446"/>
      <c r="U135" s="446"/>
      <c r="V135" s="446"/>
      <c r="W135" s="446"/>
      <c r="X135" s="446"/>
      <c r="Y135" s="446"/>
      <c r="Z135" s="446"/>
      <c r="AA135" s="446"/>
      <c r="AB135" s="446"/>
      <c r="AC135" s="446"/>
      <c r="AD135" s="446"/>
      <c r="AE135" s="446"/>
      <c r="AF135" s="446"/>
      <c r="AG135" s="446"/>
      <c r="AH135" s="446"/>
      <c r="AI135" s="446"/>
      <c r="AJ135" s="446"/>
    </row>
    <row r="136" spans="1:37" s="445" customFormat="1" ht="15">
      <c r="A136" s="460"/>
      <c r="B136" s="461"/>
      <c r="C136" s="463"/>
      <c r="D136" s="892" t="e">
        <f t="shared" si="26"/>
        <v>#DIV/0!</v>
      </c>
      <c r="F136" s="153"/>
      <c r="G136" s="153"/>
      <c r="H136" s="153"/>
      <c r="I136" s="153"/>
      <c r="Q136" s="446"/>
      <c r="R136" s="446"/>
      <c r="S136" s="446"/>
      <c r="T136" s="446"/>
      <c r="U136" s="446"/>
      <c r="V136" s="446"/>
      <c r="W136" s="446"/>
      <c r="X136" s="446"/>
      <c r="Y136" s="446"/>
      <c r="Z136" s="446"/>
      <c r="AA136" s="446"/>
      <c r="AB136" s="446"/>
      <c r="AC136" s="446"/>
      <c r="AD136" s="446"/>
      <c r="AE136" s="446"/>
      <c r="AF136" s="446"/>
      <c r="AG136" s="446"/>
      <c r="AH136" s="446"/>
      <c r="AI136" s="446"/>
      <c r="AJ136" s="446"/>
    </row>
    <row r="137" spans="1:37" s="445" customFormat="1" ht="15">
      <c r="A137" s="460"/>
      <c r="B137" s="461"/>
      <c r="C137" s="463"/>
      <c r="D137" s="892" t="e">
        <f t="shared" si="26"/>
        <v>#DIV/0!</v>
      </c>
      <c r="F137" s="153"/>
      <c r="G137" s="153"/>
      <c r="H137" s="459"/>
      <c r="I137" s="153"/>
      <c r="Q137" s="446"/>
      <c r="R137" s="446"/>
      <c r="S137" s="446"/>
      <c r="T137" s="446"/>
      <c r="U137" s="446"/>
      <c r="V137" s="446"/>
      <c r="W137" s="446"/>
      <c r="X137" s="446"/>
      <c r="Y137" s="446"/>
      <c r="Z137" s="446"/>
      <c r="AA137" s="446"/>
      <c r="AB137" s="446"/>
      <c r="AC137" s="446"/>
      <c r="AD137" s="446"/>
      <c r="AE137" s="446"/>
      <c r="AF137" s="446"/>
      <c r="AG137" s="446"/>
      <c r="AH137" s="446"/>
      <c r="AI137" s="446"/>
      <c r="AJ137" s="446"/>
    </row>
    <row r="138" spans="1:37" s="445" customFormat="1" ht="15">
      <c r="A138" s="460"/>
      <c r="B138" s="461"/>
      <c r="C138" s="463"/>
      <c r="D138" s="892" t="e">
        <f t="shared" si="26"/>
        <v>#DIV/0!</v>
      </c>
      <c r="F138" s="153"/>
      <c r="G138" s="153"/>
      <c r="H138" s="459"/>
      <c r="I138" s="153"/>
      <c r="Q138" s="446"/>
      <c r="R138" s="446"/>
      <c r="S138" s="446"/>
      <c r="T138" s="446"/>
      <c r="U138" s="446"/>
      <c r="V138" s="446"/>
      <c r="W138" s="446"/>
      <c r="X138" s="446"/>
      <c r="Y138" s="446"/>
      <c r="Z138" s="446"/>
      <c r="AA138" s="446"/>
      <c r="AB138" s="446"/>
      <c r="AC138" s="446"/>
      <c r="AD138" s="446"/>
      <c r="AE138" s="446"/>
      <c r="AF138" s="446"/>
      <c r="AG138" s="446"/>
      <c r="AH138" s="446"/>
      <c r="AI138" s="446"/>
      <c r="AJ138" s="446"/>
    </row>
    <row r="139" spans="1:37" s="445" customFormat="1" ht="15">
      <c r="A139" s="460"/>
      <c r="B139" s="461"/>
      <c r="C139" s="463"/>
      <c r="D139" s="892" t="e">
        <f t="shared" si="26"/>
        <v>#DIV/0!</v>
      </c>
      <c r="F139" s="153"/>
      <c r="G139" s="153"/>
      <c r="H139" s="459"/>
      <c r="I139" s="153"/>
      <c r="Q139" s="446"/>
      <c r="R139" s="446"/>
      <c r="S139" s="446"/>
      <c r="T139" s="446"/>
      <c r="U139" s="446"/>
      <c r="V139" s="446"/>
      <c r="W139" s="446"/>
      <c r="X139" s="446"/>
      <c r="Y139" s="446"/>
      <c r="Z139" s="446"/>
      <c r="AA139" s="446"/>
      <c r="AB139" s="446"/>
      <c r="AC139" s="446"/>
      <c r="AD139" s="446"/>
      <c r="AE139" s="446"/>
      <c r="AF139" s="446"/>
      <c r="AG139" s="446"/>
      <c r="AH139" s="446"/>
      <c r="AI139" s="446"/>
      <c r="AJ139" s="446"/>
    </row>
    <row r="140" spans="1:37" s="445" customFormat="1" ht="15">
      <c r="A140" s="460"/>
      <c r="B140" s="461"/>
      <c r="C140" s="463"/>
      <c r="D140" s="892" t="e">
        <f t="shared" si="26"/>
        <v>#DIV/0!</v>
      </c>
      <c r="F140" s="153"/>
      <c r="G140" s="153"/>
      <c r="H140" s="153"/>
      <c r="I140" s="153"/>
      <c r="Q140" s="446"/>
      <c r="R140" s="446"/>
      <c r="S140" s="446"/>
      <c r="T140" s="446"/>
      <c r="U140" s="446"/>
      <c r="V140" s="446"/>
      <c r="W140" s="446"/>
      <c r="X140" s="446"/>
      <c r="Y140" s="446"/>
      <c r="Z140" s="446"/>
      <c r="AA140" s="446"/>
      <c r="AB140" s="446"/>
      <c r="AC140" s="446"/>
      <c r="AD140" s="446"/>
      <c r="AE140" s="446"/>
      <c r="AF140" s="446"/>
      <c r="AG140" s="446"/>
      <c r="AH140" s="446"/>
      <c r="AI140" s="446"/>
      <c r="AJ140" s="446"/>
    </row>
    <row r="141" spans="1:37" s="445" customFormat="1" ht="15">
      <c r="A141" s="452" t="s">
        <v>33</v>
      </c>
      <c r="B141" s="453">
        <f>SUM(B131:B140)</f>
        <v>0</v>
      </c>
      <c r="C141" s="455"/>
      <c r="D141" s="454" t="e">
        <f>SUM(D131:D140)</f>
        <v>#DIV/0!</v>
      </c>
      <c r="F141" s="153"/>
      <c r="G141" s="153"/>
      <c r="H141" s="153"/>
      <c r="I141" s="153"/>
      <c r="Q141" s="446"/>
      <c r="R141" s="446"/>
      <c r="S141" s="446"/>
      <c r="T141" s="446"/>
      <c r="U141" s="446"/>
      <c r="V141" s="446"/>
      <c r="W141" s="446"/>
      <c r="X141" s="446"/>
      <c r="Y141" s="446"/>
      <c r="Z141" s="446"/>
      <c r="AA141" s="446"/>
      <c r="AB141" s="446"/>
      <c r="AC141" s="446"/>
      <c r="AD141" s="446"/>
      <c r="AE141" s="446"/>
      <c r="AF141" s="446"/>
      <c r="AG141" s="446"/>
      <c r="AH141" s="446"/>
      <c r="AI141" s="446"/>
      <c r="AJ141" s="446"/>
    </row>
    <row r="142" spans="1:37" s="445" customFormat="1">
      <c r="R142" s="446"/>
      <c r="S142" s="446"/>
      <c r="T142" s="446"/>
      <c r="U142" s="446"/>
      <c r="V142" s="446"/>
      <c r="W142" s="446"/>
      <c r="X142" s="446"/>
      <c r="Y142" s="446"/>
      <c r="Z142" s="446"/>
      <c r="AA142" s="446"/>
      <c r="AB142" s="446"/>
      <c r="AC142" s="446"/>
      <c r="AD142" s="446"/>
      <c r="AE142" s="446"/>
      <c r="AF142" s="446"/>
      <c r="AG142" s="446"/>
      <c r="AH142" s="446"/>
      <c r="AI142" s="446"/>
      <c r="AJ142" s="446"/>
      <c r="AK142" s="446"/>
    </row>
    <row r="143" spans="1:37" ht="15.75">
      <c r="A143" s="174"/>
      <c r="B143" s="490"/>
      <c r="C143" s="490"/>
      <c r="D143" s="490"/>
      <c r="E143" s="490"/>
      <c r="F143" s="490"/>
      <c r="G143" s="490"/>
      <c r="H143" s="490"/>
      <c r="I143" s="490"/>
      <c r="J143" s="127"/>
      <c r="K143" s="127"/>
      <c r="L143" s="127"/>
      <c r="M143" s="127"/>
      <c r="N143" s="127"/>
      <c r="O143" s="127"/>
      <c r="P143" s="490"/>
      <c r="Q143" s="490"/>
      <c r="U143" s="174"/>
    </row>
    <row r="144" spans="1:37" ht="18.75">
      <c r="A144" s="442" t="s">
        <v>621</v>
      </c>
      <c r="B144" s="445"/>
      <c r="C144" s="445"/>
      <c r="D144" s="445"/>
      <c r="E144" s="445"/>
      <c r="F144" s="445"/>
      <c r="G144" s="490"/>
      <c r="H144" s="490"/>
      <c r="I144" s="490"/>
      <c r="J144" s="127"/>
      <c r="K144" s="127"/>
      <c r="L144" s="127"/>
      <c r="M144" s="127"/>
      <c r="N144" s="127"/>
      <c r="O144" s="127"/>
      <c r="P144" s="490"/>
      <c r="Q144" s="490"/>
      <c r="U144" s="174"/>
    </row>
    <row r="145" spans="1:21" ht="15.75">
      <c r="A145" s="754"/>
      <c r="B145" s="753" t="s">
        <v>408</v>
      </c>
      <c r="C145" s="753" t="s">
        <v>622</v>
      </c>
      <c r="D145" s="753" t="s">
        <v>127</v>
      </c>
      <c r="E145" s="753" t="s">
        <v>623</v>
      </c>
      <c r="F145" s="445"/>
      <c r="G145" s="490"/>
      <c r="H145" s="490"/>
      <c r="I145" s="490"/>
      <c r="J145" s="127"/>
      <c r="K145" s="127"/>
      <c r="L145" s="127"/>
      <c r="M145" s="127"/>
      <c r="N145" s="127"/>
      <c r="O145" s="127"/>
      <c r="P145" s="490"/>
      <c r="Q145" s="490"/>
      <c r="U145" s="174"/>
    </row>
    <row r="146" spans="1:21" ht="15.75">
      <c r="A146" s="465" t="s">
        <v>669</v>
      </c>
      <c r="B146" s="466"/>
      <c r="C146" s="467"/>
      <c r="D146" s="468"/>
      <c r="E146" s="468"/>
      <c r="F146" s="445"/>
      <c r="G146" s="490"/>
      <c r="H146" s="490"/>
      <c r="I146" s="490"/>
      <c r="J146" s="127"/>
      <c r="K146" s="127"/>
      <c r="L146" s="127"/>
      <c r="M146" s="127"/>
      <c r="N146" s="127"/>
      <c r="O146" s="127"/>
      <c r="P146" s="490"/>
      <c r="Q146" s="490"/>
      <c r="U146" s="174"/>
    </row>
    <row r="147" spans="1:21" ht="15.75">
      <c r="A147" s="465" t="s">
        <v>670</v>
      </c>
      <c r="B147" s="466"/>
      <c r="C147" s="467"/>
      <c r="D147" s="468"/>
      <c r="E147" s="468"/>
      <c r="F147" s="445"/>
      <c r="G147" s="490"/>
      <c r="H147" s="490"/>
      <c r="I147" s="490"/>
      <c r="J147" s="127"/>
      <c r="K147" s="127"/>
      <c r="L147" s="127"/>
      <c r="M147" s="127"/>
      <c r="N147" s="127"/>
      <c r="O147" s="127"/>
      <c r="P147" s="490"/>
      <c r="Q147" s="490"/>
      <c r="U147" s="174"/>
    </row>
    <row r="148" spans="1:21" ht="15.75">
      <c r="A148" s="465" t="s">
        <v>670</v>
      </c>
      <c r="B148" s="466"/>
      <c r="C148" s="467"/>
      <c r="D148" s="468"/>
      <c r="E148" s="468"/>
      <c r="F148" s="445"/>
      <c r="G148" s="490"/>
      <c r="H148" s="490"/>
      <c r="I148" s="490"/>
      <c r="J148" s="127"/>
      <c r="K148" s="127"/>
      <c r="L148" s="127"/>
      <c r="M148" s="127"/>
      <c r="N148" s="127"/>
      <c r="O148" s="127"/>
      <c r="P148" s="490"/>
      <c r="Q148" s="490"/>
      <c r="U148" s="174"/>
    </row>
    <row r="149" spans="1:21" ht="15.75">
      <c r="A149" s="465" t="s">
        <v>671</v>
      </c>
      <c r="B149" s="466"/>
      <c r="C149" s="467"/>
      <c r="D149" s="469" t="s">
        <v>533</v>
      </c>
      <c r="E149" s="469" t="s">
        <v>533</v>
      </c>
      <c r="F149" s="445"/>
      <c r="G149" s="490"/>
      <c r="H149" s="490"/>
      <c r="I149" s="490"/>
      <c r="J149" s="127"/>
      <c r="K149" s="127"/>
      <c r="L149" s="127"/>
      <c r="M149" s="127"/>
      <c r="N149" s="127"/>
      <c r="O149" s="127"/>
      <c r="P149" s="490"/>
      <c r="Q149" s="490"/>
      <c r="U149" s="174"/>
    </row>
    <row r="150" spans="1:21" ht="15.75">
      <c r="A150" s="445"/>
      <c r="B150" s="445"/>
      <c r="C150" s="445"/>
      <c r="D150" s="445"/>
      <c r="E150" s="445"/>
      <c r="F150" s="445"/>
      <c r="G150" s="490"/>
      <c r="H150" s="490"/>
      <c r="I150" s="490"/>
      <c r="J150" s="127"/>
      <c r="K150" s="127"/>
      <c r="L150" s="127"/>
      <c r="M150" s="127"/>
      <c r="N150" s="127"/>
      <c r="O150" s="127"/>
      <c r="P150" s="490"/>
      <c r="Q150" s="490"/>
      <c r="U150" s="174"/>
    </row>
    <row r="151" spans="1:21" ht="15.75">
      <c r="A151" s="445"/>
      <c r="B151" s="445"/>
      <c r="C151" s="445"/>
      <c r="D151" s="445"/>
      <c r="E151" s="445"/>
      <c r="F151" s="445"/>
      <c r="G151" s="490"/>
      <c r="H151" s="490"/>
      <c r="I151" s="490"/>
      <c r="J151" s="127"/>
      <c r="K151" s="127"/>
      <c r="L151" s="127"/>
      <c r="M151" s="127"/>
      <c r="N151" s="127"/>
      <c r="O151" s="127"/>
      <c r="P151" s="490"/>
      <c r="Q151" s="490"/>
      <c r="U151" s="174"/>
    </row>
    <row r="152" spans="1:21" ht="18.75">
      <c r="A152" s="442" t="s">
        <v>624</v>
      </c>
      <c r="B152" s="445"/>
      <c r="C152" s="445"/>
      <c r="D152" s="445"/>
      <c r="E152" s="445"/>
      <c r="F152" s="445"/>
      <c r="G152" s="490"/>
      <c r="H152" s="490"/>
      <c r="I152" s="490"/>
      <c r="J152" s="127"/>
      <c r="K152" s="127"/>
      <c r="L152" s="127"/>
      <c r="M152" s="127"/>
      <c r="N152" s="127"/>
      <c r="O152" s="127"/>
      <c r="P152" s="490"/>
      <c r="Q152" s="490"/>
      <c r="U152" s="174"/>
    </row>
    <row r="153" spans="1:21" ht="15.75">
      <c r="A153" s="754" t="s">
        <v>625</v>
      </c>
      <c r="B153" s="127"/>
      <c r="C153" s="127"/>
      <c r="D153" s="127"/>
      <c r="E153" s="127"/>
      <c r="F153" s="127"/>
      <c r="G153" s="127"/>
      <c r="H153" s="490"/>
      <c r="I153" s="490"/>
      <c r="M153" s="174"/>
    </row>
    <row r="154" spans="1:21" ht="15.75">
      <c r="A154" s="460" t="s">
        <v>941</v>
      </c>
      <c r="B154" s="127"/>
      <c r="C154" s="127"/>
      <c r="D154" s="127"/>
      <c r="E154" s="127"/>
      <c r="F154" s="127"/>
      <c r="G154" s="127"/>
      <c r="H154" s="490"/>
      <c r="I154" s="490"/>
      <c r="M154" s="174"/>
    </row>
    <row r="155" spans="1:21" ht="15.75">
      <c r="A155" s="460" t="s">
        <v>942</v>
      </c>
      <c r="B155" s="127"/>
      <c r="C155" s="127"/>
      <c r="D155" s="127"/>
      <c r="E155" s="127"/>
      <c r="F155" s="127"/>
      <c r="G155" s="127"/>
      <c r="H155" s="490"/>
      <c r="I155" s="490"/>
      <c r="M155" s="174"/>
    </row>
    <row r="156" spans="1:21" ht="15.75">
      <c r="A156" s="460" t="s">
        <v>943</v>
      </c>
      <c r="B156" s="127"/>
      <c r="C156" s="127"/>
      <c r="D156" s="127"/>
      <c r="E156" s="127"/>
      <c r="F156" s="127"/>
      <c r="G156" s="127"/>
      <c r="H156" s="490"/>
      <c r="I156" s="490"/>
      <c r="M156" s="174"/>
    </row>
    <row r="157" spans="1:21" ht="15.75">
      <c r="A157" s="460" t="s">
        <v>944</v>
      </c>
      <c r="B157" s="127"/>
      <c r="C157" s="127"/>
      <c r="D157" s="127"/>
      <c r="E157" s="127"/>
      <c r="F157" s="127"/>
      <c r="G157" s="127"/>
      <c r="H157" s="490"/>
      <c r="I157" s="490"/>
      <c r="M157" s="174"/>
    </row>
    <row r="158" spans="1:21" ht="15.75">
      <c r="A158" s="460" t="s">
        <v>945</v>
      </c>
      <c r="B158" s="127"/>
      <c r="C158" s="127"/>
      <c r="D158" s="127"/>
      <c r="E158" s="127"/>
      <c r="F158" s="127"/>
      <c r="G158" s="127"/>
      <c r="H158" s="490"/>
      <c r="I158" s="490"/>
      <c r="M158" s="174"/>
    </row>
    <row r="159" spans="1:21" ht="15.75">
      <c r="A159" s="460" t="s">
        <v>947</v>
      </c>
      <c r="B159" s="127"/>
      <c r="C159" s="127"/>
      <c r="D159" s="127"/>
      <c r="E159" s="127"/>
      <c r="F159" s="127"/>
      <c r="G159" s="127"/>
      <c r="H159" s="490"/>
      <c r="I159" s="490"/>
      <c r="M159" s="174"/>
    </row>
    <row r="160" spans="1:21" ht="15.75">
      <c r="A160" s="460" t="s">
        <v>946</v>
      </c>
      <c r="B160" s="127"/>
      <c r="C160" s="127"/>
      <c r="D160" s="127"/>
      <c r="E160" s="127"/>
      <c r="F160" s="127"/>
      <c r="G160" s="127"/>
      <c r="H160" s="490"/>
      <c r="I160" s="490"/>
      <c r="M160" s="174"/>
    </row>
    <row r="161" spans="1:21" ht="15.75">
      <c r="A161" s="445"/>
      <c r="B161" s="445"/>
      <c r="C161" s="445"/>
      <c r="D161" s="445"/>
      <c r="E161" s="445"/>
      <c r="F161" s="445"/>
      <c r="G161" s="490"/>
      <c r="H161" s="490"/>
      <c r="I161" s="490"/>
      <c r="J161" s="127"/>
      <c r="K161" s="127"/>
      <c r="L161" s="127"/>
      <c r="M161" s="127"/>
      <c r="N161" s="127"/>
      <c r="O161" s="127"/>
      <c r="P161" s="490"/>
      <c r="Q161" s="490"/>
      <c r="U161" s="174"/>
    </row>
    <row r="162" spans="1:21" ht="15.75">
      <c r="A162" s="445"/>
      <c r="B162" s="445"/>
      <c r="C162" s="445"/>
      <c r="D162" s="445"/>
      <c r="E162" s="445"/>
      <c r="F162" s="445"/>
      <c r="G162" s="490"/>
      <c r="H162" s="490"/>
      <c r="I162" s="490"/>
      <c r="J162" s="127"/>
      <c r="K162" s="127"/>
      <c r="L162" s="127"/>
      <c r="M162" s="127"/>
      <c r="N162" s="127"/>
      <c r="O162" s="127"/>
      <c r="P162" s="490"/>
      <c r="Q162" s="490"/>
      <c r="U162" s="174"/>
    </row>
    <row r="163" spans="1:21" ht="18.75">
      <c r="A163" s="442" t="s">
        <v>626</v>
      </c>
      <c r="F163" s="858"/>
    </row>
    <row r="164" spans="1:21" ht="15.75">
      <c r="A164" s="754"/>
      <c r="B164" s="769">
        <f>'Hist &amp; Proj'!$C$7</f>
        <v>692867</v>
      </c>
      <c r="C164" s="769">
        <f>'Hist &amp; Proj'!$D$7</f>
        <v>693232</v>
      </c>
      <c r="D164" s="769">
        <f>'Hist &amp; Proj'!$E$7</f>
        <v>693597</v>
      </c>
      <c r="E164" s="769">
        <f ca="1">'Hist &amp; Proj'!$R$7</f>
        <v>693962</v>
      </c>
      <c r="F164" s="247" t="e">
        <f ca="1">'Hist &amp; Proj'!$AE$7</f>
        <v>#N/A</v>
      </c>
      <c r="K164" s="174"/>
    </row>
    <row r="165" spans="1:21" ht="15.75">
      <c r="A165" s="491" t="s">
        <v>587</v>
      </c>
      <c r="B165" s="492" t="e">
        <f>('Hist &amp; Proj'!$C$22/'Hist &amp; Proj'!$C$8)/'Hist &amp; Proj'!$C$118</f>
        <v>#DIV/0!</v>
      </c>
      <c r="C165" s="492" t="e">
        <f>('Hist &amp; Proj'!$D$22/'Hist &amp; Proj'!$D$8)/'Hist &amp; Proj'!$D$118</f>
        <v>#DIV/0!</v>
      </c>
      <c r="D165" s="492" t="e">
        <f>('Hist &amp; Proj'!$E$22/'Hist &amp; Proj'!$E$8)/'Hist &amp; Proj'!$E$118</f>
        <v>#DIV/0!</v>
      </c>
      <c r="E165" s="492" t="e">
        <f ca="1">('Hist &amp; Proj'!$R$22/'Hist &amp; Proj'!$R$8)/'Hist &amp; Proj'!$R$118</f>
        <v>#DIV/0!</v>
      </c>
      <c r="F165" s="492" t="e">
        <f ca="1">('Hist &amp; Proj'!$AE$22/'Hist &amp; Proj'!$AE$8)/'Hist &amp; Proj'!$AE$118</f>
        <v>#N/A</v>
      </c>
      <c r="K165" s="174"/>
    </row>
    <row r="166" spans="1:21" ht="15.75">
      <c r="A166" s="491" t="s">
        <v>928</v>
      </c>
      <c r="B166" s="493"/>
      <c r="C166" s="493"/>
      <c r="D166" s="493"/>
      <c r="E166" s="493"/>
      <c r="F166" s="493"/>
      <c r="K166" s="174"/>
    </row>
    <row r="167" spans="1:21" ht="15.75">
      <c r="A167" s="491" t="s">
        <v>929</v>
      </c>
      <c r="B167" s="493"/>
      <c r="C167" s="493"/>
      <c r="D167" s="493"/>
      <c r="E167" s="493"/>
      <c r="F167" s="493"/>
      <c r="K167" s="174"/>
    </row>
    <row r="168" spans="1:21" ht="15.75">
      <c r="A168" s="491" t="s">
        <v>588</v>
      </c>
      <c r="B168" s="877" t="e">
        <f>B166/B167</f>
        <v>#DIV/0!</v>
      </c>
      <c r="C168" s="877" t="e">
        <f>C166/C167</f>
        <v>#DIV/0!</v>
      </c>
      <c r="D168" s="877" t="e">
        <f>D166/D167</f>
        <v>#DIV/0!</v>
      </c>
      <c r="E168" s="877" t="e">
        <f>E166/E167</f>
        <v>#DIV/0!</v>
      </c>
      <c r="F168" s="877" t="e">
        <f>F166/F167</f>
        <v>#DIV/0!</v>
      </c>
      <c r="G168" s="494"/>
      <c r="H168" s="494"/>
      <c r="I168" s="494"/>
      <c r="K168" s="174"/>
    </row>
    <row r="169" spans="1:21" ht="15.75">
      <c r="A169" s="491" t="s">
        <v>66</v>
      </c>
      <c r="B169" s="495" t="e">
        <f>B165/B168</f>
        <v>#DIV/0!</v>
      </c>
      <c r="C169" s="495" t="e">
        <f>C165/C168</f>
        <v>#DIV/0!</v>
      </c>
      <c r="D169" s="495" t="e">
        <f>D165/D168</f>
        <v>#DIV/0!</v>
      </c>
      <c r="E169" s="495" t="e">
        <f ca="1">E165/E168</f>
        <v>#DIV/0!</v>
      </c>
      <c r="F169" s="495" t="e">
        <f ca="1">F165/F168</f>
        <v>#N/A</v>
      </c>
      <c r="G169" s="353"/>
      <c r="H169" s="353"/>
      <c r="I169" s="353"/>
      <c r="K169" s="174"/>
    </row>
    <row r="170" spans="1:21">
      <c r="A170" s="496" t="s">
        <v>365</v>
      </c>
    </row>
    <row r="173" spans="1:21" ht="25.5" hidden="1" outlineLevel="1">
      <c r="A173" s="732" t="s">
        <v>882</v>
      </c>
      <c r="B173" s="731"/>
    </row>
    <row r="174" spans="1:21" ht="25.5" hidden="1" outlineLevel="1">
      <c r="A174" s="732" t="s">
        <v>883</v>
      </c>
      <c r="B174" s="731"/>
      <c r="C174" s="133"/>
      <c r="D174" s="133"/>
      <c r="E174" s="133"/>
      <c r="F174" s="133"/>
      <c r="G174" s="133"/>
      <c r="H174" s="133"/>
      <c r="I174" s="133"/>
      <c r="P174" s="133"/>
      <c r="Q174" s="133"/>
      <c r="U174" s="133"/>
    </row>
    <row r="175" spans="1:21" collapsed="1"/>
  </sheetData>
  <phoneticPr fontId="0" type="noConversion"/>
  <conditionalFormatting sqref="B109 D109:F109 B124 D124:F124 B60 E59 C59 B76 G59 D76:F76 B95 D95:F95 B41:G41">
    <cfRule type="cellIs" dxfId="22" priority="31" stopIfTrue="1" operator="greaterThan">
      <formula>0</formula>
    </cfRule>
    <cfRule type="cellIs" dxfId="21" priority="32" stopIfTrue="1" operator="equal">
      <formula>0</formula>
    </cfRule>
  </conditionalFormatting>
  <dataValidations count="2">
    <dataValidation type="list" allowBlank="1" showInputMessage="1" sqref="M55:M57">
      <formula1>Amortization</formula1>
    </dataValidation>
    <dataValidation type="list" allowBlank="1" showInputMessage="1" sqref="B55:B57">
      <formula1>Loan_Type</formula1>
    </dataValidation>
  </dataValidations>
  <pageMargins left="0.78740157499999996" right="0.78740157499999996" top="0.984251969" bottom="0.984251969" header="0.5" footer="0.5"/>
  <pageSetup scale="26" orientation="landscape" r:id="rId1"/>
  <headerFooter alignWithMargins="0">
    <oddHeader>&amp;C&amp;A</oddHeader>
  </headerFooter>
  <colBreaks count="1" manualBreakCount="1">
    <brk id="17" max="43" man="1"/>
  </colBreaks>
  <legacyDrawing r:id="rId2"/>
</worksheet>
</file>

<file path=xl/worksheets/sheet7.xml><?xml version="1.0" encoding="utf-8"?>
<worksheet xmlns="http://schemas.openxmlformats.org/spreadsheetml/2006/main" xmlns:r="http://schemas.openxmlformats.org/officeDocument/2006/relationships">
  <sheetPr codeName="Sheet1">
    <tabColor theme="3" tint="0.59999389629810485"/>
    <pageSetUpPr fitToPage="1"/>
  </sheetPr>
  <dimension ref="A1:AZ53"/>
  <sheetViews>
    <sheetView showGridLines="0" zoomScale="70" zoomScaleNormal="70" zoomScaleSheetLayoutView="85" workbookViewId="0">
      <pane xSplit="2" topLeftCell="C1" activePane="topRight" state="frozen"/>
      <selection pane="topRight"/>
    </sheetView>
  </sheetViews>
  <sheetFormatPr defaultRowHeight="12.75" outlineLevelRow="1" outlineLevelCol="1"/>
  <cols>
    <col min="1" max="1" width="7.42578125" style="445" customWidth="1"/>
    <col min="2" max="2" width="33.85546875" style="445" customWidth="1"/>
    <col min="3" max="3" width="12.28515625" style="445" customWidth="1"/>
    <col min="4" max="4" width="14.5703125" style="445" customWidth="1"/>
    <col min="5" max="5" width="15.28515625" style="445" customWidth="1"/>
    <col min="6" max="6" width="16.5703125" style="445" customWidth="1"/>
    <col min="7" max="7" width="15.5703125" style="445" customWidth="1"/>
    <col min="8" max="8" width="15.42578125" style="445" customWidth="1"/>
    <col min="9" max="9" width="18.85546875" style="445" customWidth="1"/>
    <col min="10" max="10" width="13.28515625" style="445" customWidth="1"/>
    <col min="11" max="11" width="22.28515625" style="445" customWidth="1"/>
    <col min="12" max="12" width="17.5703125" style="445" bestFit="1" customWidth="1"/>
    <col min="13" max="13" width="15.85546875" style="445" customWidth="1"/>
    <col min="14" max="14" width="15.7109375" style="445" customWidth="1"/>
    <col min="15" max="15" width="13.140625" style="445" customWidth="1" outlineLevel="1"/>
    <col min="16" max="16" width="14.85546875" style="445" customWidth="1" outlineLevel="1"/>
    <col min="17" max="17" width="13" style="445" customWidth="1"/>
    <col min="18" max="18" width="13.28515625" style="445" customWidth="1"/>
    <col min="19" max="19" width="13.7109375" style="445" customWidth="1"/>
    <col min="20" max="20" width="14.7109375" style="445" customWidth="1"/>
    <col min="21" max="21" width="13" style="445" customWidth="1"/>
    <col min="22" max="22" width="13.28515625" style="445" customWidth="1"/>
    <col min="23" max="23" width="14" style="445" customWidth="1"/>
    <col min="24" max="24" width="13.5703125" style="445" customWidth="1"/>
    <col min="25" max="25" width="13.28515625" style="445" customWidth="1"/>
    <col min="26" max="26" width="13.85546875" style="445" customWidth="1"/>
    <col min="27" max="16384" width="9.140625" style="445"/>
  </cols>
  <sheetData>
    <row r="1" spans="1:52" ht="21">
      <c r="A1" s="498">
        <f>'Gen Info'!B2</f>
        <v>0</v>
      </c>
      <c r="C1" s="470"/>
      <c r="D1" s="470"/>
      <c r="E1" s="470"/>
      <c r="F1" s="470"/>
      <c r="G1" s="470"/>
      <c r="H1" s="470"/>
      <c r="I1" s="470"/>
    </row>
    <row r="2" spans="1:52" s="169" customFormat="1" ht="4.5" customHeight="1" thickBot="1">
      <c r="A2" s="482"/>
      <c r="B2" s="482"/>
      <c r="C2" s="482"/>
      <c r="D2" s="482"/>
      <c r="E2" s="482"/>
      <c r="F2" s="482"/>
      <c r="G2" s="482"/>
      <c r="H2" s="482"/>
      <c r="I2" s="482"/>
      <c r="J2" s="482"/>
      <c r="K2" s="482"/>
      <c r="L2" s="482"/>
      <c r="M2" s="482"/>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9"/>
      <c r="AX2" s="159"/>
      <c r="AY2" s="159"/>
      <c r="AZ2" s="159"/>
    </row>
    <row r="3" spans="1:52" s="126" customFormat="1" ht="12.75" customHeight="1">
      <c r="A3" s="173"/>
      <c r="B3" s="173"/>
      <c r="C3" s="173"/>
      <c r="D3" s="173"/>
      <c r="E3" s="173"/>
      <c r="F3" s="173"/>
      <c r="G3" s="173"/>
      <c r="N3" s="151"/>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row>
    <row r="4" spans="1:52" ht="21">
      <c r="A4" s="499" t="s">
        <v>642</v>
      </c>
      <c r="B4" s="471"/>
      <c r="D4" s="446"/>
    </row>
    <row r="5" spans="1:52" ht="21">
      <c r="A5" s="173"/>
      <c r="B5" s="471"/>
      <c r="D5" s="446"/>
    </row>
    <row r="6" spans="1:52" ht="18.75">
      <c r="A6" s="442" t="s">
        <v>638</v>
      </c>
      <c r="B6" s="471"/>
    </row>
    <row r="7" spans="1:52">
      <c r="A7" s="250" t="e">
        <f ca="1">"Data as of "&amp;TEXT('Hist &amp; Proj'!$AE$7,"mmm")&amp;" of "&amp;YEAR('Hist &amp; Proj'!$AE$7)</f>
        <v>#N/A</v>
      </c>
      <c r="B7" s="510"/>
      <c r="C7" s="443"/>
      <c r="D7" s="443"/>
      <c r="E7" s="443"/>
      <c r="H7" s="448"/>
      <c r="R7" s="446"/>
      <c r="S7" s="446"/>
      <c r="T7" s="446"/>
      <c r="U7" s="446"/>
      <c r="V7" s="446"/>
      <c r="W7" s="446"/>
      <c r="X7" s="446"/>
      <c r="Y7" s="446"/>
      <c r="Z7" s="446"/>
      <c r="AA7" s="446"/>
      <c r="AB7" s="446"/>
      <c r="AC7" s="446"/>
      <c r="AD7" s="446"/>
      <c r="AE7" s="446"/>
      <c r="AF7" s="446"/>
      <c r="AG7" s="446"/>
      <c r="AH7" s="446"/>
      <c r="AI7" s="446"/>
      <c r="AJ7" s="446"/>
      <c r="AK7" s="446"/>
    </row>
    <row r="8" spans="1:52">
      <c r="A8" s="511">
        <f>'Gen Info'!$B$50</f>
        <v>0</v>
      </c>
      <c r="B8" s="511"/>
      <c r="C8" s="443"/>
      <c r="D8" s="443"/>
      <c r="E8" s="443"/>
      <c r="H8" s="448"/>
      <c r="K8" s="794"/>
      <c r="L8" s="794"/>
      <c r="M8" s="794"/>
      <c r="R8" s="446"/>
      <c r="S8" s="446"/>
      <c r="T8" s="446"/>
      <c r="U8" s="446"/>
      <c r="V8" s="446"/>
      <c r="W8" s="446"/>
      <c r="X8" s="446"/>
      <c r="Y8" s="446"/>
      <c r="Z8" s="446"/>
      <c r="AA8" s="446"/>
      <c r="AB8" s="446"/>
      <c r="AC8" s="446"/>
      <c r="AD8" s="446"/>
      <c r="AE8" s="446"/>
      <c r="AF8" s="446"/>
      <c r="AG8" s="446"/>
      <c r="AH8" s="446"/>
      <c r="AI8" s="446"/>
      <c r="AJ8" s="446"/>
      <c r="AK8" s="446"/>
    </row>
    <row r="9" spans="1:52" s="472" customFormat="1" ht="33" customHeight="1">
      <c r="A9" s="755"/>
      <c r="B9" s="756" t="s">
        <v>636</v>
      </c>
      <c r="C9" s="757" t="s">
        <v>299</v>
      </c>
      <c r="D9" s="757" t="s">
        <v>410</v>
      </c>
      <c r="E9" s="757" t="s">
        <v>898</v>
      </c>
      <c r="F9" s="757" t="s">
        <v>631</v>
      </c>
      <c r="G9" s="757" t="s">
        <v>632</v>
      </c>
      <c r="H9" s="757" t="s">
        <v>635</v>
      </c>
      <c r="I9" s="757" t="s">
        <v>298</v>
      </c>
      <c r="J9" s="757" t="s">
        <v>633</v>
      </c>
      <c r="K9" s="757" t="s">
        <v>634</v>
      </c>
      <c r="L9" s="752" t="s">
        <v>693</v>
      </c>
      <c r="M9" s="757" t="s">
        <v>901</v>
      </c>
      <c r="O9" s="757" t="s">
        <v>695</v>
      </c>
      <c r="P9" s="757" t="s">
        <v>696</v>
      </c>
    </row>
    <row r="10" spans="1:52" s="472" customFormat="1" ht="15">
      <c r="A10" s="473">
        <v>1</v>
      </c>
      <c r="B10" s="500"/>
      <c r="C10" s="501"/>
      <c r="D10" s="502"/>
      <c r="E10" s="464"/>
      <c r="F10" s="795"/>
      <c r="G10" s="502"/>
      <c r="H10" s="474" t="e">
        <f t="shared" ref="H10:H15" si="0">G10/$G$20</f>
        <v>#DIV/0!</v>
      </c>
      <c r="I10" s="464"/>
      <c r="J10" s="795"/>
      <c r="K10" s="796">
        <f t="shared" ref="K10:K15" si="1">(J10-F10)/30</f>
        <v>0</v>
      </c>
      <c r="L10" s="893"/>
      <c r="M10" s="501"/>
      <c r="O10" s="579">
        <f>IF($C10='Hist &amp; Proj'!$A$8,$G10/$G$17,0)</f>
        <v>0</v>
      </c>
      <c r="P10" s="579" t="e">
        <f>IF($C10='Gen Info'!$B$50,$G10/$G$18,0)</f>
        <v>#DIV/0!</v>
      </c>
    </row>
    <row r="11" spans="1:52" s="472" customFormat="1" ht="15">
      <c r="A11" s="473">
        <f>+A10+1</f>
        <v>2</v>
      </c>
      <c r="B11" s="500"/>
      <c r="C11" s="501"/>
      <c r="D11" s="502"/>
      <c r="E11" s="464"/>
      <c r="F11" s="795"/>
      <c r="G11" s="502"/>
      <c r="H11" s="474" t="e">
        <f t="shared" si="0"/>
        <v>#DIV/0!</v>
      </c>
      <c r="I11" s="464"/>
      <c r="J11" s="795"/>
      <c r="K11" s="796">
        <f t="shared" si="1"/>
        <v>0</v>
      </c>
      <c r="L11" s="893"/>
      <c r="M11" s="501"/>
      <c r="O11" s="579">
        <f>IF($C11='Hist &amp; Proj'!$A$8,$G11/$G$17,0)</f>
        <v>0</v>
      </c>
      <c r="P11" s="579" t="e">
        <f>IF($C11='Gen Info'!$B$50,$G11/$G$18,0)</f>
        <v>#DIV/0!</v>
      </c>
    </row>
    <row r="12" spans="1:52" s="472" customFormat="1" ht="15">
      <c r="A12" s="473">
        <f>+A11+1</f>
        <v>3</v>
      </c>
      <c r="B12" s="500"/>
      <c r="C12" s="501"/>
      <c r="D12" s="502"/>
      <c r="E12" s="464"/>
      <c r="F12" s="795"/>
      <c r="G12" s="502"/>
      <c r="H12" s="474" t="e">
        <f t="shared" si="0"/>
        <v>#DIV/0!</v>
      </c>
      <c r="I12" s="464"/>
      <c r="J12" s="795"/>
      <c r="K12" s="796">
        <f t="shared" si="1"/>
        <v>0</v>
      </c>
      <c r="L12" s="893"/>
      <c r="M12" s="501"/>
      <c r="O12" s="579">
        <f>IF($C12='Hist &amp; Proj'!$A$8,$G12/$G$17,0)</f>
        <v>0</v>
      </c>
      <c r="P12" s="579" t="e">
        <f>IF($C12='Gen Info'!$B$50,$G12/$G$18,0)</f>
        <v>#DIV/0!</v>
      </c>
    </row>
    <row r="13" spans="1:52" s="472" customFormat="1" ht="15">
      <c r="A13" s="473">
        <f>+A12+1</f>
        <v>4</v>
      </c>
      <c r="B13" s="500"/>
      <c r="C13" s="503"/>
      <c r="D13" s="502"/>
      <c r="E13" s="464"/>
      <c r="F13" s="795"/>
      <c r="G13" s="502"/>
      <c r="H13" s="474" t="e">
        <f t="shared" si="0"/>
        <v>#DIV/0!</v>
      </c>
      <c r="I13" s="464"/>
      <c r="J13" s="795"/>
      <c r="K13" s="796">
        <f t="shared" si="1"/>
        <v>0</v>
      </c>
      <c r="L13" s="893"/>
      <c r="M13" s="501"/>
      <c r="O13" s="579">
        <f>IF($C13='Hist &amp; Proj'!$A$8,$G13/$G$17,0)</f>
        <v>0</v>
      </c>
      <c r="P13" s="579" t="e">
        <f>IF($C13='Gen Info'!$B$50,$G13/$G$18,0)</f>
        <v>#DIV/0!</v>
      </c>
    </row>
    <row r="14" spans="1:52" s="472" customFormat="1" ht="15">
      <c r="A14" s="473">
        <f>+A13+1</f>
        <v>5</v>
      </c>
      <c r="B14" s="500"/>
      <c r="C14" s="503"/>
      <c r="D14" s="502"/>
      <c r="E14" s="464"/>
      <c r="F14" s="795"/>
      <c r="G14" s="502"/>
      <c r="H14" s="474" t="e">
        <f t="shared" si="0"/>
        <v>#DIV/0!</v>
      </c>
      <c r="I14" s="464"/>
      <c r="J14" s="795"/>
      <c r="K14" s="796">
        <f t="shared" si="1"/>
        <v>0</v>
      </c>
      <c r="L14" s="893"/>
      <c r="M14" s="501"/>
      <c r="O14" s="579">
        <f>IF($C14='Hist &amp; Proj'!$A$8,$G14/$G$17,0)</f>
        <v>0</v>
      </c>
      <c r="P14" s="579" t="e">
        <f>IF($C14='Gen Info'!$B$50,$G14/$G$18,0)</f>
        <v>#DIV/0!</v>
      </c>
    </row>
    <row r="15" spans="1:52" s="472" customFormat="1" ht="15">
      <c r="A15" s="473">
        <f>+A14+1</f>
        <v>6</v>
      </c>
      <c r="B15" s="500"/>
      <c r="C15" s="503"/>
      <c r="D15" s="502"/>
      <c r="E15" s="464"/>
      <c r="F15" s="795"/>
      <c r="G15" s="502"/>
      <c r="H15" s="474" t="e">
        <f t="shared" si="0"/>
        <v>#DIV/0!</v>
      </c>
      <c r="I15" s="464"/>
      <c r="J15" s="795"/>
      <c r="K15" s="796">
        <f t="shared" si="1"/>
        <v>0</v>
      </c>
      <c r="L15" s="893"/>
      <c r="M15" s="501"/>
      <c r="O15" s="579">
        <f>IF($C15='Hist &amp; Proj'!$A$8,$G15/$G$17,0)</f>
        <v>0</v>
      </c>
      <c r="P15" s="579" t="e">
        <f>IF($C15='Gen Info'!$B$50,$G15/$G$18,0)</f>
        <v>#DIV/0!</v>
      </c>
    </row>
    <row r="16" spans="1:52" s="151" customFormat="1" ht="4.5" customHeight="1">
      <c r="O16" s="797"/>
      <c r="P16" s="797"/>
    </row>
    <row r="17" spans="1:16" s="472" customFormat="1" ht="15">
      <c r="A17" s="475"/>
      <c r="B17" s="476" t="str">
        <f>CONCATENATE("Funding in ",'Hist &amp; Proj'!A8)</f>
        <v>Funding in USD</v>
      </c>
      <c r="C17" s="479" t="str">
        <f>'Hist &amp; Proj'!A8</f>
        <v>USD</v>
      </c>
      <c r="D17" s="478">
        <f>SUMIF($C$10:$C$16,'Hist &amp; Proj'!$A$8,D10:D16)</f>
        <v>0</v>
      </c>
      <c r="E17" s="479" t="s">
        <v>533</v>
      </c>
      <c r="F17" s="479" t="s">
        <v>533</v>
      </c>
      <c r="G17" s="478">
        <f>SUMIF($C$10:$C$16,'Hist &amp; Proj'!$A$8,G10:G16)</f>
        <v>0</v>
      </c>
      <c r="H17" s="479">
        <f>SUMIF($C$10:$C$16,'Hist &amp; Proj'!$A$8,H10:H16)</f>
        <v>0</v>
      </c>
      <c r="I17" s="577">
        <f>SUMPRODUCT(I10:I16,$O$10:$O$16)</f>
        <v>0</v>
      </c>
      <c r="J17" s="479" t="s">
        <v>533</v>
      </c>
      <c r="K17" s="580">
        <f>SUMPRODUCT(K10:K16,$O$10:$O$16)</f>
        <v>0</v>
      </c>
      <c r="L17" s="479">
        <f>SUMPRODUCT(L10:L16,$O$10:$O$16)</f>
        <v>0</v>
      </c>
      <c r="M17" s="479" t="s">
        <v>533</v>
      </c>
      <c r="N17" s="794"/>
      <c r="O17" s="794"/>
      <c r="P17" s="794"/>
    </row>
    <row r="18" spans="1:16" s="472" customFormat="1" ht="15">
      <c r="A18" s="475"/>
      <c r="B18" s="476" t="str">
        <f>CONCATENATE("Funding in ",'Gen Info'!B50)</f>
        <v>Funding in 0</v>
      </c>
      <c r="C18" s="479">
        <f>'Gen Info'!B50</f>
        <v>0</v>
      </c>
      <c r="D18" s="478">
        <f>SUMIF($C$10:$C$16,'Gen Info'!$B$50,D10:D16)</f>
        <v>0</v>
      </c>
      <c r="E18" s="479" t="s">
        <v>533</v>
      </c>
      <c r="F18" s="479" t="s">
        <v>533</v>
      </c>
      <c r="G18" s="478">
        <f>SUMIF($C$10:$C$16,'Gen Info'!$B$50,G10:G16)</f>
        <v>0</v>
      </c>
      <c r="H18" s="479">
        <f>SUMIF($C$10:$C$16,'Gen Info'!$B$50,H10:H16)</f>
        <v>0</v>
      </c>
      <c r="I18" s="577" t="e">
        <f>SUMPRODUCT(I10:I16,$P$10:$P$16)</f>
        <v>#DIV/0!</v>
      </c>
      <c r="J18" s="479" t="s">
        <v>533</v>
      </c>
      <c r="K18" s="580" t="e">
        <f>SUMPRODUCT(K10:K16,$P$10:$P$16)</f>
        <v>#DIV/0!</v>
      </c>
      <c r="L18" s="479" t="e">
        <f>SUMPRODUCT(L10:L16,$P$10:$P$16)</f>
        <v>#DIV/0!</v>
      </c>
      <c r="M18" s="479" t="s">
        <v>533</v>
      </c>
      <c r="N18" s="794"/>
      <c r="O18" s="794"/>
      <c r="P18" s="794"/>
    </row>
    <row r="19" spans="1:16" s="151" customFormat="1" ht="4.5" customHeight="1">
      <c r="I19" s="798"/>
      <c r="K19" s="799"/>
      <c r="L19" s="800"/>
    </row>
    <row r="20" spans="1:16" s="472" customFormat="1" ht="15">
      <c r="A20" s="573"/>
      <c r="B20" s="574" t="s">
        <v>694</v>
      </c>
      <c r="C20" s="576" t="s">
        <v>533</v>
      </c>
      <c r="D20" s="575">
        <f>SUM(D10:D16)</f>
        <v>0</v>
      </c>
      <c r="E20" s="576" t="s">
        <v>533</v>
      </c>
      <c r="F20" s="576" t="s">
        <v>533</v>
      </c>
      <c r="G20" s="575">
        <f>SUM(G10:G16)</f>
        <v>0</v>
      </c>
      <c r="H20" s="576" t="e">
        <f>SUM(H10:H16)</f>
        <v>#DIV/0!</v>
      </c>
      <c r="I20" s="578" t="e">
        <f>SUMPRODUCT(I10:I16,$H$10:$H$16)</f>
        <v>#DIV/0!</v>
      </c>
      <c r="J20" s="576" t="s">
        <v>533</v>
      </c>
      <c r="K20" s="581" t="e">
        <f>SUMPRODUCT(K10:K16,$H$10:$H$16)</f>
        <v>#DIV/0!</v>
      </c>
      <c r="L20" s="576" t="e">
        <f>SUMPRODUCT(L10:L16,$H$10:$H$16)</f>
        <v>#DIV/0!</v>
      </c>
      <c r="M20" s="576" t="s">
        <v>533</v>
      </c>
      <c r="N20" s="794"/>
      <c r="O20" s="794"/>
      <c r="P20" s="794"/>
    </row>
    <row r="21" spans="1:16" s="794" customFormat="1">
      <c r="A21" s="480" t="s">
        <v>630</v>
      </c>
      <c r="C21" s="801"/>
      <c r="I21" s="802"/>
    </row>
    <row r="22" spans="1:16" s="446" customFormat="1" outlineLevel="1">
      <c r="B22" s="235" t="s">
        <v>896</v>
      </c>
      <c r="C22" s="768" t="e">
        <f ca="1">IF(AND(C$14=#REF!,#REF!=#REF!,#REF!=C$17,C$17=C$24,C$24='Hist &amp; Proj'!F$119),0,ABS(C$24-'Hist &amp; Proj'!F$119))</f>
        <v>#REF!</v>
      </c>
      <c r="G22" s="768" t="e">
        <f ca="1">IF(G20='Hist &amp; Proj'!$AE$29,0,ABS(G20-'Hist &amp; Proj'!$AE$29))</f>
        <v>#N/A</v>
      </c>
    </row>
    <row r="23" spans="1:16" s="446" customFormat="1">
      <c r="B23" s="235"/>
      <c r="C23" s="768"/>
      <c r="D23" s="768"/>
    </row>
    <row r="24" spans="1:16" s="794" customFormat="1"/>
    <row r="25" spans="1:16" ht="18.75">
      <c r="A25" s="442" t="s">
        <v>639</v>
      </c>
    </row>
    <row r="26" spans="1:16">
      <c r="A26" s="250" t="e">
        <f ca="1">A7</f>
        <v>#N/A</v>
      </c>
      <c r="B26" s="250"/>
    </row>
    <row r="27" spans="1:16" ht="27.75" customHeight="1">
      <c r="A27" s="758"/>
      <c r="B27" s="759" t="s">
        <v>637</v>
      </c>
      <c r="C27" s="757" t="s">
        <v>640</v>
      </c>
      <c r="D27" s="757" t="s">
        <v>914</v>
      </c>
      <c r="E27" s="757" t="str">
        <f>CONCATENATE("Value of Shares in ",'Gen Info'!B50)</f>
        <v>Value of Shares in 0</v>
      </c>
      <c r="F27" s="757" t="s">
        <v>651</v>
      </c>
    </row>
    <row r="28" spans="1:16" ht="15">
      <c r="A28" s="473">
        <v>1</v>
      </c>
      <c r="B28" s="505"/>
      <c r="C28" s="803"/>
      <c r="D28" s="504"/>
      <c r="E28" s="504"/>
      <c r="F28" s="481" t="e">
        <f>+E28/$E$29</f>
        <v>#DIV/0!</v>
      </c>
    </row>
    <row r="29" spans="1:16" ht="15">
      <c r="A29" s="475"/>
      <c r="B29" s="476" t="s">
        <v>33</v>
      </c>
      <c r="C29" s="477"/>
      <c r="D29" s="478">
        <f>SUM(D28:D28)</f>
        <v>0</v>
      </c>
      <c r="E29" s="478">
        <f>SUM(E28:E28)</f>
        <v>0</v>
      </c>
      <c r="F29" s="479" t="e">
        <f>SUM(F28:F28)</f>
        <v>#DIV/0!</v>
      </c>
    </row>
    <row r="32" spans="1:16" ht="18.75">
      <c r="A32" s="442" t="s">
        <v>641</v>
      </c>
    </row>
    <row r="33" spans="1:4">
      <c r="A33" s="250" t="e">
        <f ca="1">'Liab &amp; Shrs'!A7</f>
        <v>#N/A</v>
      </c>
      <c r="B33" s="250"/>
    </row>
    <row r="34" spans="1:4" ht="15">
      <c r="A34" s="758"/>
      <c r="B34" s="759" t="s">
        <v>625</v>
      </c>
      <c r="C34" s="757" t="s">
        <v>643</v>
      </c>
      <c r="D34" s="757" t="s">
        <v>644</v>
      </c>
    </row>
    <row r="35" spans="1:4" ht="30" customHeight="1">
      <c r="A35" s="473">
        <v>1</v>
      </c>
      <c r="B35" s="506"/>
      <c r="C35" s="507"/>
      <c r="D35" s="507"/>
    </row>
    <row r="36" spans="1:4" ht="30" customHeight="1">
      <c r="A36" s="473">
        <f t="shared" ref="A36:A41" si="2">+A35+1</f>
        <v>2</v>
      </c>
      <c r="B36" s="506"/>
      <c r="C36" s="507"/>
      <c r="D36" s="507"/>
    </row>
    <row r="37" spans="1:4" ht="30" customHeight="1">
      <c r="A37" s="473">
        <f t="shared" si="2"/>
        <v>3</v>
      </c>
      <c r="B37" s="506"/>
      <c r="C37" s="507"/>
      <c r="D37" s="507"/>
    </row>
    <row r="38" spans="1:4" ht="30" customHeight="1">
      <c r="A38" s="473">
        <f t="shared" si="2"/>
        <v>4</v>
      </c>
      <c r="B38" s="506"/>
      <c r="C38" s="507"/>
      <c r="D38" s="507"/>
    </row>
    <row r="39" spans="1:4" ht="30" customHeight="1">
      <c r="A39" s="473">
        <f t="shared" si="2"/>
        <v>5</v>
      </c>
      <c r="B39" s="506"/>
      <c r="C39" s="507"/>
      <c r="D39" s="507"/>
    </row>
    <row r="40" spans="1:4" ht="30" customHeight="1">
      <c r="A40" s="473">
        <f t="shared" si="2"/>
        <v>6</v>
      </c>
      <c r="B40" s="506"/>
      <c r="C40" s="507"/>
      <c r="D40" s="507"/>
    </row>
    <row r="41" spans="1:4" ht="30" customHeight="1">
      <c r="A41" s="473">
        <f t="shared" si="2"/>
        <v>7</v>
      </c>
      <c r="B41" s="506"/>
      <c r="C41" s="507"/>
      <c r="D41" s="507"/>
    </row>
    <row r="44" spans="1:4" ht="18.75">
      <c r="A44" s="442" t="s">
        <v>582</v>
      </c>
    </row>
    <row r="45" spans="1:4">
      <c r="A45" s="250" t="e">
        <f ca="1">A7</f>
        <v>#N/A</v>
      </c>
      <c r="B45" s="250"/>
    </row>
    <row r="46" spans="1:4" ht="30" customHeight="1">
      <c r="A46" s="758"/>
      <c r="B46" s="759" t="s">
        <v>625</v>
      </c>
      <c r="C46" s="757" t="s">
        <v>643</v>
      </c>
    </row>
    <row r="47" spans="1:4" ht="30" customHeight="1">
      <c r="A47" s="473">
        <v>1</v>
      </c>
      <c r="B47" s="506"/>
      <c r="C47" s="507"/>
    </row>
    <row r="48" spans="1:4" ht="30" customHeight="1">
      <c r="A48" s="473">
        <f t="shared" ref="A48:A53" si="3">+A47+1</f>
        <v>2</v>
      </c>
      <c r="B48" s="506"/>
      <c r="C48" s="507"/>
    </row>
    <row r="49" spans="1:3" ht="30" customHeight="1">
      <c r="A49" s="473">
        <f t="shared" si="3"/>
        <v>3</v>
      </c>
      <c r="B49" s="506"/>
      <c r="C49" s="507"/>
    </row>
    <row r="50" spans="1:3" ht="30" customHeight="1">
      <c r="A50" s="473">
        <f t="shared" si="3"/>
        <v>4</v>
      </c>
      <c r="B50" s="506"/>
      <c r="C50" s="507"/>
    </row>
    <row r="51" spans="1:3" ht="30" customHeight="1">
      <c r="A51" s="473">
        <f t="shared" si="3"/>
        <v>5</v>
      </c>
      <c r="B51" s="506"/>
      <c r="C51" s="507"/>
    </row>
    <row r="52" spans="1:3" ht="30" customHeight="1">
      <c r="A52" s="473">
        <f t="shared" si="3"/>
        <v>6</v>
      </c>
      <c r="B52" s="506"/>
      <c r="C52" s="507"/>
    </row>
    <row r="53" spans="1:3" ht="30" customHeight="1">
      <c r="A53" s="473">
        <f t="shared" si="3"/>
        <v>7</v>
      </c>
      <c r="B53" s="506"/>
      <c r="C53" s="507"/>
    </row>
  </sheetData>
  <protectedRanges>
    <protectedRange sqref="G10:I15 H16:M20 E17:F20 C17:C20 D10:E15 D28:E28" name="Range1_2"/>
  </protectedRanges>
  <conditionalFormatting sqref="C22:C23 D23 G22">
    <cfRule type="cellIs" dxfId="20" priority="11" stopIfTrue="1" operator="greaterThan">
      <formula>0</formula>
    </cfRule>
    <cfRule type="cellIs" dxfId="19" priority="12" stopIfTrue="1" operator="equal">
      <formula>0</formula>
    </cfRule>
  </conditionalFormatting>
  <pageMargins left="0.75" right="0.75" top="1" bottom="1" header="0.5" footer="0.5"/>
  <pageSetup scale="72" orientation="landscape" r:id="rId1"/>
  <headerFooter alignWithMargins="0">
    <oddHeader>&amp;C&amp;A</oddHeader>
  </headerFooter>
  <legacyDrawing r:id="rId2"/>
</worksheet>
</file>

<file path=xl/worksheets/sheet8.xml><?xml version="1.0" encoding="utf-8"?>
<worksheet xmlns="http://schemas.openxmlformats.org/spreadsheetml/2006/main" xmlns:r="http://schemas.openxmlformats.org/officeDocument/2006/relationships">
  <sheetPr codeName="Sheet4">
    <tabColor theme="3" tint="0.59999389629810485"/>
    <pageSetUpPr fitToPage="1"/>
  </sheetPr>
  <dimension ref="A1:BI22"/>
  <sheetViews>
    <sheetView showGridLines="0" zoomScale="70" zoomScaleNormal="70" zoomScaleSheetLayoutView="85" workbookViewId="0">
      <pane xSplit="1" topLeftCell="B1" activePane="topRight" state="frozen"/>
      <selection pane="topRight"/>
    </sheetView>
  </sheetViews>
  <sheetFormatPr defaultRowHeight="12.75" outlineLevelRow="1" outlineLevelCol="1"/>
  <cols>
    <col min="1" max="1" width="46.42578125" style="445" customWidth="1"/>
    <col min="2" max="2" width="16.7109375" style="445" customWidth="1"/>
    <col min="3" max="3" width="17.7109375" style="445" bestFit="1" customWidth="1"/>
    <col min="4" max="4" width="17.7109375" style="445" customWidth="1"/>
    <col min="5" max="5" width="19.28515625" style="445" customWidth="1"/>
    <col min="6" max="7" width="18.28515625" style="445" customWidth="1"/>
    <col min="8" max="8" width="23.5703125" style="445" customWidth="1"/>
    <col min="9" max="9" width="17.5703125" style="445" bestFit="1" customWidth="1"/>
    <col min="10" max="10" width="22.28515625" style="445" customWidth="1"/>
    <col min="11" max="11" width="17.5703125" style="445" bestFit="1" customWidth="1"/>
    <col min="12" max="12" width="15.85546875" style="445" customWidth="1"/>
    <col min="13" max="24" width="15.7109375" style="445" customWidth="1"/>
    <col min="25" max="25" width="13" style="445" customWidth="1"/>
    <col min="26" max="26" width="13" style="445" customWidth="1" outlineLevel="1"/>
    <col min="27" max="27" width="13.28515625" style="445" customWidth="1"/>
    <col min="28" max="28" width="13.7109375" style="445" customWidth="1"/>
    <col min="29" max="29" width="14.7109375" style="445" customWidth="1"/>
    <col min="30" max="30" width="13" style="445" customWidth="1"/>
    <col min="31" max="31" width="13.28515625" style="445" customWidth="1"/>
    <col min="32" max="32" width="14" style="445" customWidth="1"/>
    <col min="33" max="33" width="13.5703125" style="445" customWidth="1"/>
    <col min="34" max="34" width="13.28515625" style="445" customWidth="1"/>
    <col min="35" max="35" width="13.85546875" style="445" customWidth="1"/>
    <col min="36" max="16384" width="9.140625" style="445"/>
  </cols>
  <sheetData>
    <row r="1" spans="1:61" ht="21">
      <c r="A1" s="498">
        <f>'Gen Info'!B2</f>
        <v>0</v>
      </c>
      <c r="B1" s="470"/>
      <c r="C1" s="470"/>
      <c r="D1" s="470"/>
      <c r="E1" s="470"/>
      <c r="F1" s="470"/>
      <c r="G1" s="470"/>
      <c r="H1" s="470"/>
    </row>
    <row r="2" spans="1:61" s="169" customFormat="1" ht="4.5" customHeight="1" thickBot="1">
      <c r="A2" s="482"/>
      <c r="B2" s="482"/>
      <c r="C2" s="482"/>
      <c r="D2" s="482"/>
      <c r="E2" s="482"/>
      <c r="F2" s="482"/>
      <c r="G2" s="482"/>
      <c r="H2" s="482"/>
      <c r="I2" s="482"/>
      <c r="J2" s="482"/>
      <c r="K2" s="482"/>
      <c r="L2" s="482"/>
      <c r="M2" s="482"/>
      <c r="N2" s="482"/>
      <c r="O2" s="482"/>
      <c r="P2" s="482"/>
      <c r="Q2" s="482"/>
      <c r="R2" s="482"/>
      <c r="S2" s="482"/>
      <c r="T2" s="482"/>
      <c r="U2" s="482"/>
      <c r="V2" s="482"/>
      <c r="W2" s="482"/>
      <c r="X2" s="482"/>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9"/>
      <c r="BG2" s="159"/>
      <c r="BH2" s="159"/>
      <c r="BI2" s="159"/>
    </row>
    <row r="3" spans="1:61" s="126" customFormat="1" ht="12.75" customHeight="1">
      <c r="A3" s="173"/>
      <c r="B3" s="173"/>
      <c r="C3" s="173"/>
      <c r="D3" s="173"/>
      <c r="E3" s="173"/>
      <c r="F3" s="173"/>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row>
    <row r="4" spans="1:61" ht="21">
      <c r="A4" s="499" t="s">
        <v>915</v>
      </c>
      <c r="C4" s="446"/>
    </row>
    <row r="5" spans="1:61" ht="21">
      <c r="A5" s="173"/>
      <c r="C5" s="446"/>
    </row>
    <row r="6" spans="1:61" ht="18.75">
      <c r="A6" s="836" t="s">
        <v>916</v>
      </c>
    </row>
    <row r="7" spans="1:61">
      <c r="A7" s="510" t="e">
        <f ca="1">'Liab &amp; Shrs'!A7</f>
        <v>#N/A</v>
      </c>
      <c r="B7" s="443"/>
      <c r="C7" s="443"/>
      <c r="D7" s="443"/>
      <c r="G7" s="448"/>
      <c r="AA7" s="446"/>
      <c r="AB7" s="446"/>
      <c r="AC7" s="446"/>
      <c r="AD7" s="446"/>
      <c r="AE7" s="446"/>
      <c r="AF7" s="446"/>
      <c r="AG7" s="446"/>
      <c r="AH7" s="446"/>
      <c r="AI7" s="446"/>
      <c r="AJ7" s="446"/>
      <c r="AK7" s="446"/>
      <c r="AL7" s="446"/>
      <c r="AM7" s="446"/>
      <c r="AN7" s="446"/>
      <c r="AO7" s="446"/>
      <c r="AP7" s="446"/>
      <c r="AQ7" s="446"/>
      <c r="AR7" s="446"/>
      <c r="AS7" s="446"/>
      <c r="AT7" s="446"/>
    </row>
    <row r="8" spans="1:61">
      <c r="A8" s="837">
        <f>'Gen Info'!$B$50</f>
        <v>0</v>
      </c>
      <c r="B8" s="443"/>
      <c r="C8" s="443"/>
      <c r="D8" s="443"/>
      <c r="G8" s="448"/>
      <c r="J8" s="794"/>
      <c r="K8" s="794"/>
      <c r="L8" s="794"/>
      <c r="AA8" s="446"/>
      <c r="AB8" s="446"/>
      <c r="AC8" s="446"/>
      <c r="AD8" s="446"/>
      <c r="AE8" s="446"/>
      <c r="AF8" s="446"/>
      <c r="AG8" s="446"/>
      <c r="AH8" s="446"/>
      <c r="AI8" s="446"/>
      <c r="AJ8" s="446"/>
      <c r="AK8" s="446"/>
      <c r="AL8" s="446"/>
      <c r="AM8" s="446"/>
      <c r="AN8" s="446"/>
      <c r="AO8" s="446"/>
      <c r="AP8" s="446"/>
      <c r="AQ8" s="446"/>
      <c r="AR8" s="446"/>
      <c r="AS8" s="446"/>
      <c r="AT8" s="446"/>
    </row>
    <row r="9" spans="1:61" s="472" customFormat="1" ht="33" customHeight="1">
      <c r="A9" s="756" t="s">
        <v>636</v>
      </c>
      <c r="B9" s="246" t="e">
        <f ca="1">'Hist &amp; Proj'!AE7</f>
        <v>#N/A</v>
      </c>
      <c r="C9" s="246" t="e">
        <f ca="1">IF(MONTH(B9)&lt;3,'Hist &amp; Proj'!R7+90,IF(AND(MONTH(B9)&gt;2,MONTH(B9)&lt;6),'Hist &amp; Proj'!R7+180,IF(AND(MONTH(B9)&gt;5,MONTH(B9)&lt;9),'Hist &amp; Proj'!R7+270,IF(AND(MONTH(B9)&gt;8,MONTH(B9)&lt;12),'Hist &amp; Proj'!R7+360,IF(MONTH(B9)=12,'Hist &amp; Proj'!R7+450,0)))))</f>
        <v>#N/A</v>
      </c>
      <c r="D9" s="246" t="e">
        <f t="shared" ref="D9:V9" ca="1" si="0">C9+90</f>
        <v>#N/A</v>
      </c>
      <c r="E9" s="246" t="e">
        <f t="shared" ca="1" si="0"/>
        <v>#N/A</v>
      </c>
      <c r="F9" s="246" t="e">
        <f t="shared" ca="1" si="0"/>
        <v>#N/A</v>
      </c>
      <c r="G9" s="246" t="e">
        <f t="shared" ca="1" si="0"/>
        <v>#N/A</v>
      </c>
      <c r="H9" s="246" t="e">
        <f t="shared" ca="1" si="0"/>
        <v>#N/A</v>
      </c>
      <c r="I9" s="246" t="e">
        <f t="shared" ca="1" si="0"/>
        <v>#N/A</v>
      </c>
      <c r="J9" s="246" t="e">
        <f t="shared" ca="1" si="0"/>
        <v>#N/A</v>
      </c>
      <c r="K9" s="246" t="e">
        <f t="shared" ca="1" si="0"/>
        <v>#N/A</v>
      </c>
      <c r="L9" s="246" t="e">
        <f t="shared" ca="1" si="0"/>
        <v>#N/A</v>
      </c>
      <c r="M9" s="246" t="e">
        <f t="shared" ca="1" si="0"/>
        <v>#N/A</v>
      </c>
      <c r="N9" s="246" t="e">
        <f t="shared" ca="1" si="0"/>
        <v>#N/A</v>
      </c>
      <c r="O9" s="246" t="e">
        <f t="shared" ca="1" si="0"/>
        <v>#N/A</v>
      </c>
      <c r="P9" s="246" t="e">
        <f t="shared" ca="1" si="0"/>
        <v>#N/A</v>
      </c>
      <c r="Q9" s="246" t="e">
        <f t="shared" ca="1" si="0"/>
        <v>#N/A</v>
      </c>
      <c r="R9" s="246" t="e">
        <f t="shared" ca="1" si="0"/>
        <v>#N/A</v>
      </c>
      <c r="S9" s="246" t="e">
        <f t="shared" ca="1" si="0"/>
        <v>#N/A</v>
      </c>
      <c r="T9" s="246" t="e">
        <f t="shared" ca="1" si="0"/>
        <v>#N/A</v>
      </c>
      <c r="U9" s="246" t="e">
        <f t="shared" ca="1" si="0"/>
        <v>#N/A</v>
      </c>
      <c r="V9" s="246" t="e">
        <f t="shared" ca="1" si="0"/>
        <v>#N/A</v>
      </c>
      <c r="W9" s="246" t="e">
        <f ca="1">CONCATENATE("After ",TEXT(V9,"mmm-yy"))</f>
        <v>#N/A</v>
      </c>
      <c r="X9" s="246" t="s">
        <v>33</v>
      </c>
      <c r="Z9" s="841" t="s">
        <v>917</v>
      </c>
    </row>
    <row r="10" spans="1:61" s="472" customFormat="1" ht="15">
      <c r="A10" s="838">
        <f>'Liab &amp; Shrs'!B10</f>
        <v>0</v>
      </c>
      <c r="B10" s="502"/>
      <c r="C10" s="502"/>
      <c r="D10" s="502"/>
      <c r="E10" s="502"/>
      <c r="F10" s="502"/>
      <c r="G10" s="502"/>
      <c r="H10" s="502"/>
      <c r="I10" s="502"/>
      <c r="J10" s="502"/>
      <c r="K10" s="502"/>
      <c r="L10" s="502"/>
      <c r="M10" s="502"/>
      <c r="N10" s="502"/>
      <c r="O10" s="502"/>
      <c r="P10" s="502"/>
      <c r="Q10" s="502"/>
      <c r="R10" s="502"/>
      <c r="S10" s="502"/>
      <c r="T10" s="502"/>
      <c r="U10" s="502"/>
      <c r="V10" s="502"/>
      <c r="W10" s="502"/>
      <c r="X10" s="839">
        <f t="shared" ref="X10:X17" si="1">SUM(B10:W10)</f>
        <v>0</v>
      </c>
      <c r="Z10" s="587">
        <f>ABS(X10-'Liab &amp; Shrs'!G10)</f>
        <v>0</v>
      </c>
    </row>
    <row r="11" spans="1:61" s="472" customFormat="1" ht="15">
      <c r="A11" s="838">
        <f>'Liab &amp; Shrs'!B11</f>
        <v>0</v>
      </c>
      <c r="B11" s="502"/>
      <c r="C11" s="502"/>
      <c r="D11" s="502"/>
      <c r="E11" s="502"/>
      <c r="F11" s="502"/>
      <c r="G11" s="502"/>
      <c r="H11" s="502"/>
      <c r="I11" s="502"/>
      <c r="J11" s="502"/>
      <c r="K11" s="502"/>
      <c r="L11" s="502"/>
      <c r="M11" s="502"/>
      <c r="N11" s="502"/>
      <c r="O11" s="502"/>
      <c r="P11" s="502"/>
      <c r="Q11" s="502"/>
      <c r="R11" s="502"/>
      <c r="S11" s="502"/>
      <c r="T11" s="502"/>
      <c r="U11" s="502"/>
      <c r="V11" s="502"/>
      <c r="W11" s="502"/>
      <c r="X11" s="839">
        <f t="shared" si="1"/>
        <v>0</v>
      </c>
      <c r="Z11" s="587">
        <f>ABS(X11-'Liab &amp; Shrs'!G11)</f>
        <v>0</v>
      </c>
    </row>
    <row r="12" spans="1:61" s="472" customFormat="1" ht="15">
      <c r="A12" s="838">
        <f>'Liab &amp; Shrs'!B12</f>
        <v>0</v>
      </c>
      <c r="B12" s="502"/>
      <c r="C12" s="502"/>
      <c r="D12" s="502"/>
      <c r="E12" s="502"/>
      <c r="F12" s="502"/>
      <c r="G12" s="502"/>
      <c r="H12" s="502"/>
      <c r="I12" s="502"/>
      <c r="J12" s="502"/>
      <c r="K12" s="502"/>
      <c r="L12" s="502"/>
      <c r="M12" s="502"/>
      <c r="N12" s="502"/>
      <c r="O12" s="502"/>
      <c r="P12" s="502"/>
      <c r="Q12" s="502"/>
      <c r="R12" s="502"/>
      <c r="S12" s="502"/>
      <c r="T12" s="502"/>
      <c r="U12" s="502"/>
      <c r="V12" s="502"/>
      <c r="W12" s="502"/>
      <c r="X12" s="839">
        <f t="shared" si="1"/>
        <v>0</v>
      </c>
      <c r="Z12" s="587">
        <f>ABS(X12-'Liab &amp; Shrs'!G12)</f>
        <v>0</v>
      </c>
    </row>
    <row r="13" spans="1:61" s="472" customFormat="1" ht="15">
      <c r="A13" s="838">
        <f>'Liab &amp; Shrs'!B13</f>
        <v>0</v>
      </c>
      <c r="B13" s="502"/>
      <c r="C13" s="502"/>
      <c r="D13" s="502"/>
      <c r="E13" s="502"/>
      <c r="F13" s="502"/>
      <c r="G13" s="502"/>
      <c r="H13" s="502"/>
      <c r="I13" s="502"/>
      <c r="J13" s="502"/>
      <c r="K13" s="502"/>
      <c r="L13" s="502"/>
      <c r="M13" s="502"/>
      <c r="N13" s="502"/>
      <c r="O13" s="502"/>
      <c r="P13" s="502"/>
      <c r="Q13" s="502"/>
      <c r="R13" s="502"/>
      <c r="S13" s="502"/>
      <c r="T13" s="502"/>
      <c r="U13" s="502"/>
      <c r="V13" s="502"/>
      <c r="W13" s="502"/>
      <c r="X13" s="839">
        <f t="shared" si="1"/>
        <v>0</v>
      </c>
      <c r="Z13" s="587">
        <f>ABS(X13-'Liab &amp; Shrs'!G13)</f>
        <v>0</v>
      </c>
    </row>
    <row r="14" spans="1:61" s="472" customFormat="1" ht="15">
      <c r="A14" s="838">
        <f>'Liab &amp; Shrs'!B14</f>
        <v>0</v>
      </c>
      <c r="B14" s="502"/>
      <c r="C14" s="502"/>
      <c r="D14" s="502"/>
      <c r="E14" s="502"/>
      <c r="F14" s="502"/>
      <c r="G14" s="502"/>
      <c r="H14" s="502"/>
      <c r="I14" s="502"/>
      <c r="J14" s="502"/>
      <c r="K14" s="502"/>
      <c r="L14" s="502"/>
      <c r="M14" s="502"/>
      <c r="N14" s="502"/>
      <c r="O14" s="502"/>
      <c r="P14" s="502"/>
      <c r="Q14" s="502"/>
      <c r="R14" s="502"/>
      <c r="S14" s="502"/>
      <c r="T14" s="502"/>
      <c r="U14" s="502"/>
      <c r="V14" s="502"/>
      <c r="W14" s="502"/>
      <c r="X14" s="839">
        <f t="shared" si="1"/>
        <v>0</v>
      </c>
      <c r="Z14" s="587">
        <f>ABS(X14-'Liab &amp; Shrs'!G14)</f>
        <v>0</v>
      </c>
    </row>
    <row r="15" spans="1:61" s="472" customFormat="1" ht="15">
      <c r="A15" s="838">
        <f>'Liab &amp; Shrs'!B15</f>
        <v>0</v>
      </c>
      <c r="B15" s="502"/>
      <c r="C15" s="502"/>
      <c r="D15" s="502"/>
      <c r="E15" s="502"/>
      <c r="F15" s="502"/>
      <c r="G15" s="502"/>
      <c r="H15" s="502"/>
      <c r="I15" s="502"/>
      <c r="J15" s="502"/>
      <c r="K15" s="502"/>
      <c r="L15" s="502"/>
      <c r="M15" s="502"/>
      <c r="N15" s="502"/>
      <c r="O15" s="502"/>
      <c r="P15" s="502"/>
      <c r="Q15" s="502"/>
      <c r="R15" s="502"/>
      <c r="S15" s="502"/>
      <c r="T15" s="502"/>
      <c r="U15" s="502"/>
      <c r="V15" s="502"/>
      <c r="W15" s="502"/>
      <c r="X15" s="839">
        <f t="shared" si="1"/>
        <v>0</v>
      </c>
      <c r="Z15" s="587">
        <f>ABS(X15-'Liab &amp; Shrs'!G15)</f>
        <v>0</v>
      </c>
    </row>
    <row r="16" spans="1:61" s="472" customFormat="1" ht="15" hidden="1" outlineLevel="1">
      <c r="A16" s="838" t="e">
        <f>'Liab &amp; Shrs'!#REF!</f>
        <v>#REF!</v>
      </c>
      <c r="B16" s="502"/>
      <c r="C16" s="502"/>
      <c r="D16" s="502"/>
      <c r="E16" s="502"/>
      <c r="F16" s="502"/>
      <c r="G16" s="502"/>
      <c r="H16" s="502"/>
      <c r="I16" s="502"/>
      <c r="J16" s="502"/>
      <c r="K16" s="502"/>
      <c r="L16" s="502"/>
      <c r="M16" s="502"/>
      <c r="N16" s="502"/>
      <c r="O16" s="502"/>
      <c r="P16" s="502"/>
      <c r="Q16" s="502"/>
      <c r="R16" s="502"/>
      <c r="S16" s="502"/>
      <c r="T16" s="502"/>
      <c r="U16" s="502"/>
      <c r="V16" s="502"/>
      <c r="W16" s="502"/>
      <c r="X16" s="839">
        <f t="shared" si="1"/>
        <v>0</v>
      </c>
      <c r="Z16" s="587" t="e">
        <f>ABS(X16-'Liab &amp; Shrs'!#REF!)</f>
        <v>#REF!</v>
      </c>
    </row>
    <row r="17" spans="1:26" s="472" customFormat="1" ht="15" hidden="1" outlineLevel="1">
      <c r="A17" s="838" t="e">
        <f>'Liab &amp; Shrs'!#REF!</f>
        <v>#REF!</v>
      </c>
      <c r="B17" s="502"/>
      <c r="C17" s="502"/>
      <c r="D17" s="502"/>
      <c r="E17" s="502"/>
      <c r="F17" s="502"/>
      <c r="G17" s="502"/>
      <c r="H17" s="502"/>
      <c r="I17" s="502"/>
      <c r="J17" s="502"/>
      <c r="K17" s="502"/>
      <c r="L17" s="502"/>
      <c r="M17" s="502"/>
      <c r="N17" s="502"/>
      <c r="O17" s="502"/>
      <c r="P17" s="502"/>
      <c r="Q17" s="502"/>
      <c r="R17" s="502"/>
      <c r="S17" s="502"/>
      <c r="T17" s="502"/>
      <c r="U17" s="502"/>
      <c r="V17" s="502"/>
      <c r="W17" s="502"/>
      <c r="X17" s="839">
        <f t="shared" si="1"/>
        <v>0</v>
      </c>
      <c r="Z17" s="587" t="e">
        <f>ABS(X17-'Liab &amp; Shrs'!#REF!)</f>
        <v>#REF!</v>
      </c>
    </row>
    <row r="18" spans="1:26" s="151" customFormat="1" ht="4.5" customHeight="1" collapsed="1">
      <c r="M18" s="797"/>
      <c r="N18" s="797"/>
      <c r="O18" s="797"/>
      <c r="P18" s="797"/>
      <c r="Q18" s="797"/>
      <c r="R18" s="797"/>
      <c r="S18" s="797"/>
      <c r="T18" s="797"/>
      <c r="U18" s="797"/>
      <c r="V18" s="797"/>
      <c r="W18" s="797"/>
      <c r="X18" s="840"/>
      <c r="Z18" s="587">
        <f>ABS(X18-'Liab &amp; Shrs'!G16)</f>
        <v>0</v>
      </c>
    </row>
    <row r="19" spans="1:26" s="472" customFormat="1" ht="15">
      <c r="A19" s="574" t="s">
        <v>694</v>
      </c>
      <c r="B19" s="575">
        <f>SUM(B10:B18)</f>
        <v>0</v>
      </c>
      <c r="C19" s="575">
        <f t="shared" ref="C19:Q19" si="2">SUM(C10:C18)</f>
        <v>0</v>
      </c>
      <c r="D19" s="575">
        <f t="shared" si="2"/>
        <v>0</v>
      </c>
      <c r="E19" s="575">
        <f t="shared" si="2"/>
        <v>0</v>
      </c>
      <c r="F19" s="575">
        <f t="shared" si="2"/>
        <v>0</v>
      </c>
      <c r="G19" s="575">
        <f t="shared" si="2"/>
        <v>0</v>
      </c>
      <c r="H19" s="575">
        <f t="shared" si="2"/>
        <v>0</v>
      </c>
      <c r="I19" s="575">
        <f t="shared" si="2"/>
        <v>0</v>
      </c>
      <c r="J19" s="575">
        <f t="shared" si="2"/>
        <v>0</v>
      </c>
      <c r="K19" s="575">
        <f t="shared" si="2"/>
        <v>0</v>
      </c>
      <c r="L19" s="575">
        <f t="shared" si="2"/>
        <v>0</v>
      </c>
      <c r="M19" s="575">
        <f t="shared" si="2"/>
        <v>0</v>
      </c>
      <c r="N19" s="575">
        <f t="shared" si="2"/>
        <v>0</v>
      </c>
      <c r="O19" s="575">
        <f t="shared" si="2"/>
        <v>0</v>
      </c>
      <c r="P19" s="575">
        <f t="shared" si="2"/>
        <v>0</v>
      </c>
      <c r="Q19" s="575">
        <f t="shared" si="2"/>
        <v>0</v>
      </c>
      <c r="R19" s="575">
        <f t="shared" ref="R19:W19" si="3">SUM(R10:R18)</f>
        <v>0</v>
      </c>
      <c r="S19" s="575">
        <f t="shared" si="3"/>
        <v>0</v>
      </c>
      <c r="T19" s="575">
        <f t="shared" si="3"/>
        <v>0</v>
      </c>
      <c r="U19" s="575">
        <f t="shared" si="3"/>
        <v>0</v>
      </c>
      <c r="V19" s="575">
        <f t="shared" si="3"/>
        <v>0</v>
      </c>
      <c r="W19" s="575">
        <f t="shared" si="3"/>
        <v>0</v>
      </c>
      <c r="X19" s="575">
        <f>SUM(B19:W19)</f>
        <v>0</v>
      </c>
      <c r="Z19" s="587">
        <f>ABS(X19-'Liab &amp; Shrs'!G20)</f>
        <v>0</v>
      </c>
    </row>
    <row r="20" spans="1:26" s="794" customFormat="1">
      <c r="G20" s="802"/>
    </row>
    <row r="21" spans="1:26" s="446" customFormat="1">
      <c r="B21" s="768"/>
      <c r="C21" s="768"/>
    </row>
    <row r="22" spans="1:26">
      <c r="C22" s="771" t="s">
        <v>918</v>
      </c>
    </row>
  </sheetData>
  <protectedRanges>
    <protectedRange sqref="F18:K18 B10:X17 Z10:Z19" name="Range1_2"/>
  </protectedRanges>
  <conditionalFormatting sqref="B21:C21">
    <cfRule type="cellIs" dxfId="18" priority="9" stopIfTrue="1" operator="greaterThan">
      <formula>0</formula>
    </cfRule>
    <cfRule type="cellIs" dxfId="17" priority="10" stopIfTrue="1" operator="equal">
      <formula>0</formula>
    </cfRule>
  </conditionalFormatting>
  <conditionalFormatting sqref="Z10:Z19">
    <cfRule type="cellIs" dxfId="16" priority="1" stopIfTrue="1" operator="equal">
      <formula>0</formula>
    </cfRule>
    <cfRule type="cellIs" dxfId="15" priority="2" stopIfTrue="1" operator="greaterThan">
      <formula>0</formula>
    </cfRule>
  </conditionalFormatting>
  <pageMargins left="0.75" right="0.75" top="1" bottom="1" header="0.5" footer="0.5"/>
  <pageSetup scale="72" orientation="landscape" r:id="rId1"/>
  <headerFooter alignWithMargins="0">
    <oddHeader>&amp;C&amp;A</oddHeader>
  </headerFooter>
  <drawing r:id="rId2"/>
</worksheet>
</file>

<file path=xl/worksheets/sheet9.xml><?xml version="1.0" encoding="utf-8"?>
<worksheet xmlns="http://schemas.openxmlformats.org/spreadsheetml/2006/main" xmlns:r="http://schemas.openxmlformats.org/officeDocument/2006/relationships">
  <sheetPr codeName="Sheet18">
    <tabColor theme="3" tint="0.59999389629810485"/>
  </sheetPr>
  <dimension ref="A1:BI59"/>
  <sheetViews>
    <sheetView showGridLines="0" zoomScale="80" zoomScaleNormal="80" workbookViewId="0">
      <pane xSplit="1" topLeftCell="AF1" activePane="topRight" state="frozen"/>
      <selection pane="topRight" activeCell="AL7" sqref="AL7:AM7"/>
    </sheetView>
  </sheetViews>
  <sheetFormatPr defaultRowHeight="12.75" outlineLevelCol="2"/>
  <cols>
    <col min="1" max="1" width="46.28515625" style="214" bestFit="1" customWidth="1"/>
    <col min="2" max="2" width="16.7109375" style="214" hidden="1" customWidth="1" outlineLevel="1"/>
    <col min="3" max="3" width="16.7109375" style="214" customWidth="1" collapsed="1"/>
    <col min="4" max="5" width="16.7109375" style="214" customWidth="1"/>
    <col min="6" max="17" width="16.7109375" style="214" hidden="1" customWidth="1" outlineLevel="2"/>
    <col min="18" max="18" width="15" style="214" bestFit="1" customWidth="1" collapsed="1"/>
    <col min="19" max="30" width="16.7109375" style="214" hidden="1" customWidth="1" outlineLevel="2"/>
    <col min="31" max="31" width="15" style="214" bestFit="1" customWidth="1" collapsed="1"/>
    <col min="32" max="32" width="13.85546875" style="214" bestFit="1" customWidth="1"/>
    <col min="33" max="33" width="3.5703125" style="213" customWidth="1"/>
    <col min="34" max="34" width="18.140625" style="214" bestFit="1" customWidth="1"/>
    <col min="35" max="35" width="3.5703125" style="213" customWidth="1"/>
    <col min="36" max="37" width="15" style="159" bestFit="1" customWidth="1"/>
    <col min="38" max="40" width="15" style="159" customWidth="1"/>
    <col min="41" max="41" width="3.5703125" style="213" customWidth="1"/>
    <col min="42" max="43" width="15" style="159" customWidth="1" outlineLevel="1"/>
    <col min="44" max="46" width="15" style="159" hidden="1" customWidth="1" outlineLevel="1"/>
    <col min="47" max="47" width="3.5703125" style="213" customWidth="1" outlineLevel="1"/>
    <col min="48" max="51" width="15" style="159" customWidth="1" outlineLevel="1"/>
    <col min="52" max="52" width="15" style="159" hidden="1" customWidth="1" outlineLevel="1"/>
    <col min="53" max="53" width="4" style="213" customWidth="1" outlineLevel="1"/>
    <col min="54" max="54" width="17.140625" style="216" customWidth="1" outlineLevel="1"/>
    <col min="55" max="55" width="4" style="213" customWidth="1" outlineLevel="1"/>
    <col min="56" max="57" width="15" style="159" customWidth="1" outlineLevel="1"/>
    <col min="58" max="60" width="15" style="159" hidden="1" customWidth="1" outlineLevel="1"/>
    <col min="61" max="61" width="3.85546875" style="213" customWidth="1" collapsed="1"/>
    <col min="62" max="16384" width="9.140625" style="213"/>
  </cols>
  <sheetData>
    <row r="1" spans="1:60" ht="19.5">
      <c r="A1" s="319">
        <f>'Gen Info'!B2</f>
        <v>0</v>
      </c>
      <c r="AJ1" s="214"/>
      <c r="AK1" s="214"/>
      <c r="AL1" s="214"/>
      <c r="AM1" s="214"/>
      <c r="AN1" s="214"/>
      <c r="AP1" s="214"/>
      <c r="AQ1" s="214"/>
      <c r="AR1" s="214"/>
      <c r="AS1" s="214"/>
      <c r="AT1" s="214"/>
      <c r="AV1" s="214"/>
      <c r="AW1" s="214"/>
      <c r="AX1" s="214"/>
      <c r="AY1" s="214"/>
      <c r="AZ1" s="214"/>
      <c r="BD1" s="214"/>
      <c r="BE1" s="214"/>
      <c r="BF1" s="214"/>
      <c r="BG1" s="214"/>
      <c r="BH1" s="214"/>
    </row>
    <row r="2" spans="1:60" s="169" customFormat="1" ht="4.5" customHeight="1" thickBot="1">
      <c r="A2" s="482"/>
      <c r="B2" s="482"/>
      <c r="C2" s="482"/>
      <c r="D2" s="482"/>
      <c r="E2" s="482"/>
      <c r="F2" s="482"/>
      <c r="G2" s="482"/>
      <c r="H2" s="482"/>
      <c r="I2" s="482"/>
      <c r="J2" s="482"/>
      <c r="K2" s="482"/>
      <c r="L2" s="482"/>
      <c r="M2" s="482"/>
      <c r="N2" s="482"/>
      <c r="O2" s="482"/>
      <c r="P2" s="482"/>
      <c r="Q2" s="482"/>
      <c r="R2" s="482"/>
      <c r="S2" s="482"/>
      <c r="T2" s="482"/>
      <c r="U2" s="482"/>
      <c r="V2" s="482"/>
      <c r="W2" s="482"/>
      <c r="X2" s="482"/>
      <c r="Y2" s="482"/>
      <c r="Z2" s="482"/>
      <c r="AA2" s="482"/>
      <c r="AB2" s="482"/>
      <c r="AC2" s="482"/>
      <c r="AD2" s="482"/>
      <c r="AE2" s="482"/>
      <c r="AF2" s="482"/>
      <c r="AG2" s="482"/>
      <c r="AH2" s="482"/>
      <c r="AI2" s="482"/>
      <c r="AJ2" s="482"/>
      <c r="AK2" s="482"/>
      <c r="AL2" s="482"/>
      <c r="AM2" s="482"/>
      <c r="AN2" s="482"/>
      <c r="AO2" s="482"/>
      <c r="AP2" s="482"/>
      <c r="AQ2" s="482"/>
      <c r="AR2" s="482"/>
      <c r="AS2" s="482"/>
      <c r="AT2" s="482"/>
      <c r="AU2" s="482"/>
      <c r="AV2" s="482"/>
      <c r="AW2" s="482"/>
      <c r="AX2" s="482"/>
      <c r="AY2" s="482"/>
      <c r="AZ2" s="482"/>
      <c r="BA2" s="482"/>
      <c r="BB2" s="482"/>
      <c r="BC2" s="482"/>
      <c r="BD2" s="482"/>
      <c r="BE2" s="482"/>
      <c r="BF2" s="482"/>
      <c r="BG2" s="482"/>
      <c r="BH2" s="482"/>
    </row>
    <row r="3" spans="1:60">
      <c r="AO3" s="159"/>
      <c r="AU3" s="159"/>
      <c r="BA3" s="159"/>
      <c r="BB3" s="159"/>
      <c r="BC3" s="159"/>
    </row>
    <row r="4" spans="1:60" s="445" customFormat="1" ht="21">
      <c r="A4" s="499" t="s">
        <v>647</v>
      </c>
      <c r="B4" s="471"/>
      <c r="D4" s="446"/>
    </row>
    <row r="5" spans="1:60" s="445" customFormat="1" ht="21.75" thickBot="1">
      <c r="A5" s="173"/>
      <c r="B5" s="471"/>
      <c r="D5" s="446"/>
    </row>
    <row r="6" spans="1:60" ht="13.5" thickBot="1">
      <c r="A6" s="320" t="s">
        <v>645</v>
      </c>
      <c r="AE6" s="321"/>
      <c r="AF6" s="321"/>
      <c r="AH6" s="321"/>
      <c r="AJ6" s="240" t="s">
        <v>579</v>
      </c>
      <c r="AK6" s="322"/>
      <c r="AL6" s="1168" t="s">
        <v>581</v>
      </c>
      <c r="AM6" s="1169"/>
      <c r="AN6" s="214"/>
      <c r="AS6" s="214"/>
      <c r="AT6" s="214"/>
      <c r="AY6" s="214"/>
      <c r="AZ6" s="214"/>
      <c r="BB6" s="843"/>
      <c r="BG6" s="214"/>
      <c r="BH6" s="214"/>
    </row>
    <row r="7" spans="1:60" ht="13.5" thickBot="1">
      <c r="A7" s="1081"/>
      <c r="AJ7" s="240" t="s">
        <v>568</v>
      </c>
      <c r="AK7" s="322"/>
      <c r="AL7" s="1168" t="s">
        <v>570</v>
      </c>
      <c r="AM7" s="1169"/>
      <c r="AQ7" s="215"/>
      <c r="AR7" s="214"/>
      <c r="AS7" s="214"/>
      <c r="AW7" s="215"/>
      <c r="AX7" s="214"/>
      <c r="AY7" s="214"/>
      <c r="BE7" s="215"/>
      <c r="BF7" s="214"/>
      <c r="BG7" s="214"/>
    </row>
    <row r="8" spans="1:60" s="126" customFormat="1" ht="15.75">
      <c r="A8" s="201"/>
      <c r="B8" s="209"/>
      <c r="C8" s="209"/>
      <c r="D8" s="209"/>
      <c r="E8" s="210"/>
      <c r="F8" s="211"/>
      <c r="G8" s="211"/>
      <c r="H8" s="211"/>
      <c r="I8" s="211"/>
      <c r="J8" s="211"/>
      <c r="K8" s="211"/>
      <c r="L8" s="211"/>
      <c r="M8" s="211"/>
      <c r="N8" s="211"/>
      <c r="O8" s="211"/>
      <c r="P8" s="211"/>
      <c r="Q8" s="211"/>
      <c r="R8" s="211"/>
      <c r="S8" s="211"/>
      <c r="T8" s="211"/>
      <c r="U8" s="211"/>
      <c r="V8" s="211"/>
      <c r="W8" s="211"/>
      <c r="X8" s="211"/>
      <c r="Y8" s="211"/>
      <c r="Z8" s="211"/>
      <c r="AA8" s="211"/>
      <c r="AB8" s="211"/>
      <c r="AC8" s="211"/>
      <c r="AD8" s="211"/>
      <c r="AE8" s="211"/>
      <c r="AF8" s="211"/>
      <c r="AH8" s="211"/>
      <c r="AJ8" s="201"/>
      <c r="AK8" s="201"/>
      <c r="AL8" s="201">
        <f>IF(AL6="Reset Mode",0,1)</f>
        <v>1</v>
      </c>
      <c r="AM8" s="201">
        <f ca="1">IF(AL7="Last Fiscal Year",1,IF(AL7=Definitions!A100,2,IF(AL7="Management",3,IF(AL7="DWM Base",4,IF(AL7="DWM Stress",5)))))</f>
        <v>3</v>
      </c>
      <c r="AN8" s="211"/>
      <c r="AP8" s="212" t="s">
        <v>582</v>
      </c>
      <c r="AQ8" s="201"/>
      <c r="AR8" s="201"/>
      <c r="AS8" s="211"/>
      <c r="AT8" s="211"/>
      <c r="AV8" s="212" t="s">
        <v>575</v>
      </c>
      <c r="AW8" s="201"/>
      <c r="AX8" s="201"/>
      <c r="AY8" s="211"/>
      <c r="AZ8" s="211"/>
      <c r="BB8" s="324" t="s">
        <v>578</v>
      </c>
      <c r="BD8" s="212" t="s">
        <v>574</v>
      </c>
      <c r="BE8" s="201"/>
      <c r="BF8" s="201"/>
      <c r="BG8" s="211"/>
      <c r="BH8" s="211"/>
    </row>
    <row r="9" spans="1:60" ht="15">
      <c r="A9" s="323" t="s">
        <v>74</v>
      </c>
      <c r="B9" s="760">
        <f>'Hist &amp; Proj'!B$7</f>
        <v>692501</v>
      </c>
      <c r="C9" s="760">
        <f>'Hist &amp; Proj'!C$7</f>
        <v>692867</v>
      </c>
      <c r="D9" s="760">
        <f>'Hist &amp; Proj'!D$7</f>
        <v>693232</v>
      </c>
      <c r="E9" s="760">
        <f>'Hist &amp; Proj'!E$7</f>
        <v>693597</v>
      </c>
      <c r="F9" s="220">
        <f ca="1">'Hist &amp; Proj'!F$7</f>
        <v>693628</v>
      </c>
      <c r="G9" s="220">
        <f ca="1">'Hist &amp; Proj'!G$7</f>
        <v>693656</v>
      </c>
      <c r="H9" s="220">
        <f ca="1">'Hist &amp; Proj'!H$7</f>
        <v>693687</v>
      </c>
      <c r="I9" s="220">
        <f ca="1">'Hist &amp; Proj'!I$7</f>
        <v>693717</v>
      </c>
      <c r="J9" s="220">
        <f ca="1">'Hist &amp; Proj'!J$7</f>
        <v>693748</v>
      </c>
      <c r="K9" s="220">
        <f ca="1">'Hist &amp; Proj'!K$7</f>
        <v>693778</v>
      </c>
      <c r="L9" s="220">
        <f ca="1">'Hist &amp; Proj'!L$7</f>
        <v>693809</v>
      </c>
      <c r="M9" s="220">
        <f ca="1">'Hist &amp; Proj'!M$7</f>
        <v>693840</v>
      </c>
      <c r="N9" s="220">
        <f ca="1">'Hist &amp; Proj'!N$7</f>
        <v>693870</v>
      </c>
      <c r="O9" s="220">
        <f ca="1">'Hist &amp; Proj'!O$7</f>
        <v>693901</v>
      </c>
      <c r="P9" s="220">
        <f ca="1">'Hist &amp; Proj'!P$7</f>
        <v>693931</v>
      </c>
      <c r="Q9" s="220">
        <f ca="1">'Hist &amp; Proj'!Q$7</f>
        <v>693962</v>
      </c>
      <c r="R9" s="760">
        <f ca="1">'Hist &amp; Proj'!R$7</f>
        <v>693962</v>
      </c>
      <c r="S9" s="220">
        <f ca="1">'Hist &amp; Proj'!S$7</f>
        <v>31</v>
      </c>
      <c r="T9" s="220">
        <f ca="1">'Hist &amp; Proj'!T$7</f>
        <v>59</v>
      </c>
      <c r="U9" s="220">
        <f ca="1">'Hist &amp; Proj'!U$7</f>
        <v>91</v>
      </c>
      <c r="V9" s="220">
        <f ca="1">'Hist &amp; Proj'!V$7</f>
        <v>121</v>
      </c>
      <c r="W9" s="220">
        <f ca="1">'Hist &amp; Proj'!W$7</f>
        <v>152</v>
      </c>
      <c r="X9" s="220">
        <f ca="1">'Hist &amp; Proj'!X$7</f>
        <v>182</v>
      </c>
      <c r="Y9" s="220">
        <f ca="1">'Hist &amp; Proj'!Y$7</f>
        <v>213</v>
      </c>
      <c r="Z9" s="220">
        <f ca="1">'Hist &amp; Proj'!Z$7</f>
        <v>244</v>
      </c>
      <c r="AA9" s="220">
        <f ca="1">'Hist &amp; Proj'!AA$7</f>
        <v>274</v>
      </c>
      <c r="AB9" s="220">
        <f ca="1">'Hist &amp; Proj'!AB$7</f>
        <v>305</v>
      </c>
      <c r="AC9" s="220">
        <f ca="1">'Hist &amp; Proj'!AC$7</f>
        <v>335</v>
      </c>
      <c r="AD9" s="220">
        <f ca="1">'Hist &amp; Proj'!AD$7</f>
        <v>366</v>
      </c>
      <c r="AE9" s="221" t="e">
        <f ca="1">'Hist &amp; Proj'!AE$7</f>
        <v>#N/A</v>
      </c>
      <c r="AF9" s="211"/>
      <c r="AH9" s="226" t="str">
        <f ca="1">'Fin Output'!AH42</f>
        <v>'96 - '99 CAGR/Avg.</v>
      </c>
      <c r="AJ9" s="760">
        <f ca="1">'Hist &amp; Proj'!AH$7</f>
        <v>694327</v>
      </c>
      <c r="AK9" s="760">
        <f ca="1">'Hist &amp; Proj'!AI$7</f>
        <v>694692</v>
      </c>
      <c r="AL9" s="760">
        <f ca="1">'Hist &amp; Proj'!AJ$7</f>
        <v>695057</v>
      </c>
      <c r="AM9" s="760">
        <f ca="1">'Hist &amp; Proj'!AK$7</f>
        <v>695422</v>
      </c>
      <c r="AN9" s="760">
        <f ca="1">'Hist &amp; Proj'!AL$7</f>
        <v>695787</v>
      </c>
      <c r="AP9" s="760">
        <f ca="1">AJ9</f>
        <v>694327</v>
      </c>
      <c r="AQ9" s="760">
        <f ca="1">AK9</f>
        <v>694692</v>
      </c>
      <c r="AR9" s="760">
        <f ca="1">AL9</f>
        <v>695057</v>
      </c>
      <c r="AS9" s="760">
        <f ca="1">AM9</f>
        <v>695422</v>
      </c>
      <c r="AT9" s="760">
        <f ca="1">AN9</f>
        <v>695787</v>
      </c>
      <c r="AV9" s="760">
        <f ca="1">AP9</f>
        <v>694327</v>
      </c>
      <c r="AW9" s="760">
        <f ca="1">AQ9</f>
        <v>694692</v>
      </c>
      <c r="AX9" s="760">
        <f ca="1">AR9</f>
        <v>695057</v>
      </c>
      <c r="AY9" s="760">
        <f ca="1">AS9</f>
        <v>695422</v>
      </c>
      <c r="AZ9" s="760">
        <f ca="1">AT9</f>
        <v>695787</v>
      </c>
      <c r="BB9" s="324" t="s">
        <v>646</v>
      </c>
      <c r="BD9" s="760">
        <f ca="1">AV9</f>
        <v>694327</v>
      </c>
      <c r="BE9" s="760">
        <f ca="1">AW9</f>
        <v>694692</v>
      </c>
      <c r="BF9" s="760">
        <f ca="1">AX9</f>
        <v>695057</v>
      </c>
      <c r="BG9" s="760">
        <f ca="1">AY9</f>
        <v>695422</v>
      </c>
      <c r="BH9" s="760">
        <f ca="1">AZ9</f>
        <v>695787</v>
      </c>
    </row>
    <row r="10" spans="1:60">
      <c r="A10" s="761" t="str">
        <f>'Fin Output'!A232</f>
        <v>Cash as a % of GLP</v>
      </c>
      <c r="B10" s="342">
        <f>'Fin Output'!B232</f>
        <v>0</v>
      </c>
      <c r="C10" s="339" t="e">
        <f>'Fin Output'!C232</f>
        <v>#DIV/0!</v>
      </c>
      <c r="D10" s="339" t="e">
        <f>'Fin Output'!D232</f>
        <v>#DIV/0!</v>
      </c>
      <c r="E10" s="339" t="e">
        <f>'Fin Output'!E232</f>
        <v>#DIV/0!</v>
      </c>
      <c r="F10" s="339" t="e">
        <f ca="1">'Fin Output'!F232</f>
        <v>#DIV/0!</v>
      </c>
      <c r="G10" s="339" t="e">
        <f ca="1">'Fin Output'!G232</f>
        <v>#DIV/0!</v>
      </c>
      <c r="H10" s="339" t="e">
        <f ca="1">'Fin Output'!H232</f>
        <v>#DIV/0!</v>
      </c>
      <c r="I10" s="339" t="e">
        <f ca="1">'Fin Output'!I232</f>
        <v>#DIV/0!</v>
      </c>
      <c r="J10" s="339" t="e">
        <f ca="1">'Fin Output'!J232</f>
        <v>#DIV/0!</v>
      </c>
      <c r="K10" s="339" t="e">
        <f ca="1">'Fin Output'!K232</f>
        <v>#DIV/0!</v>
      </c>
      <c r="L10" s="339" t="e">
        <f ca="1">'Fin Output'!L232</f>
        <v>#DIV/0!</v>
      </c>
      <c r="M10" s="339" t="e">
        <f ca="1">'Fin Output'!M232</f>
        <v>#DIV/0!</v>
      </c>
      <c r="N10" s="339" t="e">
        <f ca="1">'Fin Output'!N232</f>
        <v>#DIV/0!</v>
      </c>
      <c r="O10" s="339" t="e">
        <f ca="1">'Fin Output'!O232</f>
        <v>#DIV/0!</v>
      </c>
      <c r="P10" s="339" t="e">
        <f ca="1">'Fin Output'!P232</f>
        <v>#DIV/0!</v>
      </c>
      <c r="Q10" s="339" t="e">
        <f ca="1">'Fin Output'!Q232</f>
        <v>#DIV/0!</v>
      </c>
      <c r="R10" s="339" t="e">
        <f ca="1">'Fin Output'!R232</f>
        <v>#DIV/0!</v>
      </c>
      <c r="S10" s="339" t="e">
        <f ca="1">'Fin Output'!S232</f>
        <v>#DIV/0!</v>
      </c>
      <c r="T10" s="339" t="e">
        <f ca="1">'Fin Output'!T232</f>
        <v>#DIV/0!</v>
      </c>
      <c r="U10" s="339" t="e">
        <f ca="1">'Fin Output'!U232</f>
        <v>#DIV/0!</v>
      </c>
      <c r="V10" s="339" t="e">
        <f ca="1">'Fin Output'!V232</f>
        <v>#DIV/0!</v>
      </c>
      <c r="W10" s="339" t="e">
        <f ca="1">'Fin Output'!W232</f>
        <v>#DIV/0!</v>
      </c>
      <c r="X10" s="339" t="e">
        <f ca="1">'Fin Output'!X232</f>
        <v>#DIV/0!</v>
      </c>
      <c r="Y10" s="339" t="e">
        <f ca="1">'Fin Output'!Y232</f>
        <v>#DIV/0!</v>
      </c>
      <c r="Z10" s="339" t="e">
        <f ca="1">'Fin Output'!Z232</f>
        <v>#DIV/0!</v>
      </c>
      <c r="AA10" s="339" t="e">
        <f ca="1">'Fin Output'!AA232</f>
        <v>#DIV/0!</v>
      </c>
      <c r="AB10" s="339" t="e">
        <f ca="1">'Fin Output'!AB232</f>
        <v>#DIV/0!</v>
      </c>
      <c r="AC10" s="339" t="e">
        <f ca="1">'Fin Output'!AC232</f>
        <v>#DIV/0!</v>
      </c>
      <c r="AD10" s="339" t="e">
        <f ca="1">'Fin Output'!AD232</f>
        <v>#DIV/0!</v>
      </c>
      <c r="AE10" s="339" t="e">
        <f ca="1">'Fin Output'!AE232</f>
        <v>#N/A</v>
      </c>
      <c r="AF10" s="211"/>
      <c r="AG10" s="126"/>
      <c r="AH10" s="340" t="str">
        <f>IFERROR(AVERAGE(C10:E10,R10),"NA")</f>
        <v>NA</v>
      </c>
      <c r="AI10" s="126"/>
      <c r="AJ10" s="339" t="e">
        <f t="shared" ref="AJ10:AN11" ca="1" si="0">CHOOSE($AM$8,$R10,$AH10,AP10,AV10,BD10)</f>
        <v>#DIV/0!</v>
      </c>
      <c r="AK10" s="339" t="e">
        <f t="shared" ca="1" si="0"/>
        <v>#DIV/0!</v>
      </c>
      <c r="AL10" s="339" t="e">
        <f t="shared" ca="1" si="0"/>
        <v>#DIV/0!</v>
      </c>
      <c r="AM10" s="339" t="e">
        <f t="shared" ca="1" si="0"/>
        <v>#DIV/0!</v>
      </c>
      <c r="AN10" s="339" t="e">
        <f t="shared" ca="1" si="0"/>
        <v>#DIV/0!</v>
      </c>
      <c r="AO10" s="126"/>
      <c r="AP10" s="339" t="e">
        <f>'Mgmt Backup'!AJ120</f>
        <v>#DIV/0!</v>
      </c>
      <c r="AQ10" s="339" t="e">
        <f>'Mgmt Backup'!AK120</f>
        <v>#DIV/0!</v>
      </c>
      <c r="AR10" s="339" t="e">
        <f>'Mgmt Backup'!AL120</f>
        <v>#DIV/0!</v>
      </c>
      <c r="AS10" s="339" t="e">
        <f>'Mgmt Backup'!AM120</f>
        <v>#DIV/0!</v>
      </c>
      <c r="AT10" s="339" t="e">
        <f>'Mgmt Backup'!AN120</f>
        <v>#DIV/0!</v>
      </c>
      <c r="AV10" s="325" t="e">
        <f>AP10</f>
        <v>#DIV/0!</v>
      </c>
      <c r="AW10" s="325" t="e">
        <f>AQ10</f>
        <v>#DIV/0!</v>
      </c>
      <c r="AX10" s="325">
        <v>0.1</v>
      </c>
      <c r="AY10" s="325">
        <v>0.1</v>
      </c>
      <c r="AZ10" s="325">
        <v>0.1</v>
      </c>
      <c r="BD10" s="228" t="e">
        <f>AV10</f>
        <v>#DIV/0!</v>
      </c>
      <c r="BE10" s="228" t="e">
        <f t="shared" ref="BE10:BE15" si="1">AW10</f>
        <v>#DIV/0!</v>
      </c>
      <c r="BF10" s="228">
        <f t="shared" ref="BF10:BF15" si="2">AX10</f>
        <v>0.1</v>
      </c>
      <c r="BG10" s="228">
        <f t="shared" ref="BG10:BG15" si="3">AY10</f>
        <v>0.1</v>
      </c>
      <c r="BH10" s="228">
        <f t="shared" ref="BH10:BH15" si="4">AZ10</f>
        <v>0.1</v>
      </c>
    </row>
    <row r="11" spans="1:60">
      <c r="A11" s="762" t="str">
        <f>'Fin Output'!A154</f>
        <v>Gross Loan Portfolio Growth (Y-o-Y)</v>
      </c>
      <c r="B11" s="342" t="str">
        <f>'Fin Output'!B154</f>
        <v>NA</v>
      </c>
      <c r="C11" s="342" t="e">
        <f>'Fin Output'!C154</f>
        <v>#DIV/0!</v>
      </c>
      <c r="D11" s="342" t="e">
        <f>'Fin Output'!D154</f>
        <v>#DIV/0!</v>
      </c>
      <c r="E11" s="342" t="e">
        <f>'Fin Output'!E154</f>
        <v>#DIV/0!</v>
      </c>
      <c r="F11" s="342" t="str">
        <f>'Fin Output'!F154</f>
        <v>NA</v>
      </c>
      <c r="G11" s="342" t="str">
        <f>'Fin Output'!G154</f>
        <v>NA</v>
      </c>
      <c r="H11" s="342" t="str">
        <f>'Fin Output'!H154</f>
        <v>NA</v>
      </c>
      <c r="I11" s="342" t="str">
        <f>'Fin Output'!I154</f>
        <v>NA</v>
      </c>
      <c r="J11" s="342" t="str">
        <f>'Fin Output'!J154</f>
        <v>NA</v>
      </c>
      <c r="K11" s="342" t="str">
        <f>'Fin Output'!K154</f>
        <v>NA</v>
      </c>
      <c r="L11" s="342" t="str">
        <f>'Fin Output'!L154</f>
        <v>NA</v>
      </c>
      <c r="M11" s="342" t="str">
        <f>'Fin Output'!M154</f>
        <v>NA</v>
      </c>
      <c r="N11" s="342" t="str">
        <f>'Fin Output'!N154</f>
        <v>NA</v>
      </c>
      <c r="O11" s="342" t="str">
        <f>'Fin Output'!O154</f>
        <v>NA</v>
      </c>
      <c r="P11" s="342" t="str">
        <f>'Fin Output'!P154</f>
        <v>NA</v>
      </c>
      <c r="Q11" s="342" t="str">
        <f>'Fin Output'!Q154</f>
        <v>NA</v>
      </c>
      <c r="R11" s="342" t="e">
        <f ca="1">'Fin Output'!R154</f>
        <v>#DIV/0!</v>
      </c>
      <c r="S11" s="342" t="e">
        <f ca="1">'Fin Output'!S154</f>
        <v>#DIV/0!</v>
      </c>
      <c r="T11" s="342" t="e">
        <f ca="1">'Fin Output'!T154</f>
        <v>#DIV/0!</v>
      </c>
      <c r="U11" s="342" t="e">
        <f ca="1">'Fin Output'!U154</f>
        <v>#DIV/0!</v>
      </c>
      <c r="V11" s="342" t="e">
        <f ca="1">'Fin Output'!V154</f>
        <v>#DIV/0!</v>
      </c>
      <c r="W11" s="342" t="e">
        <f ca="1">'Fin Output'!W154</f>
        <v>#DIV/0!</v>
      </c>
      <c r="X11" s="342" t="e">
        <f ca="1">'Fin Output'!X154</f>
        <v>#DIV/0!</v>
      </c>
      <c r="Y11" s="342" t="e">
        <f ca="1">'Fin Output'!Y154</f>
        <v>#DIV/0!</v>
      </c>
      <c r="Z11" s="342" t="e">
        <f ca="1">'Fin Output'!Z154</f>
        <v>#DIV/0!</v>
      </c>
      <c r="AA11" s="342" t="e">
        <f ca="1">'Fin Output'!AA154</f>
        <v>#DIV/0!</v>
      </c>
      <c r="AB11" s="342" t="e">
        <f ca="1">'Fin Output'!AB154</f>
        <v>#DIV/0!</v>
      </c>
      <c r="AC11" s="342" t="e">
        <f ca="1">'Fin Output'!AC154</f>
        <v>#DIV/0!</v>
      </c>
      <c r="AD11" s="342" t="e">
        <f ca="1">'Fin Output'!AD154</f>
        <v>#DIV/0!</v>
      </c>
      <c r="AE11" s="342" t="e">
        <f ca="1">'Fin Output'!AE154</f>
        <v>#N/A</v>
      </c>
      <c r="AF11" s="211"/>
      <c r="AG11" s="126"/>
      <c r="AH11" s="340" t="str">
        <f>IFERROR(AVERAGE(C11:E11,R11),"NA")</f>
        <v>NA</v>
      </c>
      <c r="AI11" s="126"/>
      <c r="AJ11" s="342" t="e">
        <f t="shared" ca="1" si="0"/>
        <v>#DIV/0!</v>
      </c>
      <c r="AK11" s="342" t="e">
        <f t="shared" ca="1" si="0"/>
        <v>#DIV/0!</v>
      </c>
      <c r="AL11" s="342" t="e">
        <f t="shared" ca="1" si="0"/>
        <v>#DIV/0!</v>
      </c>
      <c r="AM11" s="342" t="e">
        <f t="shared" ca="1" si="0"/>
        <v>#DIV/0!</v>
      </c>
      <c r="AN11" s="342" t="e">
        <f t="shared" ca="1" si="0"/>
        <v>#DIV/0!</v>
      </c>
      <c r="AO11" s="126"/>
      <c r="AP11" s="342" t="e">
        <f ca="1">'Mgmt Backup'!AJ113</f>
        <v>#DIV/0!</v>
      </c>
      <c r="AQ11" s="342" t="e">
        <f>'Mgmt Backup'!AK113</f>
        <v>#DIV/0!</v>
      </c>
      <c r="AR11" s="342" t="e">
        <f>'Mgmt Backup'!AL113</f>
        <v>#DIV/0!</v>
      </c>
      <c r="AS11" s="342" t="e">
        <f>'Mgmt Backup'!AM113</f>
        <v>#DIV/0!</v>
      </c>
      <c r="AT11" s="342" t="e">
        <f>'Mgmt Backup'!AN113</f>
        <v>#DIV/0!</v>
      </c>
      <c r="AV11" s="326" t="e">
        <f ca="1">AP11*75%</f>
        <v>#DIV/0!</v>
      </c>
      <c r="AW11" s="326" t="e">
        <f>AQ11*75%</f>
        <v>#DIV/0!</v>
      </c>
      <c r="AX11" s="326">
        <v>0.2</v>
      </c>
      <c r="AY11" s="326">
        <v>0.15</v>
      </c>
      <c r="AZ11" s="326">
        <v>0.1</v>
      </c>
      <c r="BB11" s="438">
        <v>-0.1</v>
      </c>
      <c r="BD11" s="439" t="e">
        <f ca="1">AV11+$BB11</f>
        <v>#DIV/0!</v>
      </c>
      <c r="BE11" s="439" t="e">
        <f>AW11+$BB11</f>
        <v>#DIV/0!</v>
      </c>
      <c r="BF11" s="439">
        <f>AX11+$BB11</f>
        <v>0.1</v>
      </c>
      <c r="BG11" s="439">
        <f>AY11+$BB11</f>
        <v>4.9999999999999989E-2</v>
      </c>
      <c r="BH11" s="439">
        <f>AZ11+$BB11</f>
        <v>0</v>
      </c>
    </row>
    <row r="12" spans="1:60">
      <c r="A12" s="127" t="str">
        <f>CONCATENATE('Fin Output'!A20," (",'Hist &amp; Proj'!A13,")")</f>
        <v>Other Assets (0)</v>
      </c>
      <c r="B12" s="179">
        <f>'Fin Output'!B20</f>
        <v>0</v>
      </c>
      <c r="C12" s="179">
        <f>'Fin Output'!C20</f>
        <v>0</v>
      </c>
      <c r="D12" s="179">
        <f>'Fin Output'!D20</f>
        <v>0</v>
      </c>
      <c r="E12" s="179">
        <f>'Fin Output'!E20</f>
        <v>0</v>
      </c>
      <c r="F12" s="179">
        <f ca="1">'Fin Output'!F20</f>
        <v>0</v>
      </c>
      <c r="G12" s="179">
        <f ca="1">'Fin Output'!G20</f>
        <v>0</v>
      </c>
      <c r="H12" s="179">
        <f ca="1">'Fin Output'!H20</f>
        <v>0</v>
      </c>
      <c r="I12" s="179">
        <f ca="1">'Fin Output'!I20</f>
        <v>0</v>
      </c>
      <c r="J12" s="179">
        <f ca="1">'Fin Output'!J20</f>
        <v>0</v>
      </c>
      <c r="K12" s="179">
        <f ca="1">'Fin Output'!K20</f>
        <v>0</v>
      </c>
      <c r="L12" s="179">
        <f ca="1">'Fin Output'!L20</f>
        <v>0</v>
      </c>
      <c r="M12" s="179">
        <f ca="1">'Fin Output'!M20</f>
        <v>0</v>
      </c>
      <c r="N12" s="179">
        <f ca="1">'Fin Output'!N20</f>
        <v>0</v>
      </c>
      <c r="O12" s="179">
        <f ca="1">'Fin Output'!O20</f>
        <v>0</v>
      </c>
      <c r="P12" s="179">
        <f ca="1">'Fin Output'!P20</f>
        <v>0</v>
      </c>
      <c r="Q12" s="179">
        <f ca="1">'Fin Output'!Q20</f>
        <v>0</v>
      </c>
      <c r="R12" s="179">
        <f ca="1">'Fin Output'!R20</f>
        <v>0</v>
      </c>
      <c r="S12" s="179">
        <f ca="1">'Fin Output'!S20</f>
        <v>0</v>
      </c>
      <c r="T12" s="179">
        <f ca="1">'Fin Output'!T20</f>
        <v>0</v>
      </c>
      <c r="U12" s="179">
        <f ca="1">'Fin Output'!U20</f>
        <v>0</v>
      </c>
      <c r="V12" s="179">
        <f ca="1">'Fin Output'!V20</f>
        <v>0</v>
      </c>
      <c r="W12" s="179">
        <f ca="1">'Fin Output'!W20</f>
        <v>0</v>
      </c>
      <c r="X12" s="179">
        <f ca="1">'Fin Output'!X20</f>
        <v>0</v>
      </c>
      <c r="Y12" s="179">
        <f ca="1">'Fin Output'!Y20</f>
        <v>0</v>
      </c>
      <c r="Z12" s="179">
        <f ca="1">'Fin Output'!Z20</f>
        <v>0</v>
      </c>
      <c r="AA12" s="179">
        <f ca="1">'Fin Output'!AA20</f>
        <v>0</v>
      </c>
      <c r="AB12" s="179">
        <f ca="1">'Fin Output'!AB20</f>
        <v>0</v>
      </c>
      <c r="AC12" s="179">
        <f ca="1">'Fin Output'!AC20</f>
        <v>0</v>
      </c>
      <c r="AD12" s="179">
        <f ca="1">'Fin Output'!AD20</f>
        <v>0</v>
      </c>
      <c r="AE12" s="390" t="e">
        <f ca="1">'Fin Output'!AE20</f>
        <v>#N/A</v>
      </c>
      <c r="AF12" s="211"/>
      <c r="AG12" s="170"/>
      <c r="AH12" s="342">
        <f ca="1">IFERROR(RATE(3,0,-C12,R12),0)</f>
        <v>0</v>
      </c>
      <c r="AI12" s="170"/>
      <c r="AJ12" s="179">
        <f ca="1">CHOOSE($AM$8,$R12,$R12*(1+$AH12),AP12,AV12,BD12)</f>
        <v>0</v>
      </c>
      <c r="AK12" s="179">
        <f ca="1">CHOOSE($AM$8,$R12,AJ12*(1+$AH12),AQ12,AW12,BE12)</f>
        <v>0</v>
      </c>
      <c r="AL12" s="179">
        <f ca="1">CHOOSE($AM$8,$R12,AK12*(1+$AH12),AR12,AX12,BF12)</f>
        <v>0</v>
      </c>
      <c r="AM12" s="179">
        <f ca="1">CHOOSE($AM$8,$R12,AL12*(1+$AH12),AS12,AY12,BG12)</f>
        <v>0</v>
      </c>
      <c r="AN12" s="179">
        <f ca="1">CHOOSE($AM$8,$R12,AM12*(1+$AH12),AT12,AZ12,BH12)</f>
        <v>0</v>
      </c>
      <c r="AO12" s="170"/>
      <c r="AP12" s="179">
        <f>'Mgmt Backup'!AJ20</f>
        <v>0</v>
      </c>
      <c r="AQ12" s="179">
        <f>'Mgmt Backup'!AK20</f>
        <v>0</v>
      </c>
      <c r="AR12" s="179">
        <f>'Mgmt Backup'!AL20</f>
        <v>0</v>
      </c>
      <c r="AS12" s="179">
        <f>'Mgmt Backup'!AM20</f>
        <v>0</v>
      </c>
      <c r="AT12" s="179">
        <f>'Mgmt Backup'!AN20</f>
        <v>0</v>
      </c>
      <c r="AU12" s="214"/>
      <c r="AV12" s="327">
        <f t="shared" ref="AV12:AW15" si="5">AP12</f>
        <v>0</v>
      </c>
      <c r="AW12" s="327">
        <f t="shared" si="5"/>
        <v>0</v>
      </c>
      <c r="AX12" s="327" t="e">
        <f ca="1">5%*'Fin Output'!AL15</f>
        <v>#DIV/0!</v>
      </c>
      <c r="AY12" s="327" t="e">
        <f ca="1">5%*'Fin Output'!AM15</f>
        <v>#DIV/0!</v>
      </c>
      <c r="AZ12" s="327" t="e">
        <f ca="1">5%*'Fin Output'!AN15</f>
        <v>#DIV/0!</v>
      </c>
      <c r="BD12" s="223">
        <f>AV12</f>
        <v>0</v>
      </c>
      <c r="BE12" s="223">
        <f t="shared" si="1"/>
        <v>0</v>
      </c>
      <c r="BF12" s="223" t="e">
        <f t="shared" ca="1" si="2"/>
        <v>#DIV/0!</v>
      </c>
      <c r="BG12" s="223" t="e">
        <f t="shared" ca="1" si="3"/>
        <v>#DIV/0!</v>
      </c>
      <c r="BH12" s="223" t="e">
        <f t="shared" ca="1" si="4"/>
        <v>#DIV/0!</v>
      </c>
    </row>
    <row r="13" spans="1:60">
      <c r="A13" s="127" t="str">
        <f>'Fin Output'!A148</f>
        <v>Deposit Ratio (% of GLP)</v>
      </c>
      <c r="B13" s="179" t="e">
        <f>'Fin Output'!B148</f>
        <v>#DIV/0!</v>
      </c>
      <c r="C13" s="390" t="e">
        <f>'Fin Output'!C148</f>
        <v>#DIV/0!</v>
      </c>
      <c r="D13" s="390" t="e">
        <f>'Fin Output'!D148</f>
        <v>#DIV/0!</v>
      </c>
      <c r="E13" s="390" t="e">
        <f>'Fin Output'!E148</f>
        <v>#DIV/0!</v>
      </c>
      <c r="F13" s="390" t="e">
        <f ca="1">'Fin Output'!F148</f>
        <v>#DIV/0!</v>
      </c>
      <c r="G13" s="390" t="e">
        <f ca="1">'Fin Output'!G148</f>
        <v>#DIV/0!</v>
      </c>
      <c r="H13" s="390" t="e">
        <f ca="1">'Fin Output'!H148</f>
        <v>#DIV/0!</v>
      </c>
      <c r="I13" s="390" t="e">
        <f ca="1">'Fin Output'!I148</f>
        <v>#DIV/0!</v>
      </c>
      <c r="J13" s="390" t="e">
        <f ca="1">'Fin Output'!J148</f>
        <v>#DIV/0!</v>
      </c>
      <c r="K13" s="390" t="e">
        <f ca="1">'Fin Output'!K148</f>
        <v>#DIV/0!</v>
      </c>
      <c r="L13" s="390" t="e">
        <f ca="1">'Fin Output'!L148</f>
        <v>#DIV/0!</v>
      </c>
      <c r="M13" s="390" t="e">
        <f ca="1">'Fin Output'!M148</f>
        <v>#DIV/0!</v>
      </c>
      <c r="N13" s="390" t="e">
        <f ca="1">'Fin Output'!N148</f>
        <v>#DIV/0!</v>
      </c>
      <c r="O13" s="390" t="e">
        <f ca="1">'Fin Output'!O148</f>
        <v>#DIV/0!</v>
      </c>
      <c r="P13" s="390" t="e">
        <f ca="1">'Fin Output'!P148</f>
        <v>#DIV/0!</v>
      </c>
      <c r="Q13" s="390" t="e">
        <f ca="1">'Fin Output'!Q148</f>
        <v>#DIV/0!</v>
      </c>
      <c r="R13" s="865" t="e">
        <f ca="1">'Fin Output'!R148</f>
        <v>#DIV/0!</v>
      </c>
      <c r="S13" s="846" t="e">
        <f ca="1">'Fin Output'!S148</f>
        <v>#DIV/0!</v>
      </c>
      <c r="T13" s="846" t="e">
        <f ca="1">'Fin Output'!T148</f>
        <v>#DIV/0!</v>
      </c>
      <c r="U13" s="846" t="e">
        <f ca="1">'Fin Output'!U148</f>
        <v>#DIV/0!</v>
      </c>
      <c r="V13" s="846" t="e">
        <f ca="1">'Fin Output'!V148</f>
        <v>#DIV/0!</v>
      </c>
      <c r="W13" s="846" t="e">
        <f ca="1">'Fin Output'!W148</f>
        <v>#DIV/0!</v>
      </c>
      <c r="X13" s="846" t="e">
        <f ca="1">'Fin Output'!X148</f>
        <v>#DIV/0!</v>
      </c>
      <c r="Y13" s="846" t="e">
        <f ca="1">'Fin Output'!Y148</f>
        <v>#DIV/0!</v>
      </c>
      <c r="Z13" s="846" t="e">
        <f ca="1">'Fin Output'!Z148</f>
        <v>#DIV/0!</v>
      </c>
      <c r="AA13" s="846" t="e">
        <f ca="1">'Fin Output'!AA148</f>
        <v>#DIV/0!</v>
      </c>
      <c r="AB13" s="846" t="e">
        <f ca="1">'Fin Output'!AB148</f>
        <v>#DIV/0!</v>
      </c>
      <c r="AC13" s="846" t="e">
        <f ca="1">'Fin Output'!AC148</f>
        <v>#DIV/0!</v>
      </c>
      <c r="AD13" s="846" t="e">
        <f ca="1">'Fin Output'!AD148</f>
        <v>#DIV/0!</v>
      </c>
      <c r="AE13" s="865" t="e">
        <f ca="1">'Fin Output'!AE148</f>
        <v>#N/A</v>
      </c>
      <c r="AF13" s="211"/>
      <c r="AG13" s="126"/>
      <c r="AH13" s="342" t="str">
        <f>IFERROR(AVERAGE(C13:E13,R13),"NA")</f>
        <v>NA</v>
      </c>
      <c r="AI13" s="126"/>
      <c r="AJ13" s="865" t="e">
        <f ca="1">CHOOSE($AM$8,$R13,$AH13,AP13,AV13,BD13)</f>
        <v>#DIV/0!</v>
      </c>
      <c r="AK13" s="865" t="e">
        <f ca="1">CHOOSE($AM$8,$R13,$AH13,AQ13,AW13,BE13)</f>
        <v>#DIV/0!</v>
      </c>
      <c r="AL13" s="865" t="e">
        <f ca="1">CHOOSE($AM$8,$R13,$AH13,AR13,AX13,BF13)</f>
        <v>#DIV/0!</v>
      </c>
      <c r="AM13" s="865" t="e">
        <f ca="1">CHOOSE($AM$8,$R13,$AH13,AS13,AY13,BG13)</f>
        <v>#DIV/0!</v>
      </c>
      <c r="AN13" s="865" t="e">
        <f ca="1">CHOOSE($AM$8,$R13,$AH13,AT13,AZ13,BH13)</f>
        <v>#DIV/0!</v>
      </c>
      <c r="AO13" s="847"/>
      <c r="AP13" s="865" t="e">
        <f>'Mgmt Backup'!AJ112</f>
        <v>#DIV/0!</v>
      </c>
      <c r="AQ13" s="865" t="e">
        <f>'Mgmt Backup'!AK112</f>
        <v>#DIV/0!</v>
      </c>
      <c r="AR13" s="865" t="e">
        <f>'Mgmt Backup'!AL112</f>
        <v>#DIV/0!</v>
      </c>
      <c r="AS13" s="865" t="e">
        <f>'Mgmt Backup'!AM112</f>
        <v>#DIV/0!</v>
      </c>
      <c r="AT13" s="865" t="e">
        <f>'Mgmt Backup'!AN112</f>
        <v>#DIV/0!</v>
      </c>
      <c r="AV13" s="868" t="e">
        <f t="shared" si="5"/>
        <v>#DIV/0!</v>
      </c>
      <c r="AW13" s="868" t="e">
        <f t="shared" si="5"/>
        <v>#DIV/0!</v>
      </c>
      <c r="AX13" s="868">
        <v>0</v>
      </c>
      <c r="AY13" s="868">
        <v>0</v>
      </c>
      <c r="AZ13" s="868">
        <v>0</v>
      </c>
      <c r="BD13" s="872" t="e">
        <f>AV13</f>
        <v>#DIV/0!</v>
      </c>
      <c r="BE13" s="872" t="e">
        <f t="shared" si="1"/>
        <v>#DIV/0!</v>
      </c>
      <c r="BF13" s="872">
        <f t="shared" si="2"/>
        <v>0</v>
      </c>
      <c r="BG13" s="872">
        <f t="shared" si="3"/>
        <v>0</v>
      </c>
      <c r="BH13" s="872">
        <f t="shared" si="4"/>
        <v>0</v>
      </c>
    </row>
    <row r="14" spans="1:60">
      <c r="A14" s="127" t="str">
        <f>CONCATENATE('Fin Output'!A31," (",'Hist &amp; Proj'!A13,")")</f>
        <v>Other Liabilities (0)</v>
      </c>
      <c r="B14" s="179">
        <f>'Fin Output'!B31</f>
        <v>0</v>
      </c>
      <c r="C14" s="390">
        <f>'Fin Output'!C31</f>
        <v>0</v>
      </c>
      <c r="D14" s="390">
        <f>'Fin Output'!D31</f>
        <v>0</v>
      </c>
      <c r="E14" s="390">
        <f>'Fin Output'!E31</f>
        <v>0</v>
      </c>
      <c r="F14" s="390">
        <f ca="1">'Fin Output'!F31</f>
        <v>0</v>
      </c>
      <c r="G14" s="390">
        <f ca="1">'Fin Output'!G31</f>
        <v>0</v>
      </c>
      <c r="H14" s="390">
        <f ca="1">'Fin Output'!H31</f>
        <v>0</v>
      </c>
      <c r="I14" s="390">
        <f ca="1">'Fin Output'!I31</f>
        <v>0</v>
      </c>
      <c r="J14" s="390">
        <f ca="1">'Fin Output'!J31</f>
        <v>0</v>
      </c>
      <c r="K14" s="390">
        <f ca="1">'Fin Output'!K31</f>
        <v>0</v>
      </c>
      <c r="L14" s="390">
        <f ca="1">'Fin Output'!L31</f>
        <v>0</v>
      </c>
      <c r="M14" s="390">
        <f ca="1">'Fin Output'!M31</f>
        <v>0</v>
      </c>
      <c r="N14" s="390">
        <f ca="1">'Fin Output'!N31</f>
        <v>0</v>
      </c>
      <c r="O14" s="390">
        <f ca="1">'Fin Output'!O31</f>
        <v>0</v>
      </c>
      <c r="P14" s="390">
        <f ca="1">'Fin Output'!P31</f>
        <v>0</v>
      </c>
      <c r="Q14" s="390">
        <f ca="1">'Fin Output'!Q31</f>
        <v>0</v>
      </c>
      <c r="R14" s="390">
        <f ca="1">'Fin Output'!R31</f>
        <v>0</v>
      </c>
      <c r="S14" s="179">
        <f ca="1">'Fin Output'!S31</f>
        <v>0</v>
      </c>
      <c r="T14" s="179">
        <f ca="1">'Fin Output'!T31</f>
        <v>0</v>
      </c>
      <c r="U14" s="179">
        <f ca="1">'Fin Output'!U31</f>
        <v>0</v>
      </c>
      <c r="V14" s="179">
        <f ca="1">'Fin Output'!V31</f>
        <v>0</v>
      </c>
      <c r="W14" s="179">
        <f ca="1">'Fin Output'!W31</f>
        <v>0</v>
      </c>
      <c r="X14" s="179">
        <f ca="1">'Fin Output'!X31</f>
        <v>0</v>
      </c>
      <c r="Y14" s="179">
        <f ca="1">'Fin Output'!Y31</f>
        <v>0</v>
      </c>
      <c r="Z14" s="179">
        <f ca="1">'Fin Output'!Z31</f>
        <v>0</v>
      </c>
      <c r="AA14" s="179">
        <f ca="1">'Fin Output'!AA31</f>
        <v>0</v>
      </c>
      <c r="AB14" s="179">
        <f ca="1">'Fin Output'!AB31</f>
        <v>0</v>
      </c>
      <c r="AC14" s="179">
        <f ca="1">'Fin Output'!AC31</f>
        <v>0</v>
      </c>
      <c r="AD14" s="179">
        <f ca="1">'Fin Output'!AD31</f>
        <v>0</v>
      </c>
      <c r="AE14" s="390" t="e">
        <f ca="1">'Fin Output'!AE31</f>
        <v>#N/A</v>
      </c>
      <c r="AF14" s="211"/>
      <c r="AG14" s="170"/>
      <c r="AH14" s="342">
        <f ca="1">IFERROR(RATE(3,0,-C14,R14),0)</f>
        <v>0</v>
      </c>
      <c r="AI14" s="170"/>
      <c r="AJ14" s="390">
        <f ca="1">CHOOSE($AM$8,$R14,$R14*(1+$AH14),AP14,AV14,BD14)</f>
        <v>0</v>
      </c>
      <c r="AK14" s="390">
        <f t="shared" ref="AK14:AN15" ca="1" si="6">CHOOSE($AM$8,$R14,AJ14*(1+$AH14),AQ14,AW14,BE14)</f>
        <v>0</v>
      </c>
      <c r="AL14" s="390">
        <f t="shared" ca="1" si="6"/>
        <v>0</v>
      </c>
      <c r="AM14" s="390">
        <f t="shared" ca="1" si="6"/>
        <v>0</v>
      </c>
      <c r="AN14" s="390">
        <f t="shared" ca="1" si="6"/>
        <v>0</v>
      </c>
      <c r="AO14" s="170"/>
      <c r="AP14" s="390">
        <f>'Mgmt Backup'!AJ31</f>
        <v>0</v>
      </c>
      <c r="AQ14" s="390">
        <f>'Mgmt Backup'!AK31</f>
        <v>0</v>
      </c>
      <c r="AR14" s="390">
        <f>'Mgmt Backup'!AL31</f>
        <v>0</v>
      </c>
      <c r="AS14" s="390">
        <f>'Mgmt Backup'!AM31</f>
        <v>0</v>
      </c>
      <c r="AT14" s="390">
        <f>'Mgmt Backup'!AN31</f>
        <v>0</v>
      </c>
      <c r="AU14" s="214"/>
      <c r="AV14" s="869">
        <f t="shared" si="5"/>
        <v>0</v>
      </c>
      <c r="AW14" s="869">
        <f t="shared" si="5"/>
        <v>0</v>
      </c>
      <c r="AX14" s="869" t="e">
        <f ca="1">6%*'Fin Output'!AL15</f>
        <v>#DIV/0!</v>
      </c>
      <c r="AY14" s="869" t="e">
        <f ca="1">6%*'Fin Output'!AM15</f>
        <v>#DIV/0!</v>
      </c>
      <c r="AZ14" s="869" t="e">
        <f ca="1">6%*'Fin Output'!AN15</f>
        <v>#DIV/0!</v>
      </c>
      <c r="BD14" s="870">
        <f>AV14</f>
        <v>0</v>
      </c>
      <c r="BE14" s="870">
        <f t="shared" si="1"/>
        <v>0</v>
      </c>
      <c r="BF14" s="870" t="e">
        <f t="shared" ca="1" si="2"/>
        <v>#DIV/0!</v>
      </c>
      <c r="BG14" s="870" t="e">
        <f t="shared" ca="1" si="3"/>
        <v>#DIV/0!</v>
      </c>
      <c r="BH14" s="870" t="e">
        <f t="shared" ca="1" si="4"/>
        <v>#DIV/0!</v>
      </c>
    </row>
    <row r="15" spans="1:60" s="159" customFormat="1">
      <c r="A15" s="127" t="s">
        <v>381</v>
      </c>
      <c r="B15" s="179">
        <f>'Fin Output'!B30</f>
        <v>0</v>
      </c>
      <c r="C15" s="390">
        <f>'Fin Output'!C30</f>
        <v>0</v>
      </c>
      <c r="D15" s="390">
        <f>'Fin Output'!D30</f>
        <v>0</v>
      </c>
      <c r="E15" s="390">
        <f>'Fin Output'!E30</f>
        <v>0</v>
      </c>
      <c r="F15" s="390">
        <f ca="1">'Fin Output'!F30</f>
        <v>0</v>
      </c>
      <c r="G15" s="390">
        <f ca="1">'Fin Output'!G30</f>
        <v>0</v>
      </c>
      <c r="H15" s="390">
        <f ca="1">'Fin Output'!H30</f>
        <v>0</v>
      </c>
      <c r="I15" s="390">
        <f ca="1">'Fin Output'!I30</f>
        <v>0</v>
      </c>
      <c r="J15" s="390">
        <f ca="1">'Fin Output'!J30</f>
        <v>0</v>
      </c>
      <c r="K15" s="390">
        <f ca="1">'Fin Output'!K30</f>
        <v>0</v>
      </c>
      <c r="L15" s="390">
        <f ca="1">'Fin Output'!L30</f>
        <v>0</v>
      </c>
      <c r="M15" s="390">
        <f ca="1">'Fin Output'!M30</f>
        <v>0</v>
      </c>
      <c r="N15" s="390">
        <f ca="1">'Fin Output'!N30</f>
        <v>0</v>
      </c>
      <c r="O15" s="390">
        <f ca="1">'Fin Output'!O30</f>
        <v>0</v>
      </c>
      <c r="P15" s="390">
        <f ca="1">'Fin Output'!P30</f>
        <v>0</v>
      </c>
      <c r="Q15" s="390">
        <f ca="1">'Fin Output'!Q30</f>
        <v>0</v>
      </c>
      <c r="R15" s="390">
        <f ca="1">'Fin Output'!R30</f>
        <v>0</v>
      </c>
      <c r="S15" s="179">
        <f ca="1">'Fin Output'!S30</f>
        <v>0</v>
      </c>
      <c r="T15" s="179">
        <f ca="1">'Fin Output'!T30</f>
        <v>0</v>
      </c>
      <c r="U15" s="179">
        <f ca="1">'Fin Output'!U30</f>
        <v>0</v>
      </c>
      <c r="V15" s="179">
        <f ca="1">'Fin Output'!V30</f>
        <v>0</v>
      </c>
      <c r="W15" s="179">
        <f ca="1">'Fin Output'!W30</f>
        <v>0</v>
      </c>
      <c r="X15" s="179">
        <f ca="1">'Fin Output'!X30</f>
        <v>0</v>
      </c>
      <c r="Y15" s="179">
        <f ca="1">'Fin Output'!Y30</f>
        <v>0</v>
      </c>
      <c r="Z15" s="179">
        <f ca="1">'Fin Output'!Z30</f>
        <v>0</v>
      </c>
      <c r="AA15" s="179">
        <f ca="1">'Fin Output'!AA30</f>
        <v>0</v>
      </c>
      <c r="AB15" s="179">
        <f ca="1">'Fin Output'!AB30</f>
        <v>0</v>
      </c>
      <c r="AC15" s="179">
        <f ca="1">'Fin Output'!AC30</f>
        <v>0</v>
      </c>
      <c r="AD15" s="179">
        <f ca="1">'Fin Output'!AD30</f>
        <v>0</v>
      </c>
      <c r="AE15" s="390" t="e">
        <f ca="1">'Fin Output'!AE30</f>
        <v>#N/A</v>
      </c>
      <c r="AF15" s="211"/>
      <c r="AG15" s="127"/>
      <c r="AH15" s="529">
        <f ca="1">IFERROR(RATE(3,0,-C15,R15),0)</f>
        <v>0</v>
      </c>
      <c r="AI15" s="127"/>
      <c r="AJ15" s="390">
        <f ca="1">CHOOSE($AM$8,$R15,$R15*(1+$AH15),AP15,AV15,BD15)</f>
        <v>0</v>
      </c>
      <c r="AK15" s="390">
        <f t="shared" ca="1" si="6"/>
        <v>0</v>
      </c>
      <c r="AL15" s="390">
        <f t="shared" ca="1" si="6"/>
        <v>0</v>
      </c>
      <c r="AM15" s="390">
        <f t="shared" ca="1" si="6"/>
        <v>0</v>
      </c>
      <c r="AN15" s="390">
        <f t="shared" ca="1" si="6"/>
        <v>0</v>
      </c>
      <c r="AO15" s="127"/>
      <c r="AP15" s="390">
        <f>'Mgmt Backup'!AJ30</f>
        <v>0</v>
      </c>
      <c r="AQ15" s="390">
        <f>'Mgmt Backup'!AK30</f>
        <v>0</v>
      </c>
      <c r="AR15" s="390">
        <f>'Mgmt Backup'!AL30</f>
        <v>0</v>
      </c>
      <c r="AS15" s="390">
        <f>'Mgmt Backup'!AM30</f>
        <v>0</v>
      </c>
      <c r="AT15" s="390">
        <f>'Mgmt Backup'!AN30</f>
        <v>0</v>
      </c>
      <c r="AV15" s="870">
        <f t="shared" si="5"/>
        <v>0</v>
      </c>
      <c r="AW15" s="870">
        <f t="shared" si="5"/>
        <v>0</v>
      </c>
      <c r="AX15" s="870">
        <f>AR15</f>
        <v>0</v>
      </c>
      <c r="AY15" s="870">
        <f>AS15</f>
        <v>0</v>
      </c>
      <c r="AZ15" s="870">
        <f>AT15</f>
        <v>0</v>
      </c>
      <c r="BB15" s="177"/>
      <c r="BD15" s="870">
        <f>AV15</f>
        <v>0</v>
      </c>
      <c r="BE15" s="870">
        <f t="shared" si="1"/>
        <v>0</v>
      </c>
      <c r="BF15" s="870">
        <f t="shared" si="2"/>
        <v>0</v>
      </c>
      <c r="BG15" s="870">
        <f t="shared" si="3"/>
        <v>0</v>
      </c>
      <c r="BH15" s="870">
        <f t="shared" si="4"/>
        <v>0</v>
      </c>
    </row>
    <row r="16" spans="1:60">
      <c r="A16" s="763" t="s">
        <v>658</v>
      </c>
      <c r="B16" s="343">
        <f>'Fin Output'!B31</f>
        <v>0</v>
      </c>
      <c r="C16" s="866">
        <f>'Fin Output'!C31</f>
        <v>0</v>
      </c>
      <c r="D16" s="866">
        <f>'Fin Output'!D31</f>
        <v>0</v>
      </c>
      <c r="E16" s="866">
        <f>'Fin Output'!E31</f>
        <v>0</v>
      </c>
      <c r="F16" s="866">
        <f ca="1">'Fin Output'!F31</f>
        <v>0</v>
      </c>
      <c r="G16" s="866">
        <f ca="1">'Fin Output'!G31</f>
        <v>0</v>
      </c>
      <c r="H16" s="866">
        <f ca="1">'Fin Output'!H31</f>
        <v>0</v>
      </c>
      <c r="I16" s="866">
        <f ca="1">'Fin Output'!I31</f>
        <v>0</v>
      </c>
      <c r="J16" s="866">
        <f ca="1">'Fin Output'!J31</f>
        <v>0</v>
      </c>
      <c r="K16" s="866">
        <f ca="1">'Fin Output'!K31</f>
        <v>0</v>
      </c>
      <c r="L16" s="866">
        <f ca="1">'Fin Output'!L31</f>
        <v>0</v>
      </c>
      <c r="M16" s="866">
        <f ca="1">'Fin Output'!M31</f>
        <v>0</v>
      </c>
      <c r="N16" s="866">
        <f ca="1">'Fin Output'!N31</f>
        <v>0</v>
      </c>
      <c r="O16" s="866">
        <f ca="1">'Fin Output'!O31</f>
        <v>0</v>
      </c>
      <c r="P16" s="866">
        <f ca="1">'Fin Output'!P31</f>
        <v>0</v>
      </c>
      <c r="Q16" s="866">
        <f ca="1">'Fin Output'!Q31</f>
        <v>0</v>
      </c>
      <c r="R16" s="866">
        <v>0</v>
      </c>
      <c r="S16" s="343">
        <f ca="1">'Fin Output'!S31</f>
        <v>0</v>
      </c>
      <c r="T16" s="343">
        <f ca="1">'Fin Output'!T31</f>
        <v>0</v>
      </c>
      <c r="U16" s="343">
        <f ca="1">'Fin Output'!U31</f>
        <v>0</v>
      </c>
      <c r="V16" s="343">
        <f ca="1">'Fin Output'!V31</f>
        <v>0</v>
      </c>
      <c r="W16" s="343">
        <f ca="1">'Fin Output'!W31</f>
        <v>0</v>
      </c>
      <c r="X16" s="343">
        <f ca="1">'Fin Output'!X31</f>
        <v>0</v>
      </c>
      <c r="Y16" s="343">
        <f ca="1">'Fin Output'!Y31</f>
        <v>0</v>
      </c>
      <c r="Z16" s="343">
        <f ca="1">'Fin Output'!Z31</f>
        <v>0</v>
      </c>
      <c r="AA16" s="343">
        <f ca="1">'Fin Output'!AA31</f>
        <v>0</v>
      </c>
      <c r="AB16" s="343">
        <f ca="1">'Fin Output'!AB31</f>
        <v>0</v>
      </c>
      <c r="AC16" s="343">
        <f ca="1">'Fin Output'!AC31</f>
        <v>0</v>
      </c>
      <c r="AD16" s="343">
        <f ca="1">'Fin Output'!AD31</f>
        <v>0</v>
      </c>
      <c r="AE16" s="866">
        <v>0</v>
      </c>
      <c r="AF16" s="211"/>
      <c r="AG16" s="170"/>
      <c r="AH16" s="343">
        <v>0</v>
      </c>
      <c r="AI16" s="170"/>
      <c r="AJ16" s="866">
        <f ca="1">CHOOSE($AM$8,$R16,$R16*(1+$AH16),AP16,AV16,BD16)</f>
        <v>0</v>
      </c>
      <c r="AK16" s="866">
        <f ca="1">CHOOSE($AM$8,$R16,AJ16*(1+$AH16),AQ16,AW16,BE16)</f>
        <v>0</v>
      </c>
      <c r="AL16" s="866">
        <f ca="1">CHOOSE($AM$8,$R16,AK16*(1+$AH16),AR16,AX16,BF16)</f>
        <v>0</v>
      </c>
      <c r="AM16" s="866">
        <f ca="1">CHOOSE($AM$8,$R16,AL16*(1+$AH16),AS16,AY16,BG16)</f>
        <v>0</v>
      </c>
      <c r="AN16" s="866">
        <f ca="1">CHOOSE($AM$8,$R16,AM16*(1+$AH16),AT16,AZ16,BH16)</f>
        <v>0</v>
      </c>
      <c r="AO16" s="170"/>
      <c r="AP16" s="867">
        <f ca="1">'Mgmt Backup'!AJ35-'Mgmt Backup'!R35</f>
        <v>0</v>
      </c>
      <c r="AQ16" s="867">
        <f>'Mgmt Backup'!AK35-'Mgmt Backup'!AJ35</f>
        <v>0</v>
      </c>
      <c r="AR16" s="867">
        <f>'Mgmt Backup'!AL35-'Mgmt Backup'!AK35</f>
        <v>0</v>
      </c>
      <c r="AS16" s="867">
        <f>'Mgmt Backup'!AM35-'Mgmt Backup'!AL35</f>
        <v>0</v>
      </c>
      <c r="AT16" s="867">
        <f>'Mgmt Backup'!AN35-'Mgmt Backup'!AM35</f>
        <v>0</v>
      </c>
      <c r="AU16" s="214"/>
      <c r="AV16" s="871">
        <v>500000</v>
      </c>
      <c r="AW16" s="871">
        <v>0</v>
      </c>
      <c r="AX16" s="871">
        <v>0</v>
      </c>
      <c r="AY16" s="871">
        <v>0</v>
      </c>
      <c r="AZ16" s="871">
        <v>0</v>
      </c>
      <c r="BD16" s="867">
        <f>AV16</f>
        <v>500000</v>
      </c>
      <c r="BE16" s="867">
        <f>AW16</f>
        <v>0</v>
      </c>
      <c r="BF16" s="867">
        <f>AX16</f>
        <v>0</v>
      </c>
      <c r="BG16" s="867">
        <f>AY16</f>
        <v>0</v>
      </c>
      <c r="BH16" s="867">
        <f>AZ16</f>
        <v>0</v>
      </c>
    </row>
    <row r="17" spans="1:60">
      <c r="A17" s="213"/>
      <c r="B17" s="213"/>
      <c r="C17" s="213"/>
      <c r="D17" s="213"/>
      <c r="E17" s="213"/>
      <c r="F17" s="213"/>
      <c r="G17" s="213"/>
      <c r="H17" s="213"/>
      <c r="I17" s="213"/>
      <c r="J17" s="213"/>
      <c r="K17" s="213"/>
      <c r="L17" s="213"/>
      <c r="M17" s="213"/>
      <c r="N17" s="213"/>
      <c r="O17" s="213"/>
      <c r="P17" s="213"/>
      <c r="Q17" s="213"/>
      <c r="R17" s="213"/>
      <c r="S17" s="213"/>
      <c r="T17" s="213"/>
      <c r="U17" s="213"/>
      <c r="V17" s="213"/>
      <c r="W17" s="213"/>
      <c r="X17" s="213"/>
      <c r="Y17" s="213"/>
      <c r="Z17" s="213"/>
      <c r="AA17" s="213"/>
      <c r="AB17" s="213"/>
      <c r="AC17" s="213"/>
      <c r="AD17" s="213"/>
      <c r="AE17" s="213"/>
      <c r="AF17" s="211"/>
      <c r="AH17" s="793"/>
      <c r="AJ17" s="213"/>
      <c r="AK17" s="213"/>
      <c r="AL17" s="213"/>
      <c r="AM17" s="213"/>
      <c r="AN17" s="213"/>
      <c r="AP17" s="213"/>
      <c r="AQ17" s="213"/>
      <c r="AR17" s="213"/>
      <c r="AS17" s="213"/>
      <c r="AT17" s="213"/>
      <c r="AV17" s="213"/>
      <c r="AW17" s="213"/>
      <c r="AX17" s="213"/>
      <c r="AY17" s="213"/>
      <c r="AZ17" s="213"/>
      <c r="BD17" s="213"/>
      <c r="BE17" s="213"/>
      <c r="BF17" s="213"/>
      <c r="BG17" s="213"/>
      <c r="BH17" s="213"/>
    </row>
    <row r="18" spans="1:60">
      <c r="A18" s="166"/>
      <c r="C18" s="321"/>
      <c r="D18" s="321"/>
      <c r="E18" s="329"/>
      <c r="F18" s="321"/>
      <c r="G18" s="321"/>
      <c r="H18" s="321"/>
      <c r="I18" s="321"/>
      <c r="J18" s="330"/>
      <c r="K18" s="321"/>
      <c r="L18" s="321"/>
      <c r="M18" s="321"/>
      <c r="N18" s="321"/>
      <c r="O18" s="321"/>
      <c r="P18" s="321"/>
      <c r="Q18" s="321"/>
      <c r="R18" s="321"/>
      <c r="S18" s="321"/>
      <c r="T18" s="321"/>
      <c r="U18" s="321"/>
      <c r="V18" s="321"/>
      <c r="W18" s="321"/>
      <c r="X18" s="321"/>
      <c r="Y18" s="321"/>
      <c r="Z18" s="321"/>
      <c r="AA18" s="321"/>
      <c r="AB18" s="321"/>
      <c r="AC18" s="321"/>
      <c r="AD18" s="321"/>
      <c r="AE18" s="321"/>
    </row>
    <row r="19" spans="1:60" ht="15">
      <c r="A19" s="230"/>
      <c r="B19" s="230"/>
      <c r="AF19" s="321"/>
      <c r="AH19" s="321"/>
    </row>
    <row r="20" spans="1:60" ht="15">
      <c r="A20" s="323" t="s">
        <v>75</v>
      </c>
      <c r="B20" s="760">
        <f>B$9</f>
        <v>692501</v>
      </c>
      <c r="C20" s="760">
        <f t="shared" ref="C20:AD20" si="7">C$9</f>
        <v>692867</v>
      </c>
      <c r="D20" s="760">
        <f t="shared" si="7"/>
        <v>693232</v>
      </c>
      <c r="E20" s="760">
        <f t="shared" si="7"/>
        <v>693597</v>
      </c>
      <c r="F20" s="220">
        <f t="shared" ca="1" si="7"/>
        <v>693628</v>
      </c>
      <c r="G20" s="220">
        <f t="shared" ca="1" si="7"/>
        <v>693656</v>
      </c>
      <c r="H20" s="220">
        <f t="shared" ca="1" si="7"/>
        <v>693687</v>
      </c>
      <c r="I20" s="220">
        <f t="shared" ca="1" si="7"/>
        <v>693717</v>
      </c>
      <c r="J20" s="220">
        <f t="shared" ca="1" si="7"/>
        <v>693748</v>
      </c>
      <c r="K20" s="220">
        <f t="shared" ca="1" si="7"/>
        <v>693778</v>
      </c>
      <c r="L20" s="220">
        <f t="shared" ca="1" si="7"/>
        <v>693809</v>
      </c>
      <c r="M20" s="220">
        <f t="shared" ca="1" si="7"/>
        <v>693840</v>
      </c>
      <c r="N20" s="220">
        <f t="shared" ca="1" si="7"/>
        <v>693870</v>
      </c>
      <c r="O20" s="220">
        <f t="shared" ca="1" si="7"/>
        <v>693901</v>
      </c>
      <c r="P20" s="220">
        <f t="shared" ca="1" si="7"/>
        <v>693931</v>
      </c>
      <c r="Q20" s="220">
        <f t="shared" ca="1" si="7"/>
        <v>693962</v>
      </c>
      <c r="R20" s="760">
        <f t="shared" ca="1" si="7"/>
        <v>693962</v>
      </c>
      <c r="S20" s="220">
        <f t="shared" ca="1" si="7"/>
        <v>31</v>
      </c>
      <c r="T20" s="220">
        <f t="shared" ca="1" si="7"/>
        <v>59</v>
      </c>
      <c r="U20" s="220">
        <f t="shared" ca="1" si="7"/>
        <v>91</v>
      </c>
      <c r="V20" s="220">
        <f t="shared" ca="1" si="7"/>
        <v>121</v>
      </c>
      <c r="W20" s="220">
        <f t="shared" ca="1" si="7"/>
        <v>152</v>
      </c>
      <c r="X20" s="220">
        <f t="shared" ca="1" si="7"/>
        <v>182</v>
      </c>
      <c r="Y20" s="220">
        <f t="shared" ca="1" si="7"/>
        <v>213</v>
      </c>
      <c r="Z20" s="220">
        <f t="shared" ca="1" si="7"/>
        <v>244</v>
      </c>
      <c r="AA20" s="220">
        <f t="shared" ca="1" si="7"/>
        <v>274</v>
      </c>
      <c r="AB20" s="220">
        <f t="shared" ca="1" si="7"/>
        <v>305</v>
      </c>
      <c r="AC20" s="220">
        <f t="shared" ca="1" si="7"/>
        <v>335</v>
      </c>
      <c r="AD20" s="220">
        <f t="shared" ca="1" si="7"/>
        <v>366</v>
      </c>
      <c r="AE20" s="221" t="e">
        <f ca="1">'Fin Output'!$AE$42</f>
        <v>#N/A</v>
      </c>
      <c r="AF20" s="221" t="e">
        <f ca="1">'Fin Output'!$AF$42</f>
        <v>#N/A</v>
      </c>
      <c r="AH20" s="221" t="str">
        <f ca="1">AH$9</f>
        <v>'96 - '99 CAGR/Avg.</v>
      </c>
      <c r="AJ20" s="760">
        <f t="shared" ref="AJ20:AZ20" ca="1" si="8">AJ$9</f>
        <v>694327</v>
      </c>
      <c r="AK20" s="760">
        <f t="shared" ca="1" si="8"/>
        <v>694692</v>
      </c>
      <c r="AL20" s="760">
        <f t="shared" ca="1" si="8"/>
        <v>695057</v>
      </c>
      <c r="AM20" s="760">
        <f t="shared" ca="1" si="8"/>
        <v>695422</v>
      </c>
      <c r="AN20" s="760">
        <f t="shared" ca="1" si="8"/>
        <v>695787</v>
      </c>
      <c r="AP20" s="760">
        <f t="shared" ca="1" si="8"/>
        <v>694327</v>
      </c>
      <c r="AQ20" s="760">
        <f t="shared" ca="1" si="8"/>
        <v>694692</v>
      </c>
      <c r="AR20" s="760">
        <f t="shared" ca="1" si="8"/>
        <v>695057</v>
      </c>
      <c r="AS20" s="760">
        <f t="shared" ca="1" si="8"/>
        <v>695422</v>
      </c>
      <c r="AT20" s="760">
        <f t="shared" ca="1" si="8"/>
        <v>695787</v>
      </c>
      <c r="AV20" s="760">
        <f t="shared" ca="1" si="8"/>
        <v>694327</v>
      </c>
      <c r="AW20" s="760">
        <f t="shared" ca="1" si="8"/>
        <v>694692</v>
      </c>
      <c r="AX20" s="760">
        <f t="shared" ca="1" si="8"/>
        <v>695057</v>
      </c>
      <c r="AY20" s="760">
        <f t="shared" ca="1" si="8"/>
        <v>695422</v>
      </c>
      <c r="AZ20" s="760">
        <f t="shared" ca="1" si="8"/>
        <v>695787</v>
      </c>
      <c r="BD20" s="760">
        <f ca="1">BD$9</f>
        <v>694327</v>
      </c>
      <c r="BE20" s="760">
        <f ca="1">BE$9</f>
        <v>694692</v>
      </c>
      <c r="BF20" s="760">
        <f ca="1">BF$9</f>
        <v>695057</v>
      </c>
      <c r="BG20" s="760">
        <f ca="1">BG$9</f>
        <v>695422</v>
      </c>
      <c r="BH20" s="760">
        <f ca="1">BH$9</f>
        <v>695787</v>
      </c>
    </row>
    <row r="21" spans="1:60">
      <c r="A21" s="761" t="str">
        <f>'Fin Output'!A94</f>
        <v>Portfolio Yield (as % of GLP)</v>
      </c>
      <c r="B21" s="339" t="str">
        <f>'Fin Output'!B94</f>
        <v>NA</v>
      </c>
      <c r="C21" s="339" t="e">
        <f>'Fin Output'!C94</f>
        <v>#DIV/0!</v>
      </c>
      <c r="D21" s="339" t="e">
        <f>'Fin Output'!D94</f>
        <v>#DIV/0!</v>
      </c>
      <c r="E21" s="339" t="e">
        <f>'Fin Output'!E94</f>
        <v>#DIV/0!</v>
      </c>
      <c r="F21" s="339" t="e">
        <f ca="1">'Fin Output'!F94</f>
        <v>#DIV/0!</v>
      </c>
      <c r="G21" s="339" t="e">
        <f ca="1">'Fin Output'!G94</f>
        <v>#DIV/0!</v>
      </c>
      <c r="H21" s="339" t="e">
        <f ca="1">'Fin Output'!H94</f>
        <v>#DIV/0!</v>
      </c>
      <c r="I21" s="339" t="e">
        <f ca="1">'Fin Output'!I94</f>
        <v>#DIV/0!</v>
      </c>
      <c r="J21" s="339" t="e">
        <f ca="1">'Fin Output'!J94</f>
        <v>#DIV/0!</v>
      </c>
      <c r="K21" s="339" t="e">
        <f ca="1">'Fin Output'!K94</f>
        <v>#DIV/0!</v>
      </c>
      <c r="L21" s="339" t="e">
        <f ca="1">'Fin Output'!L94</f>
        <v>#DIV/0!</v>
      </c>
      <c r="M21" s="339" t="e">
        <f ca="1">'Fin Output'!M94</f>
        <v>#DIV/0!</v>
      </c>
      <c r="N21" s="339" t="e">
        <f ca="1">'Fin Output'!N94</f>
        <v>#DIV/0!</v>
      </c>
      <c r="O21" s="339" t="e">
        <f ca="1">'Fin Output'!O94</f>
        <v>#DIV/0!</v>
      </c>
      <c r="P21" s="339" t="e">
        <f ca="1">'Fin Output'!P94</f>
        <v>#DIV/0!</v>
      </c>
      <c r="Q21" s="339" t="e">
        <f ca="1">'Fin Output'!Q94</f>
        <v>#DIV/0!</v>
      </c>
      <c r="R21" s="339" t="e">
        <f ca="1">'Fin Output'!R94</f>
        <v>#DIV/0!</v>
      </c>
      <c r="S21" s="339" t="e">
        <f ca="1">'Fin Output'!S94</f>
        <v>#DIV/0!</v>
      </c>
      <c r="T21" s="339" t="e">
        <f ca="1">'Fin Output'!T94</f>
        <v>#DIV/0!</v>
      </c>
      <c r="U21" s="339" t="e">
        <f ca="1">'Fin Output'!U94</f>
        <v>#DIV/0!</v>
      </c>
      <c r="V21" s="339" t="e">
        <f ca="1">'Fin Output'!V94</f>
        <v>#DIV/0!</v>
      </c>
      <c r="W21" s="339" t="e">
        <f ca="1">'Fin Output'!W94</f>
        <v>#DIV/0!</v>
      </c>
      <c r="X21" s="339" t="e">
        <f ca="1">'Fin Output'!X94</f>
        <v>#DIV/0!</v>
      </c>
      <c r="Y21" s="339" t="e">
        <f ca="1">'Fin Output'!Y94</f>
        <v>#DIV/0!</v>
      </c>
      <c r="Z21" s="339" t="e">
        <f ca="1">'Fin Output'!Z94</f>
        <v>#DIV/0!</v>
      </c>
      <c r="AA21" s="339" t="e">
        <f ca="1">'Fin Output'!AA94</f>
        <v>#DIV/0!</v>
      </c>
      <c r="AB21" s="339" t="e">
        <f ca="1">'Fin Output'!AB94</f>
        <v>#DIV/0!</v>
      </c>
      <c r="AC21" s="339" t="e">
        <f ca="1">'Fin Output'!AC94</f>
        <v>#DIV/0!</v>
      </c>
      <c r="AD21" s="339" t="e">
        <f ca="1">'Fin Output'!AD94</f>
        <v>#DIV/0!</v>
      </c>
      <c r="AE21" s="339" t="e">
        <f ca="1">'Fin Output'!AE94</f>
        <v>#N/A</v>
      </c>
      <c r="AF21" s="339" t="e">
        <f ca="1">'Fin Output'!AF94</f>
        <v>#N/A</v>
      </c>
      <c r="AG21" s="126"/>
      <c r="AH21" s="340" t="str">
        <f>IFERROR(AVERAGE(C21:E21,R21),"NA")</f>
        <v>NA</v>
      </c>
      <c r="AI21" s="126"/>
      <c r="AJ21" s="342" t="e">
        <f t="shared" ref="AJ21:AN25" ca="1" si="9">CHOOSE($AM$8,$R21,$AH21,AP21,AV21,BD21)</f>
        <v>#DIV/0!</v>
      </c>
      <c r="AK21" s="342" t="e">
        <f t="shared" ca="1" si="9"/>
        <v>#DIV/0!</v>
      </c>
      <c r="AL21" s="342" t="e">
        <f t="shared" ca="1" si="9"/>
        <v>#DIV/0!</v>
      </c>
      <c r="AM21" s="342" t="e">
        <f t="shared" ca="1" si="9"/>
        <v>#DIV/0!</v>
      </c>
      <c r="AN21" s="342" t="e">
        <f t="shared" ca="1" si="9"/>
        <v>#DIV/0!</v>
      </c>
      <c r="AO21" s="126"/>
      <c r="AP21" s="339" t="e">
        <f ca="1">'Mgmt Backup'!AJ107</f>
        <v>#DIV/0!</v>
      </c>
      <c r="AQ21" s="339" t="e">
        <f>'Mgmt Backup'!AK107</f>
        <v>#DIV/0!</v>
      </c>
      <c r="AR21" s="339" t="e">
        <f>'Mgmt Backup'!AL107</f>
        <v>#DIV/0!</v>
      </c>
      <c r="AS21" s="339" t="e">
        <f>'Mgmt Backup'!AM107</f>
        <v>#DIV/0!</v>
      </c>
      <c r="AT21" s="339" t="e">
        <f>'Mgmt Backup'!AN107</f>
        <v>#DIV/0!</v>
      </c>
      <c r="AV21" s="325">
        <v>0.38</v>
      </c>
      <c r="AW21" s="325">
        <f>AV21</f>
        <v>0.38</v>
      </c>
      <c r="AX21" s="325">
        <f>AW21-0.5%</f>
        <v>0.375</v>
      </c>
      <c r="AY21" s="325">
        <f>AX21-0.5%</f>
        <v>0.37</v>
      </c>
      <c r="AZ21" s="325">
        <f>AY21-0.5%</f>
        <v>0.36499999999999999</v>
      </c>
      <c r="BB21" s="438">
        <v>-5.0000000000000001E-3</v>
      </c>
      <c r="BD21" s="439">
        <f t="shared" ref="BD21:BH22" si="10">AV21+$BB21</f>
        <v>0.375</v>
      </c>
      <c r="BE21" s="439">
        <f t="shared" si="10"/>
        <v>0.375</v>
      </c>
      <c r="BF21" s="439">
        <f t="shared" si="10"/>
        <v>0.37</v>
      </c>
      <c r="BG21" s="439">
        <f t="shared" si="10"/>
        <v>0.36499999999999999</v>
      </c>
      <c r="BH21" s="439">
        <f t="shared" si="10"/>
        <v>0.36</v>
      </c>
    </row>
    <row r="22" spans="1:60" s="169" customFormat="1">
      <c r="A22" s="853" t="str">
        <f>'Fin Output'!A98</f>
        <v>Avg. Cost of Borrowing</v>
      </c>
      <c r="B22" s="529" t="str">
        <f>'Fin Output'!B98</f>
        <v>NA</v>
      </c>
      <c r="C22" s="529" t="e">
        <f>'Fin Output'!C98</f>
        <v>#DIV/0!</v>
      </c>
      <c r="D22" s="529" t="e">
        <f>'Fin Output'!D98</f>
        <v>#DIV/0!</v>
      </c>
      <c r="E22" s="529" t="e">
        <f>'Fin Output'!E98</f>
        <v>#DIV/0!</v>
      </c>
      <c r="F22" s="529" t="e">
        <f ca="1">'Fin Output'!F98</f>
        <v>#DIV/0!</v>
      </c>
      <c r="G22" s="529" t="e">
        <f ca="1">'Fin Output'!G98</f>
        <v>#DIV/0!</v>
      </c>
      <c r="H22" s="529" t="e">
        <f ca="1">'Fin Output'!H98</f>
        <v>#DIV/0!</v>
      </c>
      <c r="I22" s="529" t="e">
        <f ca="1">'Fin Output'!I98</f>
        <v>#DIV/0!</v>
      </c>
      <c r="J22" s="529" t="e">
        <f ca="1">'Fin Output'!J98</f>
        <v>#DIV/0!</v>
      </c>
      <c r="K22" s="529" t="e">
        <f ca="1">'Fin Output'!K98</f>
        <v>#DIV/0!</v>
      </c>
      <c r="L22" s="529" t="e">
        <f ca="1">'Fin Output'!L98</f>
        <v>#DIV/0!</v>
      </c>
      <c r="M22" s="529" t="e">
        <f ca="1">'Fin Output'!M98</f>
        <v>#DIV/0!</v>
      </c>
      <c r="N22" s="529" t="e">
        <f ca="1">'Fin Output'!N98</f>
        <v>#DIV/0!</v>
      </c>
      <c r="O22" s="529" t="e">
        <f ca="1">'Fin Output'!O98</f>
        <v>#DIV/0!</v>
      </c>
      <c r="P22" s="529" t="e">
        <f ca="1">'Fin Output'!P98</f>
        <v>#DIV/0!</v>
      </c>
      <c r="Q22" s="529" t="e">
        <f ca="1">'Fin Output'!Q98</f>
        <v>#DIV/0!</v>
      </c>
      <c r="R22" s="529" t="e">
        <f ca="1">'Fin Output'!R98</f>
        <v>#DIV/0!</v>
      </c>
      <c r="S22" s="529" t="e">
        <f ca="1">'Fin Output'!S98</f>
        <v>#DIV/0!</v>
      </c>
      <c r="T22" s="529" t="e">
        <f ca="1">'Fin Output'!T98</f>
        <v>#DIV/0!</v>
      </c>
      <c r="U22" s="529" t="e">
        <f ca="1">'Fin Output'!U98</f>
        <v>#DIV/0!</v>
      </c>
      <c r="V22" s="529" t="e">
        <f ca="1">'Fin Output'!V98</f>
        <v>#DIV/0!</v>
      </c>
      <c r="W22" s="529" t="e">
        <f ca="1">'Fin Output'!W98</f>
        <v>#DIV/0!</v>
      </c>
      <c r="X22" s="529" t="e">
        <f ca="1">'Fin Output'!X98</f>
        <v>#DIV/0!</v>
      </c>
      <c r="Y22" s="529" t="e">
        <f ca="1">'Fin Output'!Y98</f>
        <v>#DIV/0!</v>
      </c>
      <c r="Z22" s="529" t="e">
        <f ca="1">'Fin Output'!Z98</f>
        <v>#DIV/0!</v>
      </c>
      <c r="AA22" s="529" t="e">
        <f ca="1">'Fin Output'!AA98</f>
        <v>#DIV/0!</v>
      </c>
      <c r="AB22" s="529" t="e">
        <f ca="1">'Fin Output'!AB98</f>
        <v>#DIV/0!</v>
      </c>
      <c r="AC22" s="529" t="e">
        <f ca="1">'Fin Output'!AC98</f>
        <v>#DIV/0!</v>
      </c>
      <c r="AD22" s="529" t="e">
        <f ca="1">'Fin Output'!AD98</f>
        <v>#DIV/0!</v>
      </c>
      <c r="AE22" s="529" t="e">
        <f ca="1">'Fin Output'!AE98</f>
        <v>#N/A</v>
      </c>
      <c r="AF22" s="529" t="e">
        <f ca="1">'Fin Output'!AF98</f>
        <v>#N/A</v>
      </c>
      <c r="AG22" s="128"/>
      <c r="AH22" s="367" t="str">
        <f>IFERROR(AVERAGE(C22:E22,R22),"NA")</f>
        <v>NA</v>
      </c>
      <c r="AI22" s="128"/>
      <c r="AJ22" s="529" t="e">
        <f t="shared" ca="1" si="9"/>
        <v>#DIV/0!</v>
      </c>
      <c r="AK22" s="529" t="e">
        <f t="shared" ca="1" si="9"/>
        <v>#DIV/0!</v>
      </c>
      <c r="AL22" s="529" t="e">
        <f t="shared" ca="1" si="9"/>
        <v>#DIV/0!</v>
      </c>
      <c r="AM22" s="529" t="e">
        <f t="shared" ca="1" si="9"/>
        <v>#DIV/0!</v>
      </c>
      <c r="AN22" s="529" t="e">
        <f t="shared" ca="1" si="9"/>
        <v>#DIV/0!</v>
      </c>
      <c r="AO22" s="128"/>
      <c r="AP22" s="529" t="e">
        <f ca="1">'Mgmt Backup'!AJ109</f>
        <v>#DIV/0!</v>
      </c>
      <c r="AQ22" s="529" t="e">
        <f>'Mgmt Backup'!AK109</f>
        <v>#DIV/0!</v>
      </c>
      <c r="AR22" s="529" t="e">
        <f>'Mgmt Backup'!AL109</f>
        <v>#DIV/0!</v>
      </c>
      <c r="AS22" s="529" t="e">
        <f>'Mgmt Backup'!AM109</f>
        <v>#DIV/0!</v>
      </c>
      <c r="AT22" s="529" t="e">
        <f>'Mgmt Backup'!AN109</f>
        <v>#DIV/0!</v>
      </c>
      <c r="AV22" s="325" t="e">
        <f t="shared" ref="AV22:AV29" ca="1" si="11">AP22</f>
        <v>#DIV/0!</v>
      </c>
      <c r="AW22" s="325" t="e">
        <f t="shared" ref="AW22:AW29" si="12">AQ22</f>
        <v>#DIV/0!</v>
      </c>
      <c r="AX22" s="325">
        <v>0.09</v>
      </c>
      <c r="AY22" s="325">
        <v>0.09</v>
      </c>
      <c r="AZ22" s="325">
        <v>8.5000000000000006E-2</v>
      </c>
      <c r="BB22" s="438">
        <v>5.0000000000000001E-3</v>
      </c>
      <c r="BD22" s="854" t="e">
        <f t="shared" ca="1" si="10"/>
        <v>#DIV/0!</v>
      </c>
      <c r="BE22" s="854" t="e">
        <f t="shared" si="10"/>
        <v>#DIV/0!</v>
      </c>
      <c r="BF22" s="854">
        <f t="shared" si="10"/>
        <v>9.5000000000000001E-2</v>
      </c>
      <c r="BG22" s="854">
        <f t="shared" si="10"/>
        <v>9.5000000000000001E-2</v>
      </c>
      <c r="BH22" s="854">
        <f t="shared" si="10"/>
        <v>9.0000000000000011E-2</v>
      </c>
    </row>
    <row r="23" spans="1:60">
      <c r="A23" s="762" t="str">
        <f>'Fin Output'!A234</f>
        <v>Net Monetary / Inflation Adj. as % of GLP</v>
      </c>
      <c r="B23" s="342" t="str">
        <f>'Fin Output'!B234</f>
        <v>NA</v>
      </c>
      <c r="C23" s="342" t="e">
        <f>'Fin Output'!C234</f>
        <v>#DIV/0!</v>
      </c>
      <c r="D23" s="342" t="e">
        <f>'Fin Output'!D234</f>
        <v>#DIV/0!</v>
      </c>
      <c r="E23" s="342" t="e">
        <f>'Fin Output'!E234</f>
        <v>#DIV/0!</v>
      </c>
      <c r="F23" s="342" t="str">
        <f>'Fin Output'!F234</f>
        <v>NA</v>
      </c>
      <c r="G23" s="342" t="str">
        <f>'Fin Output'!G234</f>
        <v>NA</v>
      </c>
      <c r="H23" s="342" t="str">
        <f>'Fin Output'!H234</f>
        <v>NA</v>
      </c>
      <c r="I23" s="342" t="str">
        <f>'Fin Output'!I234</f>
        <v>NA</v>
      </c>
      <c r="J23" s="342" t="str">
        <f>'Fin Output'!J234</f>
        <v>NA</v>
      </c>
      <c r="K23" s="342" t="str">
        <f>'Fin Output'!K234</f>
        <v>NA</v>
      </c>
      <c r="L23" s="342" t="str">
        <f>'Fin Output'!L234</f>
        <v>NA</v>
      </c>
      <c r="M23" s="342" t="str">
        <f>'Fin Output'!M234</f>
        <v>NA</v>
      </c>
      <c r="N23" s="342" t="str">
        <f>'Fin Output'!N234</f>
        <v>NA</v>
      </c>
      <c r="O23" s="342" t="str">
        <f>'Fin Output'!O234</f>
        <v>NA</v>
      </c>
      <c r="P23" s="342" t="str">
        <f>'Fin Output'!P234</f>
        <v>NA</v>
      </c>
      <c r="Q23" s="342" t="str">
        <f>'Fin Output'!Q234</f>
        <v>NA</v>
      </c>
      <c r="R23" s="342" t="e">
        <f ca="1">'Fin Output'!R234</f>
        <v>#DIV/0!</v>
      </c>
      <c r="S23" s="342" t="e">
        <f ca="1">'Fin Output'!S234</f>
        <v>#DIV/0!</v>
      </c>
      <c r="T23" s="342" t="e">
        <f ca="1">'Fin Output'!T234</f>
        <v>#DIV/0!</v>
      </c>
      <c r="U23" s="342" t="e">
        <f ca="1">'Fin Output'!U234</f>
        <v>#DIV/0!</v>
      </c>
      <c r="V23" s="342" t="e">
        <f ca="1">'Fin Output'!V234</f>
        <v>#DIV/0!</v>
      </c>
      <c r="W23" s="342" t="e">
        <f ca="1">'Fin Output'!W234</f>
        <v>#DIV/0!</v>
      </c>
      <c r="X23" s="342" t="e">
        <f ca="1">'Fin Output'!X234</f>
        <v>#DIV/0!</v>
      </c>
      <c r="Y23" s="342" t="e">
        <f ca="1">'Fin Output'!Y234</f>
        <v>#DIV/0!</v>
      </c>
      <c r="Z23" s="342" t="e">
        <f ca="1">'Fin Output'!Z234</f>
        <v>#DIV/0!</v>
      </c>
      <c r="AA23" s="342" t="e">
        <f ca="1">'Fin Output'!AA234</f>
        <v>#DIV/0!</v>
      </c>
      <c r="AB23" s="342" t="e">
        <f ca="1">'Fin Output'!AB234</f>
        <v>#DIV/0!</v>
      </c>
      <c r="AC23" s="342" t="e">
        <f ca="1">'Fin Output'!AC234</f>
        <v>#DIV/0!</v>
      </c>
      <c r="AD23" s="342" t="e">
        <f ca="1">'Fin Output'!AD234</f>
        <v>#DIV/0!</v>
      </c>
      <c r="AE23" s="342" t="e">
        <f ca="1">'Fin Output'!AE234</f>
        <v>#N/A</v>
      </c>
      <c r="AF23" s="342" t="e">
        <f ca="1">'Fin Output'!AF234</f>
        <v>#N/A</v>
      </c>
      <c r="AG23" s="126"/>
      <c r="AH23" s="340" t="str">
        <f>IFERROR(AVERAGE(C23:E23,R23),"NA")</f>
        <v>NA</v>
      </c>
      <c r="AI23" s="126"/>
      <c r="AJ23" s="342" t="e">
        <f t="shared" ca="1" si="9"/>
        <v>#DIV/0!</v>
      </c>
      <c r="AK23" s="342" t="e">
        <f t="shared" ca="1" si="9"/>
        <v>#DIV/0!</v>
      </c>
      <c r="AL23" s="342" t="e">
        <f t="shared" ca="1" si="9"/>
        <v>#DIV/0!</v>
      </c>
      <c r="AM23" s="342" t="e">
        <f t="shared" ca="1" si="9"/>
        <v>#DIV/0!</v>
      </c>
      <c r="AN23" s="342" t="e">
        <f t="shared" ca="1" si="9"/>
        <v>#DIV/0!</v>
      </c>
      <c r="AO23" s="126"/>
      <c r="AP23" s="342" t="e">
        <f ca="1">'Mgmt Backup'!AJ121</f>
        <v>#DIV/0!</v>
      </c>
      <c r="AQ23" s="342" t="e">
        <f>'Mgmt Backup'!AK121</f>
        <v>#DIV/0!</v>
      </c>
      <c r="AR23" s="342" t="e">
        <f>'Mgmt Backup'!AL121</f>
        <v>#DIV/0!</v>
      </c>
      <c r="AS23" s="342" t="e">
        <f>'Mgmt Backup'!AM121</f>
        <v>#DIV/0!</v>
      </c>
      <c r="AT23" s="342" t="e">
        <f>'Mgmt Backup'!AN121</f>
        <v>#DIV/0!</v>
      </c>
      <c r="AV23" s="326" t="e">
        <f t="shared" ca="1" si="11"/>
        <v>#DIV/0!</v>
      </c>
      <c r="AW23" s="326" t="e">
        <f t="shared" si="12"/>
        <v>#DIV/0!</v>
      </c>
      <c r="AX23" s="326">
        <v>0</v>
      </c>
      <c r="AY23" s="326">
        <v>0</v>
      </c>
      <c r="AZ23" s="326">
        <v>0</v>
      </c>
      <c r="BD23" s="229" t="e">
        <f t="shared" ref="BD23:BD29" ca="1" si="13">AV23</f>
        <v>#DIV/0!</v>
      </c>
      <c r="BE23" s="229" t="e">
        <f t="shared" ref="BE23:BE29" si="14">AW23</f>
        <v>#DIV/0!</v>
      </c>
      <c r="BF23" s="229">
        <f t="shared" ref="BF23:BF29" si="15">AX23</f>
        <v>0</v>
      </c>
      <c r="BG23" s="229">
        <f t="shared" ref="BG23:BG29" si="16">AY23</f>
        <v>0</v>
      </c>
      <c r="BH23" s="229">
        <f t="shared" ref="BH23:BH29" si="17">AZ23</f>
        <v>0</v>
      </c>
    </row>
    <row r="24" spans="1:60">
      <c r="A24" s="762" t="str">
        <f>'Fin Output'!A235</f>
        <v>Other Financial Service as % of Financial Revenues</v>
      </c>
      <c r="B24" s="342" t="e">
        <f>'Fin Output'!B235</f>
        <v>#DIV/0!</v>
      </c>
      <c r="C24" s="342" t="e">
        <f>'Fin Output'!C235</f>
        <v>#DIV/0!</v>
      </c>
      <c r="D24" s="342" t="e">
        <f>'Fin Output'!D235</f>
        <v>#DIV/0!</v>
      </c>
      <c r="E24" s="342" t="e">
        <f>'Fin Output'!E235</f>
        <v>#DIV/0!</v>
      </c>
      <c r="F24" s="342" t="e">
        <f ca="1">'Fin Output'!F235</f>
        <v>#DIV/0!</v>
      </c>
      <c r="G24" s="342" t="e">
        <f ca="1">'Fin Output'!G235</f>
        <v>#DIV/0!</v>
      </c>
      <c r="H24" s="342" t="e">
        <f ca="1">'Fin Output'!H235</f>
        <v>#DIV/0!</v>
      </c>
      <c r="I24" s="342" t="e">
        <f ca="1">'Fin Output'!I235</f>
        <v>#DIV/0!</v>
      </c>
      <c r="J24" s="342" t="e">
        <f ca="1">'Fin Output'!J235</f>
        <v>#DIV/0!</v>
      </c>
      <c r="K24" s="342" t="e">
        <f ca="1">'Fin Output'!K235</f>
        <v>#DIV/0!</v>
      </c>
      <c r="L24" s="342" t="e">
        <f ca="1">'Fin Output'!L235</f>
        <v>#DIV/0!</v>
      </c>
      <c r="M24" s="342" t="e">
        <f ca="1">'Fin Output'!M235</f>
        <v>#DIV/0!</v>
      </c>
      <c r="N24" s="342" t="e">
        <f ca="1">'Fin Output'!N235</f>
        <v>#DIV/0!</v>
      </c>
      <c r="O24" s="342" t="e">
        <f ca="1">'Fin Output'!O235</f>
        <v>#DIV/0!</v>
      </c>
      <c r="P24" s="342" t="e">
        <f ca="1">'Fin Output'!P235</f>
        <v>#DIV/0!</v>
      </c>
      <c r="Q24" s="342" t="e">
        <f ca="1">'Fin Output'!Q235</f>
        <v>#DIV/0!</v>
      </c>
      <c r="R24" s="342" t="e">
        <f ca="1">'Fin Output'!R235</f>
        <v>#DIV/0!</v>
      </c>
      <c r="S24" s="342" t="e">
        <f ca="1">'Fin Output'!S235</f>
        <v>#DIV/0!</v>
      </c>
      <c r="T24" s="342" t="e">
        <f ca="1">'Fin Output'!T235</f>
        <v>#DIV/0!</v>
      </c>
      <c r="U24" s="342" t="e">
        <f ca="1">'Fin Output'!U235</f>
        <v>#DIV/0!</v>
      </c>
      <c r="V24" s="342" t="e">
        <f ca="1">'Fin Output'!V235</f>
        <v>#DIV/0!</v>
      </c>
      <c r="W24" s="342" t="e">
        <f ca="1">'Fin Output'!W235</f>
        <v>#DIV/0!</v>
      </c>
      <c r="X24" s="342" t="e">
        <f ca="1">'Fin Output'!X235</f>
        <v>#DIV/0!</v>
      </c>
      <c r="Y24" s="342" t="e">
        <f ca="1">'Fin Output'!Y235</f>
        <v>#DIV/0!</v>
      </c>
      <c r="Z24" s="342" t="e">
        <f ca="1">'Fin Output'!Z235</f>
        <v>#DIV/0!</v>
      </c>
      <c r="AA24" s="342" t="e">
        <f ca="1">'Fin Output'!AA235</f>
        <v>#DIV/0!</v>
      </c>
      <c r="AB24" s="342" t="e">
        <f ca="1">'Fin Output'!AB235</f>
        <v>#DIV/0!</v>
      </c>
      <c r="AC24" s="342" t="e">
        <f ca="1">'Fin Output'!AC235</f>
        <v>#DIV/0!</v>
      </c>
      <c r="AD24" s="342" t="e">
        <f ca="1">'Fin Output'!AD235</f>
        <v>#DIV/0!</v>
      </c>
      <c r="AE24" s="342" t="e">
        <f ca="1">'Fin Output'!AE235</f>
        <v>#N/A</v>
      </c>
      <c r="AF24" s="342" t="e">
        <f ca="1">'Fin Output'!AF235</f>
        <v>#N/A</v>
      </c>
      <c r="AG24" s="126"/>
      <c r="AH24" s="340" t="str">
        <f>IFERROR(AVERAGE(C24:E24,R24),"NA")</f>
        <v>NA</v>
      </c>
      <c r="AI24" s="126"/>
      <c r="AJ24" s="342" t="e">
        <f t="shared" ca="1" si="9"/>
        <v>#DIV/0!</v>
      </c>
      <c r="AK24" s="342" t="e">
        <f t="shared" ca="1" si="9"/>
        <v>#DIV/0!</v>
      </c>
      <c r="AL24" s="342" t="e">
        <f t="shared" ca="1" si="9"/>
        <v>#DIV/0!</v>
      </c>
      <c r="AM24" s="342" t="e">
        <f t="shared" ca="1" si="9"/>
        <v>#DIV/0!</v>
      </c>
      <c r="AN24" s="342" t="e">
        <f t="shared" ca="1" si="9"/>
        <v>#DIV/0!</v>
      </c>
      <c r="AO24" s="126"/>
      <c r="AP24" s="342" t="e">
        <f>'Mgmt Backup'!AJ122</f>
        <v>#DIV/0!</v>
      </c>
      <c r="AQ24" s="342" t="e">
        <f>'Mgmt Backup'!AK122</f>
        <v>#DIV/0!</v>
      </c>
      <c r="AR24" s="342" t="e">
        <f>'Mgmt Backup'!AL122</f>
        <v>#DIV/0!</v>
      </c>
      <c r="AS24" s="342" t="e">
        <f>'Mgmt Backup'!AM122</f>
        <v>#DIV/0!</v>
      </c>
      <c r="AT24" s="342" t="e">
        <f>'Mgmt Backup'!AN122</f>
        <v>#DIV/0!</v>
      </c>
      <c r="AV24" s="326" t="e">
        <f t="shared" si="11"/>
        <v>#DIV/0!</v>
      </c>
      <c r="AW24" s="326" t="e">
        <f t="shared" si="12"/>
        <v>#DIV/0!</v>
      </c>
      <c r="AX24" s="326">
        <v>0</v>
      </c>
      <c r="AY24" s="326">
        <v>0</v>
      </c>
      <c r="AZ24" s="326">
        <v>0</v>
      </c>
      <c r="BD24" s="229" t="e">
        <f t="shared" si="13"/>
        <v>#DIV/0!</v>
      </c>
      <c r="BE24" s="229" t="e">
        <f t="shared" si="14"/>
        <v>#DIV/0!</v>
      </c>
      <c r="BF24" s="229">
        <f t="shared" si="15"/>
        <v>0</v>
      </c>
      <c r="BG24" s="229">
        <f t="shared" si="16"/>
        <v>0</v>
      </c>
      <c r="BH24" s="229">
        <f t="shared" si="17"/>
        <v>0</v>
      </c>
    </row>
    <row r="25" spans="1:60">
      <c r="A25" s="762" t="str">
        <f>'Fin Output'!A97</f>
        <v>OpEx Ratio (as % of GLP)</v>
      </c>
      <c r="B25" s="342" t="str">
        <f>'Fin Output'!B97</f>
        <v>NA</v>
      </c>
      <c r="C25" s="342" t="e">
        <f>'Fin Output'!C97</f>
        <v>#DIV/0!</v>
      </c>
      <c r="D25" s="342" t="e">
        <f>'Fin Output'!D97</f>
        <v>#DIV/0!</v>
      </c>
      <c r="E25" s="342" t="e">
        <f>'Fin Output'!E97</f>
        <v>#DIV/0!</v>
      </c>
      <c r="F25" s="342" t="e">
        <f ca="1">'Fin Output'!F97</f>
        <v>#DIV/0!</v>
      </c>
      <c r="G25" s="342" t="e">
        <f ca="1">'Fin Output'!G97</f>
        <v>#DIV/0!</v>
      </c>
      <c r="H25" s="342" t="e">
        <f ca="1">'Fin Output'!H97</f>
        <v>#DIV/0!</v>
      </c>
      <c r="I25" s="342" t="e">
        <f ca="1">'Fin Output'!I97</f>
        <v>#DIV/0!</v>
      </c>
      <c r="J25" s="342" t="e">
        <f ca="1">'Fin Output'!J97</f>
        <v>#DIV/0!</v>
      </c>
      <c r="K25" s="342" t="e">
        <f ca="1">'Fin Output'!K97</f>
        <v>#DIV/0!</v>
      </c>
      <c r="L25" s="342" t="e">
        <f ca="1">'Fin Output'!L97</f>
        <v>#DIV/0!</v>
      </c>
      <c r="M25" s="342" t="e">
        <f ca="1">'Fin Output'!M97</f>
        <v>#DIV/0!</v>
      </c>
      <c r="N25" s="342" t="e">
        <f ca="1">'Fin Output'!N97</f>
        <v>#DIV/0!</v>
      </c>
      <c r="O25" s="342" t="e">
        <f ca="1">'Fin Output'!O97</f>
        <v>#DIV/0!</v>
      </c>
      <c r="P25" s="342" t="e">
        <f ca="1">'Fin Output'!P97</f>
        <v>#DIV/0!</v>
      </c>
      <c r="Q25" s="342" t="e">
        <f ca="1">'Fin Output'!Q97</f>
        <v>#DIV/0!</v>
      </c>
      <c r="R25" s="342" t="e">
        <f ca="1">'Fin Output'!R97</f>
        <v>#DIV/0!</v>
      </c>
      <c r="S25" s="342" t="e">
        <f ca="1">'Fin Output'!S97</f>
        <v>#DIV/0!</v>
      </c>
      <c r="T25" s="342" t="e">
        <f ca="1">'Fin Output'!T97</f>
        <v>#DIV/0!</v>
      </c>
      <c r="U25" s="342" t="e">
        <f ca="1">'Fin Output'!U97</f>
        <v>#DIV/0!</v>
      </c>
      <c r="V25" s="342" t="e">
        <f ca="1">'Fin Output'!V97</f>
        <v>#DIV/0!</v>
      </c>
      <c r="W25" s="342" t="e">
        <f ca="1">'Fin Output'!W97</f>
        <v>#DIV/0!</v>
      </c>
      <c r="X25" s="342" t="e">
        <f ca="1">'Fin Output'!X97</f>
        <v>#DIV/0!</v>
      </c>
      <c r="Y25" s="342" t="e">
        <f ca="1">'Fin Output'!Y97</f>
        <v>#DIV/0!</v>
      </c>
      <c r="Z25" s="342" t="e">
        <f ca="1">'Fin Output'!Z97</f>
        <v>#DIV/0!</v>
      </c>
      <c r="AA25" s="342" t="e">
        <f ca="1">'Fin Output'!AA97</f>
        <v>#DIV/0!</v>
      </c>
      <c r="AB25" s="342" t="e">
        <f ca="1">'Fin Output'!AB97</f>
        <v>#DIV/0!</v>
      </c>
      <c r="AC25" s="342" t="e">
        <f ca="1">'Fin Output'!AC97</f>
        <v>#DIV/0!</v>
      </c>
      <c r="AD25" s="342" t="e">
        <f ca="1">'Fin Output'!AD97</f>
        <v>#DIV/0!</v>
      </c>
      <c r="AE25" s="342" t="e">
        <f ca="1">'Fin Output'!AE97</f>
        <v>#N/A</v>
      </c>
      <c r="AF25" s="342" t="e">
        <f ca="1">'Fin Output'!AF97</f>
        <v>#N/A</v>
      </c>
      <c r="AG25" s="126"/>
      <c r="AH25" s="340" t="str">
        <f>IFERROR(AVERAGE(C25:E25,R25),"NA")</f>
        <v>NA</v>
      </c>
      <c r="AI25" s="126"/>
      <c r="AJ25" s="342" t="e">
        <f t="shared" ca="1" si="9"/>
        <v>#DIV/0!</v>
      </c>
      <c r="AK25" s="342" t="e">
        <f t="shared" ca="1" si="9"/>
        <v>#DIV/0!</v>
      </c>
      <c r="AL25" s="342" t="e">
        <f t="shared" ca="1" si="9"/>
        <v>#DIV/0!</v>
      </c>
      <c r="AM25" s="342" t="e">
        <f t="shared" ca="1" si="9"/>
        <v>#DIV/0!</v>
      </c>
      <c r="AN25" s="342" t="e">
        <f t="shared" ca="1" si="9"/>
        <v>#DIV/0!</v>
      </c>
      <c r="AO25" s="126"/>
      <c r="AP25" s="342" t="e">
        <f ca="1">'Mgmt Backup'!AJ108</f>
        <v>#DIV/0!</v>
      </c>
      <c r="AQ25" s="342" t="e">
        <f>'Mgmt Backup'!AK108</f>
        <v>#DIV/0!</v>
      </c>
      <c r="AR25" s="342" t="e">
        <f>'Mgmt Backup'!AL108</f>
        <v>#DIV/0!</v>
      </c>
      <c r="AS25" s="342" t="e">
        <f>'Mgmt Backup'!AM108</f>
        <v>#DIV/0!</v>
      </c>
      <c r="AT25" s="342" t="e">
        <f>'Mgmt Backup'!AN108</f>
        <v>#DIV/0!</v>
      </c>
      <c r="AV25" s="326">
        <v>0.3</v>
      </c>
      <c r="AW25" s="326">
        <v>0.3</v>
      </c>
      <c r="AX25" s="326">
        <f>AW25*0.975</f>
        <v>0.29249999999999998</v>
      </c>
      <c r="AY25" s="326">
        <f>AX25*0.975</f>
        <v>0.28518749999999998</v>
      </c>
      <c r="AZ25" s="326">
        <f>AY25*0.975</f>
        <v>0.2780578125</v>
      </c>
      <c r="BB25" s="438">
        <v>5.0000000000000001E-3</v>
      </c>
      <c r="BD25" s="439">
        <f>AV25+$BB25</f>
        <v>0.30499999999999999</v>
      </c>
      <c r="BE25" s="439">
        <f>AW25+$BB25</f>
        <v>0.30499999999999999</v>
      </c>
      <c r="BF25" s="439">
        <f>AX25+$BB25</f>
        <v>0.29749999999999999</v>
      </c>
      <c r="BG25" s="439">
        <f>AY25+$BB25</f>
        <v>0.29018749999999999</v>
      </c>
      <c r="BH25" s="439">
        <f>AZ25+$BB25</f>
        <v>0.28305781250000001</v>
      </c>
    </row>
    <row r="26" spans="1:60">
      <c r="A26" s="127" t="str">
        <f>CONCATENATE('Fin Output'!A58," (",'Hist &amp; Proj'!A13,")")</f>
        <v>Net Non-Operating Income (0)</v>
      </c>
      <c r="B26" s="179">
        <f>'Fin Output'!B58</f>
        <v>0</v>
      </c>
      <c r="C26" s="179">
        <f>'Fin Output'!C58</f>
        <v>0</v>
      </c>
      <c r="D26" s="179">
        <f>'Fin Output'!D58</f>
        <v>0</v>
      </c>
      <c r="E26" s="179">
        <f>'Fin Output'!E58</f>
        <v>0</v>
      </c>
      <c r="F26" s="179">
        <f ca="1">'Fin Output'!F58</f>
        <v>0</v>
      </c>
      <c r="G26" s="179">
        <f ca="1">'Fin Output'!G58</f>
        <v>0</v>
      </c>
      <c r="H26" s="179">
        <f ca="1">'Fin Output'!H58</f>
        <v>0</v>
      </c>
      <c r="I26" s="179">
        <f ca="1">'Fin Output'!I58</f>
        <v>0</v>
      </c>
      <c r="J26" s="179">
        <f ca="1">'Fin Output'!J58</f>
        <v>0</v>
      </c>
      <c r="K26" s="179">
        <f ca="1">'Fin Output'!K58</f>
        <v>0</v>
      </c>
      <c r="L26" s="179">
        <f ca="1">'Fin Output'!L58</f>
        <v>0</v>
      </c>
      <c r="M26" s="179">
        <f ca="1">'Fin Output'!M58</f>
        <v>0</v>
      </c>
      <c r="N26" s="179">
        <f ca="1">'Fin Output'!N58</f>
        <v>0</v>
      </c>
      <c r="O26" s="179">
        <f ca="1">'Fin Output'!O58</f>
        <v>0</v>
      </c>
      <c r="P26" s="179">
        <f ca="1">'Fin Output'!P58</f>
        <v>0</v>
      </c>
      <c r="Q26" s="179">
        <f ca="1">'Fin Output'!Q58</f>
        <v>0</v>
      </c>
      <c r="R26" s="179">
        <f ca="1">'Fin Output'!R58</f>
        <v>0</v>
      </c>
      <c r="S26" s="179">
        <f ca="1">'Fin Output'!S58</f>
        <v>0</v>
      </c>
      <c r="T26" s="179">
        <f ca="1">'Fin Output'!T58</f>
        <v>0</v>
      </c>
      <c r="U26" s="179">
        <f ca="1">'Fin Output'!U58</f>
        <v>0</v>
      </c>
      <c r="V26" s="179">
        <f ca="1">'Fin Output'!V58</f>
        <v>0</v>
      </c>
      <c r="W26" s="179">
        <f ca="1">'Fin Output'!W58</f>
        <v>0</v>
      </c>
      <c r="X26" s="179">
        <f ca="1">'Fin Output'!X58</f>
        <v>0</v>
      </c>
      <c r="Y26" s="179">
        <f ca="1">'Fin Output'!Y58</f>
        <v>0</v>
      </c>
      <c r="Z26" s="179">
        <f ca="1">'Fin Output'!Z58</f>
        <v>0</v>
      </c>
      <c r="AA26" s="179">
        <f ca="1">'Fin Output'!AA58</f>
        <v>0</v>
      </c>
      <c r="AB26" s="179">
        <f ca="1">'Fin Output'!AB58</f>
        <v>0</v>
      </c>
      <c r="AC26" s="179">
        <f ca="1">'Fin Output'!AC58</f>
        <v>0</v>
      </c>
      <c r="AD26" s="179">
        <f ca="1">'Fin Output'!AD58</f>
        <v>0</v>
      </c>
      <c r="AE26" s="390" t="e">
        <f ca="1">'Fin Output'!AE58</f>
        <v>#N/A</v>
      </c>
      <c r="AF26" s="390" t="e">
        <f ca="1">'Fin Output'!AF58</f>
        <v>#N/A</v>
      </c>
      <c r="AG26" s="126"/>
      <c r="AH26" s="342">
        <f ca="1">IFERROR(RATE(3,0,-C26,R26),0)</f>
        <v>0</v>
      </c>
      <c r="AI26" s="126"/>
      <c r="AJ26" s="179">
        <f ca="1">CHOOSE($AM$8,$R26,$R26*(1+$AH26),AP26,AV26,BD26)</f>
        <v>0</v>
      </c>
      <c r="AK26" s="179">
        <f ca="1">CHOOSE($AM$8,$R26,AJ26*(1+$AH26),AQ26,AW26,BE26)</f>
        <v>0</v>
      </c>
      <c r="AL26" s="179">
        <f ca="1">CHOOSE($AM$8,$R26,AK26*(1+$AH26),AR26,AX26,BF26)</f>
        <v>0</v>
      </c>
      <c r="AM26" s="179">
        <f ca="1">CHOOSE($AM$8,$R26,AL26*(1+$AH26),AS26,AY26,BG26)</f>
        <v>0</v>
      </c>
      <c r="AN26" s="179">
        <f ca="1">CHOOSE($AM$8,$R26,AM26*(1+$AH26),AT26,AZ26,BH26)</f>
        <v>0</v>
      </c>
      <c r="AO26" s="126"/>
      <c r="AP26" s="179">
        <f>'Mgmt Backup'!AJ58</f>
        <v>0</v>
      </c>
      <c r="AQ26" s="179">
        <f>'Mgmt Backup'!AK58</f>
        <v>0</v>
      </c>
      <c r="AR26" s="179">
        <f>'Mgmt Backup'!AL58</f>
        <v>0</v>
      </c>
      <c r="AS26" s="179">
        <f>'Mgmt Backup'!AM58</f>
        <v>0</v>
      </c>
      <c r="AT26" s="179">
        <f>'Mgmt Backup'!AN58</f>
        <v>0</v>
      </c>
      <c r="AV26" s="327">
        <f t="shared" si="11"/>
        <v>0</v>
      </c>
      <c r="AW26" s="327">
        <f t="shared" si="12"/>
        <v>0</v>
      </c>
      <c r="AX26" s="327">
        <f>AR26</f>
        <v>0</v>
      </c>
      <c r="AY26" s="327">
        <f>AS26</f>
        <v>0</v>
      </c>
      <c r="AZ26" s="327">
        <f>AT26</f>
        <v>0</v>
      </c>
      <c r="BD26" s="223">
        <f t="shared" si="13"/>
        <v>0</v>
      </c>
      <c r="BE26" s="223">
        <f t="shared" si="14"/>
        <v>0</v>
      </c>
      <c r="BF26" s="223">
        <f t="shared" si="15"/>
        <v>0</v>
      </c>
      <c r="BG26" s="223">
        <f t="shared" si="16"/>
        <v>0</v>
      </c>
      <c r="BH26" s="223">
        <f t="shared" si="17"/>
        <v>0</v>
      </c>
    </row>
    <row r="27" spans="1:60">
      <c r="A27" s="127" t="str">
        <f>'Fin Output'!A100</f>
        <v>Income Tax Rate</v>
      </c>
      <c r="B27" s="342" t="str">
        <f>'Fin Output'!B100</f>
        <v/>
      </c>
      <c r="C27" s="342" t="str">
        <f>'Fin Output'!C100</f>
        <v/>
      </c>
      <c r="D27" s="342" t="str">
        <f>'Fin Output'!D100</f>
        <v/>
      </c>
      <c r="E27" s="342" t="str">
        <f>'Fin Output'!E100</f>
        <v/>
      </c>
      <c r="F27" s="342" t="str">
        <f ca="1">'Fin Output'!F100</f>
        <v/>
      </c>
      <c r="G27" s="342" t="str">
        <f ca="1">'Fin Output'!G100</f>
        <v/>
      </c>
      <c r="H27" s="342" t="str">
        <f ca="1">'Fin Output'!H100</f>
        <v/>
      </c>
      <c r="I27" s="342" t="str">
        <f ca="1">'Fin Output'!I100</f>
        <v/>
      </c>
      <c r="J27" s="342" t="str">
        <f ca="1">'Fin Output'!J100</f>
        <v/>
      </c>
      <c r="K27" s="342" t="str">
        <f ca="1">'Fin Output'!K100</f>
        <v/>
      </c>
      <c r="L27" s="342" t="str">
        <f ca="1">'Fin Output'!L100</f>
        <v/>
      </c>
      <c r="M27" s="342" t="str">
        <f ca="1">'Fin Output'!M100</f>
        <v/>
      </c>
      <c r="N27" s="342" t="str">
        <f ca="1">'Fin Output'!N100</f>
        <v/>
      </c>
      <c r="O27" s="342" t="str">
        <f ca="1">'Fin Output'!O100</f>
        <v/>
      </c>
      <c r="P27" s="342" t="str">
        <f ca="1">'Fin Output'!P100</f>
        <v/>
      </c>
      <c r="Q27" s="342" t="str">
        <f ca="1">'Fin Output'!Q100</f>
        <v/>
      </c>
      <c r="R27" s="342" t="str">
        <f ca="1">'Fin Output'!R100</f>
        <v/>
      </c>
      <c r="S27" s="342" t="str">
        <f ca="1">'Fin Output'!S100</f>
        <v/>
      </c>
      <c r="T27" s="342" t="str">
        <f ca="1">'Fin Output'!T100</f>
        <v/>
      </c>
      <c r="U27" s="342" t="str">
        <f ca="1">'Fin Output'!U100</f>
        <v/>
      </c>
      <c r="V27" s="342" t="str">
        <f ca="1">'Fin Output'!V100</f>
        <v/>
      </c>
      <c r="W27" s="342" t="str">
        <f ca="1">'Fin Output'!W100</f>
        <v/>
      </c>
      <c r="X27" s="342" t="str">
        <f ca="1">'Fin Output'!X100</f>
        <v/>
      </c>
      <c r="Y27" s="342" t="str">
        <f ca="1">'Fin Output'!Y100</f>
        <v/>
      </c>
      <c r="Z27" s="342" t="str">
        <f ca="1">'Fin Output'!Z100</f>
        <v/>
      </c>
      <c r="AA27" s="342" t="str">
        <f ca="1">'Fin Output'!AA100</f>
        <v/>
      </c>
      <c r="AB27" s="342" t="str">
        <f ca="1">'Fin Output'!AB100</f>
        <v/>
      </c>
      <c r="AC27" s="342" t="str">
        <f ca="1">'Fin Output'!AC100</f>
        <v/>
      </c>
      <c r="AD27" s="342" t="str">
        <f ca="1">'Fin Output'!AD100</f>
        <v/>
      </c>
      <c r="AE27" s="342" t="e">
        <f ca="1">'Fin Output'!AE100</f>
        <v>#N/A</v>
      </c>
      <c r="AF27" s="342" t="e">
        <f ca="1">'Fin Output'!AF100</f>
        <v>#N/A</v>
      </c>
      <c r="AG27" s="126"/>
      <c r="AH27" s="340" t="str">
        <f ca="1">IFERROR(AVERAGE(C27:E27,R27),"NA")</f>
        <v>NA</v>
      </c>
      <c r="AI27" s="126"/>
      <c r="AJ27" s="342" t="str">
        <f ca="1">CHOOSE($AM$8,$R27,$AH27,AP27,AV27,BD27)</f>
        <v/>
      </c>
      <c r="AK27" s="342" t="str">
        <f ca="1">CHOOSE($AM$8,$R27,$AH27,AQ27,AW27,BE27)</f>
        <v/>
      </c>
      <c r="AL27" s="342" t="str">
        <f ca="1">CHOOSE($AM$8,$R27,$AH27,AR27,AX27,BF27)</f>
        <v/>
      </c>
      <c r="AM27" s="342" t="str">
        <f ca="1">CHOOSE($AM$8,$R27,$AH27,AS27,AY27,BG27)</f>
        <v/>
      </c>
      <c r="AN27" s="342" t="str">
        <f ca="1">CHOOSE($AM$8,$R27,$AH27,AT27,AZ27,BH27)</f>
        <v/>
      </c>
      <c r="AO27" s="126"/>
      <c r="AP27" s="342" t="str">
        <f>'Mgmt Backup'!AJ110</f>
        <v/>
      </c>
      <c r="AQ27" s="342" t="str">
        <f>'Mgmt Backup'!AK110</f>
        <v/>
      </c>
      <c r="AR27" s="342" t="str">
        <f>'Mgmt Backup'!AL110</f>
        <v/>
      </c>
      <c r="AS27" s="342" t="str">
        <f>'Mgmt Backup'!AM110</f>
        <v/>
      </c>
      <c r="AT27" s="342" t="str">
        <f>'Mgmt Backup'!AN110</f>
        <v/>
      </c>
      <c r="AV27" s="326" t="str">
        <f t="shared" si="11"/>
        <v/>
      </c>
      <c r="AW27" s="326" t="str">
        <f t="shared" si="12"/>
        <v/>
      </c>
      <c r="AX27" s="326">
        <v>0.24</v>
      </c>
      <c r="AY27" s="326">
        <v>0.24</v>
      </c>
      <c r="AZ27" s="326">
        <v>0.24</v>
      </c>
      <c r="BD27" s="229" t="str">
        <f t="shared" si="13"/>
        <v/>
      </c>
      <c r="BE27" s="229" t="str">
        <f t="shared" si="14"/>
        <v/>
      </c>
      <c r="BF27" s="229">
        <f t="shared" si="15"/>
        <v>0.24</v>
      </c>
      <c r="BG27" s="229">
        <f t="shared" si="16"/>
        <v>0.24</v>
      </c>
      <c r="BH27" s="229">
        <f t="shared" si="17"/>
        <v>0.24</v>
      </c>
    </row>
    <row r="28" spans="1:60">
      <c r="A28" s="127" t="str">
        <f>CONCATENATE('Fin Output'!A68," (",'Hist &amp; Proj'!A13,")")</f>
        <v>Donations (0)</v>
      </c>
      <c r="B28" s="179">
        <f>'Fin Output'!B68</f>
        <v>0</v>
      </c>
      <c r="C28" s="179">
        <f>'Fin Output'!C68</f>
        <v>0</v>
      </c>
      <c r="D28" s="179">
        <f>'Fin Output'!D68</f>
        <v>0</v>
      </c>
      <c r="E28" s="179">
        <f>'Fin Output'!E68</f>
        <v>0</v>
      </c>
      <c r="F28" s="179">
        <f ca="1">'Fin Output'!F68</f>
        <v>0</v>
      </c>
      <c r="G28" s="179">
        <f ca="1">'Fin Output'!G68</f>
        <v>0</v>
      </c>
      <c r="H28" s="179">
        <f ca="1">'Fin Output'!H68</f>
        <v>0</v>
      </c>
      <c r="I28" s="179">
        <f ca="1">'Fin Output'!I68</f>
        <v>0</v>
      </c>
      <c r="J28" s="179">
        <f ca="1">'Fin Output'!J68</f>
        <v>0</v>
      </c>
      <c r="K28" s="179">
        <f ca="1">'Fin Output'!K68</f>
        <v>0</v>
      </c>
      <c r="L28" s="179">
        <f ca="1">'Fin Output'!L68</f>
        <v>0</v>
      </c>
      <c r="M28" s="179">
        <f ca="1">'Fin Output'!M68</f>
        <v>0</v>
      </c>
      <c r="N28" s="179">
        <f ca="1">'Fin Output'!N68</f>
        <v>0</v>
      </c>
      <c r="O28" s="179">
        <f ca="1">'Fin Output'!O68</f>
        <v>0</v>
      </c>
      <c r="P28" s="179">
        <f ca="1">'Fin Output'!P68</f>
        <v>0</v>
      </c>
      <c r="Q28" s="179">
        <f ca="1">'Fin Output'!Q68</f>
        <v>0</v>
      </c>
      <c r="R28" s="179">
        <f ca="1">'Fin Output'!R68</f>
        <v>0</v>
      </c>
      <c r="S28" s="179">
        <f ca="1">'Fin Output'!S68</f>
        <v>0</v>
      </c>
      <c r="T28" s="179">
        <f ca="1">'Fin Output'!T68</f>
        <v>0</v>
      </c>
      <c r="U28" s="179">
        <f ca="1">'Fin Output'!U68</f>
        <v>0</v>
      </c>
      <c r="V28" s="179">
        <f ca="1">'Fin Output'!V68</f>
        <v>0</v>
      </c>
      <c r="W28" s="179">
        <f ca="1">'Fin Output'!W68</f>
        <v>0</v>
      </c>
      <c r="X28" s="179">
        <f ca="1">'Fin Output'!X68</f>
        <v>0</v>
      </c>
      <c r="Y28" s="179">
        <f ca="1">'Fin Output'!Y68</f>
        <v>0</v>
      </c>
      <c r="Z28" s="179">
        <f ca="1">'Fin Output'!Z68</f>
        <v>0</v>
      </c>
      <c r="AA28" s="179">
        <f ca="1">'Fin Output'!AA68</f>
        <v>0</v>
      </c>
      <c r="AB28" s="179">
        <f ca="1">'Fin Output'!AB68</f>
        <v>0</v>
      </c>
      <c r="AC28" s="179">
        <f ca="1">'Fin Output'!AC68</f>
        <v>0</v>
      </c>
      <c r="AD28" s="179">
        <f ca="1">'Fin Output'!AD68</f>
        <v>0</v>
      </c>
      <c r="AE28" s="390" t="e">
        <f ca="1">'Fin Output'!AE68</f>
        <v>#N/A</v>
      </c>
      <c r="AF28" s="390" t="e">
        <f ca="1">'Fin Output'!AF68</f>
        <v>#N/A</v>
      </c>
      <c r="AG28" s="126"/>
      <c r="AH28" s="342">
        <f ca="1">IFERROR(RATE(3,0,-C28,R28),0)</f>
        <v>0</v>
      </c>
      <c r="AI28" s="126"/>
      <c r="AJ28" s="179">
        <f ca="1">CHOOSE($AM$8,$R28,$R28*(1+$AH28),AP28,AV28,BD28)</f>
        <v>0</v>
      </c>
      <c r="AK28" s="179">
        <f ca="1">CHOOSE($AM$8,$R28,AJ28*(1+$AH28),AQ28,AW28,BE28)</f>
        <v>0</v>
      </c>
      <c r="AL28" s="179">
        <f ca="1">CHOOSE($AM$8,$R28,AK28*(1+$AH28),AR28,AX28,BF28)</f>
        <v>0</v>
      </c>
      <c r="AM28" s="179">
        <f ca="1">CHOOSE($AM$8,$R28,AL28*(1+$AH28),AS28,AY28,BG28)</f>
        <v>0</v>
      </c>
      <c r="AN28" s="179">
        <f ca="1">CHOOSE($AM$8,$R28,AM28*(1+$AH28),AT28,AZ28,BH28)</f>
        <v>0</v>
      </c>
      <c r="AO28" s="126"/>
      <c r="AP28" s="179">
        <f>'Mgmt Backup'!AJ68</f>
        <v>0</v>
      </c>
      <c r="AQ28" s="179">
        <f>'Mgmt Backup'!AK68</f>
        <v>0</v>
      </c>
      <c r="AR28" s="179">
        <f>'Mgmt Backup'!AL68</f>
        <v>0</v>
      </c>
      <c r="AS28" s="179">
        <f>'Mgmt Backup'!AM68</f>
        <v>0</v>
      </c>
      <c r="AT28" s="179">
        <f>'Mgmt Backup'!AN68</f>
        <v>0</v>
      </c>
      <c r="AV28" s="327">
        <f t="shared" si="11"/>
        <v>0</v>
      </c>
      <c r="AW28" s="327">
        <f t="shared" si="12"/>
        <v>0</v>
      </c>
      <c r="AX28" s="327">
        <f>AR28</f>
        <v>0</v>
      </c>
      <c r="AY28" s="327">
        <f>AS28</f>
        <v>0</v>
      </c>
      <c r="AZ28" s="327">
        <f>AT28</f>
        <v>0</v>
      </c>
      <c r="BD28" s="223">
        <f t="shared" si="13"/>
        <v>0</v>
      </c>
      <c r="BE28" s="223">
        <f t="shared" si="14"/>
        <v>0</v>
      </c>
      <c r="BF28" s="223">
        <f t="shared" si="15"/>
        <v>0</v>
      </c>
      <c r="BG28" s="223">
        <f t="shared" si="16"/>
        <v>0</v>
      </c>
      <c r="BH28" s="223">
        <f t="shared" si="17"/>
        <v>0</v>
      </c>
    </row>
    <row r="29" spans="1:60">
      <c r="A29" s="764" t="str">
        <f>'Fin Output'!A143</f>
        <v>Dividend Payout Ratio</v>
      </c>
      <c r="B29" s="345" t="str">
        <f>'Fin Output'!B143</f>
        <v>NA</v>
      </c>
      <c r="C29" s="345" t="e">
        <f>'Fin Output'!C143</f>
        <v>#DIV/0!</v>
      </c>
      <c r="D29" s="345" t="e">
        <f>'Fin Output'!D143</f>
        <v>#DIV/0!</v>
      </c>
      <c r="E29" s="345" t="e">
        <f>'Fin Output'!E143</f>
        <v>#DIV/0!</v>
      </c>
      <c r="F29" s="345" t="e">
        <f ca="1">'Fin Output'!F143</f>
        <v>#DIV/0!</v>
      </c>
      <c r="G29" s="345" t="e">
        <f ca="1">'Fin Output'!G143</f>
        <v>#DIV/0!</v>
      </c>
      <c r="H29" s="345" t="e">
        <f ca="1">'Fin Output'!H143</f>
        <v>#DIV/0!</v>
      </c>
      <c r="I29" s="345" t="e">
        <f ca="1">'Fin Output'!I143</f>
        <v>#DIV/0!</v>
      </c>
      <c r="J29" s="345" t="e">
        <f ca="1">'Fin Output'!J143</f>
        <v>#DIV/0!</v>
      </c>
      <c r="K29" s="345" t="e">
        <f ca="1">'Fin Output'!K143</f>
        <v>#DIV/0!</v>
      </c>
      <c r="L29" s="345" t="e">
        <f ca="1">'Fin Output'!L143</f>
        <v>#DIV/0!</v>
      </c>
      <c r="M29" s="345" t="e">
        <f ca="1">'Fin Output'!M143</f>
        <v>#DIV/0!</v>
      </c>
      <c r="N29" s="345" t="e">
        <f ca="1">'Fin Output'!N143</f>
        <v>#DIV/0!</v>
      </c>
      <c r="O29" s="345" t="e">
        <f ca="1">'Fin Output'!O143</f>
        <v>#DIV/0!</v>
      </c>
      <c r="P29" s="345" t="e">
        <f ca="1">'Fin Output'!P143</f>
        <v>#DIV/0!</v>
      </c>
      <c r="Q29" s="345" t="e">
        <f ca="1">'Fin Output'!Q143</f>
        <v>#DIV/0!</v>
      </c>
      <c r="R29" s="345" t="e">
        <f ca="1">'Fin Output'!R143</f>
        <v>#DIV/0!</v>
      </c>
      <c r="S29" s="345" t="e">
        <f ca="1">'Fin Output'!S143</f>
        <v>#DIV/0!</v>
      </c>
      <c r="T29" s="345" t="e">
        <f ca="1">'Fin Output'!T143</f>
        <v>#DIV/0!</v>
      </c>
      <c r="U29" s="345" t="e">
        <f ca="1">'Fin Output'!U143</f>
        <v>#DIV/0!</v>
      </c>
      <c r="V29" s="345" t="e">
        <f ca="1">'Fin Output'!V143</f>
        <v>#DIV/0!</v>
      </c>
      <c r="W29" s="345" t="e">
        <f ca="1">'Fin Output'!W143</f>
        <v>#DIV/0!</v>
      </c>
      <c r="X29" s="345" t="e">
        <f ca="1">'Fin Output'!X143</f>
        <v>#DIV/0!</v>
      </c>
      <c r="Y29" s="345" t="e">
        <f ca="1">'Fin Output'!Y143</f>
        <v>#DIV/0!</v>
      </c>
      <c r="Z29" s="345" t="e">
        <f ca="1">'Fin Output'!Z143</f>
        <v>#DIV/0!</v>
      </c>
      <c r="AA29" s="345" t="e">
        <f ca="1">'Fin Output'!AA143</f>
        <v>#DIV/0!</v>
      </c>
      <c r="AB29" s="345" t="e">
        <f ca="1">'Fin Output'!AB143</f>
        <v>#DIV/0!</v>
      </c>
      <c r="AC29" s="345" t="e">
        <f ca="1">'Fin Output'!AC143</f>
        <v>#DIV/0!</v>
      </c>
      <c r="AD29" s="345" t="e">
        <f ca="1">'Fin Output'!AD143</f>
        <v>#DIV/0!</v>
      </c>
      <c r="AE29" s="345" t="e">
        <f ca="1">'Fin Output'!AE143</f>
        <v>#N/A</v>
      </c>
      <c r="AF29" s="345" t="e">
        <f ca="1">'Fin Output'!AF143</f>
        <v>#N/A</v>
      </c>
      <c r="AG29" s="126"/>
      <c r="AH29" s="340" t="str">
        <f>IFERROR(AVERAGE(C29:E29,R29),"NA")</f>
        <v>NA</v>
      </c>
      <c r="AI29" s="126"/>
      <c r="AJ29" s="345" t="e">
        <f ca="1">CHOOSE($AM$8,$R29,$AH29,AP29,AV29,BD29)</f>
        <v>#DIV/0!</v>
      </c>
      <c r="AK29" s="345" t="e">
        <f ca="1">CHOOSE($AM$8,$R29,$AH29,AQ29,AW29,BE29)</f>
        <v>#DIV/0!</v>
      </c>
      <c r="AL29" s="345" t="e">
        <f ca="1">CHOOSE($AM$8,$R29,$AH29,AR29,AX29,BF29)</f>
        <v>#DIV/0!</v>
      </c>
      <c r="AM29" s="345" t="e">
        <f ca="1">CHOOSE($AM$8,$R29,$AH29,AS29,AY29,BG29)</f>
        <v>#DIV/0!</v>
      </c>
      <c r="AN29" s="345" t="e">
        <f ca="1">CHOOSE($AM$8,$R29,$AH29,AT29,AZ29,BH29)</f>
        <v>#DIV/0!</v>
      </c>
      <c r="AO29" s="126"/>
      <c r="AP29" s="345" t="e">
        <f>'Mgmt Backup'!AJ111</f>
        <v>#DIV/0!</v>
      </c>
      <c r="AQ29" s="345" t="e">
        <f>'Mgmt Backup'!AK111</f>
        <v>#DIV/0!</v>
      </c>
      <c r="AR29" s="345" t="e">
        <f>'Mgmt Backup'!AL111</f>
        <v>#DIV/0!</v>
      </c>
      <c r="AS29" s="345" t="e">
        <f>'Mgmt Backup'!AM111</f>
        <v>#DIV/0!</v>
      </c>
      <c r="AT29" s="345" t="e">
        <f>'Mgmt Backup'!AN111</f>
        <v>#DIV/0!</v>
      </c>
      <c r="AV29" s="331" t="e">
        <f t="shared" si="11"/>
        <v>#DIV/0!</v>
      </c>
      <c r="AW29" s="331" t="e">
        <f t="shared" si="12"/>
        <v>#DIV/0!</v>
      </c>
      <c r="AX29" s="331">
        <v>0</v>
      </c>
      <c r="AY29" s="331">
        <v>0</v>
      </c>
      <c r="AZ29" s="331">
        <v>0</v>
      </c>
      <c r="BD29" s="233" t="e">
        <f t="shared" si="13"/>
        <v>#DIV/0!</v>
      </c>
      <c r="BE29" s="233" t="e">
        <f t="shared" si="14"/>
        <v>#DIV/0!</v>
      </c>
      <c r="BF29" s="233">
        <f t="shared" si="15"/>
        <v>0</v>
      </c>
      <c r="BG29" s="233">
        <f t="shared" si="16"/>
        <v>0</v>
      </c>
      <c r="BH29" s="233">
        <f t="shared" si="17"/>
        <v>0</v>
      </c>
    </row>
    <row r="30" spans="1:60">
      <c r="A30" s="213"/>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H30" s="793"/>
      <c r="AJ30" s="213"/>
      <c r="AK30" s="213"/>
      <c r="AL30" s="213"/>
      <c r="AM30" s="213"/>
      <c r="AN30" s="213"/>
      <c r="AP30" s="213"/>
      <c r="AQ30" s="213"/>
      <c r="AR30" s="213"/>
      <c r="AS30" s="213"/>
      <c r="AT30" s="213"/>
      <c r="AV30" s="213"/>
      <c r="AW30" s="213"/>
      <c r="AX30" s="213"/>
      <c r="AY30" s="213"/>
      <c r="AZ30" s="213"/>
      <c r="BD30" s="213"/>
      <c r="BE30" s="213"/>
      <c r="BF30" s="213"/>
      <c r="BG30" s="213"/>
      <c r="BH30" s="213"/>
    </row>
    <row r="31" spans="1:60">
      <c r="A31" s="235"/>
      <c r="B31" s="239"/>
      <c r="C31" s="239"/>
      <c r="D31" s="239"/>
      <c r="E31" s="239"/>
      <c r="F31" s="239"/>
      <c r="G31" s="239"/>
      <c r="H31" s="239"/>
      <c r="I31" s="239"/>
      <c r="J31" s="239"/>
      <c r="K31" s="239"/>
      <c r="L31" s="239"/>
      <c r="M31" s="239"/>
      <c r="N31" s="239"/>
      <c r="O31" s="239"/>
      <c r="P31" s="239"/>
      <c r="Q31" s="239"/>
      <c r="R31" s="167"/>
      <c r="S31" s="167"/>
      <c r="T31" s="167"/>
      <c r="U31" s="167"/>
      <c r="V31" s="167"/>
      <c r="W31" s="167"/>
      <c r="X31" s="167"/>
      <c r="Y31" s="167"/>
      <c r="Z31" s="167"/>
      <c r="AA31" s="167"/>
      <c r="AB31" s="167"/>
      <c r="AC31" s="167"/>
      <c r="AD31" s="167"/>
      <c r="AE31" s="167"/>
      <c r="AF31" s="167"/>
      <c r="AH31" s="167"/>
    </row>
    <row r="32" spans="1:60" ht="15">
      <c r="A32" s="230"/>
      <c r="AJ32" s="214"/>
      <c r="AK32" s="214"/>
      <c r="AL32" s="214"/>
      <c r="AM32" s="214"/>
      <c r="AN32" s="214"/>
      <c r="AP32" s="214"/>
      <c r="AQ32" s="214"/>
      <c r="AR32" s="214"/>
      <c r="AS32" s="214"/>
      <c r="AT32" s="214"/>
      <c r="AV32" s="214"/>
      <c r="AW32" s="214"/>
      <c r="AX32" s="214"/>
      <c r="AY32" s="214"/>
      <c r="AZ32" s="214"/>
      <c r="BD32" s="214"/>
      <c r="BE32" s="214"/>
      <c r="BF32" s="214"/>
      <c r="BG32" s="214"/>
      <c r="BH32" s="214"/>
    </row>
    <row r="33" spans="1:60" ht="15">
      <c r="A33" s="323" t="s">
        <v>530</v>
      </c>
      <c r="B33" s="760">
        <f>B$9</f>
        <v>692501</v>
      </c>
      <c r="C33" s="760">
        <f t="shared" ref="C33:AD33" si="18">C$9</f>
        <v>692867</v>
      </c>
      <c r="D33" s="760">
        <f t="shared" si="18"/>
        <v>693232</v>
      </c>
      <c r="E33" s="760">
        <f t="shared" si="18"/>
        <v>693597</v>
      </c>
      <c r="F33" s="220">
        <f t="shared" ca="1" si="18"/>
        <v>693628</v>
      </c>
      <c r="G33" s="220">
        <f t="shared" ca="1" si="18"/>
        <v>693656</v>
      </c>
      <c r="H33" s="220">
        <f t="shared" ca="1" si="18"/>
        <v>693687</v>
      </c>
      <c r="I33" s="220">
        <f t="shared" ca="1" si="18"/>
        <v>693717</v>
      </c>
      <c r="J33" s="220">
        <f t="shared" ca="1" si="18"/>
        <v>693748</v>
      </c>
      <c r="K33" s="220">
        <f t="shared" ca="1" si="18"/>
        <v>693778</v>
      </c>
      <c r="L33" s="220">
        <f t="shared" ca="1" si="18"/>
        <v>693809</v>
      </c>
      <c r="M33" s="220">
        <f t="shared" ca="1" si="18"/>
        <v>693840</v>
      </c>
      <c r="N33" s="220">
        <f t="shared" ca="1" si="18"/>
        <v>693870</v>
      </c>
      <c r="O33" s="220">
        <f t="shared" ca="1" si="18"/>
        <v>693901</v>
      </c>
      <c r="P33" s="220">
        <f t="shared" ca="1" si="18"/>
        <v>693931</v>
      </c>
      <c r="Q33" s="220">
        <f t="shared" ca="1" si="18"/>
        <v>693962</v>
      </c>
      <c r="R33" s="760">
        <f t="shared" ca="1" si="18"/>
        <v>693962</v>
      </c>
      <c r="S33" s="220">
        <f t="shared" ca="1" si="18"/>
        <v>31</v>
      </c>
      <c r="T33" s="220">
        <f t="shared" ca="1" si="18"/>
        <v>59</v>
      </c>
      <c r="U33" s="220">
        <f t="shared" ca="1" si="18"/>
        <v>91</v>
      </c>
      <c r="V33" s="220">
        <f t="shared" ca="1" si="18"/>
        <v>121</v>
      </c>
      <c r="W33" s="220">
        <f t="shared" ca="1" si="18"/>
        <v>152</v>
      </c>
      <c r="X33" s="220">
        <f t="shared" ca="1" si="18"/>
        <v>182</v>
      </c>
      <c r="Y33" s="220">
        <f t="shared" ca="1" si="18"/>
        <v>213</v>
      </c>
      <c r="Z33" s="220">
        <f t="shared" ca="1" si="18"/>
        <v>244</v>
      </c>
      <c r="AA33" s="220">
        <f t="shared" ca="1" si="18"/>
        <v>274</v>
      </c>
      <c r="AB33" s="220">
        <f t="shared" ca="1" si="18"/>
        <v>305</v>
      </c>
      <c r="AC33" s="220">
        <f t="shared" ca="1" si="18"/>
        <v>335</v>
      </c>
      <c r="AD33" s="220">
        <f t="shared" ca="1" si="18"/>
        <v>366</v>
      </c>
      <c r="AE33" s="221" t="e">
        <f ca="1">AE20</f>
        <v>#N/A</v>
      </c>
      <c r="AF33" s="221" t="e">
        <f ca="1">AF20</f>
        <v>#N/A</v>
      </c>
      <c r="AH33" s="221" t="str">
        <f ca="1">AH$9</f>
        <v>'96 - '99 CAGR/Avg.</v>
      </c>
      <c r="AJ33" s="760">
        <f t="shared" ref="AJ33:AZ33" ca="1" si="19">AJ$9</f>
        <v>694327</v>
      </c>
      <c r="AK33" s="760">
        <f t="shared" ca="1" si="19"/>
        <v>694692</v>
      </c>
      <c r="AL33" s="760">
        <f t="shared" ca="1" si="19"/>
        <v>695057</v>
      </c>
      <c r="AM33" s="760">
        <f t="shared" ca="1" si="19"/>
        <v>695422</v>
      </c>
      <c r="AN33" s="760">
        <f t="shared" ca="1" si="19"/>
        <v>695787</v>
      </c>
      <c r="AP33" s="760">
        <f t="shared" ca="1" si="19"/>
        <v>694327</v>
      </c>
      <c r="AQ33" s="760">
        <f t="shared" ca="1" si="19"/>
        <v>694692</v>
      </c>
      <c r="AR33" s="760">
        <f t="shared" ca="1" si="19"/>
        <v>695057</v>
      </c>
      <c r="AS33" s="760">
        <f t="shared" ca="1" si="19"/>
        <v>695422</v>
      </c>
      <c r="AT33" s="760">
        <f t="shared" ca="1" si="19"/>
        <v>695787</v>
      </c>
      <c r="AV33" s="760">
        <f t="shared" ca="1" si="19"/>
        <v>694327</v>
      </c>
      <c r="AW33" s="760">
        <f t="shared" ca="1" si="19"/>
        <v>694692</v>
      </c>
      <c r="AX33" s="760">
        <f t="shared" ca="1" si="19"/>
        <v>695057</v>
      </c>
      <c r="AY33" s="760">
        <f t="shared" ca="1" si="19"/>
        <v>695422</v>
      </c>
      <c r="AZ33" s="760">
        <f t="shared" ca="1" si="19"/>
        <v>695787</v>
      </c>
      <c r="BD33" s="760">
        <f ca="1">BD$9</f>
        <v>694327</v>
      </c>
      <c r="BE33" s="760">
        <f ca="1">BE$9</f>
        <v>694692</v>
      </c>
      <c r="BF33" s="760">
        <f ca="1">BF$9</f>
        <v>695057</v>
      </c>
      <c r="BG33" s="760">
        <f ca="1">BG$9</f>
        <v>695422</v>
      </c>
      <c r="BH33" s="760">
        <f ca="1">BH$9</f>
        <v>695787</v>
      </c>
    </row>
    <row r="34" spans="1:60">
      <c r="A34" s="761" t="str">
        <f>'Fin Output'!A185</f>
        <v>PAR (&gt;30 days)</v>
      </c>
      <c r="B34" s="339" t="e">
        <f>'Fin Output'!B185</f>
        <v>#DIV/0!</v>
      </c>
      <c r="C34" s="339" t="e">
        <f>'Fin Output'!C185</f>
        <v>#DIV/0!</v>
      </c>
      <c r="D34" s="339" t="e">
        <f>'Fin Output'!D185</f>
        <v>#DIV/0!</v>
      </c>
      <c r="E34" s="339" t="e">
        <f>'Fin Output'!E185</f>
        <v>#DIV/0!</v>
      </c>
      <c r="F34" s="339" t="e">
        <f ca="1">'Fin Output'!F185</f>
        <v>#DIV/0!</v>
      </c>
      <c r="G34" s="339" t="e">
        <f ca="1">'Fin Output'!G185</f>
        <v>#DIV/0!</v>
      </c>
      <c r="H34" s="339" t="e">
        <f ca="1">'Fin Output'!H185</f>
        <v>#DIV/0!</v>
      </c>
      <c r="I34" s="339" t="e">
        <f ca="1">'Fin Output'!I185</f>
        <v>#DIV/0!</v>
      </c>
      <c r="J34" s="339" t="e">
        <f ca="1">'Fin Output'!J185</f>
        <v>#DIV/0!</v>
      </c>
      <c r="K34" s="339" t="e">
        <f ca="1">'Fin Output'!K185</f>
        <v>#DIV/0!</v>
      </c>
      <c r="L34" s="339" t="e">
        <f ca="1">'Fin Output'!L185</f>
        <v>#DIV/0!</v>
      </c>
      <c r="M34" s="339" t="e">
        <f ca="1">'Fin Output'!M185</f>
        <v>#DIV/0!</v>
      </c>
      <c r="N34" s="339" t="e">
        <f ca="1">'Fin Output'!N185</f>
        <v>#DIV/0!</v>
      </c>
      <c r="O34" s="339" t="e">
        <f ca="1">'Fin Output'!O185</f>
        <v>#DIV/0!</v>
      </c>
      <c r="P34" s="339" t="e">
        <f ca="1">'Fin Output'!P185</f>
        <v>#DIV/0!</v>
      </c>
      <c r="Q34" s="339" t="e">
        <f ca="1">'Fin Output'!Q185</f>
        <v>#DIV/0!</v>
      </c>
      <c r="R34" s="339" t="e">
        <f ca="1">'Fin Output'!R185</f>
        <v>#DIV/0!</v>
      </c>
      <c r="S34" s="339" t="e">
        <f ca="1">'Fin Output'!S185</f>
        <v>#DIV/0!</v>
      </c>
      <c r="T34" s="339" t="e">
        <f ca="1">'Fin Output'!T185</f>
        <v>#DIV/0!</v>
      </c>
      <c r="U34" s="339" t="e">
        <f ca="1">'Fin Output'!U185</f>
        <v>#DIV/0!</v>
      </c>
      <c r="V34" s="339" t="e">
        <f ca="1">'Fin Output'!V185</f>
        <v>#DIV/0!</v>
      </c>
      <c r="W34" s="339" t="e">
        <f ca="1">'Fin Output'!W185</f>
        <v>#DIV/0!</v>
      </c>
      <c r="X34" s="339" t="e">
        <f ca="1">'Fin Output'!X185</f>
        <v>#DIV/0!</v>
      </c>
      <c r="Y34" s="339" t="e">
        <f ca="1">'Fin Output'!Y185</f>
        <v>#DIV/0!</v>
      </c>
      <c r="Z34" s="339" t="e">
        <f ca="1">'Fin Output'!Z185</f>
        <v>#DIV/0!</v>
      </c>
      <c r="AA34" s="339" t="e">
        <f ca="1">'Fin Output'!AA185</f>
        <v>#DIV/0!</v>
      </c>
      <c r="AB34" s="339" t="e">
        <f ca="1">'Fin Output'!AB185</f>
        <v>#DIV/0!</v>
      </c>
      <c r="AC34" s="339" t="e">
        <f ca="1">'Fin Output'!AC185</f>
        <v>#DIV/0!</v>
      </c>
      <c r="AD34" s="339" t="e">
        <f ca="1">'Fin Output'!AD185</f>
        <v>#DIV/0!</v>
      </c>
      <c r="AE34" s="339" t="e">
        <f ca="1">'Fin Output'!AE185</f>
        <v>#N/A</v>
      </c>
      <c r="AF34" s="339" t="e">
        <f ca="1">'Fin Output'!AF185</f>
        <v>#N/A</v>
      </c>
      <c r="AG34" s="126"/>
      <c r="AH34" s="340" t="str">
        <f>IFERROR(AVERAGE(C34:E34,R34),"NA")</f>
        <v>NA</v>
      </c>
      <c r="AI34" s="126"/>
      <c r="AJ34" s="342" t="e">
        <f t="shared" ref="AJ34:AN38" ca="1" si="20">CHOOSE($AM$8,$R34,$AH34,AP34,AV34,BD34)</f>
        <v>#DIV/0!</v>
      </c>
      <c r="AK34" s="342" t="e">
        <f t="shared" ca="1" si="20"/>
        <v>#DIV/0!</v>
      </c>
      <c r="AL34" s="342" t="e">
        <f t="shared" ca="1" si="20"/>
        <v>#DIV/0!</v>
      </c>
      <c r="AM34" s="342" t="e">
        <f t="shared" ca="1" si="20"/>
        <v>#DIV/0!</v>
      </c>
      <c r="AN34" s="342" t="e">
        <f t="shared" ca="1" si="20"/>
        <v>#DIV/0!</v>
      </c>
      <c r="AO34" s="126"/>
      <c r="AP34" s="339" t="e">
        <f>'Mgmt Backup'!AJ114</f>
        <v>#DIV/0!</v>
      </c>
      <c r="AQ34" s="339" t="e">
        <f>'Mgmt Backup'!AK114</f>
        <v>#DIV/0!</v>
      </c>
      <c r="AR34" s="339" t="e">
        <f>'Mgmt Backup'!AL114</f>
        <v>#DIV/0!</v>
      </c>
      <c r="AS34" s="339" t="e">
        <f>'Mgmt Backup'!AM114</f>
        <v>#DIV/0!</v>
      </c>
      <c r="AT34" s="339" t="e">
        <f>'Mgmt Backup'!AN114</f>
        <v>#DIV/0!</v>
      </c>
      <c r="AV34" s="325">
        <v>1.4999999999999999E-2</v>
      </c>
      <c r="AW34" s="325">
        <v>0.02</v>
      </c>
      <c r="AX34" s="325">
        <f>AW34+0.5%</f>
        <v>2.5000000000000001E-2</v>
      </c>
      <c r="AY34" s="325">
        <f>AX34+0.5%</f>
        <v>3.0000000000000002E-2</v>
      </c>
      <c r="AZ34" s="325">
        <f>AY34+0.5%</f>
        <v>3.5000000000000003E-2</v>
      </c>
      <c r="BB34" s="438">
        <v>5.0000000000000001E-3</v>
      </c>
      <c r="BD34" s="439">
        <f>AV34+$BB34</f>
        <v>0.02</v>
      </c>
      <c r="BE34" s="439">
        <f>AW34+$BB34</f>
        <v>2.5000000000000001E-2</v>
      </c>
      <c r="BF34" s="439">
        <f>AX34+$BB34</f>
        <v>3.0000000000000002E-2</v>
      </c>
      <c r="BG34" s="439">
        <f>AY34+$BB34</f>
        <v>3.5000000000000003E-2</v>
      </c>
      <c r="BH34" s="439">
        <f>AZ34+$BB34</f>
        <v>0.04</v>
      </c>
    </row>
    <row r="35" spans="1:60">
      <c r="A35" s="762" t="str">
        <f>'Fin Output'!A203</f>
        <v>R&amp;R / Par &gt;30 days</v>
      </c>
      <c r="B35" s="342" t="e">
        <f>'Fin Output'!B203</f>
        <v>#DIV/0!</v>
      </c>
      <c r="C35" s="342" t="e">
        <f>'Fin Output'!C203</f>
        <v>#DIV/0!</v>
      </c>
      <c r="D35" s="342" t="e">
        <f>'Fin Output'!D203</f>
        <v>#DIV/0!</v>
      </c>
      <c r="E35" s="342" t="e">
        <f>'Fin Output'!E203</f>
        <v>#DIV/0!</v>
      </c>
      <c r="F35" s="342" t="e">
        <f ca="1">'Fin Output'!F203</f>
        <v>#DIV/0!</v>
      </c>
      <c r="G35" s="342" t="e">
        <f ca="1">'Fin Output'!G203</f>
        <v>#DIV/0!</v>
      </c>
      <c r="H35" s="342" t="e">
        <f ca="1">'Fin Output'!H203</f>
        <v>#DIV/0!</v>
      </c>
      <c r="I35" s="342" t="e">
        <f ca="1">'Fin Output'!I203</f>
        <v>#DIV/0!</v>
      </c>
      <c r="J35" s="342" t="e">
        <f ca="1">'Fin Output'!J203</f>
        <v>#DIV/0!</v>
      </c>
      <c r="K35" s="342" t="e">
        <f ca="1">'Fin Output'!K203</f>
        <v>#DIV/0!</v>
      </c>
      <c r="L35" s="342" t="e">
        <f ca="1">'Fin Output'!L203</f>
        <v>#DIV/0!</v>
      </c>
      <c r="M35" s="342" t="e">
        <f ca="1">'Fin Output'!M203</f>
        <v>#DIV/0!</v>
      </c>
      <c r="N35" s="342" t="e">
        <f ca="1">'Fin Output'!N203</f>
        <v>#DIV/0!</v>
      </c>
      <c r="O35" s="342" t="e">
        <f ca="1">'Fin Output'!O203</f>
        <v>#DIV/0!</v>
      </c>
      <c r="P35" s="342" t="e">
        <f ca="1">'Fin Output'!P203</f>
        <v>#DIV/0!</v>
      </c>
      <c r="Q35" s="342" t="e">
        <f ca="1">'Fin Output'!Q203</f>
        <v>#DIV/0!</v>
      </c>
      <c r="R35" s="342" t="e">
        <f ca="1">'Fin Output'!R203</f>
        <v>#DIV/0!</v>
      </c>
      <c r="S35" s="342" t="e">
        <f ca="1">'Fin Output'!S203</f>
        <v>#DIV/0!</v>
      </c>
      <c r="T35" s="342" t="e">
        <f ca="1">'Fin Output'!T203</f>
        <v>#DIV/0!</v>
      </c>
      <c r="U35" s="342" t="e">
        <f ca="1">'Fin Output'!U203</f>
        <v>#DIV/0!</v>
      </c>
      <c r="V35" s="342" t="e">
        <f ca="1">'Fin Output'!V203</f>
        <v>#DIV/0!</v>
      </c>
      <c r="W35" s="342" t="e">
        <f ca="1">'Fin Output'!W203</f>
        <v>#DIV/0!</v>
      </c>
      <c r="X35" s="342" t="e">
        <f ca="1">'Fin Output'!X203</f>
        <v>#DIV/0!</v>
      </c>
      <c r="Y35" s="342" t="e">
        <f ca="1">'Fin Output'!Y203</f>
        <v>#DIV/0!</v>
      </c>
      <c r="Z35" s="342" t="e">
        <f ca="1">'Fin Output'!Z203</f>
        <v>#DIV/0!</v>
      </c>
      <c r="AA35" s="342" t="e">
        <f ca="1">'Fin Output'!AA203</f>
        <v>#DIV/0!</v>
      </c>
      <c r="AB35" s="342" t="e">
        <f ca="1">'Fin Output'!AB203</f>
        <v>#DIV/0!</v>
      </c>
      <c r="AC35" s="342" t="e">
        <f ca="1">'Fin Output'!AC203</f>
        <v>#DIV/0!</v>
      </c>
      <c r="AD35" s="342" t="e">
        <f ca="1">'Fin Output'!AD203</f>
        <v>#DIV/0!</v>
      </c>
      <c r="AE35" s="342" t="e">
        <f ca="1">'Fin Output'!AE203</f>
        <v>#N/A</v>
      </c>
      <c r="AF35" s="342" t="e">
        <f ca="1">'Fin Output'!AF203</f>
        <v>#N/A</v>
      </c>
      <c r="AG35" s="126"/>
      <c r="AH35" s="340" t="str">
        <f>IFERROR(AVERAGE(C35:E35,R35),"NA")</f>
        <v>NA</v>
      </c>
      <c r="AI35" s="126"/>
      <c r="AJ35" s="342" t="e">
        <f t="shared" ca="1" si="20"/>
        <v>#DIV/0!</v>
      </c>
      <c r="AK35" s="342" t="e">
        <f t="shared" ca="1" si="20"/>
        <v>#DIV/0!</v>
      </c>
      <c r="AL35" s="342" t="e">
        <f t="shared" ca="1" si="20"/>
        <v>#DIV/0!</v>
      </c>
      <c r="AM35" s="342" t="e">
        <f t="shared" ca="1" si="20"/>
        <v>#DIV/0!</v>
      </c>
      <c r="AN35" s="342" t="e">
        <f t="shared" ca="1" si="20"/>
        <v>#DIV/0!</v>
      </c>
      <c r="AO35" s="126"/>
      <c r="AP35" s="342" t="e">
        <f>'Mgmt Backup'!AJ115</f>
        <v>#DIV/0!</v>
      </c>
      <c r="AQ35" s="342" t="e">
        <f>'Mgmt Backup'!AK115</f>
        <v>#DIV/0!</v>
      </c>
      <c r="AR35" s="342" t="e">
        <f>'Mgmt Backup'!AL115</f>
        <v>#DIV/0!</v>
      </c>
      <c r="AS35" s="342" t="e">
        <f>'Mgmt Backup'!AM115</f>
        <v>#DIV/0!</v>
      </c>
      <c r="AT35" s="342" t="e">
        <f>'Mgmt Backup'!AN115</f>
        <v>#DIV/0!</v>
      </c>
      <c r="AV35" s="326" t="e">
        <f ca="1">AE35</f>
        <v>#N/A</v>
      </c>
      <c r="AW35" s="326" t="e">
        <f ca="1">AF35</f>
        <v>#N/A</v>
      </c>
      <c r="AX35" s="326">
        <v>0.376</v>
      </c>
      <c r="AY35" s="326">
        <v>0.376</v>
      </c>
      <c r="AZ35" s="326">
        <v>0.376</v>
      </c>
      <c r="BD35" s="229" t="e">
        <f t="shared" ref="BD35:BH38" ca="1" si="21">AV35</f>
        <v>#N/A</v>
      </c>
      <c r="BE35" s="229" t="e">
        <f t="shared" ca="1" si="21"/>
        <v>#N/A</v>
      </c>
      <c r="BF35" s="229">
        <f t="shared" si="21"/>
        <v>0.376</v>
      </c>
      <c r="BG35" s="229">
        <f t="shared" si="21"/>
        <v>0.376</v>
      </c>
      <c r="BH35" s="229">
        <f t="shared" si="21"/>
        <v>0.376</v>
      </c>
    </row>
    <row r="36" spans="1:60">
      <c r="A36" s="762" t="str">
        <f>'Fin Output'!A202</f>
        <v>Write-Off Ratio</v>
      </c>
      <c r="B36" s="342" t="e">
        <f>'Fin Output'!B204</f>
        <v>#DIV/0!</v>
      </c>
      <c r="C36" s="342" t="e">
        <f>'Fin Output'!C202</f>
        <v>#DIV/0!</v>
      </c>
      <c r="D36" s="342" t="e">
        <f>'Fin Output'!D202</f>
        <v>#DIV/0!</v>
      </c>
      <c r="E36" s="342" t="e">
        <f>'Fin Output'!E202</f>
        <v>#DIV/0!</v>
      </c>
      <c r="F36" s="342" t="e">
        <f ca="1">'Fin Output'!F204</f>
        <v>#DIV/0!</v>
      </c>
      <c r="G36" s="342" t="e">
        <f ca="1">'Fin Output'!G204</f>
        <v>#DIV/0!</v>
      </c>
      <c r="H36" s="342" t="e">
        <f ca="1">'Fin Output'!H204</f>
        <v>#DIV/0!</v>
      </c>
      <c r="I36" s="342" t="e">
        <f ca="1">'Fin Output'!I204</f>
        <v>#DIV/0!</v>
      </c>
      <c r="J36" s="342" t="e">
        <f ca="1">'Fin Output'!J204</f>
        <v>#DIV/0!</v>
      </c>
      <c r="K36" s="342" t="e">
        <f ca="1">'Fin Output'!K204</f>
        <v>#DIV/0!</v>
      </c>
      <c r="L36" s="342" t="e">
        <f ca="1">'Fin Output'!L204</f>
        <v>#DIV/0!</v>
      </c>
      <c r="M36" s="342" t="e">
        <f ca="1">'Fin Output'!M204</f>
        <v>#DIV/0!</v>
      </c>
      <c r="N36" s="342" t="e">
        <f ca="1">'Fin Output'!N204</f>
        <v>#DIV/0!</v>
      </c>
      <c r="O36" s="342" t="e">
        <f ca="1">'Fin Output'!O204</f>
        <v>#DIV/0!</v>
      </c>
      <c r="P36" s="342" t="e">
        <f ca="1">'Fin Output'!P204</f>
        <v>#DIV/0!</v>
      </c>
      <c r="Q36" s="342" t="e">
        <f ca="1">'Fin Output'!Q204</f>
        <v>#DIV/0!</v>
      </c>
      <c r="R36" s="342" t="e">
        <f ca="1">'Fin Output'!R202</f>
        <v>#DIV/0!</v>
      </c>
      <c r="S36" s="342" t="e">
        <f ca="1">'Fin Output'!S204</f>
        <v>#DIV/0!</v>
      </c>
      <c r="T36" s="342" t="e">
        <f ca="1">'Fin Output'!T204</f>
        <v>#DIV/0!</v>
      </c>
      <c r="U36" s="342" t="e">
        <f ca="1">'Fin Output'!U204</f>
        <v>#DIV/0!</v>
      </c>
      <c r="V36" s="342" t="e">
        <f ca="1">'Fin Output'!V204</f>
        <v>#DIV/0!</v>
      </c>
      <c r="W36" s="342" t="e">
        <f ca="1">'Fin Output'!W204</f>
        <v>#DIV/0!</v>
      </c>
      <c r="X36" s="342" t="e">
        <f ca="1">'Fin Output'!X204</f>
        <v>#DIV/0!</v>
      </c>
      <c r="Y36" s="342" t="e">
        <f ca="1">'Fin Output'!Y204</f>
        <v>#DIV/0!</v>
      </c>
      <c r="Z36" s="342" t="e">
        <f ca="1">'Fin Output'!Z204</f>
        <v>#DIV/0!</v>
      </c>
      <c r="AA36" s="342" t="e">
        <f ca="1">'Fin Output'!AA204</f>
        <v>#DIV/0!</v>
      </c>
      <c r="AB36" s="342" t="e">
        <f ca="1">'Fin Output'!AB204</f>
        <v>#DIV/0!</v>
      </c>
      <c r="AC36" s="342" t="e">
        <f ca="1">'Fin Output'!AC204</f>
        <v>#DIV/0!</v>
      </c>
      <c r="AD36" s="342" t="e">
        <f ca="1">'Fin Output'!AD204</f>
        <v>#DIV/0!</v>
      </c>
      <c r="AE36" s="342" t="e">
        <f ca="1">'Fin Output'!AE202</f>
        <v>#N/A</v>
      </c>
      <c r="AF36" s="342" t="e">
        <f ca="1">'Fin Output'!AF202</f>
        <v>#N/A</v>
      </c>
      <c r="AG36" s="126"/>
      <c r="AH36" s="340" t="str">
        <f>IFERROR(AVERAGE(C36:E36,R36),"NA")</f>
        <v>NA</v>
      </c>
      <c r="AI36" s="126"/>
      <c r="AJ36" s="342" t="e">
        <f t="shared" ca="1" si="20"/>
        <v>#DIV/0!</v>
      </c>
      <c r="AK36" s="342" t="e">
        <f t="shared" ca="1" si="20"/>
        <v>#DIV/0!</v>
      </c>
      <c r="AL36" s="342" t="e">
        <f t="shared" ca="1" si="20"/>
        <v>#DIV/0!</v>
      </c>
      <c r="AM36" s="342" t="e">
        <f t="shared" ca="1" si="20"/>
        <v>#DIV/0!</v>
      </c>
      <c r="AN36" s="342" t="e">
        <f t="shared" ca="1" si="20"/>
        <v>#DIV/0!</v>
      </c>
      <c r="AO36" s="126"/>
      <c r="AP36" s="342" t="e">
        <f>'Mgmt Backup'!AJ98/'Mgmt Backup'!AJ15</f>
        <v>#DIV/0!</v>
      </c>
      <c r="AQ36" s="342" t="e">
        <f>'Mgmt Backup'!AK98/'Mgmt Backup'!AK15</f>
        <v>#DIV/0!</v>
      </c>
      <c r="AR36" s="342" t="e">
        <f>'Mgmt Backup'!AL98/'Mgmt Backup'!AL15</f>
        <v>#DIV/0!</v>
      </c>
      <c r="AS36" s="342" t="e">
        <f>'Mgmt Backup'!AM98/'Mgmt Backup'!AM15</f>
        <v>#DIV/0!</v>
      </c>
      <c r="AT36" s="342" t="e">
        <f>'Mgmt Backup'!AN98/'Mgmt Backup'!AN15</f>
        <v>#DIV/0!</v>
      </c>
      <c r="AV36" s="326">
        <v>5.0000000000000001E-3</v>
      </c>
      <c r="AW36" s="326">
        <v>0.01</v>
      </c>
      <c r="AX36" s="326">
        <v>0.01</v>
      </c>
      <c r="AY36" s="326">
        <v>0.01</v>
      </c>
      <c r="AZ36" s="326">
        <v>0.01</v>
      </c>
      <c r="BD36" s="229">
        <f t="shared" si="21"/>
        <v>5.0000000000000001E-3</v>
      </c>
      <c r="BE36" s="229">
        <f t="shared" si="21"/>
        <v>0.01</v>
      </c>
      <c r="BF36" s="229">
        <f t="shared" si="21"/>
        <v>0.01</v>
      </c>
      <c r="BG36" s="229">
        <f t="shared" si="21"/>
        <v>0.01</v>
      </c>
      <c r="BH36" s="229">
        <f t="shared" si="21"/>
        <v>0.01</v>
      </c>
    </row>
    <row r="37" spans="1:60">
      <c r="A37" s="762" t="str">
        <f>'Fin Output'!A205</f>
        <v>Recovered Loans / WO</v>
      </c>
      <c r="B37" s="342" t="str">
        <f>'Fin Output'!B205</f>
        <v>NA</v>
      </c>
      <c r="C37" s="342" t="str">
        <f>'Fin Output'!C205</f>
        <v>NA</v>
      </c>
      <c r="D37" s="342" t="str">
        <f>'Fin Output'!D205</f>
        <v>NA</v>
      </c>
      <c r="E37" s="342" t="str">
        <f>'Fin Output'!E205</f>
        <v>NA</v>
      </c>
      <c r="F37" s="342" t="str">
        <f ca="1">'Fin Output'!F205</f>
        <v>NA</v>
      </c>
      <c r="G37" s="342" t="str">
        <f ca="1">'Fin Output'!G205</f>
        <v>NA</v>
      </c>
      <c r="H37" s="342" t="str">
        <f ca="1">'Fin Output'!H205</f>
        <v>NA</v>
      </c>
      <c r="I37" s="342" t="str">
        <f ca="1">'Fin Output'!I205</f>
        <v>NA</v>
      </c>
      <c r="J37" s="342" t="str">
        <f ca="1">'Fin Output'!J205</f>
        <v>NA</v>
      </c>
      <c r="K37" s="342" t="str">
        <f ca="1">'Fin Output'!K205</f>
        <v>NA</v>
      </c>
      <c r="L37" s="342" t="str">
        <f ca="1">'Fin Output'!L205</f>
        <v>NA</v>
      </c>
      <c r="M37" s="342" t="str">
        <f ca="1">'Fin Output'!M205</f>
        <v>NA</v>
      </c>
      <c r="N37" s="342" t="str">
        <f ca="1">'Fin Output'!N205</f>
        <v>NA</v>
      </c>
      <c r="O37" s="342" t="str">
        <f ca="1">'Fin Output'!O205</f>
        <v>NA</v>
      </c>
      <c r="P37" s="342" t="str">
        <f ca="1">'Fin Output'!P205</f>
        <v>NA</v>
      </c>
      <c r="Q37" s="342" t="str">
        <f ca="1">'Fin Output'!Q205</f>
        <v>NA</v>
      </c>
      <c r="R37" s="342" t="str">
        <f ca="1">'Fin Output'!R205</f>
        <v>NA</v>
      </c>
      <c r="S37" s="342" t="str">
        <f ca="1">'Fin Output'!S205</f>
        <v>NA</v>
      </c>
      <c r="T37" s="342" t="str">
        <f ca="1">'Fin Output'!T205</f>
        <v>NA</v>
      </c>
      <c r="U37" s="342" t="str">
        <f ca="1">'Fin Output'!U205</f>
        <v>NA</v>
      </c>
      <c r="V37" s="342" t="str">
        <f ca="1">'Fin Output'!V205</f>
        <v>NA</v>
      </c>
      <c r="W37" s="342" t="str">
        <f ca="1">'Fin Output'!W205</f>
        <v>NA</v>
      </c>
      <c r="X37" s="342" t="str">
        <f ca="1">'Fin Output'!X205</f>
        <v>NA</v>
      </c>
      <c r="Y37" s="342" t="str">
        <f ca="1">'Fin Output'!Y205</f>
        <v>NA</v>
      </c>
      <c r="Z37" s="342" t="str">
        <f ca="1">'Fin Output'!Z205</f>
        <v>NA</v>
      </c>
      <c r="AA37" s="342" t="str">
        <f ca="1">'Fin Output'!AA205</f>
        <v>NA</v>
      </c>
      <c r="AB37" s="342" t="str">
        <f ca="1">'Fin Output'!AB205</f>
        <v>NA</v>
      </c>
      <c r="AC37" s="342" t="str">
        <f ca="1">'Fin Output'!AC205</f>
        <v>NA</v>
      </c>
      <c r="AD37" s="342" t="str">
        <f ca="1">'Fin Output'!AD205</f>
        <v>NA</v>
      </c>
      <c r="AE37" s="342" t="e">
        <f ca="1">'Fin Output'!AE205</f>
        <v>#N/A</v>
      </c>
      <c r="AF37" s="342" t="e">
        <f ca="1">'Fin Output'!AF205</f>
        <v>#N/A</v>
      </c>
      <c r="AG37" s="126"/>
      <c r="AH37" s="340" t="str">
        <f ca="1">IFERROR(AVERAGE(C37:E37,R37),"NA")</f>
        <v>NA</v>
      </c>
      <c r="AI37" s="126"/>
      <c r="AJ37" s="342" t="str">
        <f t="shared" ca="1" si="20"/>
        <v>NA</v>
      </c>
      <c r="AK37" s="342" t="str">
        <f t="shared" ca="1" si="20"/>
        <v>NA</v>
      </c>
      <c r="AL37" s="342" t="str">
        <f t="shared" ca="1" si="20"/>
        <v>NA</v>
      </c>
      <c r="AM37" s="342" t="str">
        <f t="shared" ca="1" si="20"/>
        <v>NA</v>
      </c>
      <c r="AN37" s="342" t="str">
        <f t="shared" ca="1" si="20"/>
        <v>NA</v>
      </c>
      <c r="AO37" s="126"/>
      <c r="AP37" s="342" t="str">
        <f>'Mgmt Backup'!AJ117</f>
        <v>NA</v>
      </c>
      <c r="AQ37" s="342" t="str">
        <f>'Mgmt Backup'!AK117</f>
        <v>NA</v>
      </c>
      <c r="AR37" s="342" t="str">
        <f>'Mgmt Backup'!AL117</f>
        <v>NA</v>
      </c>
      <c r="AS37" s="342" t="str">
        <f>'Mgmt Backup'!AM117</f>
        <v>NA</v>
      </c>
      <c r="AT37" s="342" t="str">
        <f>'Mgmt Backup'!AN117</f>
        <v>NA</v>
      </c>
      <c r="AV37" s="326" t="str">
        <f>AP37</f>
        <v>NA</v>
      </c>
      <c r="AW37" s="326" t="str">
        <f>AQ37</f>
        <v>NA</v>
      </c>
      <c r="AX37" s="326" t="str">
        <f>AR37</f>
        <v>NA</v>
      </c>
      <c r="AY37" s="326" t="str">
        <f>AS37</f>
        <v>NA</v>
      </c>
      <c r="AZ37" s="326" t="str">
        <f>AT37</f>
        <v>NA</v>
      </c>
      <c r="BD37" s="229" t="str">
        <f t="shared" si="21"/>
        <v>NA</v>
      </c>
      <c r="BE37" s="229" t="str">
        <f t="shared" si="21"/>
        <v>NA</v>
      </c>
      <c r="BF37" s="229" t="str">
        <f t="shared" si="21"/>
        <v>NA</v>
      </c>
      <c r="BG37" s="229" t="str">
        <f t="shared" si="21"/>
        <v>NA</v>
      </c>
      <c r="BH37" s="229" t="str">
        <f t="shared" si="21"/>
        <v>NA</v>
      </c>
    </row>
    <row r="38" spans="1:60">
      <c r="A38" s="764" t="str">
        <f>'Fin Output'!A207</f>
        <v>Risk Coverage (LLR / PAR &gt;30 days + R&amp;R)</v>
      </c>
      <c r="B38" s="345" t="str">
        <f>'Fin Output'!B209</f>
        <v>NA</v>
      </c>
      <c r="C38" s="345" t="e">
        <f>'Fin Output'!C207</f>
        <v>#DIV/0!</v>
      </c>
      <c r="D38" s="345" t="e">
        <f>'Fin Output'!D207</f>
        <v>#DIV/0!</v>
      </c>
      <c r="E38" s="345" t="e">
        <f>'Fin Output'!E207</f>
        <v>#DIV/0!</v>
      </c>
      <c r="F38" s="345" t="str">
        <f>'Fin Output'!F209</f>
        <v>NA</v>
      </c>
      <c r="G38" s="345" t="str">
        <f>'Fin Output'!G209</f>
        <v>NA</v>
      </c>
      <c r="H38" s="345" t="str">
        <f>'Fin Output'!H209</f>
        <v>NA</v>
      </c>
      <c r="I38" s="345" t="str">
        <f>'Fin Output'!I209</f>
        <v>NA</v>
      </c>
      <c r="J38" s="345" t="str">
        <f>'Fin Output'!J209</f>
        <v>NA</v>
      </c>
      <c r="K38" s="345" t="str">
        <f>'Fin Output'!K209</f>
        <v>NA</v>
      </c>
      <c r="L38" s="345" t="str">
        <f>'Fin Output'!L209</f>
        <v>NA</v>
      </c>
      <c r="M38" s="345" t="str">
        <f>'Fin Output'!M209</f>
        <v>NA</v>
      </c>
      <c r="N38" s="345" t="str">
        <f>'Fin Output'!N209</f>
        <v>NA</v>
      </c>
      <c r="O38" s="345" t="str">
        <f>'Fin Output'!O209</f>
        <v>NA</v>
      </c>
      <c r="P38" s="345" t="str">
        <f>'Fin Output'!P209</f>
        <v>NA</v>
      </c>
      <c r="Q38" s="345" t="str">
        <f>'Fin Output'!Q209</f>
        <v>NA</v>
      </c>
      <c r="R38" s="345" t="e">
        <f ca="1">'Fin Output'!R207</f>
        <v>#DIV/0!</v>
      </c>
      <c r="S38" s="345" t="e">
        <f ca="1">'Fin Output'!S209</f>
        <v>#DIV/0!</v>
      </c>
      <c r="T38" s="345" t="e">
        <f ca="1">'Fin Output'!T209</f>
        <v>#DIV/0!</v>
      </c>
      <c r="U38" s="345" t="e">
        <f ca="1">'Fin Output'!U209</f>
        <v>#DIV/0!</v>
      </c>
      <c r="V38" s="345" t="e">
        <f ca="1">'Fin Output'!V209</f>
        <v>#DIV/0!</v>
      </c>
      <c r="W38" s="345" t="e">
        <f ca="1">'Fin Output'!W209</f>
        <v>#DIV/0!</v>
      </c>
      <c r="X38" s="345" t="e">
        <f ca="1">'Fin Output'!X209</f>
        <v>#DIV/0!</v>
      </c>
      <c r="Y38" s="345" t="e">
        <f ca="1">'Fin Output'!Y209</f>
        <v>#DIV/0!</v>
      </c>
      <c r="Z38" s="345" t="e">
        <f ca="1">'Fin Output'!Z209</f>
        <v>#DIV/0!</v>
      </c>
      <c r="AA38" s="345" t="e">
        <f ca="1">'Fin Output'!AA209</f>
        <v>#DIV/0!</v>
      </c>
      <c r="AB38" s="345" t="e">
        <f ca="1">'Fin Output'!AB209</f>
        <v>#DIV/0!</v>
      </c>
      <c r="AC38" s="345" t="e">
        <f ca="1">'Fin Output'!AC209</f>
        <v>#DIV/0!</v>
      </c>
      <c r="AD38" s="345" t="e">
        <f ca="1">'Fin Output'!AD209</f>
        <v>#DIV/0!</v>
      </c>
      <c r="AE38" s="345" t="e">
        <f ca="1">'Fin Output'!AE207</f>
        <v>#N/A</v>
      </c>
      <c r="AF38" s="345" t="e">
        <f ca="1">'Fin Output'!AF207</f>
        <v>#N/A</v>
      </c>
      <c r="AG38" s="126"/>
      <c r="AH38" s="340" t="str">
        <f>IFERROR(AVERAGE(C38:E38,R38),"NA")</f>
        <v>NA</v>
      </c>
      <c r="AI38" s="126"/>
      <c r="AJ38" s="345" t="e">
        <f t="shared" ca="1" si="20"/>
        <v>#DIV/0!</v>
      </c>
      <c r="AK38" s="345" t="e">
        <f t="shared" ca="1" si="20"/>
        <v>#DIV/0!</v>
      </c>
      <c r="AL38" s="345" t="e">
        <f t="shared" ca="1" si="20"/>
        <v>#DIV/0!</v>
      </c>
      <c r="AM38" s="345" t="e">
        <f t="shared" ca="1" si="20"/>
        <v>#DIV/0!</v>
      </c>
      <c r="AN38" s="345" t="e">
        <f t="shared" ca="1" si="20"/>
        <v>#DIV/0!</v>
      </c>
      <c r="AO38" s="126"/>
      <c r="AP38" s="345" t="e">
        <f>'Mgmt Backup'!AJ119</f>
        <v>#DIV/0!</v>
      </c>
      <c r="AQ38" s="345" t="e">
        <f>'Mgmt Backup'!AK119</f>
        <v>#DIV/0!</v>
      </c>
      <c r="AR38" s="345" t="e">
        <f>'Mgmt Backup'!AL119</f>
        <v>#DIV/0!</v>
      </c>
      <c r="AS38" s="345" t="e">
        <f>'Mgmt Backup'!AM119</f>
        <v>#DIV/0!</v>
      </c>
      <c r="AT38" s="345" t="e">
        <f>'Mgmt Backup'!AN119</f>
        <v>#DIV/0!</v>
      </c>
      <c r="AV38" s="331" t="e">
        <f ca="1">AE38</f>
        <v>#N/A</v>
      </c>
      <c r="AW38" s="331" t="e">
        <f ca="1">AV38</f>
        <v>#N/A</v>
      </c>
      <c r="AX38" s="331" t="e">
        <f ca="1">AW38</f>
        <v>#N/A</v>
      </c>
      <c r="AY38" s="331" t="e">
        <f ca="1">AX38</f>
        <v>#N/A</v>
      </c>
      <c r="AZ38" s="331" t="e">
        <f ca="1">AY38</f>
        <v>#N/A</v>
      </c>
      <c r="BD38" s="233" t="e">
        <f t="shared" ca="1" si="21"/>
        <v>#N/A</v>
      </c>
      <c r="BE38" s="233" t="e">
        <f t="shared" ca="1" si="21"/>
        <v>#N/A</v>
      </c>
      <c r="BF38" s="233" t="e">
        <f t="shared" ca="1" si="21"/>
        <v>#N/A</v>
      </c>
      <c r="BG38" s="233" t="e">
        <f t="shared" ca="1" si="21"/>
        <v>#N/A</v>
      </c>
      <c r="BH38" s="233" t="e">
        <f t="shared" ca="1" si="21"/>
        <v>#N/A</v>
      </c>
    </row>
    <row r="39" spans="1:60">
      <c r="A39" s="238"/>
      <c r="B39" s="237"/>
      <c r="C39" s="237"/>
      <c r="D39" s="237"/>
      <c r="E39" s="237"/>
      <c r="F39" s="237"/>
      <c r="G39" s="237"/>
      <c r="H39" s="237"/>
      <c r="I39" s="237"/>
      <c r="J39" s="237"/>
      <c r="K39" s="237"/>
      <c r="L39" s="237"/>
      <c r="M39" s="237"/>
      <c r="N39" s="237"/>
      <c r="O39" s="237"/>
      <c r="P39" s="237"/>
      <c r="Q39" s="237"/>
      <c r="R39" s="237"/>
      <c r="S39" s="237"/>
      <c r="T39" s="237"/>
      <c r="U39" s="237"/>
      <c r="V39" s="237"/>
      <c r="W39" s="237"/>
      <c r="X39" s="237"/>
      <c r="Y39" s="237"/>
      <c r="Z39" s="237"/>
      <c r="AA39" s="237"/>
      <c r="AB39" s="237"/>
      <c r="AC39" s="237"/>
      <c r="AD39" s="237"/>
      <c r="AE39" s="229"/>
      <c r="AF39" s="229"/>
      <c r="AH39" s="228"/>
      <c r="AJ39" s="237"/>
      <c r="AK39" s="237"/>
      <c r="AL39" s="237"/>
      <c r="AM39" s="237"/>
      <c r="AN39" s="237"/>
      <c r="AP39" s="237"/>
      <c r="AQ39" s="237"/>
      <c r="AR39" s="237"/>
      <c r="AS39" s="237"/>
      <c r="AT39" s="237"/>
      <c r="AV39" s="237"/>
      <c r="AW39" s="237"/>
      <c r="AX39" s="237"/>
      <c r="AY39" s="237"/>
      <c r="AZ39" s="237"/>
      <c r="BD39" s="237"/>
      <c r="BE39" s="237"/>
      <c r="BF39" s="237"/>
      <c r="BG39" s="237"/>
      <c r="BH39" s="237"/>
    </row>
    <row r="40" spans="1:60">
      <c r="A40" s="238"/>
      <c r="B40" s="237"/>
      <c r="C40" s="237"/>
      <c r="D40" s="237"/>
      <c r="E40" s="237"/>
      <c r="F40" s="237"/>
      <c r="G40" s="237"/>
      <c r="H40" s="237"/>
      <c r="I40" s="237"/>
      <c r="J40" s="237"/>
      <c r="K40" s="237"/>
      <c r="L40" s="237"/>
      <c r="M40" s="237"/>
      <c r="N40" s="237"/>
      <c r="O40" s="237"/>
      <c r="P40" s="237"/>
      <c r="Q40" s="237"/>
      <c r="R40" s="237"/>
      <c r="S40" s="237"/>
      <c r="T40" s="237"/>
      <c r="U40" s="237"/>
      <c r="V40" s="237"/>
      <c r="W40" s="237"/>
      <c r="X40" s="237"/>
      <c r="Y40" s="237"/>
      <c r="Z40" s="237"/>
      <c r="AA40" s="237"/>
      <c r="AB40" s="237"/>
      <c r="AC40" s="237"/>
      <c r="AD40" s="237"/>
      <c r="AE40" s="229"/>
      <c r="AF40" s="229"/>
      <c r="AH40" s="229"/>
      <c r="AJ40" s="237"/>
      <c r="AK40" s="237"/>
      <c r="AL40" s="237"/>
      <c r="AM40" s="237"/>
      <c r="AN40" s="237"/>
      <c r="AP40" s="237"/>
      <c r="AQ40" s="237"/>
      <c r="AR40" s="237"/>
      <c r="AS40" s="237"/>
      <c r="AT40" s="237"/>
      <c r="AV40" s="237"/>
      <c r="AW40" s="237"/>
      <c r="AX40" s="237"/>
      <c r="AY40" s="237"/>
      <c r="AZ40" s="237"/>
      <c r="BD40" s="237"/>
      <c r="BE40" s="237"/>
      <c r="BF40" s="237"/>
      <c r="BG40" s="237"/>
      <c r="BH40" s="237"/>
    </row>
    <row r="41" spans="1:60" ht="15">
      <c r="A41" s="230"/>
      <c r="AE41" s="229"/>
      <c r="AF41" s="229"/>
      <c r="AJ41" s="214"/>
      <c r="AK41" s="214"/>
      <c r="AL41" s="214"/>
      <c r="AM41" s="214"/>
      <c r="AN41" s="214"/>
      <c r="AP41" s="214"/>
      <c r="AQ41" s="214"/>
      <c r="AR41" s="214"/>
      <c r="AS41" s="214"/>
      <c r="AT41" s="214"/>
      <c r="AV41" s="214"/>
      <c r="AW41" s="214"/>
      <c r="AX41" s="214"/>
      <c r="AY41" s="214"/>
      <c r="AZ41" s="214"/>
      <c r="BD41" s="214"/>
      <c r="BE41" s="214"/>
      <c r="BF41" s="214"/>
      <c r="BG41" s="214"/>
      <c r="BH41" s="214"/>
    </row>
    <row r="42" spans="1:60" ht="15">
      <c r="A42" s="323" t="s">
        <v>550</v>
      </c>
      <c r="S42" s="220">
        <f t="shared" ref="S42:AD42" ca="1" si="22">S$9</f>
        <v>31</v>
      </c>
      <c r="T42" s="220">
        <f t="shared" ca="1" si="22"/>
        <v>59</v>
      </c>
      <c r="U42" s="220">
        <f t="shared" ca="1" si="22"/>
        <v>91</v>
      </c>
      <c r="V42" s="220">
        <f t="shared" ca="1" si="22"/>
        <v>121</v>
      </c>
      <c r="W42" s="220">
        <f t="shared" ca="1" si="22"/>
        <v>152</v>
      </c>
      <c r="X42" s="220">
        <f t="shared" ca="1" si="22"/>
        <v>182</v>
      </c>
      <c r="Y42" s="220">
        <f t="shared" ca="1" si="22"/>
        <v>213</v>
      </c>
      <c r="Z42" s="220">
        <f t="shared" ca="1" si="22"/>
        <v>244</v>
      </c>
      <c r="AA42" s="220">
        <f t="shared" ca="1" si="22"/>
        <v>274</v>
      </c>
      <c r="AB42" s="220">
        <f t="shared" ca="1" si="22"/>
        <v>305</v>
      </c>
      <c r="AC42" s="220">
        <f t="shared" ca="1" si="22"/>
        <v>335</v>
      </c>
      <c r="AD42" s="220">
        <f t="shared" ca="1" si="22"/>
        <v>366</v>
      </c>
      <c r="AE42" s="229"/>
      <c r="AF42" s="229"/>
      <c r="AH42" s="229"/>
      <c r="AJ42" s="760">
        <f t="shared" ref="AJ42:AZ42" ca="1" si="23">AJ$9</f>
        <v>694327</v>
      </c>
      <c r="AK42" s="760">
        <f t="shared" ca="1" si="23"/>
        <v>694692</v>
      </c>
      <c r="AL42" s="760">
        <f t="shared" ca="1" si="23"/>
        <v>695057</v>
      </c>
      <c r="AM42" s="760">
        <f t="shared" ca="1" si="23"/>
        <v>695422</v>
      </c>
      <c r="AN42" s="760">
        <f t="shared" ca="1" si="23"/>
        <v>695787</v>
      </c>
      <c r="AP42" s="760">
        <f t="shared" ca="1" si="23"/>
        <v>694327</v>
      </c>
      <c r="AQ42" s="760">
        <f t="shared" ca="1" si="23"/>
        <v>694692</v>
      </c>
      <c r="AR42" s="760">
        <f t="shared" ca="1" si="23"/>
        <v>695057</v>
      </c>
      <c r="AS42" s="760">
        <f t="shared" ca="1" si="23"/>
        <v>695422</v>
      </c>
      <c r="AT42" s="760">
        <f t="shared" ca="1" si="23"/>
        <v>695787</v>
      </c>
      <c r="AV42" s="760">
        <f t="shared" ca="1" si="23"/>
        <v>694327</v>
      </c>
      <c r="AW42" s="760">
        <f t="shared" ca="1" si="23"/>
        <v>694692</v>
      </c>
      <c r="AX42" s="760">
        <f t="shared" ca="1" si="23"/>
        <v>695057</v>
      </c>
      <c r="AY42" s="760">
        <f t="shared" ca="1" si="23"/>
        <v>695422</v>
      </c>
      <c r="AZ42" s="760">
        <f t="shared" ca="1" si="23"/>
        <v>695787</v>
      </c>
      <c r="BD42" s="760">
        <f ca="1">BD$9</f>
        <v>694327</v>
      </c>
      <c r="BE42" s="760">
        <f ca="1">BE$9</f>
        <v>694692</v>
      </c>
      <c r="BF42" s="760">
        <f ca="1">BF$9</f>
        <v>695057</v>
      </c>
      <c r="BG42" s="760">
        <f ca="1">BG$9</f>
        <v>695422</v>
      </c>
      <c r="BH42" s="760">
        <f ca="1">BH$9</f>
        <v>695787</v>
      </c>
    </row>
    <row r="43" spans="1:60" s="218" customFormat="1">
      <c r="A43" s="347" t="str">
        <f>'Fin Output'!A106</f>
        <v>Assets</v>
      </c>
      <c r="B43" s="214"/>
      <c r="C43" s="214"/>
      <c r="D43" s="214"/>
      <c r="E43" s="214"/>
      <c r="F43" s="214"/>
      <c r="G43" s="214"/>
      <c r="H43" s="214"/>
      <c r="I43" s="214"/>
      <c r="J43" s="214"/>
      <c r="K43" s="214"/>
      <c r="L43" s="214"/>
      <c r="M43" s="214"/>
      <c r="N43" s="214"/>
      <c r="O43" s="214"/>
      <c r="P43" s="214"/>
      <c r="Q43" s="214"/>
      <c r="R43" s="214"/>
      <c r="S43" s="184">
        <f>'Fin Output'!S106</f>
        <v>0</v>
      </c>
      <c r="T43" s="184">
        <f>'Fin Output'!T106</f>
        <v>0</v>
      </c>
      <c r="U43" s="184">
        <f>'Fin Output'!U106</f>
        <v>0</v>
      </c>
      <c r="V43" s="184">
        <f>'Fin Output'!V106</f>
        <v>0</v>
      </c>
      <c r="W43" s="184">
        <f>'Fin Output'!W106</f>
        <v>0</v>
      </c>
      <c r="X43" s="184">
        <f>'Fin Output'!X106</f>
        <v>0</v>
      </c>
      <c r="Y43" s="184">
        <f>'Fin Output'!Y106</f>
        <v>0</v>
      </c>
      <c r="Z43" s="184">
        <f>'Fin Output'!Z106</f>
        <v>0</v>
      </c>
      <c r="AA43" s="184">
        <f>'Fin Output'!AA106</f>
        <v>0</v>
      </c>
      <c r="AB43" s="184">
        <f>'Fin Output'!AB106</f>
        <v>0</v>
      </c>
      <c r="AC43" s="184">
        <f>'Fin Output'!AC106</f>
        <v>0</v>
      </c>
      <c r="AD43" s="184">
        <f>'Fin Output'!AD106</f>
        <v>0</v>
      </c>
      <c r="AE43" s="229"/>
      <c r="AF43" s="229"/>
      <c r="AG43" s="355"/>
      <c r="AH43" s="403"/>
      <c r="AI43" s="355"/>
      <c r="AJ43" s="181">
        <f ca="1">CHOOSE($AM$8,AP43,AP43,AP43,AV43,BD43)</f>
        <v>0</v>
      </c>
      <c r="AK43" s="181">
        <f t="shared" ref="AK43:AK49" ca="1" si="24">CHOOSE($AM$8,AQ43,AQ43,AQ43,AW43,BE43)</f>
        <v>0</v>
      </c>
      <c r="AL43" s="181">
        <f t="shared" ref="AL43:AL49" ca="1" si="25">CHOOSE($AM$8,AR43,AR43,AR43,AX43,BF43)</f>
        <v>0</v>
      </c>
      <c r="AM43" s="181">
        <f t="shared" ref="AM43:AM49" ca="1" si="26">CHOOSE($AM$8,AS43,AS43,AS43,AY43,BG43)</f>
        <v>0</v>
      </c>
      <c r="AN43" s="181">
        <f t="shared" ref="AN43:AN49" ca="1" si="27">CHOOSE($AM$8,AT43,AT43,AT43,AZ43,BH43)</f>
        <v>0</v>
      </c>
      <c r="AO43" s="355"/>
      <c r="AP43" s="184">
        <f>'Mgmt Backup'!AJ79</f>
        <v>0</v>
      </c>
      <c r="AQ43" s="184">
        <f>'Mgmt Backup'!AK79</f>
        <v>0</v>
      </c>
      <c r="AR43" s="184">
        <f>'Mgmt Backup'!AL79</f>
        <v>0</v>
      </c>
      <c r="AS43" s="184">
        <f>'Mgmt Backup'!AM79</f>
        <v>0</v>
      </c>
      <c r="AT43" s="184">
        <f>'Mgmt Backup'!AN79</f>
        <v>0</v>
      </c>
      <c r="AV43" s="332">
        <f t="shared" ref="AV43:AZ48" si="28">AP43</f>
        <v>0</v>
      </c>
      <c r="AW43" s="332">
        <f t="shared" si="28"/>
        <v>0</v>
      </c>
      <c r="AX43" s="332">
        <f t="shared" si="28"/>
        <v>0</v>
      </c>
      <c r="AY43" s="332">
        <f t="shared" si="28"/>
        <v>0</v>
      </c>
      <c r="AZ43" s="332">
        <f t="shared" si="28"/>
        <v>0</v>
      </c>
      <c r="BB43" s="219"/>
      <c r="BD43" s="225">
        <f t="shared" ref="BD43:BH48" si="29">AV43</f>
        <v>0</v>
      </c>
      <c r="BE43" s="225">
        <f t="shared" si="29"/>
        <v>0</v>
      </c>
      <c r="BF43" s="225">
        <f t="shared" si="29"/>
        <v>0</v>
      </c>
      <c r="BG43" s="225">
        <f t="shared" si="29"/>
        <v>0</v>
      </c>
      <c r="BH43" s="225">
        <f t="shared" si="29"/>
        <v>0</v>
      </c>
    </row>
    <row r="44" spans="1:60">
      <c r="A44" s="348" t="str">
        <f>'Fin Output'!A107</f>
        <v>Loan Portfolio</v>
      </c>
      <c r="S44" s="181">
        <f>'Fin Output'!S107</f>
        <v>0</v>
      </c>
      <c r="T44" s="181">
        <f>'Fin Output'!T107</f>
        <v>0</v>
      </c>
      <c r="U44" s="181">
        <f>'Fin Output'!U107</f>
        <v>0</v>
      </c>
      <c r="V44" s="181">
        <f>'Fin Output'!V107</f>
        <v>0</v>
      </c>
      <c r="W44" s="181">
        <f>'Fin Output'!W107</f>
        <v>0</v>
      </c>
      <c r="X44" s="181">
        <f>'Fin Output'!X107</f>
        <v>0</v>
      </c>
      <c r="Y44" s="181">
        <f>'Fin Output'!Y107</f>
        <v>0</v>
      </c>
      <c r="Z44" s="181">
        <f>'Fin Output'!Z107</f>
        <v>0</v>
      </c>
      <c r="AA44" s="181">
        <f>'Fin Output'!AA107</f>
        <v>0</v>
      </c>
      <c r="AB44" s="181">
        <f>'Fin Output'!AB107</f>
        <v>0</v>
      </c>
      <c r="AC44" s="181">
        <f>'Fin Output'!AC107</f>
        <v>0</v>
      </c>
      <c r="AD44" s="181">
        <f>'Fin Output'!AD107</f>
        <v>0</v>
      </c>
      <c r="AE44" s="229"/>
      <c r="AF44" s="229"/>
      <c r="AG44" s="126"/>
      <c r="AH44" s="170"/>
      <c r="AI44" s="126"/>
      <c r="AJ44" s="179">
        <f t="shared" ref="AJ44:AJ49" ca="1" si="30">CHOOSE($AM$8,AP44,AP44,AP44,AV44,BD44)</f>
        <v>0</v>
      </c>
      <c r="AK44" s="179">
        <f t="shared" ca="1" si="24"/>
        <v>0</v>
      </c>
      <c r="AL44" s="179">
        <f t="shared" ca="1" si="25"/>
        <v>0</v>
      </c>
      <c r="AM44" s="179">
        <f t="shared" ca="1" si="26"/>
        <v>0</v>
      </c>
      <c r="AN44" s="179">
        <f t="shared" ca="1" si="27"/>
        <v>0</v>
      </c>
      <c r="AO44" s="126"/>
      <c r="AP44" s="181">
        <f>'Mgmt Backup'!AJ80</f>
        <v>0</v>
      </c>
      <c r="AQ44" s="181">
        <f>'Mgmt Backup'!AK80</f>
        <v>0</v>
      </c>
      <c r="AR44" s="181">
        <f>'Mgmt Backup'!AL80</f>
        <v>0</v>
      </c>
      <c r="AS44" s="181">
        <f>'Mgmt Backup'!AM80</f>
        <v>0</v>
      </c>
      <c r="AT44" s="181">
        <f>'Mgmt Backup'!AN80</f>
        <v>0</v>
      </c>
      <c r="AV44" s="333">
        <f>AP44</f>
        <v>0</v>
      </c>
      <c r="AW44" s="333">
        <f>AQ44</f>
        <v>0</v>
      </c>
      <c r="AX44" s="333">
        <f>AR44</f>
        <v>0</v>
      </c>
      <c r="AY44" s="333">
        <f>AS44</f>
        <v>0</v>
      </c>
      <c r="AZ44" s="333">
        <f>AT44</f>
        <v>0</v>
      </c>
      <c r="BD44" s="224">
        <f>AV44</f>
        <v>0</v>
      </c>
      <c r="BE44" s="224">
        <f>AW44</f>
        <v>0</v>
      </c>
      <c r="BF44" s="224">
        <f>AX44</f>
        <v>0</v>
      </c>
      <c r="BG44" s="224">
        <f>AY44</f>
        <v>0</v>
      </c>
      <c r="BH44" s="224">
        <f>AZ44</f>
        <v>0</v>
      </c>
    </row>
    <row r="45" spans="1:60">
      <c r="A45" s="348" t="str">
        <f>'Fin Output'!A108</f>
        <v>Other Assets</v>
      </c>
      <c r="S45" s="181">
        <f>'Fin Output'!S108</f>
        <v>0</v>
      </c>
      <c r="T45" s="181">
        <f>'Fin Output'!T108</f>
        <v>0</v>
      </c>
      <c r="U45" s="181">
        <f>'Fin Output'!U108</f>
        <v>0</v>
      </c>
      <c r="V45" s="181">
        <f>'Fin Output'!V108</f>
        <v>0</v>
      </c>
      <c r="W45" s="181">
        <f>'Fin Output'!W108</f>
        <v>0</v>
      </c>
      <c r="X45" s="181">
        <f>'Fin Output'!X108</f>
        <v>0</v>
      </c>
      <c r="Y45" s="181">
        <f>'Fin Output'!Y108</f>
        <v>0</v>
      </c>
      <c r="Z45" s="181">
        <f>'Fin Output'!Z108</f>
        <v>0</v>
      </c>
      <c r="AA45" s="181">
        <f>'Fin Output'!AA108</f>
        <v>0</v>
      </c>
      <c r="AB45" s="181">
        <f>'Fin Output'!AB108</f>
        <v>0</v>
      </c>
      <c r="AC45" s="181">
        <f>'Fin Output'!AC108</f>
        <v>0</v>
      </c>
      <c r="AD45" s="181">
        <f>'Fin Output'!AD108</f>
        <v>0</v>
      </c>
      <c r="AE45" s="229"/>
      <c r="AF45" s="229"/>
      <c r="AG45" s="126"/>
      <c r="AH45" s="170"/>
      <c r="AI45" s="126"/>
      <c r="AJ45" s="179">
        <f ca="1">CHOOSE($AM$8,AP45,AP45,AP45,AV45,BD45)</f>
        <v>0</v>
      </c>
      <c r="AK45" s="179">
        <f t="shared" ca="1" si="24"/>
        <v>0</v>
      </c>
      <c r="AL45" s="179">
        <f t="shared" ca="1" si="25"/>
        <v>0</v>
      </c>
      <c r="AM45" s="179">
        <f t="shared" ca="1" si="26"/>
        <v>0</v>
      </c>
      <c r="AN45" s="179">
        <f t="shared" ca="1" si="27"/>
        <v>0</v>
      </c>
      <c r="AO45" s="126"/>
      <c r="AP45" s="181">
        <f>'Mgmt Backup'!AJ81</f>
        <v>0</v>
      </c>
      <c r="AQ45" s="181">
        <f>'Mgmt Backup'!AK81</f>
        <v>0</v>
      </c>
      <c r="AR45" s="181">
        <f>'Mgmt Backup'!AL81</f>
        <v>0</v>
      </c>
      <c r="AS45" s="181">
        <f>'Mgmt Backup'!AM81</f>
        <v>0</v>
      </c>
      <c r="AT45" s="181">
        <f>'Mgmt Backup'!AN81</f>
        <v>0</v>
      </c>
      <c r="AV45" s="333">
        <f t="shared" si="28"/>
        <v>0</v>
      </c>
      <c r="AW45" s="333">
        <f t="shared" si="28"/>
        <v>0</v>
      </c>
      <c r="AX45" s="333">
        <f t="shared" si="28"/>
        <v>0</v>
      </c>
      <c r="AY45" s="333">
        <f t="shared" si="28"/>
        <v>0</v>
      </c>
      <c r="AZ45" s="333">
        <f t="shared" si="28"/>
        <v>0</v>
      </c>
      <c r="BD45" s="224">
        <f t="shared" si="29"/>
        <v>0</v>
      </c>
      <c r="BE45" s="224">
        <f t="shared" si="29"/>
        <v>0</v>
      </c>
      <c r="BF45" s="224">
        <f t="shared" si="29"/>
        <v>0</v>
      </c>
      <c r="BG45" s="224">
        <f t="shared" si="29"/>
        <v>0</v>
      </c>
      <c r="BH45" s="224">
        <f t="shared" si="29"/>
        <v>0</v>
      </c>
    </row>
    <row r="46" spans="1:60" s="218" customFormat="1">
      <c r="A46" s="349" t="str">
        <f>'Fin Output'!A109</f>
        <v>Liabilities</v>
      </c>
      <c r="B46" s="214"/>
      <c r="C46" s="214"/>
      <c r="D46" s="214"/>
      <c r="E46" s="214"/>
      <c r="F46" s="214"/>
      <c r="G46" s="214"/>
      <c r="H46" s="214"/>
      <c r="I46" s="214"/>
      <c r="J46" s="214"/>
      <c r="K46" s="214"/>
      <c r="L46" s="214"/>
      <c r="M46" s="214"/>
      <c r="N46" s="214"/>
      <c r="O46" s="214"/>
      <c r="P46" s="214"/>
      <c r="Q46" s="214"/>
      <c r="R46" s="214"/>
      <c r="S46" s="181">
        <f>'Fin Output'!S109</f>
        <v>0</v>
      </c>
      <c r="T46" s="181">
        <f>'Fin Output'!T109</f>
        <v>0</v>
      </c>
      <c r="U46" s="181">
        <f>'Fin Output'!U109</f>
        <v>0</v>
      </c>
      <c r="V46" s="181">
        <f>'Fin Output'!V109</f>
        <v>0</v>
      </c>
      <c r="W46" s="181">
        <f>'Fin Output'!W109</f>
        <v>0</v>
      </c>
      <c r="X46" s="181">
        <f>'Fin Output'!X109</f>
        <v>0</v>
      </c>
      <c r="Y46" s="181">
        <f>'Fin Output'!Y109</f>
        <v>0</v>
      </c>
      <c r="Z46" s="181">
        <f>'Fin Output'!Z109</f>
        <v>0</v>
      </c>
      <c r="AA46" s="181">
        <f>'Fin Output'!AA109</f>
        <v>0</v>
      </c>
      <c r="AB46" s="181">
        <f>'Fin Output'!AB109</f>
        <v>0</v>
      </c>
      <c r="AC46" s="181">
        <f>'Fin Output'!AC109</f>
        <v>0</v>
      </c>
      <c r="AD46" s="181">
        <f>'Fin Output'!AD109</f>
        <v>0</v>
      </c>
      <c r="AE46" s="229"/>
      <c r="AF46" s="229"/>
      <c r="AG46" s="355"/>
      <c r="AH46" s="403"/>
      <c r="AI46" s="355"/>
      <c r="AJ46" s="181">
        <f t="shared" ca="1" si="30"/>
        <v>0</v>
      </c>
      <c r="AK46" s="181">
        <f t="shared" ca="1" si="24"/>
        <v>0</v>
      </c>
      <c r="AL46" s="181">
        <f t="shared" ca="1" si="25"/>
        <v>0</v>
      </c>
      <c r="AM46" s="181">
        <f t="shared" ca="1" si="26"/>
        <v>0</v>
      </c>
      <c r="AN46" s="181">
        <f t="shared" ca="1" si="27"/>
        <v>0</v>
      </c>
      <c r="AO46" s="355"/>
      <c r="AP46" s="181">
        <f>'Mgmt Backup'!AJ82</f>
        <v>0</v>
      </c>
      <c r="AQ46" s="181">
        <f>'Mgmt Backup'!AK82</f>
        <v>0</v>
      </c>
      <c r="AR46" s="181">
        <f>'Mgmt Backup'!AL82</f>
        <v>0</v>
      </c>
      <c r="AS46" s="181">
        <f>'Mgmt Backup'!AM82</f>
        <v>0</v>
      </c>
      <c r="AT46" s="181">
        <f>'Mgmt Backup'!AN82</f>
        <v>0</v>
      </c>
      <c r="AV46" s="333">
        <f t="shared" si="28"/>
        <v>0</v>
      </c>
      <c r="AW46" s="333">
        <f t="shared" si="28"/>
        <v>0</v>
      </c>
      <c r="AX46" s="333">
        <f t="shared" si="28"/>
        <v>0</v>
      </c>
      <c r="AY46" s="333">
        <f t="shared" si="28"/>
        <v>0</v>
      </c>
      <c r="AZ46" s="333">
        <f t="shared" si="28"/>
        <v>0</v>
      </c>
      <c r="BB46" s="219"/>
      <c r="BD46" s="224">
        <f t="shared" si="29"/>
        <v>0</v>
      </c>
      <c r="BE46" s="224">
        <f t="shared" si="29"/>
        <v>0</v>
      </c>
      <c r="BF46" s="224">
        <f t="shared" si="29"/>
        <v>0</v>
      </c>
      <c r="BG46" s="224">
        <f t="shared" si="29"/>
        <v>0</v>
      </c>
      <c r="BH46" s="224">
        <f t="shared" si="29"/>
        <v>0</v>
      </c>
    </row>
    <row r="47" spans="1:60">
      <c r="A47" s="348" t="str">
        <f>'Fin Output'!A110</f>
        <v>Interest</v>
      </c>
      <c r="S47" s="181">
        <f>'Fin Output'!S110</f>
        <v>0</v>
      </c>
      <c r="T47" s="181">
        <f>'Fin Output'!T110</f>
        <v>0</v>
      </c>
      <c r="U47" s="181">
        <f>'Fin Output'!U110</f>
        <v>0</v>
      </c>
      <c r="V47" s="181">
        <f>'Fin Output'!V110</f>
        <v>0</v>
      </c>
      <c r="W47" s="181">
        <f>'Fin Output'!W110</f>
        <v>0</v>
      </c>
      <c r="X47" s="181">
        <f>'Fin Output'!X110</f>
        <v>0</v>
      </c>
      <c r="Y47" s="181">
        <f>'Fin Output'!Y110</f>
        <v>0</v>
      </c>
      <c r="Z47" s="181">
        <f>'Fin Output'!Z110</f>
        <v>0</v>
      </c>
      <c r="AA47" s="181">
        <f>'Fin Output'!AA110</f>
        <v>0</v>
      </c>
      <c r="AB47" s="181">
        <f>'Fin Output'!AB110</f>
        <v>0</v>
      </c>
      <c r="AC47" s="181">
        <f>'Fin Output'!AC110</f>
        <v>0</v>
      </c>
      <c r="AD47" s="181">
        <f>'Fin Output'!AD110</f>
        <v>0</v>
      </c>
      <c r="AE47" s="229"/>
      <c r="AF47" s="229"/>
      <c r="AG47" s="126"/>
      <c r="AH47" s="170"/>
      <c r="AI47" s="126"/>
      <c r="AJ47" s="179">
        <f t="shared" ca="1" si="30"/>
        <v>0</v>
      </c>
      <c r="AK47" s="179">
        <f t="shared" ca="1" si="24"/>
        <v>0</v>
      </c>
      <c r="AL47" s="179">
        <f t="shared" ca="1" si="25"/>
        <v>0</v>
      </c>
      <c r="AM47" s="179">
        <f t="shared" ca="1" si="26"/>
        <v>0</v>
      </c>
      <c r="AN47" s="179">
        <f t="shared" ca="1" si="27"/>
        <v>0</v>
      </c>
      <c r="AO47" s="126"/>
      <c r="AP47" s="181">
        <f>'Mgmt Backup'!AJ83</f>
        <v>0</v>
      </c>
      <c r="AQ47" s="181">
        <f>'Mgmt Backup'!AK83</f>
        <v>0</v>
      </c>
      <c r="AR47" s="181">
        <f>'Mgmt Backup'!AL83</f>
        <v>0</v>
      </c>
      <c r="AS47" s="181">
        <f>'Mgmt Backup'!AM83</f>
        <v>0</v>
      </c>
      <c r="AT47" s="181">
        <f>'Mgmt Backup'!AN83</f>
        <v>0</v>
      </c>
      <c r="AV47" s="333">
        <f t="shared" si="28"/>
        <v>0</v>
      </c>
      <c r="AW47" s="333">
        <f t="shared" si="28"/>
        <v>0</v>
      </c>
      <c r="AX47" s="333">
        <f t="shared" si="28"/>
        <v>0</v>
      </c>
      <c r="AY47" s="333">
        <f t="shared" si="28"/>
        <v>0</v>
      </c>
      <c r="AZ47" s="333">
        <f t="shared" si="28"/>
        <v>0</v>
      </c>
      <c r="BD47" s="224">
        <f t="shared" si="29"/>
        <v>0</v>
      </c>
      <c r="BE47" s="224">
        <f t="shared" si="29"/>
        <v>0</v>
      </c>
      <c r="BF47" s="224">
        <f t="shared" si="29"/>
        <v>0</v>
      </c>
      <c r="BG47" s="224">
        <f t="shared" si="29"/>
        <v>0</v>
      </c>
      <c r="BH47" s="224">
        <f t="shared" si="29"/>
        <v>0</v>
      </c>
    </row>
    <row r="48" spans="1:60" s="214" customFormat="1">
      <c r="A48" s="348" t="str">
        <f>'Fin Output'!A111</f>
        <v>Principal</v>
      </c>
      <c r="S48" s="179">
        <f>'Fin Output'!S111</f>
        <v>0</v>
      </c>
      <c r="T48" s="179">
        <f>'Fin Output'!T111</f>
        <v>0</v>
      </c>
      <c r="U48" s="179">
        <f>'Fin Output'!U111</f>
        <v>0</v>
      </c>
      <c r="V48" s="179">
        <f>'Fin Output'!V111</f>
        <v>0</v>
      </c>
      <c r="W48" s="179">
        <f>'Fin Output'!W111</f>
        <v>0</v>
      </c>
      <c r="X48" s="179">
        <f>'Fin Output'!X111</f>
        <v>0</v>
      </c>
      <c r="Y48" s="179">
        <f>'Fin Output'!Y111</f>
        <v>0</v>
      </c>
      <c r="Z48" s="179">
        <f>'Fin Output'!Z111</f>
        <v>0</v>
      </c>
      <c r="AA48" s="179">
        <f>'Fin Output'!AA111</f>
        <v>0</v>
      </c>
      <c r="AB48" s="179">
        <f>'Fin Output'!AB111</f>
        <v>0</v>
      </c>
      <c r="AC48" s="179">
        <f>'Fin Output'!AC111</f>
        <v>0</v>
      </c>
      <c r="AD48" s="179">
        <f>'Fin Output'!AD111</f>
        <v>0</v>
      </c>
      <c r="AE48" s="229"/>
      <c r="AF48" s="229"/>
      <c r="AG48" s="170"/>
      <c r="AH48" s="170"/>
      <c r="AI48" s="170"/>
      <c r="AJ48" s="179">
        <f t="shared" ca="1" si="30"/>
        <v>0</v>
      </c>
      <c r="AK48" s="179">
        <f t="shared" ca="1" si="24"/>
        <v>0</v>
      </c>
      <c r="AL48" s="179">
        <f t="shared" ca="1" si="25"/>
        <v>0</v>
      </c>
      <c r="AM48" s="179">
        <f t="shared" ca="1" si="26"/>
        <v>0</v>
      </c>
      <c r="AN48" s="179">
        <f t="shared" ca="1" si="27"/>
        <v>0</v>
      </c>
      <c r="AO48" s="170"/>
      <c r="AP48" s="179">
        <f>'Mgmt Backup'!AJ84</f>
        <v>0</v>
      </c>
      <c r="AQ48" s="179">
        <f>'Mgmt Backup'!AK84</f>
        <v>0</v>
      </c>
      <c r="AR48" s="179">
        <f>'Mgmt Backup'!AL84</f>
        <v>0</v>
      </c>
      <c r="AS48" s="179">
        <f>'Mgmt Backup'!AM84</f>
        <v>0</v>
      </c>
      <c r="AT48" s="179">
        <f>'Mgmt Backup'!AN84</f>
        <v>0</v>
      </c>
      <c r="AV48" s="327">
        <f t="shared" si="28"/>
        <v>0</v>
      </c>
      <c r="AW48" s="327">
        <f t="shared" si="28"/>
        <v>0</v>
      </c>
      <c r="AX48" s="327">
        <f t="shared" si="28"/>
        <v>0</v>
      </c>
      <c r="AY48" s="327">
        <f t="shared" si="28"/>
        <v>0</v>
      </c>
      <c r="AZ48" s="327">
        <f t="shared" si="28"/>
        <v>0</v>
      </c>
      <c r="BB48" s="215"/>
      <c r="BD48" s="223">
        <f t="shared" si="29"/>
        <v>0</v>
      </c>
      <c r="BE48" s="223">
        <f t="shared" si="29"/>
        <v>0</v>
      </c>
      <c r="BF48" s="223">
        <f t="shared" si="29"/>
        <v>0</v>
      </c>
      <c r="BG48" s="223">
        <f t="shared" si="29"/>
        <v>0</v>
      </c>
      <c r="BH48" s="223">
        <f t="shared" si="29"/>
        <v>0</v>
      </c>
    </row>
    <row r="49" spans="1:60">
      <c r="A49" s="350" t="str">
        <f>'Fin Output'!A112</f>
        <v>Other Liabilities</v>
      </c>
      <c r="S49" s="343">
        <f>'Fin Output'!S112</f>
        <v>0</v>
      </c>
      <c r="T49" s="343">
        <f>'Fin Output'!T112</f>
        <v>0</v>
      </c>
      <c r="U49" s="343">
        <f>'Fin Output'!U112</f>
        <v>0</v>
      </c>
      <c r="V49" s="343">
        <f>'Fin Output'!V112</f>
        <v>0</v>
      </c>
      <c r="W49" s="343">
        <f>'Fin Output'!W112</f>
        <v>0</v>
      </c>
      <c r="X49" s="343">
        <f>'Fin Output'!X112</f>
        <v>0</v>
      </c>
      <c r="Y49" s="343">
        <f>'Fin Output'!Y112</f>
        <v>0</v>
      </c>
      <c r="Z49" s="343">
        <f>'Fin Output'!Z112</f>
        <v>0</v>
      </c>
      <c r="AA49" s="343">
        <f>'Fin Output'!AA112</f>
        <v>0</v>
      </c>
      <c r="AB49" s="343">
        <f>'Fin Output'!AB112</f>
        <v>0</v>
      </c>
      <c r="AC49" s="343">
        <f>'Fin Output'!AC112</f>
        <v>0</v>
      </c>
      <c r="AD49" s="343">
        <f>'Fin Output'!AD112</f>
        <v>0</v>
      </c>
      <c r="AE49" s="229"/>
      <c r="AF49" s="229"/>
      <c r="AG49" s="126"/>
      <c r="AH49" s="170"/>
      <c r="AI49" s="126"/>
      <c r="AJ49" s="343">
        <f t="shared" ca="1" si="30"/>
        <v>0</v>
      </c>
      <c r="AK49" s="343">
        <f t="shared" ca="1" si="24"/>
        <v>0</v>
      </c>
      <c r="AL49" s="343">
        <f t="shared" ca="1" si="25"/>
        <v>0</v>
      </c>
      <c r="AM49" s="343">
        <f t="shared" ca="1" si="26"/>
        <v>0</v>
      </c>
      <c r="AN49" s="343">
        <f t="shared" ca="1" si="27"/>
        <v>0</v>
      </c>
      <c r="AO49" s="126"/>
      <c r="AP49" s="343">
        <f>'Mgmt Backup'!AJ85</f>
        <v>0</v>
      </c>
      <c r="AQ49" s="343">
        <f>'Mgmt Backup'!AK85</f>
        <v>0</v>
      </c>
      <c r="AR49" s="343">
        <f>'Mgmt Backup'!AL85</f>
        <v>0</v>
      </c>
      <c r="AS49" s="343">
        <f>'Mgmt Backup'!AM85</f>
        <v>0</v>
      </c>
      <c r="AT49" s="343">
        <f>'Mgmt Backup'!AN85</f>
        <v>0</v>
      </c>
      <c r="AV49" s="328">
        <f>AP49</f>
        <v>0</v>
      </c>
      <c r="AW49" s="328">
        <f>AQ49</f>
        <v>0</v>
      </c>
      <c r="AX49" s="328">
        <f>AR49</f>
        <v>0</v>
      </c>
      <c r="AY49" s="328">
        <f>AS49</f>
        <v>0</v>
      </c>
      <c r="AZ49" s="328">
        <f>AT49</f>
        <v>0</v>
      </c>
      <c r="BD49" s="232">
        <f>AV49</f>
        <v>0</v>
      </c>
      <c r="BE49" s="232">
        <f>AW49</f>
        <v>0</v>
      </c>
      <c r="BF49" s="232">
        <f>AX49</f>
        <v>0</v>
      </c>
      <c r="BG49" s="232">
        <f>AY49</f>
        <v>0</v>
      </c>
      <c r="BH49" s="232">
        <f>AZ49</f>
        <v>0</v>
      </c>
    </row>
    <row r="50" spans="1:60">
      <c r="A50" s="235"/>
      <c r="S50" s="167"/>
      <c r="T50" s="167"/>
      <c r="U50" s="167"/>
      <c r="V50" s="167"/>
      <c r="W50" s="167"/>
      <c r="X50" s="167"/>
      <c r="Y50" s="167"/>
      <c r="Z50" s="167"/>
      <c r="AA50" s="167"/>
      <c r="AB50" s="167"/>
      <c r="AC50" s="167"/>
      <c r="AD50" s="167"/>
      <c r="AE50" s="229"/>
      <c r="AF50" s="229"/>
    </row>
    <row r="51" spans="1:60" ht="15">
      <c r="A51" s="230"/>
      <c r="B51" s="239"/>
      <c r="C51" s="239"/>
      <c r="D51" s="239"/>
      <c r="E51" s="239"/>
      <c r="F51" s="239"/>
      <c r="G51" s="239"/>
      <c r="H51" s="239"/>
      <c r="I51" s="239"/>
      <c r="J51" s="239"/>
      <c r="K51" s="239"/>
      <c r="L51" s="239"/>
      <c r="M51" s="239"/>
      <c r="N51" s="239"/>
      <c r="O51" s="239"/>
      <c r="P51" s="239"/>
      <c r="Q51" s="239"/>
      <c r="R51" s="167"/>
      <c r="S51" s="167"/>
      <c r="T51" s="167"/>
      <c r="U51" s="167"/>
      <c r="V51" s="167"/>
      <c r="W51" s="167"/>
      <c r="X51" s="167"/>
      <c r="Y51" s="167"/>
      <c r="Z51" s="167"/>
      <c r="AA51" s="167"/>
      <c r="AB51" s="167"/>
      <c r="AC51" s="167"/>
      <c r="AD51" s="167"/>
      <c r="AE51" s="167"/>
      <c r="AF51" s="229"/>
    </row>
    <row r="52" spans="1:60" ht="15">
      <c r="A52" s="323" t="s">
        <v>531</v>
      </c>
      <c r="B52" s="760">
        <f>B$9</f>
        <v>692501</v>
      </c>
      <c r="C52" s="760">
        <f t="shared" ref="C52:AE52" si="31">C$9</f>
        <v>692867</v>
      </c>
      <c r="D52" s="760">
        <f t="shared" si="31"/>
        <v>693232</v>
      </c>
      <c r="E52" s="760">
        <f t="shared" si="31"/>
        <v>693597</v>
      </c>
      <c r="F52" s="220">
        <f t="shared" ca="1" si="31"/>
        <v>693628</v>
      </c>
      <c r="G52" s="220">
        <f t="shared" ca="1" si="31"/>
        <v>693656</v>
      </c>
      <c r="H52" s="220">
        <f t="shared" ca="1" si="31"/>
        <v>693687</v>
      </c>
      <c r="I52" s="220">
        <f t="shared" ca="1" si="31"/>
        <v>693717</v>
      </c>
      <c r="J52" s="220">
        <f t="shared" ca="1" si="31"/>
        <v>693748</v>
      </c>
      <c r="K52" s="220">
        <f t="shared" ca="1" si="31"/>
        <v>693778</v>
      </c>
      <c r="L52" s="220">
        <f t="shared" ca="1" si="31"/>
        <v>693809</v>
      </c>
      <c r="M52" s="220">
        <f t="shared" ca="1" si="31"/>
        <v>693840</v>
      </c>
      <c r="N52" s="220">
        <f t="shared" ca="1" si="31"/>
        <v>693870</v>
      </c>
      <c r="O52" s="220">
        <f t="shared" ca="1" si="31"/>
        <v>693901</v>
      </c>
      <c r="P52" s="220">
        <f t="shared" ca="1" si="31"/>
        <v>693931</v>
      </c>
      <c r="Q52" s="220">
        <f t="shared" ca="1" si="31"/>
        <v>693962</v>
      </c>
      <c r="R52" s="760">
        <f t="shared" ca="1" si="31"/>
        <v>693962</v>
      </c>
      <c r="S52" s="220">
        <f t="shared" ca="1" si="31"/>
        <v>31</v>
      </c>
      <c r="T52" s="220">
        <f t="shared" ca="1" si="31"/>
        <v>59</v>
      </c>
      <c r="U52" s="220">
        <f t="shared" ca="1" si="31"/>
        <v>91</v>
      </c>
      <c r="V52" s="220">
        <f t="shared" ca="1" si="31"/>
        <v>121</v>
      </c>
      <c r="W52" s="220">
        <f t="shared" ca="1" si="31"/>
        <v>152</v>
      </c>
      <c r="X52" s="220">
        <f t="shared" ca="1" si="31"/>
        <v>182</v>
      </c>
      <c r="Y52" s="220">
        <f t="shared" ca="1" si="31"/>
        <v>213</v>
      </c>
      <c r="Z52" s="220">
        <f t="shared" ca="1" si="31"/>
        <v>244</v>
      </c>
      <c r="AA52" s="220">
        <f t="shared" ca="1" si="31"/>
        <v>274</v>
      </c>
      <c r="AB52" s="220">
        <f t="shared" ca="1" si="31"/>
        <v>305</v>
      </c>
      <c r="AC52" s="220">
        <f t="shared" ca="1" si="31"/>
        <v>335</v>
      </c>
      <c r="AD52" s="220">
        <f t="shared" ca="1" si="31"/>
        <v>366</v>
      </c>
      <c r="AE52" s="221" t="e">
        <f t="shared" ca="1" si="31"/>
        <v>#N/A</v>
      </c>
      <c r="AF52" s="229"/>
      <c r="AH52" s="221" t="str">
        <f ca="1">AH$9</f>
        <v>'96 - '99 CAGR/Avg.</v>
      </c>
      <c r="AJ52" s="760">
        <f t="shared" ref="AJ52:AZ52" ca="1" si="32">AJ$9</f>
        <v>694327</v>
      </c>
      <c r="AK52" s="760">
        <f t="shared" ca="1" si="32"/>
        <v>694692</v>
      </c>
      <c r="AL52" s="760">
        <f t="shared" ca="1" si="32"/>
        <v>695057</v>
      </c>
      <c r="AM52" s="760">
        <f t="shared" ca="1" si="32"/>
        <v>695422</v>
      </c>
      <c r="AN52" s="760">
        <f t="shared" ca="1" si="32"/>
        <v>695787</v>
      </c>
      <c r="AP52" s="760">
        <f t="shared" ca="1" si="32"/>
        <v>694327</v>
      </c>
      <c r="AQ52" s="760">
        <f t="shared" ca="1" si="32"/>
        <v>694692</v>
      </c>
      <c r="AR52" s="760">
        <f t="shared" ca="1" si="32"/>
        <v>695057</v>
      </c>
      <c r="AS52" s="760">
        <f t="shared" ca="1" si="32"/>
        <v>695422</v>
      </c>
      <c r="AT52" s="760">
        <f t="shared" ca="1" si="32"/>
        <v>695787</v>
      </c>
      <c r="AV52" s="760">
        <f t="shared" ca="1" si="32"/>
        <v>694327</v>
      </c>
      <c r="AW52" s="760">
        <f t="shared" ca="1" si="32"/>
        <v>694692</v>
      </c>
      <c r="AX52" s="760">
        <f t="shared" ca="1" si="32"/>
        <v>695057</v>
      </c>
      <c r="AY52" s="760">
        <f t="shared" ca="1" si="32"/>
        <v>695422</v>
      </c>
      <c r="AZ52" s="760">
        <f t="shared" ca="1" si="32"/>
        <v>695787</v>
      </c>
      <c r="BD52" s="760">
        <f ca="1">BD$9</f>
        <v>694327</v>
      </c>
      <c r="BE52" s="760">
        <f ca="1">BE$9</f>
        <v>694692</v>
      </c>
      <c r="BF52" s="760">
        <f ca="1">BF$9</f>
        <v>695057</v>
      </c>
      <c r="BG52" s="760">
        <f ca="1">BG$9</f>
        <v>695422</v>
      </c>
      <c r="BH52" s="760">
        <f ca="1">BH$9</f>
        <v>695787</v>
      </c>
    </row>
    <row r="53" spans="1:60">
      <c r="A53" s="170" t="str">
        <f>'Fin Output'!A214</f>
        <v>Number of loan Officers</v>
      </c>
      <c r="B53" s="179">
        <f>'Fin Output'!B214</f>
        <v>0</v>
      </c>
      <c r="C53" s="179">
        <f>'Fin Output'!C214</f>
        <v>0</v>
      </c>
      <c r="D53" s="179">
        <f>'Fin Output'!D214</f>
        <v>0</v>
      </c>
      <c r="E53" s="179">
        <f>'Fin Output'!E214</f>
        <v>0</v>
      </c>
      <c r="F53" s="179">
        <f ca="1">'Fin Output'!F214</f>
        <v>0</v>
      </c>
      <c r="G53" s="179">
        <f ca="1">'Fin Output'!G214</f>
        <v>0</v>
      </c>
      <c r="H53" s="179">
        <f ca="1">'Fin Output'!H214</f>
        <v>0</v>
      </c>
      <c r="I53" s="179">
        <f ca="1">'Fin Output'!I214</f>
        <v>0</v>
      </c>
      <c r="J53" s="179">
        <f ca="1">'Fin Output'!J214</f>
        <v>0</v>
      </c>
      <c r="K53" s="179">
        <f ca="1">'Fin Output'!K214</f>
        <v>0</v>
      </c>
      <c r="L53" s="179">
        <f ca="1">'Fin Output'!L214</f>
        <v>0</v>
      </c>
      <c r="M53" s="179">
        <f ca="1">'Fin Output'!M214</f>
        <v>0</v>
      </c>
      <c r="N53" s="179">
        <f ca="1">'Fin Output'!N214</f>
        <v>0</v>
      </c>
      <c r="O53" s="179">
        <f ca="1">'Fin Output'!O214</f>
        <v>0</v>
      </c>
      <c r="P53" s="179">
        <f ca="1">'Fin Output'!P214</f>
        <v>0</v>
      </c>
      <c r="Q53" s="179">
        <f ca="1">'Fin Output'!Q214</f>
        <v>0</v>
      </c>
      <c r="R53" s="179">
        <f ca="1">'Fin Output'!R214</f>
        <v>0</v>
      </c>
      <c r="S53" s="179">
        <f ca="1">'Fin Output'!S214</f>
        <v>0</v>
      </c>
      <c r="T53" s="179">
        <f ca="1">'Fin Output'!T214</f>
        <v>0</v>
      </c>
      <c r="U53" s="179">
        <f ca="1">'Fin Output'!U214</f>
        <v>0</v>
      </c>
      <c r="V53" s="179">
        <f ca="1">'Fin Output'!V214</f>
        <v>0</v>
      </c>
      <c r="W53" s="179">
        <f ca="1">'Fin Output'!W214</f>
        <v>0</v>
      </c>
      <c r="X53" s="179">
        <f ca="1">'Fin Output'!X214</f>
        <v>0</v>
      </c>
      <c r="Y53" s="179">
        <f ca="1">'Fin Output'!Y214</f>
        <v>0</v>
      </c>
      <c r="Z53" s="179">
        <f ca="1">'Fin Output'!Z214</f>
        <v>0</v>
      </c>
      <c r="AA53" s="179">
        <f ca="1">'Fin Output'!AA214</f>
        <v>0</v>
      </c>
      <c r="AB53" s="179">
        <f ca="1">'Fin Output'!AB214</f>
        <v>0</v>
      </c>
      <c r="AC53" s="179">
        <f ca="1">'Fin Output'!AC214</f>
        <v>0</v>
      </c>
      <c r="AD53" s="179">
        <f ca="1">'Fin Output'!AD214</f>
        <v>0</v>
      </c>
      <c r="AE53" s="179" t="e">
        <f ca="1">'Fin Output'!AE214</f>
        <v>#N/A</v>
      </c>
      <c r="AF53" s="229"/>
      <c r="AG53" s="126"/>
      <c r="AH53" s="342">
        <f t="shared" ref="AH53:AH58" ca="1" si="33">IFERROR(RATE(3,0,-C53,R53),0)</f>
        <v>0</v>
      </c>
      <c r="AI53" s="126"/>
      <c r="AJ53" s="179">
        <f t="shared" ref="AJ53:AJ58" ca="1" si="34">CHOOSE($AM$8,$R53,$R53*(1+$AH53),AP53,AV53,BD53)</f>
        <v>0</v>
      </c>
      <c r="AK53" s="179">
        <f t="shared" ref="AK53:AN58" ca="1" si="35">CHOOSE($AM$8,$R53,AJ53*(1+$AH53),AQ53,AW53,BE53)</f>
        <v>0</v>
      </c>
      <c r="AL53" s="179">
        <f t="shared" ca="1" si="35"/>
        <v>0</v>
      </c>
      <c r="AM53" s="179">
        <f t="shared" ca="1" si="35"/>
        <v>0</v>
      </c>
      <c r="AN53" s="179">
        <f t="shared" ca="1" si="35"/>
        <v>0</v>
      </c>
      <c r="AO53" s="126"/>
      <c r="AP53" s="179">
        <f>'Hist &amp; Proj'!AH115</f>
        <v>0</v>
      </c>
      <c r="AQ53" s="179">
        <f>'Hist &amp; Proj'!AI115</f>
        <v>0</v>
      </c>
      <c r="AR53" s="179">
        <f>'Hist &amp; Proj'!AJ115</f>
        <v>0</v>
      </c>
      <c r="AS53" s="179">
        <f>'Hist &amp; Proj'!AK115</f>
        <v>0</v>
      </c>
      <c r="AT53" s="179">
        <f>'Hist &amp; Proj'!AL115</f>
        <v>0</v>
      </c>
      <c r="AV53" s="327">
        <f t="shared" ref="AV53:AV58" si="36">AP53</f>
        <v>0</v>
      </c>
      <c r="AW53" s="327">
        <f t="shared" ref="AW53:AW58" si="37">AQ53</f>
        <v>0</v>
      </c>
      <c r="AX53" s="327">
        <f t="shared" ref="AX53:AX58" si="38">AR53</f>
        <v>0</v>
      </c>
      <c r="AY53" s="327">
        <f t="shared" ref="AY53:AY58" si="39">AS53</f>
        <v>0</v>
      </c>
      <c r="AZ53" s="327">
        <f t="shared" ref="AZ53:AZ58" si="40">AT53</f>
        <v>0</v>
      </c>
      <c r="BD53" s="223">
        <f t="shared" ref="BD53:BD58" si="41">AV53</f>
        <v>0</v>
      </c>
      <c r="BE53" s="223">
        <f t="shared" ref="BE53:BE58" si="42">AW53</f>
        <v>0</v>
      </c>
      <c r="BF53" s="223">
        <f t="shared" ref="BF53:BF58" si="43">AX53</f>
        <v>0</v>
      </c>
      <c r="BG53" s="223">
        <f t="shared" ref="BG53:BG58" si="44">AY53</f>
        <v>0</v>
      </c>
      <c r="BH53" s="223">
        <f t="shared" ref="BH53:BH58" si="45">AZ53</f>
        <v>0</v>
      </c>
    </row>
    <row r="54" spans="1:60">
      <c r="A54" s="170" t="str">
        <f>'Fin Output'!A215</f>
        <v>Number of Employees</v>
      </c>
      <c r="B54" s="179">
        <f>'Fin Output'!B215</f>
        <v>0</v>
      </c>
      <c r="C54" s="179">
        <f>'Fin Output'!C215</f>
        <v>0</v>
      </c>
      <c r="D54" s="179">
        <f>'Fin Output'!D215</f>
        <v>0</v>
      </c>
      <c r="E54" s="179">
        <f>'Fin Output'!E215</f>
        <v>0</v>
      </c>
      <c r="F54" s="179">
        <f ca="1">'Fin Output'!F215</f>
        <v>0</v>
      </c>
      <c r="G54" s="179">
        <f ca="1">'Fin Output'!G215</f>
        <v>0</v>
      </c>
      <c r="H54" s="179">
        <f ca="1">'Fin Output'!H215</f>
        <v>0</v>
      </c>
      <c r="I54" s="179">
        <f ca="1">'Fin Output'!I215</f>
        <v>0</v>
      </c>
      <c r="J54" s="179">
        <f ca="1">'Fin Output'!J215</f>
        <v>0</v>
      </c>
      <c r="K54" s="179">
        <f ca="1">'Fin Output'!K215</f>
        <v>0</v>
      </c>
      <c r="L54" s="179">
        <f ca="1">'Fin Output'!L215</f>
        <v>0</v>
      </c>
      <c r="M54" s="179">
        <f ca="1">'Fin Output'!M215</f>
        <v>0</v>
      </c>
      <c r="N54" s="179">
        <f ca="1">'Fin Output'!N215</f>
        <v>0</v>
      </c>
      <c r="O54" s="179">
        <f ca="1">'Fin Output'!O215</f>
        <v>0</v>
      </c>
      <c r="P54" s="179">
        <f ca="1">'Fin Output'!P215</f>
        <v>0</v>
      </c>
      <c r="Q54" s="179">
        <f ca="1">'Fin Output'!Q215</f>
        <v>0</v>
      </c>
      <c r="R54" s="179">
        <f ca="1">'Fin Output'!R215</f>
        <v>0</v>
      </c>
      <c r="S54" s="179">
        <f ca="1">'Fin Output'!S215</f>
        <v>0</v>
      </c>
      <c r="T54" s="179">
        <f ca="1">'Fin Output'!T215</f>
        <v>0</v>
      </c>
      <c r="U54" s="179">
        <f ca="1">'Fin Output'!U215</f>
        <v>0</v>
      </c>
      <c r="V54" s="179">
        <f ca="1">'Fin Output'!V215</f>
        <v>0</v>
      </c>
      <c r="W54" s="179">
        <f ca="1">'Fin Output'!W215</f>
        <v>0</v>
      </c>
      <c r="X54" s="179">
        <f ca="1">'Fin Output'!X215</f>
        <v>0</v>
      </c>
      <c r="Y54" s="179">
        <f ca="1">'Fin Output'!Y215</f>
        <v>0</v>
      </c>
      <c r="Z54" s="179">
        <f ca="1">'Fin Output'!Z215</f>
        <v>0</v>
      </c>
      <c r="AA54" s="179">
        <f ca="1">'Fin Output'!AA215</f>
        <v>0</v>
      </c>
      <c r="AB54" s="179">
        <f ca="1">'Fin Output'!AB215</f>
        <v>0</v>
      </c>
      <c r="AC54" s="179">
        <f ca="1">'Fin Output'!AC215</f>
        <v>0</v>
      </c>
      <c r="AD54" s="179">
        <f ca="1">'Fin Output'!AD215</f>
        <v>0</v>
      </c>
      <c r="AE54" s="179" t="e">
        <f ca="1">'Fin Output'!AE215</f>
        <v>#N/A</v>
      </c>
      <c r="AF54" s="229"/>
      <c r="AG54" s="126"/>
      <c r="AH54" s="342">
        <f t="shared" ca="1" si="33"/>
        <v>0</v>
      </c>
      <c r="AI54" s="126"/>
      <c r="AJ54" s="179">
        <f t="shared" ca="1" si="34"/>
        <v>0</v>
      </c>
      <c r="AK54" s="179">
        <f t="shared" ca="1" si="35"/>
        <v>0</v>
      </c>
      <c r="AL54" s="179">
        <f t="shared" ca="1" si="35"/>
        <v>0</v>
      </c>
      <c r="AM54" s="179">
        <f t="shared" ca="1" si="35"/>
        <v>0</v>
      </c>
      <c r="AN54" s="179">
        <f t="shared" ca="1" si="35"/>
        <v>0</v>
      </c>
      <c r="AO54" s="126"/>
      <c r="AP54" s="179">
        <f>'Hist &amp; Proj'!AH116</f>
        <v>0</v>
      </c>
      <c r="AQ54" s="179">
        <f>'Hist &amp; Proj'!AI116</f>
        <v>0</v>
      </c>
      <c r="AR54" s="179">
        <f>'Hist &amp; Proj'!AJ116</f>
        <v>0</v>
      </c>
      <c r="AS54" s="179">
        <f>'Hist &amp; Proj'!AK116</f>
        <v>0</v>
      </c>
      <c r="AT54" s="179">
        <f>'Hist &amp; Proj'!AL116</f>
        <v>0</v>
      </c>
      <c r="AV54" s="327">
        <f t="shared" si="36"/>
        <v>0</v>
      </c>
      <c r="AW54" s="327">
        <f t="shared" si="37"/>
        <v>0</v>
      </c>
      <c r="AX54" s="327">
        <f t="shared" si="38"/>
        <v>0</v>
      </c>
      <c r="AY54" s="327">
        <f t="shared" si="39"/>
        <v>0</v>
      </c>
      <c r="AZ54" s="327">
        <f t="shared" si="40"/>
        <v>0</v>
      </c>
      <c r="BD54" s="223">
        <f t="shared" si="41"/>
        <v>0</v>
      </c>
      <c r="BE54" s="223">
        <f t="shared" si="42"/>
        <v>0</v>
      </c>
      <c r="BF54" s="223">
        <f t="shared" si="43"/>
        <v>0</v>
      </c>
      <c r="BG54" s="223">
        <f t="shared" si="44"/>
        <v>0</v>
      </c>
      <c r="BH54" s="223">
        <f t="shared" si="45"/>
        <v>0</v>
      </c>
    </row>
    <row r="55" spans="1:60">
      <c r="A55" s="170" t="str">
        <f>'Fin Output'!A216</f>
        <v>Number of Branches</v>
      </c>
      <c r="B55" s="179">
        <f>'Fin Output'!B216</f>
        <v>0</v>
      </c>
      <c r="C55" s="179">
        <f>'Fin Output'!C216</f>
        <v>0</v>
      </c>
      <c r="D55" s="179">
        <f>'Fin Output'!D216</f>
        <v>0</v>
      </c>
      <c r="E55" s="179">
        <f>'Fin Output'!E216</f>
        <v>0</v>
      </c>
      <c r="F55" s="179">
        <f ca="1">'Fin Output'!F216</f>
        <v>0</v>
      </c>
      <c r="G55" s="179">
        <f ca="1">'Fin Output'!G216</f>
        <v>0</v>
      </c>
      <c r="H55" s="179">
        <f ca="1">'Fin Output'!H216</f>
        <v>0</v>
      </c>
      <c r="I55" s="179">
        <f ca="1">'Fin Output'!I216</f>
        <v>0</v>
      </c>
      <c r="J55" s="179">
        <f ca="1">'Fin Output'!J216</f>
        <v>0</v>
      </c>
      <c r="K55" s="179">
        <f ca="1">'Fin Output'!K216</f>
        <v>0</v>
      </c>
      <c r="L55" s="179">
        <f ca="1">'Fin Output'!L216</f>
        <v>0</v>
      </c>
      <c r="M55" s="179">
        <f ca="1">'Fin Output'!M216</f>
        <v>0</v>
      </c>
      <c r="N55" s="179">
        <f ca="1">'Fin Output'!N216</f>
        <v>0</v>
      </c>
      <c r="O55" s="179">
        <f ca="1">'Fin Output'!O216</f>
        <v>0</v>
      </c>
      <c r="P55" s="179">
        <f ca="1">'Fin Output'!P216</f>
        <v>0</v>
      </c>
      <c r="Q55" s="179">
        <f ca="1">'Fin Output'!Q216</f>
        <v>0</v>
      </c>
      <c r="R55" s="179">
        <f ca="1">'Fin Output'!R216</f>
        <v>0</v>
      </c>
      <c r="S55" s="179">
        <f ca="1">'Fin Output'!S216</f>
        <v>0</v>
      </c>
      <c r="T55" s="179">
        <f ca="1">'Fin Output'!T216</f>
        <v>0</v>
      </c>
      <c r="U55" s="179">
        <f ca="1">'Fin Output'!U216</f>
        <v>0</v>
      </c>
      <c r="V55" s="179">
        <f ca="1">'Fin Output'!V216</f>
        <v>0</v>
      </c>
      <c r="W55" s="179">
        <f ca="1">'Fin Output'!W216</f>
        <v>0</v>
      </c>
      <c r="X55" s="179">
        <f ca="1">'Fin Output'!X216</f>
        <v>0</v>
      </c>
      <c r="Y55" s="179">
        <f ca="1">'Fin Output'!Y216</f>
        <v>0</v>
      </c>
      <c r="Z55" s="179">
        <f ca="1">'Fin Output'!Z216</f>
        <v>0</v>
      </c>
      <c r="AA55" s="179">
        <f ca="1">'Fin Output'!AA216</f>
        <v>0</v>
      </c>
      <c r="AB55" s="179">
        <f ca="1">'Fin Output'!AB216</f>
        <v>0</v>
      </c>
      <c r="AC55" s="179">
        <f ca="1">'Fin Output'!AC216</f>
        <v>0</v>
      </c>
      <c r="AD55" s="179">
        <f ca="1">'Fin Output'!AD216</f>
        <v>0</v>
      </c>
      <c r="AE55" s="179" t="e">
        <f ca="1">'Fin Output'!AE216</f>
        <v>#N/A</v>
      </c>
      <c r="AF55" s="229"/>
      <c r="AG55" s="126"/>
      <c r="AH55" s="342">
        <f t="shared" ca="1" si="33"/>
        <v>0</v>
      </c>
      <c r="AI55" s="126"/>
      <c r="AJ55" s="179">
        <f t="shared" ca="1" si="34"/>
        <v>0</v>
      </c>
      <c r="AK55" s="179">
        <f t="shared" ca="1" si="35"/>
        <v>0</v>
      </c>
      <c r="AL55" s="179">
        <f t="shared" ca="1" si="35"/>
        <v>0</v>
      </c>
      <c r="AM55" s="179">
        <f t="shared" ca="1" si="35"/>
        <v>0</v>
      </c>
      <c r="AN55" s="179">
        <f t="shared" ca="1" si="35"/>
        <v>0</v>
      </c>
      <c r="AO55" s="126"/>
      <c r="AP55" s="179">
        <f>'Hist &amp; Proj'!AH117</f>
        <v>0</v>
      </c>
      <c r="AQ55" s="179">
        <f>'Hist &amp; Proj'!AI117</f>
        <v>0</v>
      </c>
      <c r="AR55" s="179">
        <f>'Hist &amp; Proj'!AJ117</f>
        <v>0</v>
      </c>
      <c r="AS55" s="179">
        <f>'Hist &amp; Proj'!AK117</f>
        <v>0</v>
      </c>
      <c r="AT55" s="179">
        <f>'Hist &amp; Proj'!AL117</f>
        <v>0</v>
      </c>
      <c r="AV55" s="327">
        <f t="shared" si="36"/>
        <v>0</v>
      </c>
      <c r="AW55" s="327">
        <f t="shared" si="37"/>
        <v>0</v>
      </c>
      <c r="AX55" s="327">
        <f t="shared" si="38"/>
        <v>0</v>
      </c>
      <c r="AY55" s="327">
        <f t="shared" si="39"/>
        <v>0</v>
      </c>
      <c r="AZ55" s="327">
        <f t="shared" si="40"/>
        <v>0</v>
      </c>
      <c r="BD55" s="223">
        <f t="shared" si="41"/>
        <v>0</v>
      </c>
      <c r="BE55" s="223">
        <f t="shared" si="42"/>
        <v>0</v>
      </c>
      <c r="BF55" s="223">
        <f t="shared" si="43"/>
        <v>0</v>
      </c>
      <c r="BG55" s="223">
        <f t="shared" si="44"/>
        <v>0</v>
      </c>
      <c r="BH55" s="223">
        <f t="shared" si="45"/>
        <v>0</v>
      </c>
    </row>
    <row r="56" spans="1:60">
      <c r="A56" s="170" t="str">
        <f>'Fin Output'!A217</f>
        <v>Number of Loans Outstanding</v>
      </c>
      <c r="B56" s="179">
        <f>'Fin Output'!B217</f>
        <v>0</v>
      </c>
      <c r="C56" s="179">
        <f>'Fin Output'!C217</f>
        <v>0</v>
      </c>
      <c r="D56" s="179">
        <f>'Fin Output'!D217</f>
        <v>0</v>
      </c>
      <c r="E56" s="179">
        <f>'Fin Output'!E217</f>
        <v>0</v>
      </c>
      <c r="F56" s="179">
        <f ca="1">'Fin Output'!F217</f>
        <v>0</v>
      </c>
      <c r="G56" s="179">
        <f ca="1">'Fin Output'!G217</f>
        <v>0</v>
      </c>
      <c r="H56" s="179">
        <f ca="1">'Fin Output'!H217</f>
        <v>0</v>
      </c>
      <c r="I56" s="179">
        <f ca="1">'Fin Output'!I217</f>
        <v>0</v>
      </c>
      <c r="J56" s="179">
        <f ca="1">'Fin Output'!J217</f>
        <v>0</v>
      </c>
      <c r="K56" s="179">
        <f ca="1">'Fin Output'!K217</f>
        <v>0</v>
      </c>
      <c r="L56" s="179">
        <f ca="1">'Fin Output'!L217</f>
        <v>0</v>
      </c>
      <c r="M56" s="179">
        <f ca="1">'Fin Output'!M217</f>
        <v>0</v>
      </c>
      <c r="N56" s="179">
        <f ca="1">'Fin Output'!N217</f>
        <v>0</v>
      </c>
      <c r="O56" s="179">
        <f ca="1">'Fin Output'!O217</f>
        <v>0</v>
      </c>
      <c r="P56" s="179">
        <f ca="1">'Fin Output'!P217</f>
        <v>0</v>
      </c>
      <c r="Q56" s="179">
        <f ca="1">'Fin Output'!Q217</f>
        <v>0</v>
      </c>
      <c r="R56" s="179">
        <f ca="1">'Fin Output'!R217</f>
        <v>0</v>
      </c>
      <c r="S56" s="179">
        <f ca="1">'Fin Output'!S217</f>
        <v>0</v>
      </c>
      <c r="T56" s="179">
        <f ca="1">'Fin Output'!T217</f>
        <v>0</v>
      </c>
      <c r="U56" s="179">
        <f ca="1">'Fin Output'!U217</f>
        <v>0</v>
      </c>
      <c r="V56" s="179">
        <f ca="1">'Fin Output'!V217</f>
        <v>0</v>
      </c>
      <c r="W56" s="179">
        <f ca="1">'Fin Output'!W217</f>
        <v>0</v>
      </c>
      <c r="X56" s="179">
        <f ca="1">'Fin Output'!X217</f>
        <v>0</v>
      </c>
      <c r="Y56" s="179">
        <f ca="1">'Fin Output'!Y217</f>
        <v>0</v>
      </c>
      <c r="Z56" s="179">
        <f ca="1">'Fin Output'!Z217</f>
        <v>0</v>
      </c>
      <c r="AA56" s="179">
        <f ca="1">'Fin Output'!AA217</f>
        <v>0</v>
      </c>
      <c r="AB56" s="179">
        <f ca="1">'Fin Output'!AB217</f>
        <v>0</v>
      </c>
      <c r="AC56" s="179">
        <f ca="1">'Fin Output'!AC217</f>
        <v>0</v>
      </c>
      <c r="AD56" s="179">
        <f ca="1">'Fin Output'!AD217</f>
        <v>0</v>
      </c>
      <c r="AE56" s="179" t="e">
        <f ca="1">'Fin Output'!AE217</f>
        <v>#N/A</v>
      </c>
      <c r="AF56" s="229"/>
      <c r="AG56" s="126"/>
      <c r="AH56" s="342">
        <f t="shared" ca="1" si="33"/>
        <v>0</v>
      </c>
      <c r="AI56" s="126"/>
      <c r="AJ56" s="179">
        <f t="shared" ca="1" si="34"/>
        <v>0</v>
      </c>
      <c r="AK56" s="179">
        <f t="shared" ca="1" si="35"/>
        <v>0</v>
      </c>
      <c r="AL56" s="179">
        <f t="shared" ca="1" si="35"/>
        <v>0</v>
      </c>
      <c r="AM56" s="179">
        <f t="shared" ca="1" si="35"/>
        <v>0</v>
      </c>
      <c r="AN56" s="179">
        <f t="shared" ca="1" si="35"/>
        <v>0</v>
      </c>
      <c r="AO56" s="126"/>
      <c r="AP56" s="179">
        <f>'Hist &amp; Proj'!AH118</f>
        <v>0</v>
      </c>
      <c r="AQ56" s="179">
        <f>'Hist &amp; Proj'!AI118</f>
        <v>0</v>
      </c>
      <c r="AR56" s="179">
        <f>'Hist &amp; Proj'!AJ118</f>
        <v>0</v>
      </c>
      <c r="AS56" s="179">
        <f>'Hist &amp; Proj'!AK118</f>
        <v>0</v>
      </c>
      <c r="AT56" s="179">
        <f>'Hist &amp; Proj'!AL118</f>
        <v>0</v>
      </c>
      <c r="AV56" s="327">
        <f t="shared" si="36"/>
        <v>0</v>
      </c>
      <c r="AW56" s="327">
        <f t="shared" si="37"/>
        <v>0</v>
      </c>
      <c r="AX56" s="327">
        <f t="shared" si="38"/>
        <v>0</v>
      </c>
      <c r="AY56" s="327">
        <f t="shared" si="39"/>
        <v>0</v>
      </c>
      <c r="AZ56" s="327">
        <f t="shared" si="40"/>
        <v>0</v>
      </c>
      <c r="BD56" s="223">
        <f t="shared" si="41"/>
        <v>0</v>
      </c>
      <c r="BE56" s="223">
        <f t="shared" si="42"/>
        <v>0</v>
      </c>
      <c r="BF56" s="223">
        <f t="shared" si="43"/>
        <v>0</v>
      </c>
      <c r="BG56" s="223">
        <f t="shared" si="44"/>
        <v>0</v>
      </c>
      <c r="BH56" s="223">
        <f t="shared" si="45"/>
        <v>0</v>
      </c>
    </row>
    <row r="57" spans="1:60">
      <c r="A57" s="170" t="str">
        <f>'Fin Output'!A218</f>
        <v>Number of Active Borrowers</v>
      </c>
      <c r="B57" s="179">
        <f>'Fin Output'!B218</f>
        <v>0</v>
      </c>
      <c r="C57" s="179">
        <f>'Fin Output'!C218</f>
        <v>0</v>
      </c>
      <c r="D57" s="179">
        <f>'Fin Output'!D218</f>
        <v>0</v>
      </c>
      <c r="E57" s="179">
        <f>'Fin Output'!E218</f>
        <v>0</v>
      </c>
      <c r="F57" s="179">
        <f ca="1">'Fin Output'!F218</f>
        <v>0</v>
      </c>
      <c r="G57" s="179">
        <f ca="1">'Fin Output'!G218</f>
        <v>0</v>
      </c>
      <c r="H57" s="179">
        <f ca="1">'Fin Output'!H218</f>
        <v>0</v>
      </c>
      <c r="I57" s="179">
        <f ca="1">'Fin Output'!I218</f>
        <v>0</v>
      </c>
      <c r="J57" s="179">
        <f ca="1">'Fin Output'!J218</f>
        <v>0</v>
      </c>
      <c r="K57" s="179">
        <f ca="1">'Fin Output'!K218</f>
        <v>0</v>
      </c>
      <c r="L57" s="179">
        <f ca="1">'Fin Output'!L218</f>
        <v>0</v>
      </c>
      <c r="M57" s="179">
        <f ca="1">'Fin Output'!M218</f>
        <v>0</v>
      </c>
      <c r="N57" s="179">
        <f ca="1">'Fin Output'!N218</f>
        <v>0</v>
      </c>
      <c r="O57" s="179">
        <f ca="1">'Fin Output'!O218</f>
        <v>0</v>
      </c>
      <c r="P57" s="179">
        <f ca="1">'Fin Output'!P218</f>
        <v>0</v>
      </c>
      <c r="Q57" s="179">
        <f ca="1">'Fin Output'!Q218</f>
        <v>0</v>
      </c>
      <c r="R57" s="179">
        <f ca="1">'Fin Output'!R218</f>
        <v>0</v>
      </c>
      <c r="S57" s="179">
        <f ca="1">'Fin Output'!S218</f>
        <v>0</v>
      </c>
      <c r="T57" s="179">
        <f ca="1">'Fin Output'!T218</f>
        <v>0</v>
      </c>
      <c r="U57" s="179">
        <f ca="1">'Fin Output'!U218</f>
        <v>0</v>
      </c>
      <c r="V57" s="179">
        <f ca="1">'Fin Output'!V218</f>
        <v>0</v>
      </c>
      <c r="W57" s="179">
        <f ca="1">'Fin Output'!W218</f>
        <v>0</v>
      </c>
      <c r="X57" s="179">
        <f ca="1">'Fin Output'!X218</f>
        <v>0</v>
      </c>
      <c r="Y57" s="179">
        <f ca="1">'Fin Output'!Y218</f>
        <v>0</v>
      </c>
      <c r="Z57" s="179">
        <f ca="1">'Fin Output'!Z218</f>
        <v>0</v>
      </c>
      <c r="AA57" s="179">
        <f ca="1">'Fin Output'!AA218</f>
        <v>0</v>
      </c>
      <c r="AB57" s="179">
        <f ca="1">'Fin Output'!AB218</f>
        <v>0</v>
      </c>
      <c r="AC57" s="179">
        <f ca="1">'Fin Output'!AC218</f>
        <v>0</v>
      </c>
      <c r="AD57" s="179">
        <f ca="1">'Fin Output'!AD218</f>
        <v>0</v>
      </c>
      <c r="AE57" s="179" t="e">
        <f ca="1">'Fin Output'!AE218</f>
        <v>#N/A</v>
      </c>
      <c r="AF57" s="170"/>
      <c r="AG57" s="126"/>
      <c r="AH57" s="342">
        <f t="shared" ca="1" si="33"/>
        <v>0</v>
      </c>
      <c r="AI57" s="126"/>
      <c r="AJ57" s="179">
        <f t="shared" ca="1" si="34"/>
        <v>0</v>
      </c>
      <c r="AK57" s="179">
        <f t="shared" ca="1" si="35"/>
        <v>0</v>
      </c>
      <c r="AL57" s="179">
        <f t="shared" ca="1" si="35"/>
        <v>0</v>
      </c>
      <c r="AM57" s="179">
        <f t="shared" ca="1" si="35"/>
        <v>0</v>
      </c>
      <c r="AN57" s="179">
        <f t="shared" ca="1" si="35"/>
        <v>0</v>
      </c>
      <c r="AO57" s="126"/>
      <c r="AP57" s="179">
        <f>'Hist &amp; Proj'!AH119</f>
        <v>0</v>
      </c>
      <c r="AQ57" s="179">
        <f>'Hist &amp; Proj'!AI119</f>
        <v>0</v>
      </c>
      <c r="AR57" s="179">
        <f>'Hist &amp; Proj'!AJ119</f>
        <v>0</v>
      </c>
      <c r="AS57" s="179">
        <f>'Hist &amp; Proj'!AK119</f>
        <v>0</v>
      </c>
      <c r="AT57" s="179">
        <f>'Hist &amp; Proj'!AL119</f>
        <v>0</v>
      </c>
      <c r="AV57" s="327">
        <f t="shared" si="36"/>
        <v>0</v>
      </c>
      <c r="AW57" s="327">
        <f t="shared" si="37"/>
        <v>0</v>
      </c>
      <c r="AX57" s="327">
        <f t="shared" si="38"/>
        <v>0</v>
      </c>
      <c r="AY57" s="327">
        <f t="shared" si="39"/>
        <v>0</v>
      </c>
      <c r="AZ57" s="327">
        <f t="shared" si="40"/>
        <v>0</v>
      </c>
      <c r="BD57" s="223">
        <f t="shared" si="41"/>
        <v>0</v>
      </c>
      <c r="BE57" s="223">
        <f t="shared" si="42"/>
        <v>0</v>
      </c>
      <c r="BF57" s="223">
        <f t="shared" si="43"/>
        <v>0</v>
      </c>
      <c r="BG57" s="223">
        <f t="shared" si="44"/>
        <v>0</v>
      </c>
      <c r="BH57" s="223">
        <f t="shared" si="45"/>
        <v>0</v>
      </c>
    </row>
    <row r="58" spans="1:60">
      <c r="A58" s="352" t="str">
        <f>'Fin Output'!A219</f>
        <v>Number of Voluntary Savers/Depositors</v>
      </c>
      <c r="B58" s="343">
        <f>'Fin Output'!B219</f>
        <v>0</v>
      </c>
      <c r="C58" s="343">
        <f>'Fin Output'!C219</f>
        <v>0</v>
      </c>
      <c r="D58" s="343">
        <f>'Fin Output'!D219</f>
        <v>0</v>
      </c>
      <c r="E58" s="343">
        <f>'Fin Output'!E219</f>
        <v>0</v>
      </c>
      <c r="F58" s="343">
        <f ca="1">'Fin Output'!F219</f>
        <v>0</v>
      </c>
      <c r="G58" s="343">
        <f ca="1">'Fin Output'!G219</f>
        <v>0</v>
      </c>
      <c r="H58" s="343">
        <f ca="1">'Fin Output'!H219</f>
        <v>0</v>
      </c>
      <c r="I58" s="343">
        <f ca="1">'Fin Output'!I219</f>
        <v>0</v>
      </c>
      <c r="J58" s="343">
        <f ca="1">'Fin Output'!J219</f>
        <v>0</v>
      </c>
      <c r="K58" s="343">
        <f ca="1">'Fin Output'!K219</f>
        <v>0</v>
      </c>
      <c r="L58" s="343">
        <f ca="1">'Fin Output'!L219</f>
        <v>0</v>
      </c>
      <c r="M58" s="343">
        <f ca="1">'Fin Output'!M219</f>
        <v>0</v>
      </c>
      <c r="N58" s="343">
        <f ca="1">'Fin Output'!N219</f>
        <v>0</v>
      </c>
      <c r="O58" s="343">
        <f ca="1">'Fin Output'!O219</f>
        <v>0</v>
      </c>
      <c r="P58" s="343">
        <f ca="1">'Fin Output'!P219</f>
        <v>0</v>
      </c>
      <c r="Q58" s="343">
        <f ca="1">'Fin Output'!Q219</f>
        <v>0</v>
      </c>
      <c r="R58" s="343">
        <f ca="1">'Fin Output'!R219</f>
        <v>0</v>
      </c>
      <c r="S58" s="343">
        <f ca="1">'Fin Output'!S219</f>
        <v>0</v>
      </c>
      <c r="T58" s="343">
        <f ca="1">'Fin Output'!T219</f>
        <v>0</v>
      </c>
      <c r="U58" s="343">
        <f ca="1">'Fin Output'!U219</f>
        <v>0</v>
      </c>
      <c r="V58" s="343">
        <f ca="1">'Fin Output'!V219</f>
        <v>0</v>
      </c>
      <c r="W58" s="343">
        <f ca="1">'Fin Output'!W219</f>
        <v>0</v>
      </c>
      <c r="X58" s="343">
        <f ca="1">'Fin Output'!X219</f>
        <v>0</v>
      </c>
      <c r="Y58" s="343">
        <f ca="1">'Fin Output'!Y219</f>
        <v>0</v>
      </c>
      <c r="Z58" s="343">
        <f ca="1">'Fin Output'!Z219</f>
        <v>0</v>
      </c>
      <c r="AA58" s="343">
        <f ca="1">'Fin Output'!AA219</f>
        <v>0</v>
      </c>
      <c r="AB58" s="343">
        <f ca="1">'Fin Output'!AB219</f>
        <v>0</v>
      </c>
      <c r="AC58" s="343">
        <f ca="1">'Fin Output'!AC219</f>
        <v>0</v>
      </c>
      <c r="AD58" s="343">
        <f ca="1">'Fin Output'!AD219</f>
        <v>0</v>
      </c>
      <c r="AE58" s="343" t="e">
        <f ca="1">'Fin Output'!AE219</f>
        <v>#N/A</v>
      </c>
      <c r="AF58" s="170"/>
      <c r="AG58" s="126"/>
      <c r="AH58" s="345">
        <f t="shared" ca="1" si="33"/>
        <v>0</v>
      </c>
      <c r="AI58" s="126"/>
      <c r="AJ58" s="343">
        <f t="shared" ca="1" si="34"/>
        <v>0</v>
      </c>
      <c r="AK58" s="343">
        <f t="shared" ca="1" si="35"/>
        <v>0</v>
      </c>
      <c r="AL58" s="343">
        <f t="shared" ca="1" si="35"/>
        <v>0</v>
      </c>
      <c r="AM58" s="343">
        <f t="shared" ca="1" si="35"/>
        <v>0</v>
      </c>
      <c r="AN58" s="343">
        <f t="shared" ca="1" si="35"/>
        <v>0</v>
      </c>
      <c r="AO58" s="126"/>
      <c r="AP58" s="343">
        <f>'Hist &amp; Proj'!AH120</f>
        <v>0</v>
      </c>
      <c r="AQ58" s="343">
        <f>'Hist &amp; Proj'!AI120</f>
        <v>0</v>
      </c>
      <c r="AR58" s="343">
        <f>'Hist &amp; Proj'!AJ120</f>
        <v>0</v>
      </c>
      <c r="AS58" s="343">
        <f>'Hist &amp; Proj'!AK120</f>
        <v>0</v>
      </c>
      <c r="AT58" s="343">
        <f>'Hist &amp; Proj'!AL120</f>
        <v>0</v>
      </c>
      <c r="AV58" s="328">
        <f t="shared" si="36"/>
        <v>0</v>
      </c>
      <c r="AW58" s="328">
        <f t="shared" si="37"/>
        <v>0</v>
      </c>
      <c r="AX58" s="328">
        <f t="shared" si="38"/>
        <v>0</v>
      </c>
      <c r="AY58" s="328">
        <f t="shared" si="39"/>
        <v>0</v>
      </c>
      <c r="AZ58" s="328">
        <f t="shared" si="40"/>
        <v>0</v>
      </c>
      <c r="BD58" s="232">
        <f t="shared" si="41"/>
        <v>0</v>
      </c>
      <c r="BE58" s="232">
        <f t="shared" si="42"/>
        <v>0</v>
      </c>
      <c r="BF58" s="232">
        <f t="shared" si="43"/>
        <v>0</v>
      </c>
      <c r="BG58" s="232">
        <f t="shared" si="44"/>
        <v>0</v>
      </c>
      <c r="BH58" s="232">
        <f t="shared" si="45"/>
        <v>0</v>
      </c>
    </row>
    <row r="59" spans="1:60">
      <c r="A59" s="235"/>
      <c r="B59" s="239"/>
      <c r="C59" s="239"/>
      <c r="D59" s="239"/>
      <c r="E59" s="239"/>
      <c r="F59" s="239"/>
      <c r="G59" s="239"/>
      <c r="H59" s="239"/>
      <c r="I59" s="239"/>
      <c r="J59" s="239"/>
      <c r="K59" s="239"/>
      <c r="L59" s="239"/>
      <c r="M59" s="239"/>
      <c r="N59" s="239"/>
      <c r="O59" s="239"/>
      <c r="P59" s="239"/>
      <c r="Q59" s="239"/>
      <c r="R59" s="167"/>
      <c r="S59" s="167"/>
      <c r="T59" s="167"/>
      <c r="U59" s="167"/>
      <c r="V59" s="167"/>
      <c r="W59" s="167"/>
      <c r="X59" s="167"/>
      <c r="Y59" s="167"/>
      <c r="Z59" s="167"/>
      <c r="AA59" s="167"/>
      <c r="AB59" s="167"/>
      <c r="AC59" s="167"/>
      <c r="AD59" s="167"/>
      <c r="AE59" s="167"/>
      <c r="AJ59" s="167"/>
      <c r="AK59" s="167"/>
      <c r="AL59" s="167"/>
      <c r="AM59" s="167"/>
      <c r="AN59" s="167"/>
      <c r="AP59" s="167"/>
      <c r="AQ59" s="167"/>
      <c r="AR59" s="167"/>
      <c r="AS59" s="167"/>
      <c r="AT59" s="167"/>
      <c r="AV59" s="167"/>
      <c r="AW59" s="167"/>
      <c r="AX59" s="167"/>
      <c r="AY59" s="167"/>
      <c r="AZ59" s="167"/>
      <c r="BD59" s="167"/>
      <c r="BE59" s="167"/>
      <c r="BF59" s="167"/>
      <c r="BG59" s="167"/>
      <c r="BH59" s="167"/>
    </row>
  </sheetData>
  <dataConsolidate/>
  <mergeCells count="2">
    <mergeCell ref="AL7:AM7"/>
    <mergeCell ref="AL6:AM6"/>
  </mergeCells>
  <conditionalFormatting sqref="AH26 AH28 AH53:AH58 AH12:AH15">
    <cfRule type="cellIs" dxfId="14" priority="7" stopIfTrue="1" operator="equal">
      <formula>0</formula>
    </cfRule>
  </conditionalFormatting>
  <dataValidations count="3">
    <dataValidation type="list" allowBlank="1" showInputMessage="1" showErrorMessage="1" sqref="AL7">
      <formula1>Case</formula1>
    </dataValidation>
    <dataValidation type="list" allowBlank="1" showInputMessage="1" showErrorMessage="1" sqref="A7">
      <formula1>Currency</formula1>
    </dataValidation>
    <dataValidation type="list" allowBlank="1" showInputMessage="1" showErrorMessage="1" sqref="AL6:AM6">
      <formula1>Brake</formula1>
    </dataValidation>
  </dataValidations>
  <pageMargins left="0.75" right="0.75" top="1" bottom="1" header="0.5" footer="0.5"/>
  <pageSetup scale="50"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Data_Formatting</vt:lpstr>
      <vt:lpstr>Aggregated_Data</vt:lpstr>
      <vt:lpstr>Config</vt:lpstr>
      <vt:lpstr>Gen Info</vt:lpstr>
      <vt:lpstr>Hist &amp; Proj</vt:lpstr>
      <vt:lpstr>Port &amp; Other</vt:lpstr>
      <vt:lpstr>Liab &amp; Shrs</vt:lpstr>
      <vt:lpstr>Amort</vt:lpstr>
      <vt:lpstr>Assump</vt:lpstr>
      <vt:lpstr>Fin Output</vt:lpstr>
      <vt:lpstr>Graphs &amp; Tables</vt:lpstr>
      <vt:lpstr>Rating</vt:lpstr>
      <vt:lpstr>Definitions</vt:lpstr>
      <vt:lpstr>Mgmt Backup</vt:lpstr>
      <vt:lpstr>Usage</vt:lpstr>
      <vt:lpstr>Dealdata IC proposal</vt:lpstr>
      <vt:lpstr>Tranche-Capital Call 1</vt:lpstr>
      <vt:lpstr>Amortization</vt:lpstr>
      <vt:lpstr>Audited</vt:lpstr>
      <vt:lpstr>Brake</vt:lpstr>
      <vt:lpstr>Case</vt:lpstr>
      <vt:lpstr>Choose_Case</vt:lpstr>
      <vt:lpstr>Currency</vt:lpstr>
      <vt:lpstr>FX</vt:lpstr>
      <vt:lpstr>Loan_Type</vt:lpstr>
      <vt:lpstr>Months</vt:lpstr>
      <vt:lpstr>Amort!Print_Area</vt:lpstr>
      <vt:lpstr>'Fin Output'!Print_Area</vt:lpstr>
      <vt:lpstr>'Liab &amp; Shrs'!Print_Area</vt:lpstr>
      <vt:lpstr>'Mgmt Backup'!Print_Area</vt:lpstr>
      <vt:lpstr>'Port &amp; Other'!Print_Area</vt:lpstr>
      <vt:lpstr>Rating!Print_Area</vt:lpstr>
      <vt:lpstr>Rating!Print_Titles</vt:lpstr>
      <vt:lpstr>Region</vt:lpstr>
    </vt:vector>
  </TitlesOfParts>
  <Company>Global Partnerships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Vora</dc:creator>
  <cp:lastModifiedBy>william</cp:lastModifiedBy>
  <cp:lastPrinted>2008-01-30T23:09:07Z</cp:lastPrinted>
  <dcterms:created xsi:type="dcterms:W3CDTF">2007-02-14T19:50:16Z</dcterms:created>
  <dcterms:modified xsi:type="dcterms:W3CDTF">2014-07-21T02:57:38Z</dcterms:modified>
</cp:coreProperties>
</file>