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9315" windowHeight="69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86" i="1" l="1"/>
  <c r="H87" i="1"/>
  <c r="H88" i="1"/>
  <c r="H89" i="1"/>
  <c r="H86" i="1"/>
  <c r="G87" i="1"/>
  <c r="G88" i="1"/>
  <c r="G89" i="1"/>
  <c r="G86" i="1"/>
  <c r="F87" i="1"/>
  <c r="F88" i="1"/>
  <c r="F89" i="1"/>
  <c r="F86" i="1"/>
  <c r="E87" i="1"/>
  <c r="E88" i="1"/>
  <c r="E89" i="1"/>
  <c r="E86" i="1"/>
  <c r="D87" i="1"/>
  <c r="D88" i="1"/>
  <c r="D89" i="1"/>
  <c r="D86" i="1"/>
  <c r="C86" i="1"/>
  <c r="C87" i="1"/>
  <c r="C88" i="1"/>
  <c r="C89" i="1"/>
  <c r="B87" i="1"/>
  <c r="B88" i="1"/>
  <c r="B89" i="1"/>
  <c r="A87" i="1"/>
  <c r="A88" i="1"/>
  <c r="A89" i="1"/>
  <c r="A86" i="1"/>
  <c r="I68" i="1"/>
  <c r="G80" i="1"/>
  <c r="F80" i="1"/>
  <c r="E82" i="1"/>
  <c r="D82" i="1"/>
  <c r="E78" i="1"/>
  <c r="D78" i="1"/>
  <c r="C83" i="1"/>
  <c r="C81" i="1"/>
  <c r="C79" i="1"/>
  <c r="C77" i="1"/>
  <c r="L63" i="1" l="1"/>
  <c r="E69" i="1"/>
  <c r="E70" i="1"/>
  <c r="E71" i="1"/>
  <c r="E72" i="1"/>
  <c r="C70" i="1"/>
  <c r="C71" i="1"/>
  <c r="C72" i="1"/>
  <c r="C69" i="1"/>
  <c r="A70" i="1"/>
  <c r="A71" i="1"/>
  <c r="A72" i="1"/>
  <c r="A69" i="1"/>
  <c r="F72" i="1" l="1"/>
  <c r="H66" i="1" s="1"/>
  <c r="I66" i="1"/>
  <c r="F71" i="1"/>
  <c r="I65" i="1" s="1"/>
  <c r="F70" i="1"/>
  <c r="H64" i="1" s="1"/>
  <c r="F69" i="1"/>
  <c r="I63" i="1" s="1"/>
  <c r="D59" i="1"/>
  <c r="H65" i="1" l="1"/>
  <c r="I64" i="1"/>
  <c r="H63" i="1"/>
  <c r="H68" i="1" s="1"/>
  <c r="I3" i="1"/>
  <c r="I4" i="1"/>
  <c r="I6" i="1"/>
  <c r="I9" i="1"/>
  <c r="I10" i="1"/>
  <c r="H4" i="1"/>
  <c r="H5" i="1"/>
  <c r="I5" i="1" s="1"/>
  <c r="H6" i="1"/>
  <c r="H7" i="1"/>
  <c r="I7" i="1" s="1"/>
  <c r="H8" i="1"/>
  <c r="I8" i="1" s="1"/>
  <c r="H9" i="1"/>
  <c r="H10" i="1"/>
  <c r="H11" i="1"/>
  <c r="I11" i="1" s="1"/>
  <c r="H12" i="1"/>
  <c r="I12" i="1" s="1"/>
  <c r="H3" i="1"/>
  <c r="B43" i="1" l="1"/>
  <c r="C32" i="1" l="1"/>
  <c r="C29" i="1"/>
  <c r="C30" i="1"/>
  <c r="C28" i="1"/>
  <c r="G16" i="1" l="1"/>
  <c r="C15" i="1"/>
  <c r="D12" i="1"/>
  <c r="J12" i="1" s="1"/>
  <c r="D9" i="1"/>
  <c r="J9" i="1" s="1"/>
  <c r="D10" i="1"/>
  <c r="J10" i="1" s="1"/>
  <c r="D11" i="1"/>
  <c r="J11" i="1" s="1"/>
  <c r="D8" i="1"/>
  <c r="J8" i="1" s="1"/>
  <c r="D7" i="1"/>
  <c r="J7" i="1" s="1"/>
  <c r="D3" i="1"/>
  <c r="J3" i="1" s="1"/>
  <c r="D4" i="1"/>
  <c r="J4" i="1" s="1"/>
  <c r="D5" i="1"/>
  <c r="J5" i="1" s="1"/>
  <c r="D6" i="1"/>
  <c r="J6" i="1" s="1"/>
</calcChain>
</file>

<file path=xl/sharedStrings.xml><?xml version="1.0" encoding="utf-8"?>
<sst xmlns="http://schemas.openxmlformats.org/spreadsheetml/2006/main" count="57" uniqueCount="49">
  <si>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</si>
  <si>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</si>
  <si>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</si>
  <si>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</si>
  <si>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</si>
  <si>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</si>
  <si>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</si>
  <si>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</si>
  <si>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</si>
  <si>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</si>
  <si>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</si>
  <si>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</si>
  <si>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</si>
  <si>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</si>
  <si>
    <t>Drehwinkel</t>
  </si>
  <si>
    <t>Wert</t>
  </si>
  <si>
    <t>Fehler</t>
  </si>
  <si>
    <t>y</t>
  </si>
  <si>
    <t>Verschiebung der Spindrehkurven</t>
  </si>
  <si>
    <t>max1</t>
  </si>
  <si>
    <t>max2</t>
  </si>
  <si>
    <t>kl-fit</t>
  </si>
  <si>
    <t>k=</t>
  </si>
  <si>
    <t>l=</t>
  </si>
  <si>
    <t>Einstrahlspule</t>
  </si>
  <si>
    <t>2,6 cm</t>
  </si>
  <si>
    <t>1,7cm</t>
  </si>
  <si>
    <t>Durchmesser</t>
  </si>
  <si>
    <t>Länge</t>
  </si>
  <si>
    <t>Halbwertsbreite</t>
  </si>
  <si>
    <t>Amplitude</t>
  </si>
  <si>
    <t>max</t>
  </si>
  <si>
    <t>min</t>
  </si>
  <si>
    <t>Mittel</t>
  </si>
  <si>
    <t>t12</t>
  </si>
  <si>
    <t>Spindrehkurve Verschiebung</t>
  </si>
  <si>
    <t>links</t>
  </si>
  <si>
    <t>rechts</t>
  </si>
  <si>
    <t>NS-Werte</t>
  </si>
  <si>
    <t>Gewichte</t>
  </si>
  <si>
    <t>Summe</t>
  </si>
  <si>
    <t>Mittelwert</t>
  </si>
  <si>
    <t>relative Spinaufspaltung</t>
  </si>
  <si>
    <t>best</t>
  </si>
  <si>
    <t>NS</t>
  </si>
  <si>
    <t>E_F in meV</t>
  </si>
  <si>
    <t>k_F</t>
  </si>
  <si>
    <t>v_F</t>
  </si>
  <si>
    <t>(rel fehler)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</si>
</sst>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topLeftCell="A61" workbookViewId="0">
      <selection activeCell="H63" sqref="H63:H66"/>
    </sheetView>
  </sheetViews>
  <sheetFormatPr baseColWidth="10" defaultRowHeight="15" x14ac:dyDescent="0.25"/>
  <cols>
    <col min="1" max="1" width="17.5703125" bestFit="1" customWidth="1"/>
    <col min="2" max="2" width="12" bestFit="1" customWidth="1"/>
    <col min="4" max="4" width="12" bestFit="1" customWidth="1"/>
    <col min="6" max="6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30</v>
      </c>
    </row>
    <row r="2" spans="1:10" x14ac:dyDescent="0.25">
      <c r="F2" t="s">
        <v>31</v>
      </c>
      <c r="G2" t="s">
        <v>32</v>
      </c>
      <c r="H2" t="s">
        <v>33</v>
      </c>
      <c r="I2" t="s">
        <v>16</v>
      </c>
      <c r="J2" t="s">
        <v>34</v>
      </c>
    </row>
    <row r="3" spans="1:10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  <c r="F3">
        <v>-0.317297</v>
      </c>
      <c r="G3">
        <v>-0.26750000000000002</v>
      </c>
      <c r="H3">
        <f>(-G3-F3)/2</f>
        <v>0.29239850000000001</v>
      </c>
      <c r="I3">
        <f>+G3+H3</f>
        <v>2.489849999999999E-2</v>
      </c>
      <c r="J3">
        <f>0.02-D3</f>
        <v>2.4178999999999971E-3</v>
      </c>
    </row>
    <row r="4" spans="1:10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  <c r="F4">
        <v>-0.46430900000000003</v>
      </c>
      <c r="G4">
        <v>-0.42772399999999999</v>
      </c>
      <c r="H4">
        <f t="shared" ref="H4:H12" si="1">(-G4-F4)/2</f>
        <v>0.44601650000000004</v>
      </c>
      <c r="I4">
        <f t="shared" ref="I4:I12" si="2">+G4+H4</f>
        <v>1.8292500000000045E-2</v>
      </c>
      <c r="J4">
        <f t="shared" ref="J4:J12" si="3">0.02-D4</f>
        <v>4.9609000000000007E-3</v>
      </c>
    </row>
    <row r="5" spans="1:10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  <c r="F5">
        <v>-0.56390200000000001</v>
      </c>
      <c r="G5">
        <v>-0.53951199999999999</v>
      </c>
      <c r="H5">
        <f t="shared" si="1"/>
        <v>0.55170699999999995</v>
      </c>
      <c r="I5">
        <f t="shared" si="2"/>
        <v>1.2194999999999956E-2</v>
      </c>
      <c r="J5">
        <f t="shared" si="3"/>
        <v>6.4220999999999966E-3</v>
      </c>
    </row>
    <row r="6" spans="1:10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  <c r="F6">
        <v>-0.58626</v>
      </c>
      <c r="G6">
        <v>-0.56593499999999997</v>
      </c>
      <c r="H6">
        <f t="shared" si="1"/>
        <v>0.57609749999999993</v>
      </c>
      <c r="I6">
        <f t="shared" si="2"/>
        <v>1.0162499999999963E-2</v>
      </c>
      <c r="J6">
        <f t="shared" si="3"/>
        <v>7.7509000000000015E-3</v>
      </c>
    </row>
    <row r="7" spans="1:10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  <c r="F7">
        <v>-0.61065000000000003</v>
      </c>
      <c r="G7">
        <v>-0.59032499999999999</v>
      </c>
      <c r="H7">
        <f t="shared" si="1"/>
        <v>0.60048750000000006</v>
      </c>
      <c r="I7">
        <f t="shared" si="2"/>
        <v>1.0162500000000074E-2</v>
      </c>
      <c r="J7">
        <f t="shared" si="3"/>
        <v>9.4094999999999977E-3</v>
      </c>
    </row>
    <row r="8" spans="1:10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  <c r="F8">
        <v>-0.67569100000000004</v>
      </c>
      <c r="G8">
        <v>-0.65730900000000003</v>
      </c>
      <c r="H8">
        <f t="shared" si="1"/>
        <v>0.66650000000000009</v>
      </c>
      <c r="I8">
        <f t="shared" si="2"/>
        <v>9.1910000000000602E-3</v>
      </c>
      <c r="J8">
        <f t="shared" si="3"/>
        <v>1.0438400000000004E-2</v>
      </c>
    </row>
    <row r="9" spans="1:10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  <c r="F9">
        <v>-0.67772399999999999</v>
      </c>
      <c r="G9">
        <v>-0.64926799999999996</v>
      </c>
      <c r="H9">
        <f t="shared" si="1"/>
        <v>0.66349599999999997</v>
      </c>
      <c r="I9">
        <f t="shared" si="2"/>
        <v>1.4228000000000018E-2</v>
      </c>
      <c r="J9">
        <f t="shared" si="3"/>
        <v>1.1603900000000004E-2</v>
      </c>
    </row>
    <row r="10" spans="1:10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  <c r="F10">
        <v>-0.73835399999999995</v>
      </c>
      <c r="G10">
        <v>-0.67204299999999995</v>
      </c>
      <c r="H10">
        <f t="shared" si="1"/>
        <v>0.70519849999999995</v>
      </c>
      <c r="I10">
        <f t="shared" si="2"/>
        <v>3.3155500000000004E-2</v>
      </c>
      <c r="J10">
        <f t="shared" si="3"/>
        <v>1.2876999999999996E-2</v>
      </c>
    </row>
    <row r="11" spans="1:10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  <c r="F11">
        <v>-0.76122000000000001</v>
      </c>
      <c r="G11">
        <v>-0.71548800000000001</v>
      </c>
      <c r="H11">
        <f t="shared" si="1"/>
        <v>0.73835399999999995</v>
      </c>
      <c r="I11">
        <f t="shared" si="2"/>
        <v>2.2865999999999942E-2</v>
      </c>
      <c r="J11">
        <f t="shared" si="3"/>
        <v>1.4595599999999997E-2</v>
      </c>
    </row>
    <row r="12" spans="1:10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  <c r="F12">
        <v>-0.73835399999999995</v>
      </c>
      <c r="G12">
        <v>-0.69262199999999996</v>
      </c>
      <c r="H12">
        <f t="shared" si="1"/>
        <v>0.7154879999999999</v>
      </c>
      <c r="I12">
        <f t="shared" si="2"/>
        <v>2.2865999999999942E-2</v>
      </c>
      <c r="J12">
        <f t="shared" si="3"/>
        <v>1.6102600000000005E-2</v>
      </c>
    </row>
    <row r="13" spans="1:10" x14ac:dyDescent="0.25">
      <c r="A13" t="s">
        <v>5</v>
      </c>
    </row>
    <row r="14" spans="1:10" x14ac:dyDescent="0.25">
      <c r="A14">
        <v>4712.3100000000004</v>
      </c>
    </row>
    <row r="15" spans="1:10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10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  <row r="26" spans="1:5" x14ac:dyDescent="0.25">
      <c r="A26" t="s">
        <v>14</v>
      </c>
    </row>
    <row r="27" spans="1:5" x14ac:dyDescent="0.25">
      <c r="A27" t="s">
        <v>15</v>
      </c>
      <c r="B27" t="s">
        <v>16</v>
      </c>
    </row>
    <row r="28" spans="1:5" x14ac:dyDescent="0.25">
      <c r="A28">
        <v>47</v>
      </c>
      <c r="B28">
        <v>1</v>
      </c>
      <c r="C28">
        <f>B28/A28</f>
        <v>2.1276595744680851E-2</v>
      </c>
    </row>
    <row r="29" spans="1:5" x14ac:dyDescent="0.25">
      <c r="A29">
        <v>4.8390000000000002E-2</v>
      </c>
      <c r="B29">
        <v>9.7000000000000003E-3</v>
      </c>
      <c r="C29">
        <f t="shared" ref="C29:C30" si="4">B29/A29</f>
        <v>0.20045463938830335</v>
      </c>
    </row>
    <row r="30" spans="1:5" x14ac:dyDescent="0.25">
      <c r="A30">
        <v>3.1</v>
      </c>
      <c r="B30">
        <v>0.24</v>
      </c>
      <c r="C30">
        <f t="shared" si="4"/>
        <v>7.7419354838709667E-2</v>
      </c>
    </row>
    <row r="32" spans="1:5" x14ac:dyDescent="0.25">
      <c r="C32">
        <f>SQRT(C28^2+C29^2+C30^2)</f>
        <v>0.21593636211258943</v>
      </c>
    </row>
    <row r="34" spans="1:2" x14ac:dyDescent="0.25">
      <c r="B34">
        <v>1492</v>
      </c>
    </row>
    <row r="35" spans="1:2" x14ac:dyDescent="0.25">
      <c r="A35" t="s">
        <v>5</v>
      </c>
      <c r="B35">
        <v>1510</v>
      </c>
    </row>
    <row r="36" spans="1:2" x14ac:dyDescent="0.25">
      <c r="B36">
        <v>1528</v>
      </c>
    </row>
    <row r="37" spans="1:2" x14ac:dyDescent="0.25">
      <c r="A37" t="s">
        <v>17</v>
      </c>
      <c r="B37">
        <v>3.9E-2</v>
      </c>
    </row>
    <row r="40" spans="1:2" x14ac:dyDescent="0.25">
      <c r="A40" t="s">
        <v>18</v>
      </c>
    </row>
    <row r="41" spans="1:2" x14ac:dyDescent="0.25">
      <c r="A41" t="s">
        <v>19</v>
      </c>
      <c r="B41">
        <v>3.4826099999999999E-2</v>
      </c>
    </row>
    <row r="42" spans="1:2" x14ac:dyDescent="0.25">
      <c r="A42" t="s">
        <v>20</v>
      </c>
      <c r="B42">
        <v>4.5535699999999998E-2</v>
      </c>
    </row>
    <row r="43" spans="1:2" x14ac:dyDescent="0.25">
      <c r="B43">
        <f>(B42-B41)/2</f>
        <v>5.3547999999999998E-3</v>
      </c>
    </row>
    <row r="45" spans="1:2" x14ac:dyDescent="0.25">
      <c r="A45" t="s">
        <v>21</v>
      </c>
    </row>
    <row r="46" spans="1:2" x14ac:dyDescent="0.25">
      <c r="A46" t="s">
        <v>22</v>
      </c>
      <c r="B46">
        <v>-6.4000000000000001E-2</v>
      </c>
    </row>
    <row r="47" spans="1:2" x14ac:dyDescent="0.25">
      <c r="A47" t="s">
        <v>23</v>
      </c>
      <c r="B47">
        <v>-1.58</v>
      </c>
    </row>
    <row r="50" spans="1:12" x14ac:dyDescent="0.25">
      <c r="A50" t="s">
        <v>24</v>
      </c>
      <c r="B50" t="s">
        <v>25</v>
      </c>
      <c r="C50" t="s">
        <v>28</v>
      </c>
    </row>
    <row r="51" spans="1:12" x14ac:dyDescent="0.25">
      <c r="B51" t="s">
        <v>26</v>
      </c>
      <c r="C51" t="s">
        <v>27</v>
      </c>
    </row>
    <row r="53" spans="1:12" x14ac:dyDescent="0.25">
      <c r="A53" t="s">
        <v>29</v>
      </c>
    </row>
    <row r="56" spans="1:12" x14ac:dyDescent="0.25">
      <c r="A56" t="s">
        <v>35</v>
      </c>
    </row>
    <row r="58" spans="1:12" x14ac:dyDescent="0.25">
      <c r="B58" t="s">
        <v>36</v>
      </c>
      <c r="C58" t="s">
        <v>37</v>
      </c>
    </row>
    <row r="59" spans="1:12" x14ac:dyDescent="0.25">
      <c r="B59">
        <v>5.2850000000000001E-2</v>
      </c>
      <c r="C59">
        <v>6.3640000000000002E-2</v>
      </c>
      <c r="D59">
        <f>(C59-B59)/2</f>
        <v>5.3950000000000005E-3</v>
      </c>
    </row>
    <row r="61" spans="1:12" x14ac:dyDescent="0.25">
      <c r="A61" t="s">
        <v>38</v>
      </c>
    </row>
    <row r="62" spans="1:12" x14ac:dyDescent="0.25">
      <c r="H62" t="s">
        <v>41</v>
      </c>
    </row>
    <row r="63" spans="1:12" ht="15.75" x14ac:dyDescent="0.3">
      <c r="A63">
        <v>3.5619000000000001</v>
      </c>
      <c r="B63">
        <v>8.8999999999999999E-3</v>
      </c>
      <c r="C63" s="1">
        <v>3.45</v>
      </c>
      <c r="D63">
        <v>0.12</v>
      </c>
      <c r="E63" s="1">
        <v>3.69</v>
      </c>
      <c r="F63">
        <v>0.17</v>
      </c>
      <c r="H63">
        <f>(E63*E69+C63*C69+A63*A69)/F69</f>
        <v>3.5604860536965317</v>
      </c>
      <c r="I63">
        <f>SQRT((B63^2*A69^2+D63^2*C69^2+F63^2*E69^2))/F69</f>
        <v>1.3683962604856419E-2</v>
      </c>
      <c r="L63">
        <f>SQRT(B63^2+D63^2+F63^2)/3</f>
        <v>6.9425587662058877E-2</v>
      </c>
    </row>
    <row r="64" spans="1:12" ht="15.75" x14ac:dyDescent="0.3">
      <c r="A64">
        <v>3.5714999999999999</v>
      </c>
      <c r="B64">
        <v>9.4000000000000004E-3</v>
      </c>
      <c r="C64" s="1">
        <v>3.37</v>
      </c>
      <c r="D64">
        <v>0.16</v>
      </c>
      <c r="E64" s="1">
        <v>3.69</v>
      </c>
      <c r="F64">
        <v>0.17</v>
      </c>
      <c r="H64">
        <f t="shared" ref="H64:H66" si="5">(E64*E70+C64*C70+A64*A70)/F70</f>
        <v>3.5667553296812091</v>
      </c>
      <c r="I64">
        <f t="shared" ref="I64:I66" si="6">SQRT((B64^2*A70^2+D64^2*C70^2+F64^2*E70^2))/F70</f>
        <v>1.4614571661250431E-2</v>
      </c>
    </row>
    <row r="65" spans="1:9" ht="15.75" x14ac:dyDescent="0.3">
      <c r="A65">
        <v>3.556</v>
      </c>
      <c r="B65">
        <v>9.4999999999999998E-3</v>
      </c>
      <c r="C65" s="1">
        <v>3.41</v>
      </c>
      <c r="D65">
        <v>0.14000000000000001</v>
      </c>
      <c r="E65" s="1">
        <v>3.69</v>
      </c>
      <c r="F65">
        <v>0.17</v>
      </c>
      <c r="H65">
        <f t="shared" si="5"/>
        <v>3.5538474481211439</v>
      </c>
      <c r="I65">
        <f t="shared" si="6"/>
        <v>1.4642613108667905E-2</v>
      </c>
    </row>
    <row r="66" spans="1:9" ht="15.75" x14ac:dyDescent="0.3">
      <c r="A66">
        <v>3.5541999999999998</v>
      </c>
      <c r="B66">
        <v>9.7000000000000003E-3</v>
      </c>
      <c r="C66" s="1">
        <v>3.42</v>
      </c>
      <c r="D66">
        <v>0.15</v>
      </c>
      <c r="E66" s="1">
        <v>3.69</v>
      </c>
      <c r="F66">
        <v>0.17</v>
      </c>
      <c r="H66">
        <f t="shared" si="5"/>
        <v>3.5533712068242203</v>
      </c>
      <c r="I66">
        <f t="shared" si="6"/>
        <v>1.4977722250460138E-2</v>
      </c>
    </row>
    <row r="68" spans="1:9" x14ac:dyDescent="0.25">
      <c r="A68" t="s">
        <v>39</v>
      </c>
      <c r="F68" t="s">
        <v>40</v>
      </c>
      <c r="H68">
        <f>SUM(H63:H66)/4</f>
        <v>3.5586150095807763</v>
      </c>
      <c r="I68">
        <f>SQRT(I63^2+I64^2+I65^2+I66^2)/2</f>
        <v>1.4487708754967044E-2</v>
      </c>
    </row>
    <row r="69" spans="1:9" x14ac:dyDescent="0.25">
      <c r="A69">
        <f>1/B63</f>
        <v>112.35955056179776</v>
      </c>
      <c r="C69">
        <f>1/D63</f>
        <v>8.3333333333333339</v>
      </c>
      <c r="E69">
        <f>1/F63</f>
        <v>5.8823529411764701</v>
      </c>
      <c r="F69">
        <f>E69+C69+A69</f>
        <v>126.57523683630757</v>
      </c>
    </row>
    <row r="70" spans="1:9" x14ac:dyDescent="0.25">
      <c r="A70">
        <f t="shared" ref="A70:A72" si="7">1/B64</f>
        <v>106.38297872340425</v>
      </c>
      <c r="C70">
        <f t="shared" ref="C70:C72" si="8">1/D64</f>
        <v>6.25</v>
      </c>
      <c r="E70">
        <f t="shared" ref="E70:E72" si="9">1/F64</f>
        <v>5.8823529411764701</v>
      </c>
      <c r="F70">
        <f t="shared" ref="F70:F72" si="10">E70+C70+A70</f>
        <v>118.51533166458071</v>
      </c>
    </row>
    <row r="71" spans="1:9" x14ac:dyDescent="0.25">
      <c r="A71">
        <f t="shared" si="7"/>
        <v>105.26315789473685</v>
      </c>
      <c r="C71">
        <f t="shared" si="8"/>
        <v>7.1428571428571423</v>
      </c>
      <c r="E71">
        <f t="shared" si="9"/>
        <v>5.8823529411764701</v>
      </c>
      <c r="F71">
        <f t="shared" si="10"/>
        <v>118.28836797877047</v>
      </c>
    </row>
    <row r="72" spans="1:9" x14ac:dyDescent="0.25">
      <c r="A72">
        <f t="shared" si="7"/>
        <v>103.09278350515464</v>
      </c>
      <c r="C72">
        <f t="shared" si="8"/>
        <v>6.666666666666667</v>
      </c>
      <c r="E72">
        <f t="shared" si="9"/>
        <v>5.8823529411764701</v>
      </c>
      <c r="F72">
        <f t="shared" si="10"/>
        <v>115.64180311299778</v>
      </c>
    </row>
    <row r="75" spans="1:9" x14ac:dyDescent="0.25">
      <c r="A75" t="s">
        <v>42</v>
      </c>
    </row>
    <row r="77" spans="1:9" x14ac:dyDescent="0.25">
      <c r="A77" t="s">
        <v>32</v>
      </c>
      <c r="B77">
        <v>7.8600000000000003E-2</v>
      </c>
      <c r="C77">
        <f>B78-B77</f>
        <v>8.6400000000000005E-2</v>
      </c>
    </row>
    <row r="78" spans="1:9" x14ac:dyDescent="0.25">
      <c r="A78" t="s">
        <v>43</v>
      </c>
      <c r="B78">
        <v>0.16500000000000001</v>
      </c>
      <c r="D78">
        <f>B78</f>
        <v>0.16500000000000001</v>
      </c>
      <c r="E78">
        <f>(C77+C79)/2</f>
        <v>8.1199999999999994E-2</v>
      </c>
    </row>
    <row r="79" spans="1:9" x14ac:dyDescent="0.25">
      <c r="A79" t="s">
        <v>31</v>
      </c>
      <c r="B79">
        <v>0.24099999999999999</v>
      </c>
      <c r="C79">
        <f>B79-B78</f>
        <v>7.5999999999999984E-2</v>
      </c>
    </row>
    <row r="80" spans="1:9" x14ac:dyDescent="0.25">
      <c r="F80">
        <f>D82-D78</f>
        <v>0.39769999999999994</v>
      </c>
      <c r="G80">
        <f>SQRT(E78^2+E82^2)</f>
        <v>0.11294109083942831</v>
      </c>
    </row>
    <row r="81" spans="1:8" x14ac:dyDescent="0.25">
      <c r="A81" t="s">
        <v>32</v>
      </c>
      <c r="B81">
        <v>0.48139999999999999</v>
      </c>
      <c r="C81">
        <f>B82-B81</f>
        <v>8.1299999999999983E-2</v>
      </c>
    </row>
    <row r="82" spans="1:8" x14ac:dyDescent="0.25">
      <c r="A82" t="s">
        <v>43</v>
      </c>
      <c r="B82">
        <v>0.56269999999999998</v>
      </c>
      <c r="D82">
        <f>B82</f>
        <v>0.56269999999999998</v>
      </c>
      <c r="E82">
        <f>(C81+C83)/2</f>
        <v>7.8499999999999986E-2</v>
      </c>
    </row>
    <row r="83" spans="1:8" x14ac:dyDescent="0.25">
      <c r="A83" t="s">
        <v>31</v>
      </c>
      <c r="B83">
        <v>0.63839999999999997</v>
      </c>
      <c r="C83">
        <f>B83-B82</f>
        <v>7.569999999999999E-2</v>
      </c>
    </row>
    <row r="85" spans="1:8" x14ac:dyDescent="0.25">
      <c r="A85" t="s">
        <v>44</v>
      </c>
      <c r="B85" t="s">
        <v>45</v>
      </c>
      <c r="C85" t="s">
        <v>46</v>
      </c>
      <c r="D85" t="s">
        <v>47</v>
      </c>
      <c r="E85" t="s">
        <v>48</v>
      </c>
      <c r="F85" t="s">
        <v>16</v>
      </c>
    </row>
    <row r="86" spans="1:8" x14ac:dyDescent="0.25">
      <c r="A86">
        <f>H63*10^15</f>
        <v>3560486053696531.5</v>
      </c>
      <c r="B86">
        <f>(1.0546*10^-34)^2*3.1415926/(0.067*9.109*10^-31)/(1.602*10^-19)*A86</f>
        <v>1.2724088225934663E-2</v>
      </c>
      <c r="C86">
        <f>SQRT(A86*2*3.1415926)*10^-9</f>
        <v>0.14957002800491967</v>
      </c>
      <c r="D86">
        <f>(1.0546*10^-34)*SQRT(2*3.1415926*A86)/(0.067*9.109*10^-31)/1000</f>
        <v>258.45613004358205</v>
      </c>
      <c r="E86">
        <f>I63/H63</f>
        <v>3.843284989320375E-3</v>
      </c>
      <c r="F86">
        <f>B86*E86</f>
        <v>4.8902297281522811E-5</v>
      </c>
      <c r="G86">
        <f>C86*E86/2</f>
        <v>2.8742012174176796E-4</v>
      </c>
      <c r="H86">
        <f>E86*D86/2</f>
        <v>0.49666028249716682</v>
      </c>
    </row>
    <row r="87" spans="1:8" x14ac:dyDescent="0.25">
      <c r="A87">
        <f t="shared" ref="A87:A89" si="11">H64*10^15</f>
        <v>3566755329681209</v>
      </c>
      <c r="B87">
        <f t="shared" ref="B87:B89" si="12">(1.0546*10^-34)^2*3.1415926/(0.067*9.109*10^-31)/(1.602*10^-19)*A87</f>
        <v>1.2746492700924518E-2</v>
      </c>
      <c r="C87">
        <f t="shared" ref="C87:C89" si="13">SQRT(A87*2*3.1415926)*10^-9</f>
        <v>0.1497016509577436</v>
      </c>
      <c r="D87">
        <f t="shared" ref="D87:D89" si="14">(1.0546*10^-34)*SQRT(2*3.1415926*A87)/(0.067*9.109*10^-31)/1000</f>
        <v>258.68357373310698</v>
      </c>
      <c r="E87">
        <f t="shared" ref="E87:E89" si="15">I64/H64</f>
        <v>4.0974415989886975E-3</v>
      </c>
      <c r="F87">
        <f t="shared" ref="F87:F89" si="16">B87*E87</f>
        <v>5.2228009433973915E-5</v>
      </c>
      <c r="G87">
        <f t="shared" ref="G87:G89" si="17">C87*E87/2</f>
        <v>3.0669688603577239E-4</v>
      </c>
      <c r="H87">
        <f t="shared" ref="H87:H89" si="18">E87*D87/2</f>
        <v>0.52997041799454625</v>
      </c>
    </row>
    <row r="88" spans="1:8" x14ac:dyDescent="0.25">
      <c r="A88">
        <f t="shared" si="11"/>
        <v>3553847448121144</v>
      </c>
      <c r="B88">
        <f t="shared" si="12"/>
        <v>1.2700363879942432E-2</v>
      </c>
      <c r="C88">
        <f t="shared" si="13"/>
        <v>0.14943052462295828</v>
      </c>
      <c r="D88">
        <f t="shared" si="14"/>
        <v>258.21506901878536</v>
      </c>
      <c r="E88">
        <f t="shared" si="15"/>
        <v>4.1202143092577579E-3</v>
      </c>
      <c r="F88">
        <f t="shared" si="16"/>
        <v>5.2328220990919186E-5</v>
      </c>
      <c r="G88">
        <f t="shared" si="17"/>
        <v>3.0784289289570319E-4</v>
      </c>
      <c r="H88">
        <f t="shared" si="18"/>
        <v>0.53195071111858949</v>
      </c>
    </row>
    <row r="89" spans="1:8" x14ac:dyDescent="0.25">
      <c r="A89">
        <f t="shared" si="11"/>
        <v>3553371206824220.5</v>
      </c>
      <c r="B89">
        <f t="shared" si="12"/>
        <v>1.269866193919965E-2</v>
      </c>
      <c r="C89">
        <f t="shared" si="13"/>
        <v>0.14942051190122485</v>
      </c>
      <c r="D89">
        <f t="shared" si="14"/>
        <v>258.19776709442965</v>
      </c>
      <c r="E89">
        <f t="shared" si="15"/>
        <v>4.2150739055057196E-3</v>
      </c>
      <c r="F89">
        <f t="shared" si="16"/>
        <v>5.3525798574759102E-5</v>
      </c>
      <c r="G89">
        <f t="shared" si="17"/>
        <v>3.1490925033107986E-4</v>
      </c>
      <c r="H89">
        <f t="shared" si="18"/>
        <v>0.54416133526978694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2013-10-08T09:01:08Z</dcterms:modified>
</cp:coreProperties>
</file>