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есяц без комиссии" sheetId="1" r:id="rId4"/>
    <sheet state="visible" name="кэшбек" sheetId="2" r:id="rId5"/>
    <sheet state="visible" name="прогрессивная шкала комиссий" sheetId="3" r:id="rId6"/>
    <sheet state="visible" name="Лист4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49">
      <text>
        <t xml:space="preserve">за счет роста численности каждой из когорт доходность общая возрастет</t>
      </text>
    </comment>
    <comment authorId="0" ref="G48">
      <text>
        <t xml:space="preserve">те клиенты которые получали отрицательный финансовый результат или не получали прибыль, после снижения комиссии нарастят свой портфель и/или увеличат оборот
	-СБА ТаймЛизинг</t>
      </text>
    </comment>
  </commentList>
</comments>
</file>

<file path=xl/sharedStrings.xml><?xml version="1.0" encoding="utf-8"?>
<sst xmlns="http://schemas.openxmlformats.org/spreadsheetml/2006/main" count="118" uniqueCount="76">
  <si>
    <t>клиентов всего, тыс человек</t>
  </si>
  <si>
    <t>5 000,00</t>
  </si>
  <si>
    <t>активные клиенты, тыс человек</t>
  </si>
  <si>
    <t>1 000,00</t>
  </si>
  <si>
    <t>Тариф Инвестор, тысяч человек</t>
  </si>
  <si>
    <t>Трейдер, тысяч человек</t>
  </si>
  <si>
    <t>Премиум, тысяс человек</t>
  </si>
  <si>
    <t>Положительная доходность, тыс человек</t>
  </si>
  <si>
    <t>Оборот, млн р.</t>
  </si>
  <si>
    <t>6 000 000,00</t>
  </si>
  <si>
    <t>Комиссия, млн</t>
  </si>
  <si>
    <t>6 000,00</t>
  </si>
  <si>
    <t>Предположим, что из 5 млн неактивных пользователей удалось побудить к действию 1 млн</t>
  </si>
  <si>
    <t>В том числе Buy&amp;hold</t>
  </si>
  <si>
    <t>Количество инвесторов после года акции, тыс человек</t>
  </si>
  <si>
    <t>Оборот, млн р. (Оптимистичный)</t>
  </si>
  <si>
    <t>Комиссия, млн (Оптимистичный)</t>
  </si>
  <si>
    <t>Оборот, млн р. (Пессимистичный)</t>
  </si>
  <si>
    <t>Комиссия, млн (Пессимистичный)</t>
  </si>
  <si>
    <t>Итого</t>
  </si>
  <si>
    <t>2 000,00</t>
  </si>
  <si>
    <t>Количество инвесторов после первого месяца, тыс человек</t>
  </si>
  <si>
    <t>бонусы в виде рублей, млрд</t>
  </si>
  <si>
    <t>кэшбек</t>
  </si>
  <si>
    <t>комиссия</t>
  </si>
  <si>
    <t xml:space="preserve">процент пользователей </t>
  </si>
  <si>
    <t xml:space="preserve">кол-во пользователей </t>
  </si>
  <si>
    <t xml:space="preserve">возможный кешбек </t>
  </si>
  <si>
    <t xml:space="preserve">всего пользователей </t>
  </si>
  <si>
    <t>инвестор</t>
  </si>
  <si>
    <t>трейдер</t>
  </si>
  <si>
    <t>premium</t>
  </si>
  <si>
    <t>Дано</t>
  </si>
  <si>
    <t>Для дальнейших расчетов концентрация клиентов построена на средних показателях рынка по данным Банка России</t>
  </si>
  <si>
    <t>Объем портфеля</t>
  </si>
  <si>
    <t>Количество клиентов</t>
  </si>
  <si>
    <t>Пустые</t>
  </si>
  <si>
    <t>До 10 тысяч</t>
  </si>
  <si>
    <t>от 10 до 100 тысяч</t>
  </si>
  <si>
    <t>от 100 тысяч до 1 млн.рублей</t>
  </si>
  <si>
    <t xml:space="preserve">от 1 млн </t>
  </si>
  <si>
    <t>Предполагаем что клиенты с портфелем более 10 тысячявляются активными, а часть счетов менее 10 тысяч неактивна</t>
  </si>
  <si>
    <t>средний портфель на клиента, тыс.р.</t>
  </si>
  <si>
    <t>% конверсии перехода из одной когорты в другую</t>
  </si>
  <si>
    <t>Итого активные с портфелем до 10 тысяч</t>
  </si>
  <si>
    <t>от 1 млн до 6</t>
  </si>
  <si>
    <t>Премиум</t>
  </si>
  <si>
    <t>Суммарный портфель клиентов, млн</t>
  </si>
  <si>
    <t>Оборот сделок</t>
  </si>
  <si>
    <t>доход, млн.р</t>
  </si>
  <si>
    <t xml:space="preserve"> </t>
  </si>
  <si>
    <t>10-100</t>
  </si>
  <si>
    <t>100-500</t>
  </si>
  <si>
    <t>500-1 000</t>
  </si>
  <si>
    <t>от 1 млрд</t>
  </si>
  <si>
    <t>Таким образом основню долю  дохода формируют 20 000 инвесторов от 6 млн рублей, которые относятся к квалифицированным инвесторам и пользуются Тарифом Премиум.</t>
  </si>
  <si>
    <t>20000 клиентов с портфелем от 1 млн до 6 так же можно отнести к опытным,  тариф Трейдер</t>
  </si>
  <si>
    <t>Таким образом потенциал роста имеют клиенты с портфелем от 10 до 100 тыс рублей - 230 тысяч человек с общим портфелем около 4 млрд рублей и 130 тысяч человек с портфелем от 100 тысяч до 1 млн. рублей с портфелем 16 млрд.</t>
  </si>
  <si>
    <t>Для первой категии необходимы мероприятия, которые будут способствовать росту доверия и укрупнению портфеля до следующей ступени, а значит 230 000 человек должны увеличить портфель с 13 000 до 123 000, что увеличит портфель комании на 6,7 млрд рублей</t>
  </si>
  <si>
    <t>Так как основной доход генериует тариф премиум и трейдер, изменение  тарифной сетки "Инвестор" не приведет к снижению дохода</t>
  </si>
  <si>
    <t>Предложение снизить комиссию при убыточном закрытии сделки: т.е.со сделки продажи до уровня минимальных затрат брокера (расходы на биржу, депозитарий) в 0,1%</t>
  </si>
  <si>
    <t>ИТОГО</t>
  </si>
  <si>
    <t>Активные клиенты, тыс.человек</t>
  </si>
  <si>
    <t>Тариф</t>
  </si>
  <si>
    <t>средний портфель на клиента, тыс.руб</t>
  </si>
  <si>
    <t>Портфель, млн</t>
  </si>
  <si>
    <t>Прогонозируемая численность каждой из когорт (+20%)</t>
  </si>
  <si>
    <t>Прогнозный портфель, млн рублей</t>
  </si>
  <si>
    <t>Плановый оборот, млн.р.</t>
  </si>
  <si>
    <t>Плановый доход (0,1% от оборота)</t>
  </si>
  <si>
    <t>премиум</t>
  </si>
  <si>
    <t>расходы из-за снижения комиссии</t>
  </si>
  <si>
    <t>рост числа активных клиентов</t>
  </si>
  <si>
    <t>рост объема портфеля</t>
  </si>
  <si>
    <t>рост оборота</t>
  </si>
  <si>
    <t xml:space="preserve">Прирост дохода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</si>
</sst>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0.000"/>
    <numFmt numFmtId="166" formatCode="d-m"/>
  </numFmts>
  <fonts count="8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0" xfId="0" applyAlignment="1" applyFont="1" applyNumberFormat="1">
      <alignment horizontal="right" readingOrder="0" shrinkToFit="0" vertical="bottom" wrapText="1"/>
    </xf>
    <xf borderId="0" fillId="0" fontId="1" numFmtId="10" xfId="0" applyAlignment="1" applyFont="1" applyNumberFormat="1">
      <alignment horizontal="right" readingOrder="0" shrinkToFit="0" vertical="bottom" wrapText="1"/>
    </xf>
    <xf borderId="0" fillId="0" fontId="1" numFmtId="4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Font="1" applyNumberFormat="1"/>
    <xf borderId="0" fillId="0" fontId="4" numFmtId="10" xfId="0" applyFont="1" applyNumberFormat="1"/>
    <xf borderId="0" fillId="0" fontId="4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4" numFmtId="165" xfId="0" applyFont="1" applyNumberFormat="1"/>
    <xf borderId="0" fillId="0" fontId="4" numFmtId="4" xfId="0" applyAlignment="1" applyFont="1" applyNumberFormat="1">
      <alignment readingOrder="0"/>
    </xf>
    <xf borderId="0" fillId="4" fontId="4" numFmtId="164" xfId="0" applyFill="1" applyFont="1" applyNumberFormat="1"/>
    <xf borderId="0" fillId="0" fontId="4" numFmtId="4" xfId="0" applyFont="1" applyNumberFormat="1"/>
    <xf borderId="0" fillId="0" fontId="4" numFmtId="2" xfId="0" applyFont="1" applyNumberFormat="1"/>
    <xf borderId="0" fillId="2" fontId="4" numFmtId="4" xfId="0" applyFont="1" applyNumberFormat="1"/>
    <xf borderId="0" fillId="5" fontId="4" numFmtId="4" xfId="0" applyFill="1" applyFont="1" applyNumberFormat="1"/>
    <xf borderId="0" fillId="0" fontId="4" numFmtId="166" xfId="0" applyAlignment="1" applyFont="1" applyNumberForma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6" numFmtId="0" xfId="0" applyAlignment="1" applyFont="1">
      <alignment horizontal="center" readingOrder="0"/>
    </xf>
    <xf borderId="1" fillId="0" fontId="7" numFmtId="0" xfId="0" applyAlignment="1" applyBorder="1" applyFont="1">
      <alignment readingOrder="0" shrinkToFit="0" vertical="bottom" wrapText="1"/>
    </xf>
    <xf borderId="2" fillId="0" fontId="7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7" numFmtId="1" xfId="0" applyAlignment="1" applyBorder="1" applyFont="1" applyNumberFormat="1">
      <alignment horizontal="right" shrinkToFit="0" vertical="bottom" wrapText="0"/>
    </xf>
    <xf borderId="4" fillId="6" fontId="7" numFmtId="0" xfId="0" applyAlignment="1" applyBorder="1" applyFill="1" applyFont="1">
      <alignment readingOrder="0" shrinkToFit="0" vertical="bottom" wrapText="0"/>
    </xf>
    <xf borderId="1" fillId="0" fontId="4" numFmtId="3" xfId="0" applyBorder="1" applyFont="1" applyNumberFormat="1"/>
    <xf borderId="4" fillId="0" fontId="7" numFmtId="3" xfId="0" applyAlignment="1" applyBorder="1" applyFont="1" applyNumberFormat="1">
      <alignment horizontal="right" readingOrder="0" shrinkToFit="0" vertical="bottom" wrapText="0"/>
    </xf>
    <xf borderId="1" fillId="6" fontId="4" numFmtId="3" xfId="0" applyBorder="1" applyFont="1" applyNumberFormat="1"/>
    <xf borderId="0" fillId="0" fontId="7" numFmtId="0" xfId="0" applyAlignment="1" applyFont="1">
      <alignment shrinkToFit="0" vertical="bottom" wrapText="0"/>
    </xf>
    <xf borderId="0" fillId="0" fontId="7" numFmtId="3" xfId="0" applyAlignment="1" applyFont="1" applyNumberFormat="1">
      <alignment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0" fillId="0" fontId="4" numFmtId="3" xfId="0" applyFont="1" applyNumberFormat="1"/>
    <xf borderId="0" fillId="6" fontId="4" numFmtId="3" xfId="0" applyFont="1" applyNumberFormat="1"/>
    <xf borderId="0" fillId="6" fontId="4" numFmtId="10" xfId="0" applyFont="1" applyNumberFormat="1"/>
    <xf borderId="0" fillId="7" fontId="4" numFmtId="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58</xdr:row>
      <xdr:rowOff>95250</xdr:rowOff>
    </xdr:from>
    <xdr:ext cx="7658100" cy="48958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56</xdr:row>
      <xdr:rowOff>180975</xdr:rowOff>
    </xdr:from>
    <xdr:ext cx="7162800" cy="351472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0"/>
  </cols>
  <sheetData>
    <row r="2">
      <c r="A2" s="1" t="s">
        <v>0</v>
      </c>
      <c r="B2" s="2" t="s">
        <v>1</v>
      </c>
      <c r="C2" s="3"/>
    </row>
    <row r="3">
      <c r="A3" s="4" t="s">
        <v>2</v>
      </c>
      <c r="B3" s="5" t="s">
        <v>3</v>
      </c>
      <c r="C3" s="6">
        <v>1.0</v>
      </c>
    </row>
    <row r="4">
      <c r="A4" s="1" t="s">
        <v>4</v>
      </c>
      <c r="B4" s="2">
        <v>830.0</v>
      </c>
      <c r="C4" s="7">
        <v>0.83</v>
      </c>
    </row>
    <row r="5">
      <c r="A5" s="1" t="s">
        <v>5</v>
      </c>
      <c r="B5" s="2">
        <v>150.0</v>
      </c>
      <c r="C5" s="7">
        <v>0.15</v>
      </c>
    </row>
    <row r="6">
      <c r="A6" s="1" t="s">
        <v>6</v>
      </c>
      <c r="B6" s="2">
        <v>20.0</v>
      </c>
      <c r="C6" s="7">
        <v>0.02</v>
      </c>
    </row>
    <row r="7">
      <c r="A7" s="1" t="s">
        <v>7</v>
      </c>
      <c r="B7" s="2">
        <v>800.0</v>
      </c>
      <c r="C7" s="7">
        <v>0.8</v>
      </c>
    </row>
    <row r="8">
      <c r="A8" s="1" t="s">
        <v>8</v>
      </c>
      <c r="B8" s="8" t="s">
        <v>9</v>
      </c>
      <c r="C8" s="3"/>
    </row>
    <row r="9">
      <c r="A9" s="1" t="s">
        <v>10</v>
      </c>
      <c r="B9" s="2" t="s">
        <v>11</v>
      </c>
      <c r="C9" s="3"/>
    </row>
    <row r="10">
      <c r="A10" s="9" t="s">
        <v>12</v>
      </c>
    </row>
    <row r="11">
      <c r="A11" s="4" t="s">
        <v>2</v>
      </c>
      <c r="B11" s="5" t="s">
        <v>3</v>
      </c>
      <c r="C11" s="6">
        <v>1.0</v>
      </c>
    </row>
    <row r="12">
      <c r="A12" s="1" t="s">
        <v>4</v>
      </c>
      <c r="B12" s="2">
        <v>830.0</v>
      </c>
      <c r="C12" s="7">
        <v>0.83</v>
      </c>
    </row>
    <row r="13">
      <c r="A13" s="1" t="s">
        <v>5</v>
      </c>
      <c r="B13" s="2">
        <v>150.0</v>
      </c>
      <c r="C13" s="7">
        <v>0.15</v>
      </c>
    </row>
    <row r="14">
      <c r="A14" s="1" t="s">
        <v>6</v>
      </c>
      <c r="B14" s="2">
        <v>20.0</v>
      </c>
      <c r="C14" s="7">
        <v>0.02</v>
      </c>
    </row>
    <row r="15">
      <c r="A15" s="10" t="s">
        <v>13</v>
      </c>
      <c r="B15" s="11">
        <v>870.0</v>
      </c>
      <c r="C15" s="7">
        <v>0.87</v>
      </c>
    </row>
    <row r="16">
      <c r="A16" s="1" t="s">
        <v>7</v>
      </c>
      <c r="B16" s="2">
        <v>800.0</v>
      </c>
      <c r="C16" s="7">
        <v>0.8</v>
      </c>
      <c r="E16" s="8"/>
    </row>
    <row r="17">
      <c r="A17" s="1" t="s">
        <v>14</v>
      </c>
      <c r="B17" s="2">
        <v>550.0</v>
      </c>
      <c r="C17" s="7">
        <v>0.55</v>
      </c>
    </row>
    <row r="18">
      <c r="A18" s="1" t="s">
        <v>15</v>
      </c>
      <c r="B18" s="8">
        <v>1782400.0</v>
      </c>
      <c r="C18" s="3"/>
      <c r="E18" s="10">
        <v>1.0</v>
      </c>
      <c r="F18" s="10">
        <v>2.0</v>
      </c>
      <c r="G18" s="10">
        <v>3.0</v>
      </c>
      <c r="H18" s="10">
        <v>4.0</v>
      </c>
      <c r="I18" s="10">
        <v>5.0</v>
      </c>
      <c r="J18" s="10">
        <v>6.0</v>
      </c>
      <c r="K18" s="10">
        <v>7.0</v>
      </c>
      <c r="L18" s="10">
        <v>8.0</v>
      </c>
      <c r="M18" s="10">
        <v>9.0</v>
      </c>
      <c r="N18" s="10">
        <v>10.0</v>
      </c>
      <c r="O18" s="10">
        <v>11.0</v>
      </c>
      <c r="P18" s="10">
        <v>12.0</v>
      </c>
    </row>
    <row r="19">
      <c r="A19" s="1" t="s">
        <v>16</v>
      </c>
      <c r="B19" s="8">
        <f>SUM(E19:P19)</f>
        <v>1511.4</v>
      </c>
      <c r="C19" s="3"/>
      <c r="E19" s="10">
        <v>0.0</v>
      </c>
      <c r="F19" s="10">
        <v>22.9</v>
      </c>
      <c r="G19" s="12">
        <f>F19*2</f>
        <v>45.8</v>
      </c>
      <c r="H19" s="12">
        <f>F19*3</f>
        <v>68.7</v>
      </c>
      <c r="I19" s="12">
        <f>F19*4</f>
        <v>91.6</v>
      </c>
      <c r="J19" s="12">
        <f>F19*5</f>
        <v>114.5</v>
      </c>
      <c r="K19" s="12">
        <f>F19*6</f>
        <v>137.4</v>
      </c>
      <c r="L19" s="12">
        <f>F19*7</f>
        <v>160.3</v>
      </c>
      <c r="M19" s="12">
        <f>F19*8</f>
        <v>183.2</v>
      </c>
      <c r="N19" s="12">
        <f>F19*9</f>
        <v>206.1</v>
      </c>
      <c r="O19" s="12">
        <f>F19*10</f>
        <v>229</v>
      </c>
      <c r="P19" s="12">
        <f>F19*11</f>
        <v>251.9</v>
      </c>
    </row>
    <row r="20">
      <c r="A20" s="1" t="s">
        <v>17</v>
      </c>
      <c r="B20" s="8">
        <f>B19*1000</f>
        <v>1511400</v>
      </c>
    </row>
    <row r="21">
      <c r="A21" s="1" t="s">
        <v>18</v>
      </c>
      <c r="B21" s="2">
        <f>SUM(E24:P24)</f>
        <v>196.482</v>
      </c>
    </row>
    <row r="22">
      <c r="A22" s="13" t="s">
        <v>19</v>
      </c>
    </row>
    <row r="23">
      <c r="A23" s="4" t="s">
        <v>2</v>
      </c>
      <c r="B23" s="5" t="s">
        <v>20</v>
      </c>
      <c r="C23" s="6">
        <v>1.0</v>
      </c>
      <c r="E23" s="10">
        <v>1.0</v>
      </c>
      <c r="F23" s="10">
        <v>2.0</v>
      </c>
      <c r="G23" s="10">
        <v>3.0</v>
      </c>
      <c r="H23" s="10">
        <v>4.0</v>
      </c>
      <c r="I23" s="10">
        <v>5.0</v>
      </c>
      <c r="J23" s="10">
        <v>6.0</v>
      </c>
      <c r="K23" s="10">
        <v>7.0</v>
      </c>
      <c r="L23" s="10">
        <v>8.0</v>
      </c>
      <c r="M23" s="10">
        <v>9.0</v>
      </c>
      <c r="N23" s="10">
        <v>10.0</v>
      </c>
      <c r="O23" s="10">
        <v>11.0</v>
      </c>
      <c r="P23" s="10">
        <v>12.0</v>
      </c>
    </row>
    <row r="24">
      <c r="A24" s="1" t="s">
        <v>4</v>
      </c>
      <c r="B24" s="2">
        <f>830*2</f>
        <v>1660</v>
      </c>
      <c r="C24" s="7">
        <v>0.83</v>
      </c>
      <c r="E24" s="10">
        <v>0.0</v>
      </c>
      <c r="F24" s="12">
        <f>F19*13%</f>
        <v>2.977</v>
      </c>
      <c r="G24" s="12">
        <f>F24*2</f>
        <v>5.954</v>
      </c>
      <c r="H24" s="12">
        <f>F24*3</f>
        <v>8.931</v>
      </c>
      <c r="I24" s="12">
        <f>F24*4</f>
        <v>11.908</v>
      </c>
      <c r="J24" s="12">
        <f>F24*5</f>
        <v>14.885</v>
      </c>
      <c r="K24" s="12">
        <f>F24*6</f>
        <v>17.862</v>
      </c>
      <c r="L24" s="12">
        <f>F24*7</f>
        <v>20.839</v>
      </c>
      <c r="M24" s="12">
        <f>F24*8</f>
        <v>23.816</v>
      </c>
      <c r="N24" s="12">
        <f>F24*9</f>
        <v>26.793</v>
      </c>
      <c r="O24" s="12">
        <f>F24*10</f>
        <v>29.77</v>
      </c>
      <c r="P24" s="12">
        <f>F24*11</f>
        <v>32.747</v>
      </c>
    </row>
    <row r="25">
      <c r="A25" s="1" t="s">
        <v>5</v>
      </c>
      <c r="B25" s="2">
        <f>150*2</f>
        <v>300</v>
      </c>
      <c r="C25" s="7">
        <v>0.15</v>
      </c>
    </row>
    <row r="26">
      <c r="A26" s="1" t="s">
        <v>6</v>
      </c>
      <c r="B26" s="2">
        <f>20*2</f>
        <v>40</v>
      </c>
      <c r="C26" s="7">
        <v>0.02</v>
      </c>
    </row>
    <row r="27">
      <c r="A27" s="1" t="s">
        <v>7</v>
      </c>
      <c r="B27" s="2">
        <f>800*2</f>
        <v>1600</v>
      </c>
      <c r="C27" s="7">
        <v>0.8</v>
      </c>
    </row>
    <row r="28">
      <c r="A28" s="1" t="s">
        <v>21</v>
      </c>
      <c r="B28" s="2">
        <f>550+1000</f>
        <v>1550</v>
      </c>
      <c r="C28" s="7">
        <v>0.775</v>
      </c>
    </row>
    <row r="29">
      <c r="A29" s="1" t="s">
        <v>15</v>
      </c>
      <c r="B29" s="8">
        <v>7511400.0</v>
      </c>
      <c r="C29" s="3"/>
    </row>
    <row r="30">
      <c r="A30" s="1" t="s">
        <v>16</v>
      </c>
      <c r="B30" s="8">
        <v>7511.4</v>
      </c>
      <c r="C30" s="3"/>
    </row>
    <row r="31">
      <c r="A31" s="1" t="s">
        <v>17</v>
      </c>
      <c r="B31" s="8">
        <v>6196482.0</v>
      </c>
    </row>
    <row r="32">
      <c r="A32" s="1" t="s">
        <v>18</v>
      </c>
      <c r="B32" s="8">
        <v>6196.482</v>
      </c>
    </row>
  </sheetData>
  <mergeCells count="1">
    <mergeCell ref="A10:C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 t="s">
        <v>22</v>
      </c>
      <c r="D1" s="10" t="s">
        <v>23</v>
      </c>
      <c r="E1" s="14">
        <v>0.05</v>
      </c>
      <c r="H1" s="10" t="s">
        <v>24</v>
      </c>
      <c r="I1" s="10" t="s">
        <v>25</v>
      </c>
      <c r="J1" s="10" t="s">
        <v>26</v>
      </c>
      <c r="K1" s="10" t="s">
        <v>27</v>
      </c>
    </row>
    <row r="2">
      <c r="A2" s="10">
        <v>2021.0</v>
      </c>
      <c r="B2" s="10">
        <v>38.0</v>
      </c>
      <c r="D2" s="10" t="s">
        <v>28</v>
      </c>
      <c r="E2" s="10">
        <v>3500000.0</v>
      </c>
      <c r="F2" s="10"/>
      <c r="G2" s="10" t="s">
        <v>29</v>
      </c>
      <c r="H2" s="15">
        <v>0.003</v>
      </c>
      <c r="I2" s="14">
        <v>0.83</v>
      </c>
      <c r="J2" s="12">
        <f>I2*E2</f>
        <v>2905000</v>
      </c>
      <c r="K2" s="10">
        <v>4000.0</v>
      </c>
    </row>
    <row r="3">
      <c r="A3" s="10">
        <v>2022.0</v>
      </c>
      <c r="B3" s="10">
        <v>65.0</v>
      </c>
      <c r="F3" s="10"/>
      <c r="G3" s="10" t="s">
        <v>30</v>
      </c>
      <c r="H3" s="15">
        <v>5.0E-4</v>
      </c>
      <c r="I3" s="14">
        <v>0.15</v>
      </c>
      <c r="J3" s="12">
        <f>E2*I3</f>
        <v>525000</v>
      </c>
      <c r="K3" s="10">
        <v>5000.0</v>
      </c>
    </row>
    <row r="4">
      <c r="F4" s="10"/>
      <c r="G4" s="10" t="s">
        <v>31</v>
      </c>
      <c r="H4" s="15">
        <v>4.0E-4</v>
      </c>
      <c r="I4" s="14">
        <v>0.02</v>
      </c>
      <c r="J4" s="12">
        <f>I4*E2</f>
        <v>70000</v>
      </c>
      <c r="K4" s="10">
        <v>5000.0</v>
      </c>
    </row>
    <row r="7">
      <c r="A7" s="10">
        <v>200000.0</v>
      </c>
      <c r="B7" s="12">
        <f>H4*A7</f>
        <v>80</v>
      </c>
    </row>
    <row r="8">
      <c r="A8" s="10">
        <v>500000.0</v>
      </c>
      <c r="B8" s="12">
        <f>A8*H4</f>
        <v>200</v>
      </c>
    </row>
    <row r="9">
      <c r="B9" s="12">
        <f>B8-B7</f>
        <v>120</v>
      </c>
    </row>
    <row r="12">
      <c r="A12" s="10">
        <v>116000.0</v>
      </c>
      <c r="B12" s="12">
        <f>A12*H3</f>
        <v>58</v>
      </c>
    </row>
    <row r="15">
      <c r="A15" s="10">
        <v>10000.0</v>
      </c>
      <c r="B15" s="12">
        <f>A15*H2</f>
        <v>30</v>
      </c>
    </row>
    <row r="16">
      <c r="A16" s="10">
        <v>50000.0</v>
      </c>
      <c r="B16" s="12">
        <f>A16*H2</f>
        <v>150</v>
      </c>
    </row>
    <row r="17">
      <c r="A17" s="10">
        <v>100000.0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17.0"/>
    <col customWidth="1" min="3" max="3" width="15.13"/>
    <col customWidth="1" min="5" max="5" width="14.38"/>
  </cols>
  <sheetData>
    <row r="1">
      <c r="A1" s="10" t="s">
        <v>32</v>
      </c>
    </row>
    <row r="2" hidden="1">
      <c r="A2" s="10" t="s">
        <v>0</v>
      </c>
      <c r="B2" s="16">
        <v>5000.0</v>
      </c>
    </row>
    <row r="3" hidden="1">
      <c r="A3" s="13" t="s">
        <v>2</v>
      </c>
      <c r="B3" s="17">
        <v>1000.0</v>
      </c>
      <c r="C3" s="18">
        <f>SUM(C4:C6)</f>
        <v>1</v>
      </c>
    </row>
    <row r="4" hidden="1">
      <c r="A4" s="10" t="s">
        <v>4</v>
      </c>
      <c r="B4" s="11">
        <v>830.0</v>
      </c>
      <c r="C4" s="19">
        <f>B4/B3</f>
        <v>0.83</v>
      </c>
    </row>
    <row r="5" hidden="1">
      <c r="A5" s="10" t="s">
        <v>5</v>
      </c>
      <c r="B5" s="11">
        <v>150.0</v>
      </c>
      <c r="C5" s="19">
        <f>B5/B3</f>
        <v>0.15</v>
      </c>
    </row>
    <row r="6" hidden="1">
      <c r="A6" s="10" t="s">
        <v>6</v>
      </c>
      <c r="B6" s="11">
        <v>20.0</v>
      </c>
      <c r="C6" s="19">
        <f>B6/B3</f>
        <v>0.02</v>
      </c>
    </row>
    <row r="7" hidden="1">
      <c r="A7" s="10" t="s">
        <v>13</v>
      </c>
      <c r="B7" s="11">
        <v>870.0</v>
      </c>
      <c r="C7" s="19">
        <f>B7/B3</f>
        <v>0.87</v>
      </c>
    </row>
    <row r="8" hidden="1">
      <c r="A8" s="10" t="s">
        <v>7</v>
      </c>
      <c r="B8" s="11">
        <v>800.0</v>
      </c>
      <c r="C8" s="19">
        <f>B8/B3</f>
        <v>0.8</v>
      </c>
    </row>
    <row r="9" hidden="1">
      <c r="A9" s="10" t="s">
        <v>8</v>
      </c>
      <c r="B9" s="16">
        <v>6000000.0</v>
      </c>
    </row>
    <row r="10" hidden="1">
      <c r="A10" s="10" t="s">
        <v>10</v>
      </c>
      <c r="B10" s="16">
        <v>6000.0</v>
      </c>
    </row>
    <row r="11" hidden="1">
      <c r="A11" s="10" t="s">
        <v>33</v>
      </c>
    </row>
    <row r="12" hidden="1">
      <c r="A12" s="10" t="s">
        <v>34</v>
      </c>
      <c r="B12" s="10" t="s">
        <v>35</v>
      </c>
    </row>
    <row r="13" hidden="1">
      <c r="A13" s="10" t="s">
        <v>36</v>
      </c>
      <c r="B13" s="10">
        <v>4000.0</v>
      </c>
    </row>
    <row r="14" hidden="1">
      <c r="A14" s="10" t="s">
        <v>37</v>
      </c>
      <c r="B14" s="10">
        <v>600.0</v>
      </c>
    </row>
    <row r="15" hidden="1">
      <c r="A15" s="10" t="s">
        <v>38</v>
      </c>
      <c r="B15" s="10">
        <v>230.0</v>
      </c>
    </row>
    <row r="16" hidden="1">
      <c r="A16" s="10" t="s">
        <v>39</v>
      </c>
      <c r="B16" s="10">
        <v>130.0</v>
      </c>
    </row>
    <row r="17" hidden="1">
      <c r="A17" s="10" t="s">
        <v>40</v>
      </c>
      <c r="B17" s="10">
        <v>40.0</v>
      </c>
    </row>
    <row r="18" hidden="1"/>
    <row r="19" hidden="1">
      <c r="A19" s="20" t="s">
        <v>41</v>
      </c>
      <c r="C19" s="20" t="s">
        <v>42</v>
      </c>
      <c r="E19" s="21" t="s">
        <v>43</v>
      </c>
    </row>
    <row r="20" hidden="1">
      <c r="A20" s="10" t="s">
        <v>44</v>
      </c>
      <c r="B20" s="22">
        <v>600.0</v>
      </c>
      <c r="C20" s="23">
        <f t="shared" ref="C20:C23" si="1">B27/B20</f>
        <v>1.666666667</v>
      </c>
      <c r="D20" s="12">
        <f>C20*720</f>
        <v>1200</v>
      </c>
      <c r="E20" s="12">
        <f>B20*C20</f>
        <v>1000</v>
      </c>
    </row>
    <row r="21" hidden="1">
      <c r="A21" s="10" t="s">
        <v>38</v>
      </c>
      <c r="B21" s="22">
        <v>230.0</v>
      </c>
      <c r="C21" s="23">
        <f t="shared" si="1"/>
        <v>13.04347826</v>
      </c>
      <c r="D21" s="12">
        <f t="shared" ref="D21:D22" si="2">B20*C21*20%</f>
        <v>1565.217391</v>
      </c>
      <c r="E21" s="12">
        <f>C21*B21+D21</f>
        <v>4565.217391</v>
      </c>
    </row>
    <row r="22" hidden="1">
      <c r="A22" s="10" t="s">
        <v>39</v>
      </c>
      <c r="B22" s="10">
        <v>130.0</v>
      </c>
      <c r="C22" s="23">
        <f t="shared" si="1"/>
        <v>107.6923077</v>
      </c>
      <c r="D22" s="12">
        <f t="shared" si="2"/>
        <v>4953.846154</v>
      </c>
      <c r="E22" s="12">
        <f>B22*C22+D22</f>
        <v>18953.84615</v>
      </c>
    </row>
    <row r="23" hidden="1">
      <c r="A23" s="10" t="s">
        <v>45</v>
      </c>
      <c r="B23" s="10">
        <v>20.0</v>
      </c>
      <c r="C23" s="23">
        <f t="shared" si="1"/>
        <v>1500</v>
      </c>
      <c r="E23" s="12">
        <f t="shared" ref="E23:E24" si="3">C23*B23</f>
        <v>30000</v>
      </c>
    </row>
    <row r="24" hidden="1">
      <c r="A24" s="10" t="s">
        <v>46</v>
      </c>
      <c r="B24" s="10">
        <v>20.0</v>
      </c>
      <c r="C24" s="11">
        <f>SUM(B31:B35)/B24</f>
        <v>7600</v>
      </c>
      <c r="E24" s="12">
        <f t="shared" si="3"/>
        <v>152000</v>
      </c>
    </row>
    <row r="25" hidden="1">
      <c r="A25" s="10" t="s">
        <v>47</v>
      </c>
      <c r="B25" s="24">
        <v>200000.0</v>
      </c>
      <c r="C25" s="25">
        <f>E20+E21+E22+E23+E24</f>
        <v>206519.0635</v>
      </c>
      <c r="D25" s="10" t="s">
        <v>48</v>
      </c>
      <c r="E25" s="10">
        <v>6000000.0</v>
      </c>
      <c r="F25" s="12">
        <f>C25*3</f>
        <v>619557.1906</v>
      </c>
    </row>
    <row r="26" hidden="1">
      <c r="A26" s="10" t="s">
        <v>36</v>
      </c>
      <c r="B26" s="10">
        <v>0.0</v>
      </c>
      <c r="D26" s="10" t="s">
        <v>49</v>
      </c>
      <c r="E26" s="10">
        <v>6000.0</v>
      </c>
    </row>
    <row r="27" hidden="1">
      <c r="A27" s="10" t="s">
        <v>37</v>
      </c>
      <c r="B27" s="26">
        <f>B25*C27</f>
        <v>1000</v>
      </c>
      <c r="C27" s="15">
        <v>0.005</v>
      </c>
      <c r="D27" s="27"/>
      <c r="E27" s="26">
        <f t="shared" ref="E27:E35" si="4">$E$26*C27</f>
        <v>30</v>
      </c>
      <c r="F27" s="10">
        <v>12000.0</v>
      </c>
      <c r="G27" s="12">
        <f t="shared" ref="G27:G28" si="5">F27*0.8*0.3%+F27*0.2*0.1%</f>
        <v>31.2</v>
      </c>
      <c r="K27" s="12">
        <f>E27/B27</f>
        <v>0.03</v>
      </c>
    </row>
    <row r="28" hidden="1">
      <c r="A28" s="10" t="s">
        <v>38</v>
      </c>
      <c r="B28" s="26">
        <f>B25*C28</f>
        <v>3000</v>
      </c>
      <c r="C28" s="15">
        <v>0.015</v>
      </c>
      <c r="D28" s="27"/>
      <c r="E28" s="26">
        <f t="shared" si="4"/>
        <v>90</v>
      </c>
      <c r="F28" s="12">
        <f>E28/0.3%</f>
        <v>30000</v>
      </c>
      <c r="G28" s="12">
        <f t="shared" si="5"/>
        <v>78</v>
      </c>
      <c r="H28" s="12">
        <f>G28+G27</f>
        <v>109.2</v>
      </c>
      <c r="I28" s="26">
        <f>E28+E27</f>
        <v>120</v>
      </c>
      <c r="J28" s="28">
        <f>H28-I28</f>
        <v>-10.8</v>
      </c>
    </row>
    <row r="29" hidden="1">
      <c r="A29" s="10" t="s">
        <v>39</v>
      </c>
      <c r="B29" s="26">
        <f>B25*C29</f>
        <v>14000</v>
      </c>
      <c r="C29" s="14">
        <v>0.07</v>
      </c>
      <c r="D29" s="27"/>
      <c r="E29" s="26">
        <f t="shared" si="4"/>
        <v>420</v>
      </c>
      <c r="F29" s="10" t="s">
        <v>50</v>
      </c>
      <c r="J29" s="10">
        <v>19557.0</v>
      </c>
    </row>
    <row r="30" hidden="1">
      <c r="A30" s="10" t="s">
        <v>45</v>
      </c>
      <c r="B30" s="26">
        <f>B25*C30</f>
        <v>30000</v>
      </c>
      <c r="C30" s="15">
        <v>0.15</v>
      </c>
      <c r="D30" s="27"/>
      <c r="E30" s="26">
        <f t="shared" si="4"/>
        <v>900</v>
      </c>
      <c r="J30" s="29">
        <f>J29+J28</f>
        <v>19546.2</v>
      </c>
    </row>
    <row r="31" hidden="1">
      <c r="A31" s="30">
        <v>45571.0</v>
      </c>
      <c r="B31" s="26">
        <f>B25*C31</f>
        <v>10000</v>
      </c>
      <c r="C31" s="15">
        <v>0.05</v>
      </c>
      <c r="D31" s="27"/>
      <c r="E31" s="26">
        <f t="shared" si="4"/>
        <v>300</v>
      </c>
    </row>
    <row r="32" hidden="1">
      <c r="A32" s="10" t="s">
        <v>51</v>
      </c>
      <c r="B32" s="26">
        <f>C32*B25</f>
        <v>53000</v>
      </c>
      <c r="C32" s="15">
        <v>0.265</v>
      </c>
      <c r="D32" s="27"/>
      <c r="E32" s="26">
        <f t="shared" si="4"/>
        <v>1590</v>
      </c>
    </row>
    <row r="33" hidden="1">
      <c r="A33" s="10" t="s">
        <v>52</v>
      </c>
      <c r="B33" s="26">
        <f>C33*B25</f>
        <v>36000</v>
      </c>
      <c r="C33" s="15">
        <v>0.18</v>
      </c>
      <c r="D33" s="27"/>
      <c r="E33" s="26">
        <f t="shared" si="4"/>
        <v>1080</v>
      </c>
    </row>
    <row r="34" hidden="1">
      <c r="A34" s="10" t="s">
        <v>53</v>
      </c>
      <c r="B34" s="26">
        <f>B25*C34</f>
        <v>12000</v>
      </c>
      <c r="C34" s="15">
        <v>0.06</v>
      </c>
      <c r="D34" s="27"/>
      <c r="E34" s="26">
        <f t="shared" si="4"/>
        <v>360</v>
      </c>
    </row>
    <row r="35" hidden="1">
      <c r="A35" s="10" t="s">
        <v>54</v>
      </c>
      <c r="B35" s="26">
        <f>B25*C35</f>
        <v>41000</v>
      </c>
      <c r="C35" s="15">
        <v>0.205</v>
      </c>
      <c r="D35" s="27"/>
      <c r="E35" s="26">
        <f t="shared" si="4"/>
        <v>1230</v>
      </c>
      <c r="F35" s="12">
        <f>B35*3</f>
        <v>123000</v>
      </c>
    </row>
    <row r="36" hidden="1"/>
    <row r="37" hidden="1">
      <c r="A37" s="10" t="s">
        <v>55</v>
      </c>
    </row>
    <row r="38" hidden="1">
      <c r="A38" s="10" t="s">
        <v>56</v>
      </c>
    </row>
    <row r="39" hidden="1">
      <c r="A39" s="10" t="s">
        <v>57</v>
      </c>
    </row>
    <row r="40" hidden="1">
      <c r="A40" s="10" t="s">
        <v>58</v>
      </c>
    </row>
    <row r="41" hidden="1"/>
    <row r="42" hidden="1">
      <c r="A42" s="10" t="s">
        <v>59</v>
      </c>
    </row>
    <row r="43" hidden="1">
      <c r="A43" s="10" t="s">
        <v>60</v>
      </c>
    </row>
    <row r="44" hidden="1">
      <c r="A44" s="31"/>
      <c r="B44" s="32"/>
      <c r="C44" s="32"/>
      <c r="D44" s="32"/>
    </row>
    <row r="47">
      <c r="A47" s="33" t="s">
        <v>61</v>
      </c>
    </row>
    <row r="48">
      <c r="A48" s="34" t="s">
        <v>41</v>
      </c>
      <c r="B48" s="35" t="s">
        <v>62</v>
      </c>
      <c r="C48" s="35" t="s">
        <v>63</v>
      </c>
      <c r="D48" s="35" t="s">
        <v>64</v>
      </c>
      <c r="E48" s="35" t="s">
        <v>65</v>
      </c>
      <c r="F48" s="35" t="s">
        <v>10</v>
      </c>
      <c r="G48" s="35" t="s">
        <v>66</v>
      </c>
      <c r="H48" s="36" t="s">
        <v>67</v>
      </c>
      <c r="I48" s="35" t="s">
        <v>68</v>
      </c>
      <c r="J48" s="35" t="s">
        <v>69</v>
      </c>
    </row>
    <row r="49">
      <c r="A49" s="37" t="s">
        <v>44</v>
      </c>
      <c r="B49" s="38">
        <v>600.0</v>
      </c>
      <c r="C49" s="39" t="s">
        <v>29</v>
      </c>
      <c r="D49" s="40">
        <v>1.6666666666666667</v>
      </c>
      <c r="E49" s="38">
        <v>1000.0</v>
      </c>
      <c r="F49" s="38">
        <v>30.0</v>
      </c>
      <c r="G49" s="41">
        <f>600*1.2</f>
        <v>720</v>
      </c>
      <c r="H49" s="42">
        <f t="shared" ref="H49:H53" si="6">G49*D49</f>
        <v>1200</v>
      </c>
      <c r="I49" s="43">
        <f t="shared" ref="I49:I53" si="7">H49*30</f>
        <v>36000</v>
      </c>
      <c r="J49" s="44">
        <f t="shared" ref="J49:J54" si="8">I49*0.1%</f>
        <v>36</v>
      </c>
    </row>
    <row r="50">
      <c r="A50" s="37" t="s">
        <v>38</v>
      </c>
      <c r="B50" s="38">
        <v>230.0</v>
      </c>
      <c r="C50" s="39" t="s">
        <v>29</v>
      </c>
      <c r="D50" s="40">
        <v>13.043478260869565</v>
      </c>
      <c r="E50" s="38">
        <v>3000.0</v>
      </c>
      <c r="F50" s="38">
        <v>90.0</v>
      </c>
      <c r="G50" s="41">
        <f t="shared" ref="G50:G51" si="9">B50+B49*20%</f>
        <v>350</v>
      </c>
      <c r="H50" s="42">
        <f t="shared" si="6"/>
        <v>4565.217391</v>
      </c>
      <c r="I50" s="43">
        <f t="shared" si="7"/>
        <v>136956.5217</v>
      </c>
      <c r="J50" s="44">
        <f t="shared" si="8"/>
        <v>136.9565217</v>
      </c>
    </row>
    <row r="51">
      <c r="A51" s="37" t="s">
        <v>39</v>
      </c>
      <c r="B51" s="38">
        <v>130.0</v>
      </c>
      <c r="C51" s="39" t="s">
        <v>30</v>
      </c>
      <c r="D51" s="40">
        <v>107.69230769230771</v>
      </c>
      <c r="E51" s="38">
        <v>14000.0</v>
      </c>
      <c r="F51" s="38">
        <v>420.0</v>
      </c>
      <c r="G51" s="41">
        <f t="shared" si="9"/>
        <v>176</v>
      </c>
      <c r="H51" s="42">
        <f t="shared" si="6"/>
        <v>18953.84615</v>
      </c>
      <c r="I51" s="43">
        <f t="shared" si="7"/>
        <v>568615.3846</v>
      </c>
      <c r="J51" s="44">
        <f t="shared" si="8"/>
        <v>568.6153846</v>
      </c>
    </row>
    <row r="52">
      <c r="A52" s="37" t="s">
        <v>45</v>
      </c>
      <c r="B52" s="38">
        <v>20.0</v>
      </c>
      <c r="C52" s="39" t="s">
        <v>70</v>
      </c>
      <c r="D52" s="40">
        <v>1500.0</v>
      </c>
      <c r="E52" s="38">
        <v>30000.0</v>
      </c>
      <c r="F52" s="38">
        <v>900.0</v>
      </c>
      <c r="G52" s="38">
        <v>20.0</v>
      </c>
      <c r="H52" s="42">
        <f t="shared" si="6"/>
        <v>30000</v>
      </c>
      <c r="I52" s="43">
        <f t="shared" si="7"/>
        <v>900000</v>
      </c>
      <c r="J52" s="42">
        <f t="shared" si="8"/>
        <v>900</v>
      </c>
    </row>
    <row r="53">
      <c r="A53" s="37" t="s">
        <v>46</v>
      </c>
      <c r="B53" s="38">
        <v>20.0</v>
      </c>
      <c r="C53" s="39" t="s">
        <v>70</v>
      </c>
      <c r="D53" s="40">
        <v>7600.0</v>
      </c>
      <c r="E53" s="38">
        <v>152000.0</v>
      </c>
      <c r="F53" s="38">
        <v>4560.0</v>
      </c>
      <c r="G53" s="38">
        <v>20.0</v>
      </c>
      <c r="H53" s="42">
        <f t="shared" si="6"/>
        <v>152000</v>
      </c>
      <c r="I53" s="43">
        <f t="shared" si="7"/>
        <v>4560000</v>
      </c>
      <c r="J53" s="42">
        <f t="shared" si="8"/>
        <v>4560</v>
      </c>
    </row>
    <row r="54">
      <c r="A54" s="45"/>
      <c r="B54" s="46">
        <f>SUM(B49:B53)</f>
        <v>1000</v>
      </c>
      <c r="C54" s="46"/>
      <c r="D54" s="46"/>
      <c r="E54" s="46">
        <f t="shared" ref="E54:I54" si="10">SUM(E49:E53)</f>
        <v>200000</v>
      </c>
      <c r="F54" s="47">
        <f t="shared" si="10"/>
        <v>6000</v>
      </c>
      <c r="G54" s="45">
        <f t="shared" si="10"/>
        <v>1286</v>
      </c>
      <c r="H54" s="47">
        <f t="shared" si="10"/>
        <v>206719.0635</v>
      </c>
      <c r="I54" s="48">
        <f t="shared" si="10"/>
        <v>6201571.906</v>
      </c>
      <c r="J54" s="49">
        <f t="shared" si="8"/>
        <v>6201.571906</v>
      </c>
    </row>
    <row r="55">
      <c r="G55" s="50">
        <f>G54/B54-1</f>
        <v>0.286</v>
      </c>
      <c r="H55" s="50">
        <f>H54/E54-1</f>
        <v>0.03359531773</v>
      </c>
      <c r="I55" s="50">
        <f>I54/E25-1</f>
        <v>0.03359531773</v>
      </c>
      <c r="J55" s="51">
        <f>(J49+J50)*0.2*0.33</f>
        <v>11.41513043</v>
      </c>
      <c r="K55" s="10" t="s">
        <v>71</v>
      </c>
    </row>
    <row r="56">
      <c r="G56" s="20" t="s">
        <v>72</v>
      </c>
      <c r="H56" s="20" t="s">
        <v>73</v>
      </c>
      <c r="I56" s="20" t="s">
        <v>74</v>
      </c>
      <c r="J56" s="50">
        <f>(J54-J55)/6000-1</f>
        <v>0.03169279599</v>
      </c>
    </row>
    <row r="57">
      <c r="J57" s="10" t="s">
        <v>75</v>
      </c>
    </row>
  </sheetData>
  <mergeCells count="1">
    <mergeCell ref="A47:J47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