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D:\YandexDisk\Материалы Аналитик PRO\Проект 4\"/>
    </mc:Choice>
  </mc:AlternateContent>
  <xr:revisionPtr revIDLastSave="0" documentId="8_{F0F81029-6DB6-47F4-9F3F-CB12BF6A3B36}" xr6:coauthVersionLast="47" xr6:coauthVersionMax="47" xr10:uidLastSave="{00000000-0000-0000-0000-000000000000}"/>
  <bookViews>
    <workbookView xWindow="30612" yWindow="-108" windowWidth="30936" windowHeight="16776" tabRatio="753" firstSheet="7" activeTab="1" xr2:uid="{00000000-000D-0000-FFFF-FFFF00000000}"/>
  </bookViews>
  <sheets>
    <sheet name="Market_Size" sheetId="1" r:id="rId1"/>
    <sheet name="Fin_model" sheetId="45" r:id="rId2"/>
    <sheet name="Sales_By_Brands" sheetId="15" r:id="rId3"/>
    <sheet name="Sales_by_models" sheetId="14" r:id="rId4"/>
    <sheet name="SAM_Segmentation" sheetId="36" r:id="rId5"/>
    <sheet name="SOM (доля рынка по сегментам)" sheetId="44" r:id="rId6"/>
    <sheet name="SOM (баллы MG по Benchmark)" sheetId="43" r:id="rId7"/>
    <sheet name="Competition_Benchmark" sheetId="39" r:id="rId8"/>
    <sheet name="SOM_forecast" sheetId="42" r:id="rId9"/>
    <sheet name="MG_products" sheetId="4" r:id="rId10"/>
    <sheet name="MG_Globl_Sales" sheetId="38" r:id="rId11"/>
    <sheet name="Registration 22-24" sheetId="33" r:id="rId12"/>
    <sheet name="Profitability FRW" sheetId="25" r:id="rId13"/>
    <sheet name="kolesa.kz" sheetId="30" r:id="rId14"/>
    <sheet name="OTTC" sheetId="31" r:id="rId15"/>
    <sheet name="Auto_Park" sheetId="32" r:id="rId16"/>
    <sheet name="Population" sheetId="28" r:id="rId17"/>
    <sheet name="Economy" sheetId="29" r:id="rId18"/>
    <sheet name="Car_Expenses" sheetId="24" r:id="rId19"/>
    <sheet name="Loans" sheetId="6" r:id="rId20"/>
  </sheets>
  <definedNames>
    <definedName name="_xlnm._FilterDatabase" localSheetId="3" hidden="1">Sales_by_models!$T$1:$AG$1</definedName>
  </definedNames>
  <calcPr calcId="191029" concurrentManualCount="14"/>
  <pivotCaches>
    <pivotCache cacheId="0" r:id="rId21"/>
    <pivotCache cacheId="1" r:id="rId2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" i="1" l="1"/>
  <c r="D23" i="1"/>
  <c r="E23" i="1"/>
  <c r="F23" i="1"/>
  <c r="C11" i="45"/>
  <c r="P17" i="45" l="1"/>
  <c r="P16" i="45"/>
  <c r="P15" i="45"/>
  <c r="P6" i="45"/>
  <c r="P5" i="45"/>
  <c r="C48" i="1" a="1"/>
  <c r="C48" i="1" s="1"/>
  <c r="E24" i="44"/>
  <c r="D22" i="44"/>
  <c r="D42" i="44"/>
  <c r="B42" i="44"/>
  <c r="D37" i="44"/>
  <c r="B37" i="44"/>
  <c r="D32" i="44"/>
  <c r="B32" i="44"/>
  <c r="D26" i="44"/>
  <c r="D25" i="44"/>
  <c r="D24" i="44"/>
  <c r="D23" i="44"/>
  <c r="B26" i="44"/>
  <c r="B25" i="44"/>
  <c r="B24" i="44"/>
  <c r="F24" i="44" s="1"/>
  <c r="C43" i="1" s="1"/>
  <c r="B23" i="44"/>
  <c r="B22" i="44"/>
  <c r="D16" i="44"/>
  <c r="D15" i="44"/>
  <c r="D14" i="44"/>
  <c r="B16" i="44"/>
  <c r="B15" i="44"/>
  <c r="B14" i="44"/>
  <c r="D9" i="44"/>
  <c r="B9" i="44"/>
  <c r="B4" i="44"/>
  <c r="D4" i="44"/>
  <c r="L85" i="43"/>
  <c r="K85" i="43"/>
  <c r="J85" i="43"/>
  <c r="I85" i="43"/>
  <c r="H85" i="43"/>
  <c r="G85" i="43"/>
  <c r="F85" i="43"/>
  <c r="E85" i="43"/>
  <c r="D85" i="43"/>
  <c r="C85" i="43"/>
  <c r="L76" i="43"/>
  <c r="K76" i="43"/>
  <c r="J76" i="43"/>
  <c r="I76" i="43"/>
  <c r="H76" i="43"/>
  <c r="G76" i="43"/>
  <c r="F76" i="43"/>
  <c r="E76" i="43"/>
  <c r="D76" i="43"/>
  <c r="M74" i="43" s="1"/>
  <c r="E9" i="44" s="1"/>
  <c r="F9" i="44" s="1"/>
  <c r="C37" i="1" s="1" a="1"/>
  <c r="C37" i="1" s="1"/>
  <c r="C76" i="43"/>
  <c r="L67" i="43"/>
  <c r="K67" i="43"/>
  <c r="J67" i="43"/>
  <c r="I67" i="43"/>
  <c r="H67" i="43"/>
  <c r="G67" i="43"/>
  <c r="F67" i="43"/>
  <c r="E67" i="43"/>
  <c r="D67" i="43"/>
  <c r="C67" i="43"/>
  <c r="L64" i="43"/>
  <c r="K64" i="43"/>
  <c r="J64" i="43"/>
  <c r="I64" i="43"/>
  <c r="H64" i="43"/>
  <c r="G64" i="43"/>
  <c r="F64" i="43"/>
  <c r="E64" i="43"/>
  <c r="D64" i="43"/>
  <c r="C64" i="43"/>
  <c r="L61" i="43"/>
  <c r="K61" i="43"/>
  <c r="J61" i="43"/>
  <c r="I61" i="43"/>
  <c r="H61" i="43"/>
  <c r="G61" i="43"/>
  <c r="F61" i="43"/>
  <c r="E61" i="43"/>
  <c r="D61" i="43"/>
  <c r="C61" i="43"/>
  <c r="L58" i="43"/>
  <c r="K58" i="43"/>
  <c r="J58" i="43"/>
  <c r="I58" i="43"/>
  <c r="H58" i="43"/>
  <c r="G58" i="43"/>
  <c r="F58" i="43"/>
  <c r="E58" i="43"/>
  <c r="D58" i="43"/>
  <c r="C58" i="43"/>
  <c r="L48" i="43"/>
  <c r="K48" i="43"/>
  <c r="J48" i="43"/>
  <c r="I48" i="43"/>
  <c r="H48" i="43"/>
  <c r="G48" i="43"/>
  <c r="F48" i="43"/>
  <c r="E48" i="43"/>
  <c r="D48" i="43"/>
  <c r="C48" i="43"/>
  <c r="L45" i="43"/>
  <c r="K45" i="43"/>
  <c r="J45" i="43"/>
  <c r="I45" i="43"/>
  <c r="H45" i="43"/>
  <c r="G45" i="43"/>
  <c r="F45" i="43"/>
  <c r="E45" i="43"/>
  <c r="D45" i="43"/>
  <c r="C45" i="43"/>
  <c r="L42" i="43"/>
  <c r="K42" i="43"/>
  <c r="J42" i="43"/>
  <c r="I42" i="43"/>
  <c r="H42" i="43"/>
  <c r="G42" i="43"/>
  <c r="F42" i="43"/>
  <c r="E42" i="43"/>
  <c r="D42" i="43"/>
  <c r="C42" i="43"/>
  <c r="L39" i="43"/>
  <c r="K39" i="43"/>
  <c r="J39" i="43"/>
  <c r="I39" i="43"/>
  <c r="H39" i="43"/>
  <c r="G39" i="43"/>
  <c r="F39" i="43"/>
  <c r="E39" i="43"/>
  <c r="D39" i="43"/>
  <c r="C39" i="43"/>
  <c r="D43" i="1" l="1"/>
  <c r="P19" i="45"/>
  <c r="P21" i="45" s="1"/>
  <c r="P11" i="45" s="1"/>
  <c r="P12" i="45" s="1"/>
  <c r="D48" i="1"/>
  <c r="E48" i="1"/>
  <c r="F48" i="1"/>
  <c r="F43" i="1"/>
  <c r="E43" i="1"/>
  <c r="M83" i="43"/>
  <c r="E4" i="44" s="1"/>
  <c r="F4" i="44" s="1"/>
  <c r="C36" i="1" s="1" a="1"/>
  <c r="C36" i="1" s="1"/>
  <c r="D37" i="1"/>
  <c r="E37" i="1"/>
  <c r="F37" i="1"/>
  <c r="M65" i="43"/>
  <c r="E16" i="44" s="1"/>
  <c r="F16" i="44" s="1"/>
  <c r="C40" i="1" s="1"/>
  <c r="M43" i="43"/>
  <c r="E25" i="44" s="1"/>
  <c r="F25" i="44" s="1"/>
  <c r="C44" i="1" s="1"/>
  <c r="M62" i="43"/>
  <c r="M59" i="43"/>
  <c r="E15" i="44" s="1"/>
  <c r="F15" i="44" s="1"/>
  <c r="C39" i="1" s="1"/>
  <c r="M56" i="43"/>
  <c r="E14" i="44" s="1"/>
  <c r="F14" i="44" s="1"/>
  <c r="C38" i="1" s="1"/>
  <c r="M46" i="43"/>
  <c r="E26" i="44" s="1"/>
  <c r="F26" i="44" s="1"/>
  <c r="C45" i="1" s="1"/>
  <c r="M40" i="43"/>
  <c r="M37" i="43"/>
  <c r="E23" i="44" s="1"/>
  <c r="F23" i="44" s="1"/>
  <c r="C42" i="1" s="1"/>
  <c r="E36" i="1" l="1"/>
  <c r="F45" i="1"/>
  <c r="D45" i="1"/>
  <c r="E45" i="1"/>
  <c r="D36" i="1"/>
  <c r="F36" i="1"/>
  <c r="C29" i="1" a="1"/>
  <c r="C29" i="1" s="1"/>
  <c r="D29" i="1" s="1"/>
  <c r="E40" i="1"/>
  <c r="F40" i="1"/>
  <c r="D40" i="1"/>
  <c r="D39" i="1"/>
  <c r="E39" i="1"/>
  <c r="F39" i="1"/>
  <c r="D38" i="1"/>
  <c r="E38" i="1"/>
  <c r="F38" i="1"/>
  <c r="F17" i="44"/>
  <c r="D44" i="1"/>
  <c r="E44" i="1"/>
  <c r="F44" i="1"/>
  <c r="F42" i="1"/>
  <c r="E42" i="1"/>
  <c r="D42" i="1"/>
  <c r="L36" i="43"/>
  <c r="K36" i="43"/>
  <c r="J36" i="43"/>
  <c r="I36" i="43"/>
  <c r="H36" i="43"/>
  <c r="G36" i="43"/>
  <c r="F36" i="43"/>
  <c r="E36" i="43"/>
  <c r="D36" i="43"/>
  <c r="C36" i="43"/>
  <c r="L26" i="43"/>
  <c r="K26" i="43"/>
  <c r="J26" i="43"/>
  <c r="I26" i="43"/>
  <c r="H26" i="43"/>
  <c r="G26" i="43"/>
  <c r="F26" i="43"/>
  <c r="E26" i="43"/>
  <c r="D26" i="43"/>
  <c r="C26" i="43"/>
  <c r="F29" i="1" l="1"/>
  <c r="E29" i="1"/>
  <c r="M24" i="43"/>
  <c r="E32" i="44" s="1"/>
  <c r="F32" i="44" s="1"/>
  <c r="C46" i="1" s="1" a="1"/>
  <c r="C46" i="1" s="1"/>
  <c r="M34" i="43"/>
  <c r="E22" i="44" s="1"/>
  <c r="F22" i="44" s="1"/>
  <c r="C41" i="1" s="1"/>
  <c r="L17" i="43"/>
  <c r="K17" i="43"/>
  <c r="J17" i="43"/>
  <c r="I17" i="43"/>
  <c r="H17" i="43"/>
  <c r="G17" i="43"/>
  <c r="F17" i="43"/>
  <c r="E17" i="43"/>
  <c r="D17" i="43"/>
  <c r="C17" i="43"/>
  <c r="D7" i="43"/>
  <c r="E7" i="43"/>
  <c r="F7" i="43"/>
  <c r="G7" i="43"/>
  <c r="H7" i="43"/>
  <c r="I7" i="43"/>
  <c r="J7" i="43"/>
  <c r="K7" i="43"/>
  <c r="L7" i="43"/>
  <c r="C7" i="43"/>
  <c r="I26" i="1"/>
  <c r="O7" i="1" s="1"/>
  <c r="N7" i="1" s="1"/>
  <c r="M7" i="1" s="1"/>
  <c r="L7" i="1" s="1"/>
  <c r="O5" i="1"/>
  <c r="N5" i="1" s="1"/>
  <c r="M5" i="1" s="1"/>
  <c r="L5" i="1" s="1"/>
  <c r="I25" i="1"/>
  <c r="L8" i="29"/>
  <c r="K8" i="29"/>
  <c r="J8" i="29"/>
  <c r="Q27" i="36"/>
  <c r="O6" i="1" l="1"/>
  <c r="N6" i="1" s="1"/>
  <c r="M6" i="1" s="1"/>
  <c r="L6" i="1" s="1"/>
  <c r="L8" i="1" s="1"/>
  <c r="F62" i="1"/>
  <c r="E62" i="1" s="1"/>
  <c r="D62" i="1" s="1"/>
  <c r="C62" i="1" s="1"/>
  <c r="F61" i="1"/>
  <c r="E61" i="1" s="1"/>
  <c r="D61" i="1" s="1"/>
  <c r="C61" i="1" s="1"/>
  <c r="F60" i="1"/>
  <c r="E60" i="1" s="1"/>
  <c r="D60" i="1" s="1"/>
  <c r="C60" i="1" s="1"/>
  <c r="F51" i="1"/>
  <c r="E51" i="1" s="1"/>
  <c r="D51" i="1" s="1"/>
  <c r="C51" i="1" s="1"/>
  <c r="F56" i="1"/>
  <c r="E56" i="1" s="1"/>
  <c r="D56" i="1" s="1"/>
  <c r="C56" i="1" s="1"/>
  <c r="F57" i="1"/>
  <c r="E57" i="1" s="1"/>
  <c r="D57" i="1" s="1"/>
  <c r="C57" i="1" s="1"/>
  <c r="F58" i="1"/>
  <c r="E58" i="1" s="1"/>
  <c r="D58" i="1" s="1"/>
  <c r="C58" i="1" s="1"/>
  <c r="F49" i="1"/>
  <c r="E49" i="1" s="1"/>
  <c r="D49" i="1" s="1"/>
  <c r="C49" i="1" s="1"/>
  <c r="F54" i="1"/>
  <c r="E54" i="1" s="1"/>
  <c r="D54" i="1" s="1"/>
  <c r="C54" i="1" s="1"/>
  <c r="F59" i="1"/>
  <c r="E59" i="1" s="1"/>
  <c r="D59" i="1" s="1"/>
  <c r="C59" i="1" s="1"/>
  <c r="F55" i="1"/>
  <c r="E55" i="1" s="1"/>
  <c r="D55" i="1" s="1"/>
  <c r="C55" i="1" s="1"/>
  <c r="F52" i="1"/>
  <c r="E52" i="1" s="1"/>
  <c r="D52" i="1" s="1"/>
  <c r="C52" i="1" s="1"/>
  <c r="F53" i="1"/>
  <c r="E53" i="1" s="1"/>
  <c r="D53" i="1" s="1"/>
  <c r="C53" i="1" s="1"/>
  <c r="F50" i="1"/>
  <c r="E50" i="1" s="1"/>
  <c r="D50" i="1" s="1"/>
  <c r="C50" i="1" s="1"/>
  <c r="D41" i="1"/>
  <c r="E41" i="1"/>
  <c r="F41" i="1"/>
  <c r="E46" i="1"/>
  <c r="F46" i="1"/>
  <c r="D46" i="1"/>
  <c r="M5" i="43"/>
  <c r="E42" i="44" s="1"/>
  <c r="M8" i="1"/>
  <c r="N8" i="1"/>
  <c r="O8" i="1"/>
  <c r="M15" i="43"/>
  <c r="E37" i="44" s="1"/>
  <c r="F37" i="44" s="1"/>
  <c r="C47" i="1" s="1" a="1"/>
  <c r="C47" i="1" s="1"/>
  <c r="Q62" i="42"/>
  <c r="O62" i="42"/>
  <c r="M62" i="42"/>
  <c r="K62" i="42"/>
  <c r="I62" i="42"/>
  <c r="G62" i="42"/>
  <c r="E62" i="42"/>
  <c r="C62" i="42"/>
  <c r="Q61" i="42"/>
  <c r="O61" i="42"/>
  <c r="M61" i="42"/>
  <c r="K61" i="42"/>
  <c r="I61" i="42"/>
  <c r="G61" i="42"/>
  <c r="E61" i="42"/>
  <c r="C61" i="42"/>
  <c r="Q60" i="42"/>
  <c r="O60" i="42"/>
  <c r="M60" i="42"/>
  <c r="K60" i="42"/>
  <c r="I60" i="42"/>
  <c r="G60" i="42"/>
  <c r="E60" i="42"/>
  <c r="C60" i="42"/>
  <c r="Q59" i="42"/>
  <c r="O59" i="42"/>
  <c r="M59" i="42"/>
  <c r="K59" i="42"/>
  <c r="I59" i="42"/>
  <c r="G59" i="42"/>
  <c r="E59" i="42"/>
  <c r="C59" i="42"/>
  <c r="Q58" i="42"/>
  <c r="O58" i="42"/>
  <c r="M58" i="42"/>
  <c r="K58" i="42"/>
  <c r="I58" i="42"/>
  <c r="G58" i="42"/>
  <c r="E58" i="42"/>
  <c r="C58" i="42"/>
  <c r="Q57" i="42"/>
  <c r="O57" i="42"/>
  <c r="M57" i="42"/>
  <c r="K57" i="42"/>
  <c r="I57" i="42"/>
  <c r="G57" i="42"/>
  <c r="E57" i="42"/>
  <c r="C57" i="42"/>
  <c r="Q56" i="42"/>
  <c r="O56" i="42"/>
  <c r="M56" i="42"/>
  <c r="K56" i="42"/>
  <c r="I56" i="42"/>
  <c r="G56" i="42"/>
  <c r="E56" i="42"/>
  <c r="C56" i="42"/>
  <c r="Q55" i="42"/>
  <c r="O55" i="42"/>
  <c r="M55" i="42"/>
  <c r="K55" i="42"/>
  <c r="I55" i="42"/>
  <c r="G55" i="42"/>
  <c r="E55" i="42"/>
  <c r="C55" i="42"/>
  <c r="Q54" i="42"/>
  <c r="O54" i="42"/>
  <c r="M54" i="42"/>
  <c r="K54" i="42"/>
  <c r="I54" i="42"/>
  <c r="G54" i="42"/>
  <c r="E54" i="42"/>
  <c r="C54" i="42"/>
  <c r="Q53" i="42"/>
  <c r="O53" i="42"/>
  <c r="M53" i="42"/>
  <c r="K53" i="42"/>
  <c r="I53" i="42"/>
  <c r="G53" i="42"/>
  <c r="E53" i="42"/>
  <c r="C53" i="42"/>
  <c r="Q52" i="42"/>
  <c r="O52" i="42"/>
  <c r="M52" i="42"/>
  <c r="K52" i="42"/>
  <c r="I52" i="42"/>
  <c r="G52" i="42"/>
  <c r="E52" i="42"/>
  <c r="C52" i="42"/>
  <c r="Q51" i="42"/>
  <c r="O51" i="42"/>
  <c r="M51" i="42"/>
  <c r="K51" i="42"/>
  <c r="I51" i="42"/>
  <c r="G51" i="42"/>
  <c r="E51" i="42"/>
  <c r="C51" i="42"/>
  <c r="Q50" i="42"/>
  <c r="O50" i="42"/>
  <c r="M50" i="42"/>
  <c r="K50" i="42"/>
  <c r="I50" i="42"/>
  <c r="G50" i="42"/>
  <c r="E50" i="42"/>
  <c r="C50" i="42"/>
  <c r="Q49" i="42"/>
  <c r="O49" i="42"/>
  <c r="M49" i="42"/>
  <c r="K49" i="42"/>
  <c r="I49" i="42"/>
  <c r="G49" i="42"/>
  <c r="E49" i="42"/>
  <c r="C49" i="42"/>
  <c r="Q48" i="42"/>
  <c r="O48" i="42"/>
  <c r="M48" i="42"/>
  <c r="K48" i="42"/>
  <c r="I48" i="42"/>
  <c r="G48" i="42"/>
  <c r="E48" i="42"/>
  <c r="C48" i="42"/>
  <c r="Q47" i="42"/>
  <c r="O47" i="42"/>
  <c r="M47" i="42"/>
  <c r="K47" i="42"/>
  <c r="I47" i="42"/>
  <c r="G47" i="42"/>
  <c r="E47" i="42"/>
  <c r="C47" i="42"/>
  <c r="Q46" i="42"/>
  <c r="O46" i="42"/>
  <c r="M46" i="42"/>
  <c r="K46" i="42"/>
  <c r="I46" i="42"/>
  <c r="G46" i="42"/>
  <c r="E46" i="42"/>
  <c r="C46" i="42"/>
  <c r="Q45" i="42"/>
  <c r="O45" i="42"/>
  <c r="M45" i="42"/>
  <c r="K45" i="42"/>
  <c r="I45" i="42"/>
  <c r="G45" i="42"/>
  <c r="E45" i="42"/>
  <c r="C45" i="42"/>
  <c r="Q44" i="42"/>
  <c r="O44" i="42"/>
  <c r="M44" i="42"/>
  <c r="K44" i="42"/>
  <c r="I44" i="42"/>
  <c r="G44" i="42"/>
  <c r="E44" i="42"/>
  <c r="C44" i="42"/>
  <c r="Q43" i="42"/>
  <c r="O43" i="42"/>
  <c r="M43" i="42"/>
  <c r="K43" i="42"/>
  <c r="C33" i="1" s="1" a="1"/>
  <c r="C33" i="1" s="1"/>
  <c r="I43" i="42"/>
  <c r="G43" i="42"/>
  <c r="E43" i="42"/>
  <c r="C43" i="42"/>
  <c r="Q42" i="42"/>
  <c r="O42" i="42"/>
  <c r="M42" i="42"/>
  <c r="K42" i="42"/>
  <c r="I42" i="42"/>
  <c r="G42" i="42"/>
  <c r="E42" i="42"/>
  <c r="C42" i="42"/>
  <c r="Q41" i="42"/>
  <c r="O41" i="42"/>
  <c r="M41" i="42"/>
  <c r="K41" i="42"/>
  <c r="C35" i="1" s="1" a="1"/>
  <c r="C35" i="1" s="1"/>
  <c r="I41" i="42"/>
  <c r="G41" i="42"/>
  <c r="E41" i="42"/>
  <c r="C41" i="42"/>
  <c r="Q40" i="42"/>
  <c r="O40" i="42"/>
  <c r="M40" i="42"/>
  <c r="K40" i="42"/>
  <c r="I40" i="42"/>
  <c r="G40" i="42"/>
  <c r="E40" i="42"/>
  <c r="C40" i="42"/>
  <c r="Q39" i="42"/>
  <c r="O39" i="42"/>
  <c r="M39" i="42"/>
  <c r="K39" i="42"/>
  <c r="I39" i="42"/>
  <c r="G39" i="42"/>
  <c r="E39" i="42"/>
  <c r="C39" i="42"/>
  <c r="Q38" i="42"/>
  <c r="O38" i="42"/>
  <c r="M38" i="42"/>
  <c r="K38" i="42"/>
  <c r="I38" i="42"/>
  <c r="G38" i="42"/>
  <c r="E38" i="42"/>
  <c r="C38" i="42"/>
  <c r="Q37" i="42"/>
  <c r="O37" i="42"/>
  <c r="M37" i="42"/>
  <c r="K37" i="42"/>
  <c r="I37" i="42"/>
  <c r="G37" i="42"/>
  <c r="E37" i="42"/>
  <c r="C37" i="42"/>
  <c r="Q36" i="42"/>
  <c r="O36" i="42"/>
  <c r="M36" i="42"/>
  <c r="K36" i="42"/>
  <c r="I36" i="42"/>
  <c r="G36" i="42"/>
  <c r="E36" i="42"/>
  <c r="C36" i="42"/>
  <c r="Q35" i="42"/>
  <c r="O35" i="42"/>
  <c r="M35" i="42"/>
  <c r="K35" i="42"/>
  <c r="I35" i="42"/>
  <c r="G35" i="42"/>
  <c r="E35" i="42"/>
  <c r="C35" i="42"/>
  <c r="Q34" i="42"/>
  <c r="O34" i="42"/>
  <c r="M34" i="42"/>
  <c r="K34" i="42"/>
  <c r="I34" i="42"/>
  <c r="G34" i="42"/>
  <c r="E34" i="42"/>
  <c r="C34" i="42"/>
  <c r="Q33" i="42"/>
  <c r="O33" i="42"/>
  <c r="M33" i="42"/>
  <c r="K33" i="42"/>
  <c r="I33" i="42"/>
  <c r="G33" i="42"/>
  <c r="E33" i="42"/>
  <c r="C33" i="42"/>
  <c r="Q32" i="42"/>
  <c r="O32" i="42"/>
  <c r="M32" i="42"/>
  <c r="K32" i="42"/>
  <c r="I32" i="42"/>
  <c r="G32" i="42"/>
  <c r="E32" i="42"/>
  <c r="C32" i="42"/>
  <c r="Q31" i="42"/>
  <c r="O31" i="42"/>
  <c r="M31" i="42"/>
  <c r="C31" i="1" s="1"/>
  <c r="K31" i="42"/>
  <c r="I31" i="42"/>
  <c r="G31" i="42"/>
  <c r="E31" i="42"/>
  <c r="C31" i="42"/>
  <c r="Q30" i="42"/>
  <c r="O30" i="42"/>
  <c r="M30" i="42"/>
  <c r="K30" i="42"/>
  <c r="I30" i="42"/>
  <c r="G30" i="42"/>
  <c r="E30" i="42"/>
  <c r="C30" i="42"/>
  <c r="Q29" i="42"/>
  <c r="O29" i="42"/>
  <c r="M29" i="42"/>
  <c r="K29" i="42"/>
  <c r="I29" i="42"/>
  <c r="G29" i="42"/>
  <c r="E29" i="42"/>
  <c r="C29" i="42"/>
  <c r="Q28" i="42"/>
  <c r="O28" i="42"/>
  <c r="M28" i="42"/>
  <c r="K28" i="42"/>
  <c r="I28" i="42"/>
  <c r="G28" i="42"/>
  <c r="E28" i="42"/>
  <c r="C28" i="42"/>
  <c r="Q27" i="42"/>
  <c r="O27" i="42"/>
  <c r="M27" i="42"/>
  <c r="K27" i="42"/>
  <c r="I27" i="42"/>
  <c r="G27" i="42"/>
  <c r="E27" i="42"/>
  <c r="C27" i="42"/>
  <c r="Q26" i="42"/>
  <c r="O26" i="42"/>
  <c r="M26" i="42"/>
  <c r="K26" i="42"/>
  <c r="I26" i="42"/>
  <c r="G26" i="42"/>
  <c r="E26" i="42"/>
  <c r="C26" i="42"/>
  <c r="Q25" i="42"/>
  <c r="O25" i="42"/>
  <c r="M25" i="42"/>
  <c r="K25" i="42"/>
  <c r="I25" i="42"/>
  <c r="G25" i="42"/>
  <c r="E25" i="42"/>
  <c r="C25" i="42"/>
  <c r="Q24" i="42"/>
  <c r="O24" i="42"/>
  <c r="M24" i="42"/>
  <c r="K24" i="42"/>
  <c r="I24" i="42"/>
  <c r="G24" i="42"/>
  <c r="E24" i="42"/>
  <c r="C24" i="42"/>
  <c r="Q23" i="42"/>
  <c r="O23" i="42"/>
  <c r="M23" i="42"/>
  <c r="K23" i="42"/>
  <c r="I23" i="42"/>
  <c r="G23" i="42"/>
  <c r="E23" i="42"/>
  <c r="C23" i="42"/>
  <c r="Q22" i="42"/>
  <c r="O22" i="42"/>
  <c r="M22" i="42"/>
  <c r="K22" i="42"/>
  <c r="I22" i="42"/>
  <c r="G22" i="42"/>
  <c r="E22" i="42"/>
  <c r="C22" i="42"/>
  <c r="Q21" i="42"/>
  <c r="O21" i="42"/>
  <c r="M21" i="42"/>
  <c r="K21" i="42"/>
  <c r="I21" i="42"/>
  <c r="G21" i="42"/>
  <c r="E21" i="42"/>
  <c r="C21" i="42"/>
  <c r="Q20" i="42"/>
  <c r="O20" i="42"/>
  <c r="M20" i="42"/>
  <c r="K20" i="42"/>
  <c r="I20" i="42"/>
  <c r="G20" i="42"/>
  <c r="E20" i="42"/>
  <c r="C20" i="42"/>
  <c r="Q19" i="42"/>
  <c r="O19" i="42"/>
  <c r="M19" i="42"/>
  <c r="K19" i="42"/>
  <c r="I19" i="42"/>
  <c r="G19" i="42"/>
  <c r="E19" i="42"/>
  <c r="C19" i="42"/>
  <c r="Q18" i="42"/>
  <c r="O18" i="42"/>
  <c r="M18" i="42"/>
  <c r="K18" i="42"/>
  <c r="I18" i="42"/>
  <c r="G18" i="42"/>
  <c r="E18" i="42"/>
  <c r="C18" i="42"/>
  <c r="Q17" i="42"/>
  <c r="O17" i="42"/>
  <c r="M17" i="42"/>
  <c r="K17" i="42"/>
  <c r="I17" i="42"/>
  <c r="G17" i="42"/>
  <c r="E17" i="42"/>
  <c r="C17" i="42"/>
  <c r="Q16" i="42"/>
  <c r="O16" i="42"/>
  <c r="M16" i="42"/>
  <c r="K16" i="42"/>
  <c r="I16" i="42"/>
  <c r="G16" i="42"/>
  <c r="E16" i="42"/>
  <c r="C16" i="42"/>
  <c r="Q15" i="42"/>
  <c r="O15" i="42"/>
  <c r="M15" i="42"/>
  <c r="K15" i="42"/>
  <c r="I15" i="42"/>
  <c r="G15" i="42"/>
  <c r="E15" i="42"/>
  <c r="C15" i="42"/>
  <c r="Q14" i="42"/>
  <c r="O14" i="42"/>
  <c r="M14" i="42"/>
  <c r="K14" i="42"/>
  <c r="I14" i="42"/>
  <c r="G14" i="42"/>
  <c r="E14" i="42"/>
  <c r="C14" i="42"/>
  <c r="Q13" i="42"/>
  <c r="O13" i="42"/>
  <c r="M13" i="42"/>
  <c r="K13" i="42"/>
  <c r="I13" i="42"/>
  <c r="G13" i="42"/>
  <c r="E13" i="42"/>
  <c r="C13" i="42"/>
  <c r="M8" i="42"/>
  <c r="L8" i="42"/>
  <c r="K8" i="42"/>
  <c r="J8" i="42"/>
  <c r="I8" i="42"/>
  <c r="H8" i="42"/>
  <c r="G8" i="42"/>
  <c r="F8" i="42"/>
  <c r="E8" i="42"/>
  <c r="D8" i="42"/>
  <c r="V15" i="1"/>
  <c r="V16" i="1" s="1"/>
  <c r="U15" i="1"/>
  <c r="U17" i="1" s="1"/>
  <c r="T15" i="1"/>
  <c r="S15" i="1"/>
  <c r="S17" i="1" s="1"/>
  <c r="R15" i="1"/>
  <c r="V5" i="1"/>
  <c r="V6" i="1" s="1"/>
  <c r="U5" i="1"/>
  <c r="U6" i="1" s="1"/>
  <c r="T5" i="1"/>
  <c r="S5" i="1"/>
  <c r="S6" i="1" s="1"/>
  <c r="R5" i="1"/>
  <c r="C15" i="38"/>
  <c r="C26" i="38" s="1"/>
  <c r="D15" i="38"/>
  <c r="D25" i="38" s="1"/>
  <c r="E15" i="38"/>
  <c r="E25" i="38" s="1"/>
  <c r="F15" i="38"/>
  <c r="F25" i="38" s="1"/>
  <c r="G15" i="38"/>
  <c r="G24" i="38" s="1"/>
  <c r="C3" i="38"/>
  <c r="C13" i="38" s="1"/>
  <c r="D3" i="38"/>
  <c r="D13" i="38" s="1"/>
  <c r="E3" i="38"/>
  <c r="E12" i="38" s="1"/>
  <c r="F3" i="38"/>
  <c r="F12" i="38" s="1"/>
  <c r="G3" i="38"/>
  <c r="G11" i="38" s="1"/>
  <c r="AC17" i="36"/>
  <c r="AO17" i="36"/>
  <c r="AI17" i="36"/>
  <c r="W21" i="36"/>
  <c r="K17" i="36"/>
  <c r="E17" i="36"/>
  <c r="C34" i="1" l="1" a="1"/>
  <c r="C34" i="1" s="1"/>
  <c r="D34" i="1" s="1"/>
  <c r="D47" i="1"/>
  <c r="E47" i="1"/>
  <c r="F47" i="1"/>
  <c r="C30" i="1" a="1"/>
  <c r="C30" i="1" s="1"/>
  <c r="D31" i="1"/>
  <c r="E31" i="1"/>
  <c r="F31" i="1"/>
  <c r="F35" i="1"/>
  <c r="D35" i="1"/>
  <c r="E35" i="1"/>
  <c r="E33" i="1"/>
  <c r="D33" i="1"/>
  <c r="F33" i="1"/>
  <c r="F27" i="44"/>
  <c r="C32" i="1" s="1"/>
  <c r="N6" i="42"/>
  <c r="R17" i="1"/>
  <c r="I22" i="1"/>
  <c r="I19" i="1"/>
  <c r="O36" i="1" s="1"/>
  <c r="I20" i="1"/>
  <c r="O37" i="1" s="1"/>
  <c r="I21" i="1"/>
  <c r="O38" i="1" s="1"/>
  <c r="I23" i="1"/>
  <c r="I18" i="1"/>
  <c r="O35" i="1" s="1"/>
  <c r="I24" i="1"/>
  <c r="O41" i="1" s="1"/>
  <c r="R6" i="1"/>
  <c r="I14" i="1"/>
  <c r="O21" i="1" s="1"/>
  <c r="I17" i="1"/>
  <c r="O24" i="1" s="1"/>
  <c r="I12" i="1"/>
  <c r="O19" i="1" s="1"/>
  <c r="I16" i="1"/>
  <c r="O23" i="1" s="1"/>
  <c r="I11" i="1"/>
  <c r="O18" i="1" s="1"/>
  <c r="I15" i="1"/>
  <c r="O22" i="1" s="1"/>
  <c r="I13" i="1"/>
  <c r="O20" i="1" s="1"/>
  <c r="T18" i="1"/>
  <c r="T17" i="1"/>
  <c r="V17" i="1"/>
  <c r="U18" i="1"/>
  <c r="T7" i="1"/>
  <c r="R18" i="1"/>
  <c r="R16" i="1"/>
  <c r="U16" i="1"/>
  <c r="T6" i="1"/>
  <c r="S7" i="1"/>
  <c r="U7" i="1"/>
  <c r="S18" i="1"/>
  <c r="T16" i="1"/>
  <c r="R7" i="1"/>
  <c r="S16" i="1"/>
  <c r="C12" i="38"/>
  <c r="F22" i="38"/>
  <c r="E22" i="38"/>
  <c r="G22" i="38"/>
  <c r="D22" i="38"/>
  <c r="F23" i="38"/>
  <c r="D23" i="38"/>
  <c r="E11" i="38"/>
  <c r="F24" i="38"/>
  <c r="D12" i="38"/>
  <c r="D24" i="38"/>
  <c r="E13" i="38"/>
  <c r="E23" i="38"/>
  <c r="E24" i="38"/>
  <c r="G10" i="38"/>
  <c r="C24" i="38"/>
  <c r="F10" i="38"/>
  <c r="E10" i="38"/>
  <c r="D26" i="38"/>
  <c r="C22" i="38"/>
  <c r="G25" i="38"/>
  <c r="C10" i="38"/>
  <c r="C25" i="38"/>
  <c r="D10" i="38"/>
  <c r="F11" i="38"/>
  <c r="G23" i="38"/>
  <c r="E26" i="38"/>
  <c r="C14" i="38"/>
  <c r="C23" i="38"/>
  <c r="D11" i="38"/>
  <c r="C11" i="38"/>
  <c r="G14" i="38"/>
  <c r="F14" i="38"/>
  <c r="G13" i="38"/>
  <c r="E14" i="38"/>
  <c r="G26" i="38"/>
  <c r="F13" i="38"/>
  <c r="D14" i="38"/>
  <c r="F26" i="38"/>
  <c r="G12" i="38"/>
  <c r="AX10" i="1"/>
  <c r="AX12" i="1"/>
  <c r="BC11" i="1"/>
  <c r="BB11" i="1"/>
  <c r="BA11" i="1"/>
  <c r="AZ11" i="1"/>
  <c r="AY11" i="1"/>
  <c r="AY8" i="1"/>
  <c r="AY9" i="1" s="1"/>
  <c r="AY15" i="1" s="1"/>
  <c r="AZ8" i="1"/>
  <c r="AZ9" i="1" s="1"/>
  <c r="AB15" i="1" s="1"/>
  <c r="BA8" i="1"/>
  <c r="BA9" i="1" s="1"/>
  <c r="BA15" i="1" s="1"/>
  <c r="BB8" i="1"/>
  <c r="BB9" i="1" s="1"/>
  <c r="BB15" i="1" s="1"/>
  <c r="BC8" i="1"/>
  <c r="BC9" i="1" s="1"/>
  <c r="AE15" i="1" s="1"/>
  <c r="AX8" i="1"/>
  <c r="AX9" i="1" s="1"/>
  <c r="Y15" i="1" s="1"/>
  <c r="BB21" i="1"/>
  <c r="BA21" i="1"/>
  <c r="AZ21" i="1"/>
  <c r="AY21" i="1"/>
  <c r="AX21" i="1"/>
  <c r="BB19" i="1"/>
  <c r="BA19" i="1"/>
  <c r="AZ19" i="1"/>
  <c r="AY19" i="1"/>
  <c r="AX19" i="1"/>
  <c r="BB6" i="1"/>
  <c r="BA6" i="1"/>
  <c r="AZ6" i="1"/>
  <c r="AY6" i="1"/>
  <c r="AX6" i="1"/>
  <c r="D142" i="14"/>
  <c r="D145" i="14" s="1"/>
  <c r="D147" i="14" s="1"/>
  <c r="E142" i="14"/>
  <c r="E146" i="14" s="1"/>
  <c r="E148" i="14" s="1"/>
  <c r="F142" i="14"/>
  <c r="F145" i="14" s="1"/>
  <c r="F147" i="14" s="1"/>
  <c r="G142" i="14"/>
  <c r="G145" i="14" s="1"/>
  <c r="G147" i="14" s="1"/>
  <c r="C142" i="14"/>
  <c r="C146" i="14" s="1"/>
  <c r="C148" i="14" s="1"/>
  <c r="E4" i="6"/>
  <c r="F4" i="6"/>
  <c r="G4" i="6"/>
  <c r="H4" i="6"/>
  <c r="D4" i="6"/>
  <c r="M4" i="6"/>
  <c r="M5" i="6"/>
  <c r="M6" i="6"/>
  <c r="M7" i="6"/>
  <c r="F34" i="1" l="1"/>
  <c r="I10" i="1"/>
  <c r="O27" i="1" s="1"/>
  <c r="E34" i="1"/>
  <c r="D30" i="1"/>
  <c r="E30" i="1"/>
  <c r="F30" i="1"/>
  <c r="F32" i="1"/>
  <c r="D32" i="1"/>
  <c r="E32" i="1"/>
  <c r="O40" i="1"/>
  <c r="O39" i="1"/>
  <c r="N20" i="1"/>
  <c r="N37" i="1"/>
  <c r="N18" i="1"/>
  <c r="N35" i="1"/>
  <c r="N22" i="1"/>
  <c r="N39" i="1"/>
  <c r="N23" i="1"/>
  <c r="N40" i="1"/>
  <c r="N24" i="1"/>
  <c r="N41" i="1"/>
  <c r="N21" i="1"/>
  <c r="N38" i="1"/>
  <c r="N19" i="1"/>
  <c r="N36" i="1"/>
  <c r="I9" i="1"/>
  <c r="G146" i="14"/>
  <c r="G148" i="14" s="1"/>
  <c r="F146" i="14"/>
  <c r="F148" i="14" s="1"/>
  <c r="D146" i="14"/>
  <c r="D148" i="14" s="1"/>
  <c r="E145" i="14"/>
  <c r="E147" i="14" s="1"/>
  <c r="C145" i="14"/>
  <c r="C147" i="14" s="1"/>
  <c r="AX15" i="1"/>
  <c r="BC15" i="1"/>
  <c r="AZ15" i="1"/>
  <c r="AC15" i="1"/>
  <c r="AA15" i="1"/>
  <c r="AD15" i="1"/>
  <c r="T8" i="29"/>
  <c r="AH25" i="1"/>
  <c r="AI25" i="1"/>
  <c r="AJ25" i="1"/>
  <c r="AK25" i="1"/>
  <c r="AL25" i="1"/>
  <c r="AM25" i="1"/>
  <c r="AH26" i="1"/>
  <c r="AI26" i="1"/>
  <c r="AJ26" i="1"/>
  <c r="AL26" i="1"/>
  <c r="AM26" i="1"/>
  <c r="AH27" i="1"/>
  <c r="AI27" i="1"/>
  <c r="AJ27" i="1"/>
  <c r="AH28" i="1"/>
  <c r="AI28" i="1"/>
  <c r="AJ28" i="1"/>
  <c r="AK28" i="1"/>
  <c r="AL28" i="1"/>
  <c r="AM28" i="1"/>
  <c r="AH29" i="1"/>
  <c r="AI29" i="1"/>
  <c r="AJ29" i="1"/>
  <c r="AK29" i="1"/>
  <c r="AL29" i="1"/>
  <c r="AM29" i="1"/>
  <c r="AH30" i="1"/>
  <c r="AI30" i="1"/>
  <c r="AJ30" i="1"/>
  <c r="AK30" i="1"/>
  <c r="AL30" i="1"/>
  <c r="AM30" i="1"/>
  <c r="AH31" i="1"/>
  <c r="AI31" i="1"/>
  <c r="AJ31" i="1"/>
  <c r="AK31" i="1"/>
  <c r="AL31" i="1"/>
  <c r="AM31" i="1"/>
  <c r="AH32" i="1"/>
  <c r="AI32" i="1"/>
  <c r="AJ32" i="1"/>
  <c r="AK32" i="1"/>
  <c r="AL32" i="1"/>
  <c r="AM32" i="1"/>
  <c r="AH33" i="1"/>
  <c r="AI33" i="1"/>
  <c r="AJ33" i="1"/>
  <c r="AK33" i="1"/>
  <c r="AL33" i="1"/>
  <c r="AM33" i="1"/>
  <c r="AH34" i="1"/>
  <c r="AI34" i="1"/>
  <c r="AJ34" i="1"/>
  <c r="AK34" i="1"/>
  <c r="AL34" i="1"/>
  <c r="AM34" i="1"/>
  <c r="AH35" i="1"/>
  <c r="AI35" i="1"/>
  <c r="AJ35" i="1"/>
  <c r="AK35" i="1"/>
  <c r="AL35" i="1"/>
  <c r="AM35" i="1"/>
  <c r="AH36" i="1"/>
  <c r="AI36" i="1"/>
  <c r="AJ36" i="1"/>
  <c r="AK36" i="1"/>
  <c r="AL36" i="1"/>
  <c r="AM36" i="1"/>
  <c r="AK37" i="1"/>
  <c r="AL37" i="1"/>
  <c r="AM37" i="1"/>
  <c r="AI24" i="1"/>
  <c r="AJ24" i="1"/>
  <c r="AH24" i="1"/>
  <c r="AP22" i="1"/>
  <c r="AQ22" i="1"/>
  <c r="AR22" i="1"/>
  <c r="AP23" i="1"/>
  <c r="AQ23" i="1"/>
  <c r="AR23" i="1"/>
  <c r="AT23" i="1"/>
  <c r="AU23" i="1"/>
  <c r="AP24" i="1"/>
  <c r="AQ24" i="1"/>
  <c r="AR24" i="1"/>
  <c r="AU24" i="1"/>
  <c r="AP25" i="1"/>
  <c r="AQ25" i="1"/>
  <c r="AR25" i="1"/>
  <c r="AP26" i="1"/>
  <c r="AQ26" i="1"/>
  <c r="AR26" i="1"/>
  <c r="AS26" i="1"/>
  <c r="AT26" i="1"/>
  <c r="AU26" i="1"/>
  <c r="AP27" i="1"/>
  <c r="AQ27" i="1"/>
  <c r="AR27" i="1"/>
  <c r="AP28" i="1"/>
  <c r="AQ28" i="1"/>
  <c r="AR28" i="1"/>
  <c r="AP29" i="1"/>
  <c r="AQ29" i="1"/>
  <c r="AR29" i="1"/>
  <c r="AP30" i="1"/>
  <c r="AQ30" i="1"/>
  <c r="AR30" i="1"/>
  <c r="AP31" i="1"/>
  <c r="AQ31" i="1"/>
  <c r="AR31" i="1"/>
  <c r="AP32" i="1"/>
  <c r="AQ32" i="1"/>
  <c r="AR32" i="1"/>
  <c r="AS32" i="1"/>
  <c r="AT32" i="1"/>
  <c r="AU32" i="1"/>
  <c r="AP33" i="1"/>
  <c r="AQ33" i="1"/>
  <c r="AR33" i="1"/>
  <c r="AS33" i="1"/>
  <c r="AT33" i="1"/>
  <c r="AU33" i="1"/>
  <c r="AP34" i="1"/>
  <c r="AQ34" i="1"/>
  <c r="AR34" i="1"/>
  <c r="AS34" i="1"/>
  <c r="AT34" i="1"/>
  <c r="AU34" i="1"/>
  <c r="AP35" i="1"/>
  <c r="AQ35" i="1"/>
  <c r="AR35" i="1"/>
  <c r="AS35" i="1"/>
  <c r="AT35" i="1"/>
  <c r="AU35" i="1"/>
  <c r="AQ21" i="1"/>
  <c r="AR21" i="1"/>
  <c r="AS21" i="1"/>
  <c r="AT21" i="1"/>
  <c r="AU21" i="1"/>
  <c r="AP21" i="1"/>
  <c r="AA34" i="33"/>
  <c r="Z34" i="33"/>
  <c r="Y34" i="33"/>
  <c r="X34" i="33"/>
  <c r="W34" i="33"/>
  <c r="V34" i="33"/>
  <c r="U34" i="33"/>
  <c r="T34" i="33"/>
  <c r="S34" i="33"/>
  <c r="R34" i="33"/>
  <c r="Q34" i="33"/>
  <c r="P34" i="33"/>
  <c r="O34" i="33"/>
  <c r="N34" i="33"/>
  <c r="M34" i="33"/>
  <c r="L34" i="33"/>
  <c r="K34" i="33"/>
  <c r="J34" i="33"/>
  <c r="I34" i="33"/>
  <c r="H34" i="33"/>
  <c r="G34" i="33"/>
  <c r="F34" i="33"/>
  <c r="E34" i="33"/>
  <c r="D34" i="33"/>
  <c r="C34" i="33"/>
  <c r="B34" i="33"/>
  <c r="AA33" i="33"/>
  <c r="Z33" i="33"/>
  <c r="Y33" i="33"/>
  <c r="X33" i="33"/>
  <c r="W33" i="33"/>
  <c r="V33" i="33"/>
  <c r="U33" i="33"/>
  <c r="T33" i="33"/>
  <c r="S33" i="33"/>
  <c r="R33" i="33"/>
  <c r="Q33" i="33"/>
  <c r="P33" i="33"/>
  <c r="O33" i="33"/>
  <c r="N33" i="33"/>
  <c r="M33" i="33"/>
  <c r="L33" i="33"/>
  <c r="K33" i="33"/>
  <c r="J33" i="33"/>
  <c r="I33" i="33"/>
  <c r="H33" i="33"/>
  <c r="G33" i="33"/>
  <c r="F33" i="33"/>
  <c r="E33" i="33"/>
  <c r="D33" i="33"/>
  <c r="C33" i="33"/>
  <c r="B33" i="33"/>
  <c r="AA32" i="33"/>
  <c r="Z32" i="33"/>
  <c r="Y32" i="33"/>
  <c r="X32" i="33"/>
  <c r="W32" i="33"/>
  <c r="V32" i="33"/>
  <c r="U32" i="33"/>
  <c r="T32" i="33"/>
  <c r="S32" i="33"/>
  <c r="R32" i="33"/>
  <c r="Q32" i="33"/>
  <c r="P32" i="33"/>
  <c r="O32" i="33"/>
  <c r="N32" i="33"/>
  <c r="M32" i="33"/>
  <c r="L32" i="33"/>
  <c r="K32" i="33"/>
  <c r="J32" i="33"/>
  <c r="I32" i="33"/>
  <c r="H32" i="33"/>
  <c r="G32" i="33"/>
  <c r="F32" i="33"/>
  <c r="E32" i="33"/>
  <c r="D32" i="33"/>
  <c r="C32" i="33"/>
  <c r="B32" i="33"/>
  <c r="AA31" i="33"/>
  <c r="Z31" i="33"/>
  <c r="Y31" i="33"/>
  <c r="X31" i="33"/>
  <c r="W31" i="33"/>
  <c r="V31" i="33"/>
  <c r="U31" i="33"/>
  <c r="T31" i="33"/>
  <c r="S31" i="33"/>
  <c r="R31" i="33"/>
  <c r="Q31" i="33"/>
  <c r="P31" i="33"/>
  <c r="O31" i="33"/>
  <c r="N31" i="33"/>
  <c r="M31" i="33"/>
  <c r="L31" i="33"/>
  <c r="K31" i="33"/>
  <c r="J31" i="33"/>
  <c r="I31" i="33"/>
  <c r="H31" i="33"/>
  <c r="G31" i="33"/>
  <c r="F31" i="33"/>
  <c r="E31" i="33"/>
  <c r="D31" i="33"/>
  <c r="C31" i="33"/>
  <c r="B31" i="33"/>
  <c r="AA30" i="33"/>
  <c r="Z30" i="33"/>
  <c r="Y30" i="33"/>
  <c r="X30" i="33"/>
  <c r="W30" i="33"/>
  <c r="V30" i="33"/>
  <c r="U30" i="33"/>
  <c r="T30" i="33"/>
  <c r="S30" i="33"/>
  <c r="R30" i="33"/>
  <c r="Q30" i="33"/>
  <c r="P30" i="33"/>
  <c r="O30" i="33"/>
  <c r="N30" i="33"/>
  <c r="M30" i="33"/>
  <c r="L30" i="33"/>
  <c r="K30" i="33"/>
  <c r="J30" i="33"/>
  <c r="I30" i="33"/>
  <c r="H30" i="33"/>
  <c r="G30" i="33"/>
  <c r="F30" i="33"/>
  <c r="E30" i="33"/>
  <c r="D30" i="33"/>
  <c r="C30" i="33"/>
  <c r="B30" i="33"/>
  <c r="AA29" i="33"/>
  <c r="Z29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AA28" i="33"/>
  <c r="Z28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AA27" i="33"/>
  <c r="Z27" i="33"/>
  <c r="Y27" i="33"/>
  <c r="X27" i="33"/>
  <c r="W27" i="33"/>
  <c r="V27" i="33"/>
  <c r="U27" i="33"/>
  <c r="T27" i="33"/>
  <c r="S27" i="33"/>
  <c r="R27" i="33"/>
  <c r="Q27" i="33"/>
  <c r="P27" i="33"/>
  <c r="O27" i="33"/>
  <c r="N27" i="33"/>
  <c r="M27" i="33"/>
  <c r="L27" i="33"/>
  <c r="K27" i="33"/>
  <c r="J27" i="33"/>
  <c r="I27" i="33"/>
  <c r="H27" i="33"/>
  <c r="G27" i="33"/>
  <c r="F27" i="33"/>
  <c r="E27" i="33"/>
  <c r="D27" i="33"/>
  <c r="C27" i="33"/>
  <c r="B27" i="33"/>
  <c r="AA26" i="33"/>
  <c r="Z26" i="33"/>
  <c r="Y26" i="33"/>
  <c r="X26" i="33"/>
  <c r="W26" i="33"/>
  <c r="V26" i="33"/>
  <c r="U26" i="33"/>
  <c r="T26" i="33"/>
  <c r="S26" i="33"/>
  <c r="R26" i="33"/>
  <c r="Q26" i="33"/>
  <c r="P26" i="33"/>
  <c r="O26" i="33"/>
  <c r="N26" i="33"/>
  <c r="M26" i="33"/>
  <c r="L26" i="33"/>
  <c r="K26" i="33"/>
  <c r="J26" i="33"/>
  <c r="I26" i="33"/>
  <c r="H26" i="33"/>
  <c r="G26" i="33"/>
  <c r="F26" i="33"/>
  <c r="E26" i="33"/>
  <c r="D26" i="33"/>
  <c r="C26" i="33"/>
  <c r="B26" i="33"/>
  <c r="AA25" i="33"/>
  <c r="Z25" i="33"/>
  <c r="Y25" i="33"/>
  <c r="X25" i="33"/>
  <c r="W25" i="33"/>
  <c r="V25" i="33"/>
  <c r="U25" i="33"/>
  <c r="T25" i="33"/>
  <c r="S25" i="33"/>
  <c r="R25" i="33"/>
  <c r="Q25" i="33"/>
  <c r="P25" i="33"/>
  <c r="O25" i="33"/>
  <c r="N25" i="33"/>
  <c r="M25" i="33"/>
  <c r="L25" i="33"/>
  <c r="K25" i="33"/>
  <c r="J25" i="33"/>
  <c r="I25" i="33"/>
  <c r="H25" i="33"/>
  <c r="G25" i="33"/>
  <c r="F25" i="33"/>
  <c r="E25" i="33"/>
  <c r="D25" i="33"/>
  <c r="C25" i="33"/>
  <c r="B25" i="33"/>
  <c r="AA24" i="33"/>
  <c r="Z24" i="33"/>
  <c r="Y24" i="33"/>
  <c r="X24" i="33"/>
  <c r="W24" i="33"/>
  <c r="V24" i="33"/>
  <c r="U24" i="33"/>
  <c r="T24" i="33"/>
  <c r="S24" i="33"/>
  <c r="R24" i="33"/>
  <c r="Q24" i="33"/>
  <c r="P24" i="33"/>
  <c r="O24" i="33"/>
  <c r="N24" i="33"/>
  <c r="M24" i="33"/>
  <c r="L24" i="33"/>
  <c r="K24" i="33"/>
  <c r="J24" i="33"/>
  <c r="I24" i="33"/>
  <c r="H24" i="33"/>
  <c r="G24" i="33"/>
  <c r="F24" i="33"/>
  <c r="E24" i="33"/>
  <c r="D24" i="33"/>
  <c r="C24" i="33"/>
  <c r="B24" i="33"/>
  <c r="AA23" i="33"/>
  <c r="Z23" i="33"/>
  <c r="Y23" i="33"/>
  <c r="X23" i="33"/>
  <c r="W23" i="33"/>
  <c r="V23" i="33"/>
  <c r="U23" i="33"/>
  <c r="T23" i="33"/>
  <c r="S23" i="33"/>
  <c r="R23" i="33"/>
  <c r="Q23" i="33"/>
  <c r="P23" i="33"/>
  <c r="O23" i="33"/>
  <c r="N23" i="33"/>
  <c r="M23" i="33"/>
  <c r="L23" i="33"/>
  <c r="K23" i="33"/>
  <c r="J23" i="33"/>
  <c r="I23" i="33"/>
  <c r="H23" i="33"/>
  <c r="G23" i="33"/>
  <c r="F23" i="33"/>
  <c r="E23" i="33"/>
  <c r="D23" i="33"/>
  <c r="C23" i="33"/>
  <c r="B23" i="33"/>
  <c r="AA22" i="33"/>
  <c r="Z22" i="33"/>
  <c r="Y22" i="33"/>
  <c r="X22" i="33"/>
  <c r="W22" i="33"/>
  <c r="V22" i="33"/>
  <c r="U22" i="33"/>
  <c r="T22" i="33"/>
  <c r="S22" i="33"/>
  <c r="R22" i="33"/>
  <c r="Q22" i="33"/>
  <c r="P22" i="33"/>
  <c r="O22" i="33"/>
  <c r="N22" i="33"/>
  <c r="M22" i="33"/>
  <c r="L22" i="33"/>
  <c r="K22" i="33"/>
  <c r="J22" i="33"/>
  <c r="I22" i="33"/>
  <c r="H22" i="33"/>
  <c r="G22" i="33"/>
  <c r="F22" i="33"/>
  <c r="E22" i="33"/>
  <c r="D22" i="33"/>
  <c r="C22" i="33"/>
  <c r="B22" i="33"/>
  <c r="AA21" i="33"/>
  <c r="Z21" i="33"/>
  <c r="Y21" i="33"/>
  <c r="X21" i="33"/>
  <c r="W21" i="33"/>
  <c r="V21" i="33"/>
  <c r="U21" i="33"/>
  <c r="T21" i="33"/>
  <c r="S21" i="33"/>
  <c r="R21" i="33"/>
  <c r="Q21" i="33"/>
  <c r="P21" i="33"/>
  <c r="O21" i="33"/>
  <c r="N21" i="33"/>
  <c r="M21" i="33"/>
  <c r="L21" i="33"/>
  <c r="K21" i="33"/>
  <c r="J21" i="33"/>
  <c r="I21" i="33"/>
  <c r="H21" i="33"/>
  <c r="G21" i="33"/>
  <c r="F21" i="33"/>
  <c r="E21" i="33"/>
  <c r="D21" i="33"/>
  <c r="C21" i="33"/>
  <c r="B21" i="33"/>
  <c r="AA20" i="33"/>
  <c r="Z20" i="33"/>
  <c r="Y20" i="33"/>
  <c r="X20" i="33"/>
  <c r="W20" i="33"/>
  <c r="V20" i="33"/>
  <c r="U20" i="33"/>
  <c r="T20" i="33"/>
  <c r="S20" i="33"/>
  <c r="R20" i="33"/>
  <c r="Q20" i="33"/>
  <c r="P20" i="33"/>
  <c r="O20" i="33"/>
  <c r="N20" i="33"/>
  <c r="M20" i="33"/>
  <c r="L20" i="33"/>
  <c r="K20" i="33"/>
  <c r="J20" i="33"/>
  <c r="I20" i="33"/>
  <c r="H20" i="33"/>
  <c r="G20" i="33"/>
  <c r="F20" i="33"/>
  <c r="E20" i="33"/>
  <c r="D20" i="33"/>
  <c r="C20" i="33"/>
  <c r="B20" i="33"/>
  <c r="AA19" i="33"/>
  <c r="Z19" i="33"/>
  <c r="Y19" i="33"/>
  <c r="X19" i="33"/>
  <c r="W19" i="33"/>
  <c r="V19" i="33"/>
  <c r="U19" i="33"/>
  <c r="T19" i="33"/>
  <c r="S19" i="33"/>
  <c r="R19" i="33"/>
  <c r="Q19" i="33"/>
  <c r="P19" i="33"/>
  <c r="O19" i="33"/>
  <c r="N19" i="33"/>
  <c r="M19" i="33"/>
  <c r="L19" i="33"/>
  <c r="K19" i="33"/>
  <c r="J19" i="33"/>
  <c r="I19" i="33"/>
  <c r="H19" i="33"/>
  <c r="G19" i="33"/>
  <c r="F19" i="33"/>
  <c r="E19" i="33"/>
  <c r="D19" i="33"/>
  <c r="C19" i="33"/>
  <c r="B19" i="33"/>
  <c r="I4" i="29"/>
  <c r="I5" i="29"/>
  <c r="I6" i="29"/>
  <c r="I7" i="29"/>
  <c r="I8" i="29" s="1"/>
  <c r="I3" i="29"/>
  <c r="G8" i="29"/>
  <c r="H8" i="29"/>
  <c r="S8" i="29"/>
  <c r="R8" i="29"/>
  <c r="N27" i="1" l="1"/>
  <c r="M27" i="1" s="1"/>
  <c r="O25" i="1"/>
  <c r="O33" i="1" s="1"/>
  <c r="O10" i="1"/>
  <c r="O9" i="1" s="1"/>
  <c r="O17" i="1" s="1"/>
  <c r="F88" i="1" s="1"/>
  <c r="M19" i="1"/>
  <c r="M36" i="1"/>
  <c r="M24" i="1"/>
  <c r="M41" i="1"/>
  <c r="M23" i="1"/>
  <c r="M40" i="1"/>
  <c r="M21" i="1"/>
  <c r="M38" i="1"/>
  <c r="M22" i="1"/>
  <c r="M39" i="1"/>
  <c r="O29" i="1"/>
  <c r="M18" i="1"/>
  <c r="M35" i="1"/>
  <c r="M20" i="1"/>
  <c r="M37" i="1"/>
  <c r="N10" i="1"/>
  <c r="M10" i="1" s="1"/>
  <c r="O13" i="1"/>
  <c r="O11" i="1"/>
  <c r="F76" i="1" s="1"/>
  <c r="O14" i="1"/>
  <c r="AI22" i="1"/>
  <c r="AI37" i="1" s="1"/>
  <c r="AH22" i="1"/>
  <c r="AH37" i="1" s="1"/>
  <c r="AJ22" i="1"/>
  <c r="AJ37" i="1" s="1"/>
  <c r="AT10" i="1"/>
  <c r="AT25" i="1" s="1"/>
  <c r="AT9" i="1"/>
  <c r="AT24" i="1" s="1"/>
  <c r="AT7" i="1"/>
  <c r="AT22" i="1" s="1"/>
  <c r="AL12" i="1"/>
  <c r="AL27" i="1" s="1"/>
  <c r="AL9" i="1"/>
  <c r="AL24" i="1" s="1"/>
  <c r="AS10" i="1"/>
  <c r="AS25" i="1" s="1"/>
  <c r="AS9" i="1"/>
  <c r="AS24" i="1" s="1"/>
  <c r="AS8" i="1"/>
  <c r="AS23" i="1" s="1"/>
  <c r="AS7" i="1"/>
  <c r="AS22" i="1" s="1"/>
  <c r="AK12" i="1"/>
  <c r="AK27" i="1" s="1"/>
  <c r="AK11" i="1"/>
  <c r="AK26" i="1" s="1"/>
  <c r="AK9" i="1"/>
  <c r="AK24" i="1" s="1"/>
  <c r="AM6" i="1"/>
  <c r="AM7" i="1"/>
  <c r="AU10" i="1"/>
  <c r="AU25" i="1" s="1"/>
  <c r="AU7" i="1"/>
  <c r="AU22" i="1" s="1"/>
  <c r="AM12" i="1"/>
  <c r="AM27" i="1" s="1"/>
  <c r="AM9" i="1"/>
  <c r="AM24" i="1" s="1"/>
  <c r="AH7" i="1"/>
  <c r="AI7" i="1"/>
  <c r="AJ7" i="1"/>
  <c r="AK7" i="1"/>
  <c r="AL7" i="1"/>
  <c r="AH6" i="1"/>
  <c r="AI6" i="1"/>
  <c r="AJ6" i="1"/>
  <c r="AK6" i="1"/>
  <c r="AL6" i="1"/>
  <c r="D16" i="31"/>
  <c r="D8" i="31"/>
  <c r="D5" i="31"/>
  <c r="C10" i="30"/>
  <c r="D10" i="30" s="1"/>
  <c r="D39" i="30"/>
  <c r="D44" i="30"/>
  <c r="D43" i="30"/>
  <c r="D42" i="30"/>
  <c r="D41" i="30"/>
  <c r="D40" i="30"/>
  <c r="D38" i="30"/>
  <c r="D37" i="30"/>
  <c r="D36" i="30"/>
  <c r="D35" i="30"/>
  <c r="D34" i="30"/>
  <c r="D33" i="30"/>
  <c r="D32" i="30"/>
  <c r="D31" i="30"/>
  <c r="D30" i="30"/>
  <c r="D21" i="30"/>
  <c r="D22" i="30"/>
  <c r="D23" i="30"/>
  <c r="D24" i="30"/>
  <c r="D25" i="30"/>
  <c r="D26" i="30"/>
  <c r="D27" i="30"/>
  <c r="D28" i="30"/>
  <c r="D29" i="30"/>
  <c r="D20" i="30"/>
  <c r="D19" i="30"/>
  <c r="D18" i="30"/>
  <c r="D17" i="30"/>
  <c r="D16" i="30"/>
  <c r="D4" i="30"/>
  <c r="D6" i="30"/>
  <c r="D7" i="30"/>
  <c r="D8" i="30"/>
  <c r="D9" i="30"/>
  <c r="D11" i="30"/>
  <c r="D12" i="30"/>
  <c r="D13" i="30"/>
  <c r="D14" i="30"/>
  <c r="D15" i="30"/>
  <c r="D5" i="30"/>
  <c r="Q8" i="29"/>
  <c r="P8" i="29"/>
  <c r="D8" i="29"/>
  <c r="E8" i="29"/>
  <c r="F8" i="29"/>
  <c r="M8" i="29"/>
  <c r="N8" i="29"/>
  <c r="O8" i="29"/>
  <c r="C8" i="29"/>
  <c r="V441" i="14"/>
  <c r="V440" i="14"/>
  <c r="V439" i="14"/>
  <c r="V438" i="14"/>
  <c r="V437" i="14"/>
  <c r="O31" i="1" l="1"/>
  <c r="F79" i="1"/>
  <c r="F80" i="1"/>
  <c r="F78" i="1"/>
  <c r="F83" i="1"/>
  <c r="F85" i="1"/>
  <c r="F82" i="1"/>
  <c r="F84" i="1"/>
  <c r="F81" i="1"/>
  <c r="N25" i="1"/>
  <c r="N26" i="1" s="1"/>
  <c r="F9" i="1"/>
  <c r="F63" i="1"/>
  <c r="F21" i="1" s="1"/>
  <c r="F15" i="1"/>
  <c r="F75" i="1"/>
  <c r="F27" i="1" s="1"/>
  <c r="F11" i="1"/>
  <c r="F66" i="1"/>
  <c r="F67" i="1"/>
  <c r="F65" i="1"/>
  <c r="F12" i="1"/>
  <c r="F70" i="1"/>
  <c r="F69" i="1"/>
  <c r="F71" i="1"/>
  <c r="F72" i="1"/>
  <c r="F68" i="1"/>
  <c r="O30" i="1"/>
  <c r="O32" i="1"/>
  <c r="O26" i="1"/>
  <c r="O28" i="1"/>
  <c r="O16" i="1"/>
  <c r="F87" i="1" s="1"/>
  <c r="O34" i="1"/>
  <c r="O15" i="1"/>
  <c r="F86" i="1" s="1"/>
  <c r="O12" i="1"/>
  <c r="F77" i="1" s="1"/>
  <c r="L22" i="1"/>
  <c r="L39" i="1"/>
  <c r="L21" i="1"/>
  <c r="L38" i="1"/>
  <c r="N31" i="1"/>
  <c r="N9" i="1"/>
  <c r="N17" i="1" s="1"/>
  <c r="E88" i="1" s="1"/>
  <c r="L20" i="1"/>
  <c r="L37" i="1"/>
  <c r="L23" i="1"/>
  <c r="L40" i="1"/>
  <c r="L18" i="1"/>
  <c r="L35" i="1"/>
  <c r="L24" i="1"/>
  <c r="L41" i="1"/>
  <c r="L19" i="1"/>
  <c r="L36" i="1"/>
  <c r="L27" i="1"/>
  <c r="M25" i="1"/>
  <c r="M26" i="1" s="1"/>
  <c r="L10" i="1"/>
  <c r="L9" i="1" s="1"/>
  <c r="M9" i="1"/>
  <c r="X17" i="4"/>
  <c r="X10" i="4"/>
  <c r="X6" i="4"/>
  <c r="X2" i="4"/>
  <c r="X4" i="4"/>
  <c r="X13" i="4"/>
  <c r="X7" i="4"/>
  <c r="X18" i="4"/>
  <c r="X5" i="4"/>
  <c r="X8" i="4"/>
  <c r="X23" i="4"/>
  <c r="X9" i="4"/>
  <c r="X20" i="4"/>
  <c r="X3" i="4"/>
  <c r="X11" i="4"/>
  <c r="X14" i="4"/>
  <c r="X21" i="4"/>
  <c r="X15" i="4"/>
  <c r="X19" i="4"/>
  <c r="X12" i="4"/>
  <c r="X24" i="4"/>
  <c r="X16" i="4"/>
  <c r="X22" i="4"/>
  <c r="M16" i="4"/>
  <c r="N16" i="4" s="1"/>
  <c r="P16" i="4" s="1"/>
  <c r="Q16" i="4" s="1"/>
  <c r="R16" i="4" s="1"/>
  <c r="S16" i="4" s="1"/>
  <c r="M22" i="4"/>
  <c r="J13" i="24"/>
  <c r="J10" i="24"/>
  <c r="M17" i="4"/>
  <c r="N17" i="4" s="1"/>
  <c r="P17" i="4" s="1"/>
  <c r="Q17" i="4" s="1"/>
  <c r="M10" i="4"/>
  <c r="N10" i="4" s="1"/>
  <c r="P10" i="4" s="1"/>
  <c r="Q10" i="4" s="1"/>
  <c r="M6" i="4"/>
  <c r="N6" i="4" s="1"/>
  <c r="P6" i="4" s="1"/>
  <c r="Q6" i="4" s="1"/>
  <c r="M2" i="4"/>
  <c r="N2" i="4" s="1"/>
  <c r="P2" i="4" s="1"/>
  <c r="Q2" i="4" s="1"/>
  <c r="M4" i="4"/>
  <c r="N4" i="4" s="1"/>
  <c r="P4" i="4" s="1"/>
  <c r="Q4" i="4" s="1"/>
  <c r="M13" i="4"/>
  <c r="N13" i="4" s="1"/>
  <c r="P13" i="4" s="1"/>
  <c r="Q13" i="4" s="1"/>
  <c r="M7" i="4"/>
  <c r="N7" i="4" s="1"/>
  <c r="P7" i="4" s="1"/>
  <c r="Q7" i="4" s="1"/>
  <c r="M18" i="4"/>
  <c r="N18" i="4" s="1"/>
  <c r="P18" i="4" s="1"/>
  <c r="Q18" i="4" s="1"/>
  <c r="M5" i="4"/>
  <c r="N5" i="4" s="1"/>
  <c r="P5" i="4" s="1"/>
  <c r="Q5" i="4" s="1"/>
  <c r="M8" i="4"/>
  <c r="N8" i="4" s="1"/>
  <c r="P8" i="4" s="1"/>
  <c r="Q8" i="4" s="1"/>
  <c r="M23" i="4"/>
  <c r="N23" i="4" s="1"/>
  <c r="P23" i="4" s="1"/>
  <c r="Q23" i="4" s="1"/>
  <c r="M9" i="4"/>
  <c r="N9" i="4" s="1"/>
  <c r="P9" i="4" s="1"/>
  <c r="Q9" i="4" s="1"/>
  <c r="M20" i="4"/>
  <c r="N20" i="4" s="1"/>
  <c r="P20" i="4" s="1"/>
  <c r="Q20" i="4" s="1"/>
  <c r="M3" i="4"/>
  <c r="N3" i="4" s="1"/>
  <c r="P3" i="4" s="1"/>
  <c r="Q3" i="4" s="1"/>
  <c r="M11" i="4"/>
  <c r="N11" i="4" s="1"/>
  <c r="P11" i="4" s="1"/>
  <c r="Q11" i="4" s="1"/>
  <c r="M14" i="4"/>
  <c r="N14" i="4" s="1"/>
  <c r="P14" i="4" s="1"/>
  <c r="Q14" i="4" s="1"/>
  <c r="M21" i="4"/>
  <c r="N21" i="4" s="1"/>
  <c r="P21" i="4" s="1"/>
  <c r="Q21" i="4" s="1"/>
  <c r="M15" i="4"/>
  <c r="N15" i="4" s="1"/>
  <c r="P15" i="4" s="1"/>
  <c r="Q15" i="4" s="1"/>
  <c r="M19" i="4"/>
  <c r="N19" i="4" s="1"/>
  <c r="P19" i="4" s="1"/>
  <c r="Q19" i="4" s="1"/>
  <c r="M12" i="4"/>
  <c r="N12" i="4" s="1"/>
  <c r="P12" i="4" s="1"/>
  <c r="Q12" i="4" s="1"/>
  <c r="M24" i="4"/>
  <c r="N24" i="4" s="1"/>
  <c r="P24" i="4" s="1"/>
  <c r="Q24" i="4" s="1"/>
  <c r="J26" i="24"/>
  <c r="J24" i="24"/>
  <c r="J12" i="24"/>
  <c r="J7" i="24"/>
  <c r="J9" i="24" s="1"/>
  <c r="E7" i="24"/>
  <c r="F5" i="24"/>
  <c r="F7" i="24" s="1"/>
  <c r="J22" i="24" s="1"/>
  <c r="F6" i="24"/>
  <c r="AJ2" i="14"/>
  <c r="AJ3" i="14"/>
  <c r="AJ4" i="14"/>
  <c r="AJ5" i="14"/>
  <c r="AJ6" i="14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AJ202" i="14"/>
  <c r="AJ203" i="14"/>
  <c r="AJ204" i="14"/>
  <c r="AJ205" i="14"/>
  <c r="AJ206" i="14"/>
  <c r="AJ207" i="14"/>
  <c r="AJ208" i="14"/>
  <c r="AJ209" i="14"/>
  <c r="AJ210" i="14"/>
  <c r="AJ211" i="14"/>
  <c r="AJ212" i="14"/>
  <c r="AJ213" i="14"/>
  <c r="AJ214" i="14"/>
  <c r="AJ215" i="14"/>
  <c r="AJ216" i="14"/>
  <c r="AJ217" i="14"/>
  <c r="AJ218" i="14"/>
  <c r="AJ219" i="14"/>
  <c r="AJ220" i="14"/>
  <c r="AJ221" i="14"/>
  <c r="AJ222" i="14"/>
  <c r="AJ223" i="14"/>
  <c r="AJ224" i="14"/>
  <c r="AJ225" i="14"/>
  <c r="AJ226" i="14"/>
  <c r="AJ227" i="14"/>
  <c r="AJ228" i="14"/>
  <c r="AJ229" i="14"/>
  <c r="AJ230" i="14"/>
  <c r="AJ231" i="14"/>
  <c r="AJ232" i="14"/>
  <c r="AJ233" i="14"/>
  <c r="AJ234" i="14"/>
  <c r="AJ235" i="14"/>
  <c r="AJ236" i="14"/>
  <c r="AJ237" i="14"/>
  <c r="AJ238" i="14"/>
  <c r="AJ239" i="14"/>
  <c r="AJ240" i="14"/>
  <c r="AJ241" i="14"/>
  <c r="AJ242" i="14"/>
  <c r="AJ243" i="14"/>
  <c r="AJ244" i="14"/>
  <c r="AJ245" i="14"/>
  <c r="AJ246" i="14"/>
  <c r="AJ247" i="14"/>
  <c r="AJ248" i="14"/>
  <c r="AJ249" i="14"/>
  <c r="AJ250" i="14"/>
  <c r="AJ251" i="14"/>
  <c r="AJ252" i="14"/>
  <c r="AJ253" i="14"/>
  <c r="AJ254" i="14"/>
  <c r="AJ255" i="14"/>
  <c r="AJ256" i="14"/>
  <c r="AJ257" i="14"/>
  <c r="AJ258" i="14"/>
  <c r="AJ259" i="14"/>
  <c r="AJ260" i="14"/>
  <c r="AJ261" i="14"/>
  <c r="AJ262" i="14"/>
  <c r="AJ263" i="14"/>
  <c r="AJ264" i="14"/>
  <c r="AJ265" i="14"/>
  <c r="AJ266" i="14"/>
  <c r="AJ267" i="14"/>
  <c r="AJ268" i="14"/>
  <c r="AJ269" i="14"/>
  <c r="AJ270" i="14"/>
  <c r="AJ271" i="14"/>
  <c r="AJ272" i="14"/>
  <c r="AJ273" i="14"/>
  <c r="AJ274" i="14"/>
  <c r="AJ275" i="14"/>
  <c r="AJ276" i="14"/>
  <c r="AJ277" i="14"/>
  <c r="AJ278" i="14"/>
  <c r="AJ279" i="14"/>
  <c r="AJ280" i="14"/>
  <c r="AJ281" i="14"/>
  <c r="AJ282" i="14"/>
  <c r="AJ283" i="14"/>
  <c r="AJ284" i="14"/>
  <c r="AJ285" i="14"/>
  <c r="AJ286" i="14"/>
  <c r="AJ287" i="14"/>
  <c r="AJ288" i="14"/>
  <c r="AJ289" i="14"/>
  <c r="AJ290" i="14"/>
  <c r="AJ291" i="14"/>
  <c r="AJ292" i="14"/>
  <c r="AJ293" i="14"/>
  <c r="AJ294" i="14"/>
  <c r="AJ295" i="14"/>
  <c r="AJ296" i="14"/>
  <c r="AJ297" i="14"/>
  <c r="AJ298" i="14"/>
  <c r="AJ299" i="14"/>
  <c r="AJ300" i="14"/>
  <c r="AJ301" i="14"/>
  <c r="AJ302" i="14"/>
  <c r="AJ303" i="14"/>
  <c r="AJ304" i="14"/>
  <c r="AJ305" i="14"/>
  <c r="AJ306" i="14"/>
  <c r="AJ307" i="14"/>
  <c r="AJ308" i="14"/>
  <c r="AJ309" i="14"/>
  <c r="AJ310" i="14"/>
  <c r="AJ311" i="14"/>
  <c r="AJ312" i="14"/>
  <c r="AJ313" i="14"/>
  <c r="AJ314" i="14"/>
  <c r="AJ315" i="14"/>
  <c r="AJ316" i="14"/>
  <c r="AJ317" i="14"/>
  <c r="AJ318" i="14"/>
  <c r="AJ319" i="14"/>
  <c r="AJ320" i="14"/>
  <c r="AJ321" i="14"/>
  <c r="AJ322" i="14"/>
  <c r="AJ323" i="14"/>
  <c r="AJ324" i="14"/>
  <c r="AJ325" i="14"/>
  <c r="AJ326" i="14"/>
  <c r="AJ327" i="14"/>
  <c r="AJ328" i="14"/>
  <c r="AJ329" i="14"/>
  <c r="AJ330" i="14"/>
  <c r="AJ331" i="14"/>
  <c r="AJ332" i="14"/>
  <c r="AJ333" i="14"/>
  <c r="AJ334" i="14"/>
  <c r="AJ335" i="14"/>
  <c r="AJ336" i="14"/>
  <c r="AJ337" i="14"/>
  <c r="AJ338" i="14"/>
  <c r="AJ339" i="14"/>
  <c r="AJ340" i="14"/>
  <c r="AJ341" i="14"/>
  <c r="AJ342" i="14"/>
  <c r="AJ343" i="14"/>
  <c r="AJ344" i="14"/>
  <c r="AJ345" i="14"/>
  <c r="AJ346" i="14"/>
  <c r="AJ347" i="14"/>
  <c r="AJ348" i="14"/>
  <c r="AJ349" i="14"/>
  <c r="AJ350" i="14"/>
  <c r="AJ351" i="14"/>
  <c r="AJ352" i="14"/>
  <c r="AJ353" i="14"/>
  <c r="AJ354" i="14"/>
  <c r="AJ355" i="14"/>
  <c r="AJ356" i="14"/>
  <c r="AJ357" i="14"/>
  <c r="AJ358" i="14"/>
  <c r="AJ359" i="14"/>
  <c r="AJ360" i="14"/>
  <c r="AJ361" i="14"/>
  <c r="AJ362" i="14"/>
  <c r="AJ363" i="14"/>
  <c r="AJ364" i="14"/>
  <c r="AJ365" i="14"/>
  <c r="AJ366" i="14"/>
  <c r="AJ367" i="14"/>
  <c r="AJ368" i="14"/>
  <c r="AJ369" i="14"/>
  <c r="AJ370" i="14"/>
  <c r="AJ371" i="14"/>
  <c r="AJ372" i="14"/>
  <c r="AJ373" i="14"/>
  <c r="AJ374" i="14"/>
  <c r="AJ375" i="14"/>
  <c r="AJ376" i="14"/>
  <c r="AJ377" i="14"/>
  <c r="AJ378" i="14"/>
  <c r="AJ379" i="14"/>
  <c r="AJ380" i="14"/>
  <c r="AJ381" i="14"/>
  <c r="AJ382" i="14"/>
  <c r="AJ383" i="14"/>
  <c r="AJ384" i="14"/>
  <c r="AJ385" i="14"/>
  <c r="AJ386" i="14"/>
  <c r="AJ387" i="14"/>
  <c r="AJ388" i="14"/>
  <c r="AJ389" i="14"/>
  <c r="AJ390" i="14"/>
  <c r="AJ391" i="14"/>
  <c r="AJ392" i="14"/>
  <c r="AJ393" i="14"/>
  <c r="AJ394" i="14"/>
  <c r="AJ395" i="14"/>
  <c r="AJ396" i="14"/>
  <c r="AJ397" i="14"/>
  <c r="AJ398" i="14"/>
  <c r="AJ399" i="14"/>
  <c r="AJ400" i="14"/>
  <c r="AJ401" i="14"/>
  <c r="AJ402" i="14"/>
  <c r="AJ403" i="14"/>
  <c r="AJ404" i="14"/>
  <c r="AJ405" i="14"/>
  <c r="AJ406" i="14"/>
  <c r="AJ407" i="14"/>
  <c r="AJ408" i="14"/>
  <c r="AJ409" i="14"/>
  <c r="AJ410" i="14"/>
  <c r="AJ411" i="14"/>
  <c r="AJ412" i="14"/>
  <c r="AJ413" i="14"/>
  <c r="AJ414" i="14"/>
  <c r="AJ415" i="14"/>
  <c r="AJ416" i="14"/>
  <c r="AJ417" i="14"/>
  <c r="AJ418" i="14"/>
  <c r="AJ419" i="14"/>
  <c r="AJ420" i="14"/>
  <c r="AJ421" i="14"/>
  <c r="AJ422" i="14"/>
  <c r="AJ423" i="14"/>
  <c r="AJ424" i="14"/>
  <c r="AJ425" i="14"/>
  <c r="AJ426" i="14"/>
  <c r="AJ427" i="14"/>
  <c r="AJ428" i="14"/>
  <c r="AJ429" i="14"/>
  <c r="AJ430" i="14"/>
  <c r="AJ431" i="14"/>
  <c r="AJ432" i="14"/>
  <c r="AJ433" i="14"/>
  <c r="AJ434" i="14"/>
  <c r="AJ435" i="14"/>
  <c r="AJ436" i="14"/>
  <c r="AJ437" i="14"/>
  <c r="AJ438" i="14"/>
  <c r="AJ439" i="14"/>
  <c r="AJ440" i="14"/>
  <c r="AJ441" i="14"/>
  <c r="AJ442" i="14"/>
  <c r="AJ443" i="14"/>
  <c r="AJ444" i="14"/>
  <c r="AJ445" i="14"/>
  <c r="AJ446" i="14"/>
  <c r="AJ447" i="14"/>
  <c r="AJ448" i="14"/>
  <c r="AJ449" i="14"/>
  <c r="AJ450" i="14"/>
  <c r="AJ451" i="14"/>
  <c r="AI2" i="14"/>
  <c r="AI3" i="14"/>
  <c r="AI4" i="14"/>
  <c r="AI5" i="14"/>
  <c r="AI6" i="14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38" i="14"/>
  <c r="AI39" i="14"/>
  <c r="AI40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AI80" i="14"/>
  <c r="AI81" i="14"/>
  <c r="AI82" i="14"/>
  <c r="AI83" i="14"/>
  <c r="AI84" i="14"/>
  <c r="AI85" i="14"/>
  <c r="AI86" i="14"/>
  <c r="AI87" i="14"/>
  <c r="AI88" i="14"/>
  <c r="AI89" i="14"/>
  <c r="AI90" i="14"/>
  <c r="AI91" i="14"/>
  <c r="AI92" i="14"/>
  <c r="AI93" i="14"/>
  <c r="AI94" i="14"/>
  <c r="AI95" i="14"/>
  <c r="AI96" i="14"/>
  <c r="AI97" i="14"/>
  <c r="AI98" i="14"/>
  <c r="AI99" i="14"/>
  <c r="AI100" i="14"/>
  <c r="AI101" i="14"/>
  <c r="AI102" i="14"/>
  <c r="AI103" i="14"/>
  <c r="AI104" i="14"/>
  <c r="AI105" i="14"/>
  <c r="AI106" i="14"/>
  <c r="AI107" i="14"/>
  <c r="AI108" i="14"/>
  <c r="AI109" i="14"/>
  <c r="AI110" i="14"/>
  <c r="AI111" i="14"/>
  <c r="AI112" i="14"/>
  <c r="AI113" i="14"/>
  <c r="AI114" i="14"/>
  <c r="AI115" i="14"/>
  <c r="AI116" i="14"/>
  <c r="AI117" i="14"/>
  <c r="AI118" i="14"/>
  <c r="AI119" i="14"/>
  <c r="AI120" i="14"/>
  <c r="AI121" i="14"/>
  <c r="AI122" i="14"/>
  <c r="AI123" i="14"/>
  <c r="AI124" i="14"/>
  <c r="AI125" i="14"/>
  <c r="AI126" i="14"/>
  <c r="AI127" i="14"/>
  <c r="AI128" i="14"/>
  <c r="AI129" i="14"/>
  <c r="AI130" i="14"/>
  <c r="AI131" i="14"/>
  <c r="AI132" i="14"/>
  <c r="AI133" i="14"/>
  <c r="AI134" i="14"/>
  <c r="AI135" i="14"/>
  <c r="AI136" i="14"/>
  <c r="AI137" i="14"/>
  <c r="AI138" i="14"/>
  <c r="AI139" i="14"/>
  <c r="AI140" i="14"/>
  <c r="AI141" i="14"/>
  <c r="AI142" i="14"/>
  <c r="AI143" i="14"/>
  <c r="AI144" i="14"/>
  <c r="AI145" i="14"/>
  <c r="AI146" i="14"/>
  <c r="AI147" i="14"/>
  <c r="AI148" i="14"/>
  <c r="AI149" i="14"/>
  <c r="AI150" i="14"/>
  <c r="AI151" i="14"/>
  <c r="AI152" i="14"/>
  <c r="AI153" i="14"/>
  <c r="AI154" i="14"/>
  <c r="AI155" i="14"/>
  <c r="AI156" i="14"/>
  <c r="AI157" i="14"/>
  <c r="AI158" i="14"/>
  <c r="AI159" i="14"/>
  <c r="AI160" i="14"/>
  <c r="AI161" i="14"/>
  <c r="AI162" i="14"/>
  <c r="AI163" i="14"/>
  <c r="AI164" i="14"/>
  <c r="AI165" i="14"/>
  <c r="AI166" i="14"/>
  <c r="AI167" i="14"/>
  <c r="AI168" i="14"/>
  <c r="AI169" i="14"/>
  <c r="AI170" i="14"/>
  <c r="AI171" i="14"/>
  <c r="AI172" i="14"/>
  <c r="AI173" i="14"/>
  <c r="AI174" i="14"/>
  <c r="AI175" i="14"/>
  <c r="AI176" i="14"/>
  <c r="AI177" i="14"/>
  <c r="AI178" i="14"/>
  <c r="AI179" i="14"/>
  <c r="AI180" i="14"/>
  <c r="AI181" i="14"/>
  <c r="AI182" i="14"/>
  <c r="AI183" i="14"/>
  <c r="AI184" i="14"/>
  <c r="AI185" i="14"/>
  <c r="AI186" i="14"/>
  <c r="AI187" i="14"/>
  <c r="AI188" i="14"/>
  <c r="AI189" i="14"/>
  <c r="AI190" i="14"/>
  <c r="AI191" i="14"/>
  <c r="AI192" i="14"/>
  <c r="AI193" i="14"/>
  <c r="AI194" i="14"/>
  <c r="AI195" i="14"/>
  <c r="AI196" i="14"/>
  <c r="AI197" i="14"/>
  <c r="AI198" i="14"/>
  <c r="AI199" i="14"/>
  <c r="AI200" i="14"/>
  <c r="AI201" i="14"/>
  <c r="AI202" i="14"/>
  <c r="AI203" i="14"/>
  <c r="AI204" i="14"/>
  <c r="AI205" i="14"/>
  <c r="AI206" i="14"/>
  <c r="AI207" i="14"/>
  <c r="AI208" i="14"/>
  <c r="AI209" i="14"/>
  <c r="AI210" i="14"/>
  <c r="AI211" i="14"/>
  <c r="AI212" i="14"/>
  <c r="AI213" i="14"/>
  <c r="AI214" i="14"/>
  <c r="AI215" i="14"/>
  <c r="AI216" i="14"/>
  <c r="AI217" i="14"/>
  <c r="AI218" i="14"/>
  <c r="AI219" i="14"/>
  <c r="AI220" i="14"/>
  <c r="AI221" i="14"/>
  <c r="AI222" i="14"/>
  <c r="AI223" i="14"/>
  <c r="AI224" i="14"/>
  <c r="AI225" i="14"/>
  <c r="AI226" i="14"/>
  <c r="AI227" i="14"/>
  <c r="AI228" i="14"/>
  <c r="AI229" i="14"/>
  <c r="AI230" i="14"/>
  <c r="AI231" i="14"/>
  <c r="AI232" i="14"/>
  <c r="AI233" i="14"/>
  <c r="AI234" i="14"/>
  <c r="AI235" i="14"/>
  <c r="AI236" i="14"/>
  <c r="AI237" i="14"/>
  <c r="AI238" i="14"/>
  <c r="AI239" i="14"/>
  <c r="AI240" i="14"/>
  <c r="AI241" i="14"/>
  <c r="AI242" i="14"/>
  <c r="AI243" i="14"/>
  <c r="AI244" i="14"/>
  <c r="AI245" i="14"/>
  <c r="AI246" i="14"/>
  <c r="AI247" i="14"/>
  <c r="AI248" i="14"/>
  <c r="AI249" i="14"/>
  <c r="AI250" i="14"/>
  <c r="AI251" i="14"/>
  <c r="AI252" i="14"/>
  <c r="AI253" i="14"/>
  <c r="AI254" i="14"/>
  <c r="AI255" i="14"/>
  <c r="AI256" i="14"/>
  <c r="AI257" i="14"/>
  <c r="AI258" i="14"/>
  <c r="AI259" i="14"/>
  <c r="AI260" i="14"/>
  <c r="AI261" i="14"/>
  <c r="AI262" i="14"/>
  <c r="AI263" i="14"/>
  <c r="AI264" i="14"/>
  <c r="AI265" i="14"/>
  <c r="AI266" i="14"/>
  <c r="AI267" i="14"/>
  <c r="AI268" i="14"/>
  <c r="AI269" i="14"/>
  <c r="AI270" i="14"/>
  <c r="AI271" i="14"/>
  <c r="AI272" i="14"/>
  <c r="AI273" i="14"/>
  <c r="AI274" i="14"/>
  <c r="AI275" i="14"/>
  <c r="AI276" i="14"/>
  <c r="AI277" i="14"/>
  <c r="AI278" i="14"/>
  <c r="AI279" i="14"/>
  <c r="AI280" i="14"/>
  <c r="AI281" i="14"/>
  <c r="AI282" i="14"/>
  <c r="AI283" i="14"/>
  <c r="AI284" i="14"/>
  <c r="AI285" i="14"/>
  <c r="AI286" i="14"/>
  <c r="AI287" i="14"/>
  <c r="AI288" i="14"/>
  <c r="AI289" i="14"/>
  <c r="AI290" i="14"/>
  <c r="AI291" i="14"/>
  <c r="AI292" i="14"/>
  <c r="AI293" i="14"/>
  <c r="AI294" i="14"/>
  <c r="AI295" i="14"/>
  <c r="AI296" i="14"/>
  <c r="AI297" i="14"/>
  <c r="AI298" i="14"/>
  <c r="AI299" i="14"/>
  <c r="AI300" i="14"/>
  <c r="AI301" i="14"/>
  <c r="AI302" i="14"/>
  <c r="AI303" i="14"/>
  <c r="AI304" i="14"/>
  <c r="AI305" i="14"/>
  <c r="AI306" i="14"/>
  <c r="AI307" i="14"/>
  <c r="AI308" i="14"/>
  <c r="AI309" i="14"/>
  <c r="AI310" i="14"/>
  <c r="AI311" i="14"/>
  <c r="AI312" i="14"/>
  <c r="AI313" i="14"/>
  <c r="AI314" i="14"/>
  <c r="AI315" i="14"/>
  <c r="AI316" i="14"/>
  <c r="AI317" i="14"/>
  <c r="AI318" i="14"/>
  <c r="AI319" i="14"/>
  <c r="AI320" i="14"/>
  <c r="AI321" i="14"/>
  <c r="AI322" i="14"/>
  <c r="AI323" i="14"/>
  <c r="AI324" i="14"/>
  <c r="AI325" i="14"/>
  <c r="AI326" i="14"/>
  <c r="AI327" i="14"/>
  <c r="AI328" i="14"/>
  <c r="AI329" i="14"/>
  <c r="AI330" i="14"/>
  <c r="AI331" i="14"/>
  <c r="AI332" i="14"/>
  <c r="AI333" i="14"/>
  <c r="AI334" i="14"/>
  <c r="AI335" i="14"/>
  <c r="AI336" i="14"/>
  <c r="AI337" i="14"/>
  <c r="AI338" i="14"/>
  <c r="AI339" i="14"/>
  <c r="AI340" i="14"/>
  <c r="AI341" i="14"/>
  <c r="AI342" i="14"/>
  <c r="AI343" i="14"/>
  <c r="AI344" i="14"/>
  <c r="AI345" i="14"/>
  <c r="AI346" i="14"/>
  <c r="AI347" i="14"/>
  <c r="AI348" i="14"/>
  <c r="AI349" i="14"/>
  <c r="AI350" i="14"/>
  <c r="AI351" i="14"/>
  <c r="AI352" i="14"/>
  <c r="AI353" i="14"/>
  <c r="AI354" i="14"/>
  <c r="AI355" i="14"/>
  <c r="AI356" i="14"/>
  <c r="AI357" i="14"/>
  <c r="AI358" i="14"/>
  <c r="AI359" i="14"/>
  <c r="AI360" i="14"/>
  <c r="AI361" i="14"/>
  <c r="AI362" i="14"/>
  <c r="AI363" i="14"/>
  <c r="AI364" i="14"/>
  <c r="AI365" i="14"/>
  <c r="AI366" i="14"/>
  <c r="AI367" i="14"/>
  <c r="AI368" i="14"/>
  <c r="AI369" i="14"/>
  <c r="AI370" i="14"/>
  <c r="AI371" i="14"/>
  <c r="AI372" i="14"/>
  <c r="AI373" i="14"/>
  <c r="AI374" i="14"/>
  <c r="AI375" i="14"/>
  <c r="AI376" i="14"/>
  <c r="AI377" i="14"/>
  <c r="AI378" i="14"/>
  <c r="AI379" i="14"/>
  <c r="AI380" i="14"/>
  <c r="AI381" i="14"/>
  <c r="AI382" i="14"/>
  <c r="AI383" i="14"/>
  <c r="AI384" i="14"/>
  <c r="AI385" i="14"/>
  <c r="AI386" i="14"/>
  <c r="AI387" i="14"/>
  <c r="AI388" i="14"/>
  <c r="AI389" i="14"/>
  <c r="AI390" i="14"/>
  <c r="AI391" i="14"/>
  <c r="AI392" i="14"/>
  <c r="AI393" i="14"/>
  <c r="AI394" i="14"/>
  <c r="AI395" i="14"/>
  <c r="AI396" i="14"/>
  <c r="AI397" i="14"/>
  <c r="AI398" i="14"/>
  <c r="AI399" i="14"/>
  <c r="AI400" i="14"/>
  <c r="AI401" i="14"/>
  <c r="AI402" i="14"/>
  <c r="AI403" i="14"/>
  <c r="AI404" i="14"/>
  <c r="AI405" i="14"/>
  <c r="AI406" i="14"/>
  <c r="AI407" i="14"/>
  <c r="AI408" i="14"/>
  <c r="AI409" i="14"/>
  <c r="AI410" i="14"/>
  <c r="AI411" i="14"/>
  <c r="AI412" i="14"/>
  <c r="AI413" i="14"/>
  <c r="AI414" i="14"/>
  <c r="AI415" i="14"/>
  <c r="AI416" i="14"/>
  <c r="AI417" i="14"/>
  <c r="AI418" i="14"/>
  <c r="AI419" i="14"/>
  <c r="AI420" i="14"/>
  <c r="AI421" i="14"/>
  <c r="AI422" i="14"/>
  <c r="AI423" i="14"/>
  <c r="AI424" i="14"/>
  <c r="AI425" i="14"/>
  <c r="AI426" i="14"/>
  <c r="AI427" i="14"/>
  <c r="AI428" i="14"/>
  <c r="AI429" i="14"/>
  <c r="AI430" i="14"/>
  <c r="AI431" i="14"/>
  <c r="AI432" i="14"/>
  <c r="AI433" i="14"/>
  <c r="AI434" i="14"/>
  <c r="AI435" i="14"/>
  <c r="AI436" i="14"/>
  <c r="AI437" i="14"/>
  <c r="AI438" i="14"/>
  <c r="AI439" i="14"/>
  <c r="AI440" i="14"/>
  <c r="AI441" i="14"/>
  <c r="AI442" i="14"/>
  <c r="AI443" i="14"/>
  <c r="AI444" i="14"/>
  <c r="AI445" i="14"/>
  <c r="AI446" i="14"/>
  <c r="AI447" i="14"/>
  <c r="AI448" i="14"/>
  <c r="AI449" i="14"/>
  <c r="AI450" i="14"/>
  <c r="AI451" i="14"/>
  <c r="BA91" i="14"/>
  <c r="BD91" i="14" s="1"/>
  <c r="BA90" i="14"/>
  <c r="BD90" i="14" s="1"/>
  <c r="BA89" i="14"/>
  <c r="BD89" i="14" s="1"/>
  <c r="BA88" i="14"/>
  <c r="BD88" i="14" s="1"/>
  <c r="BA87" i="14"/>
  <c r="BD87" i="14" s="1"/>
  <c r="BA86" i="14"/>
  <c r="BD86" i="14" s="1"/>
  <c r="BA85" i="14"/>
  <c r="BD85" i="14" s="1"/>
  <c r="BA84" i="14"/>
  <c r="BD84" i="14" s="1"/>
  <c r="BA83" i="14"/>
  <c r="BD83" i="14" s="1"/>
  <c r="BA82" i="14"/>
  <c r="BD82" i="14" s="1"/>
  <c r="BA81" i="14"/>
  <c r="BD81" i="14" s="1"/>
  <c r="BA80" i="14"/>
  <c r="BD80" i="14" s="1"/>
  <c r="BA79" i="14"/>
  <c r="BD79" i="14" s="1"/>
  <c r="BA78" i="14"/>
  <c r="BD78" i="14" s="1"/>
  <c r="BA77" i="14"/>
  <c r="BD77" i="14" s="1"/>
  <c r="BE77" i="14" s="1"/>
  <c r="BA76" i="14"/>
  <c r="BD76" i="14" s="1"/>
  <c r="BE76" i="14" s="1"/>
  <c r="BA75" i="14"/>
  <c r="BD75" i="14" s="1"/>
  <c r="BA74" i="14"/>
  <c r="BD74" i="14" s="1"/>
  <c r="BA73" i="14"/>
  <c r="BD73" i="14" s="1"/>
  <c r="BA72" i="14"/>
  <c r="BD72" i="14" s="1"/>
  <c r="BA71" i="14"/>
  <c r="BD71" i="14" s="1"/>
  <c r="BA70" i="14"/>
  <c r="BD70" i="14" s="1"/>
  <c r="BA69" i="14"/>
  <c r="BD69" i="14" s="1"/>
  <c r="BA68" i="14"/>
  <c r="BD68" i="14" s="1"/>
  <c r="BA67" i="14"/>
  <c r="BD67" i="14" s="1"/>
  <c r="BA66" i="14"/>
  <c r="BD66" i="14" s="1"/>
  <c r="BA65" i="14"/>
  <c r="BD65" i="14" s="1"/>
  <c r="BA64" i="14"/>
  <c r="BD64" i="14" s="1"/>
  <c r="BA63" i="14"/>
  <c r="BD63" i="14" s="1"/>
  <c r="BA62" i="14"/>
  <c r="BD62" i="14" s="1"/>
  <c r="BA61" i="14"/>
  <c r="BD61" i="14" s="1"/>
  <c r="BE61" i="14" s="1"/>
  <c r="BA60" i="14"/>
  <c r="BD60" i="14" s="1"/>
  <c r="BE60" i="14" s="1"/>
  <c r="BA59" i="14"/>
  <c r="BD59" i="14" s="1"/>
  <c r="BA58" i="14"/>
  <c r="BD58" i="14" s="1"/>
  <c r="BA57" i="14"/>
  <c r="BD57" i="14" s="1"/>
  <c r="BA56" i="14"/>
  <c r="BD56" i="14" s="1"/>
  <c r="BA55" i="14"/>
  <c r="BD55" i="14" s="1"/>
  <c r="BA54" i="14"/>
  <c r="BD54" i="14" s="1"/>
  <c r="BA53" i="14"/>
  <c r="BD53" i="14" s="1"/>
  <c r="BA52" i="14"/>
  <c r="BD52" i="14" s="1"/>
  <c r="BA51" i="14"/>
  <c r="BD51" i="14" s="1"/>
  <c r="BA50" i="14"/>
  <c r="BD50" i="14" s="1"/>
  <c r="BA49" i="14"/>
  <c r="BD49" i="14" s="1"/>
  <c r="BA48" i="14"/>
  <c r="BD48" i="14" s="1"/>
  <c r="BA47" i="14"/>
  <c r="BD47" i="14" s="1"/>
  <c r="BA46" i="14"/>
  <c r="BD46" i="14" s="1"/>
  <c r="BA45" i="14"/>
  <c r="BD45" i="14" s="1"/>
  <c r="BE45" i="14" s="1"/>
  <c r="BA44" i="14"/>
  <c r="BD44" i="14" s="1"/>
  <c r="BE44" i="14" s="1"/>
  <c r="BA43" i="14"/>
  <c r="BD43" i="14" s="1"/>
  <c r="BA42" i="14"/>
  <c r="BD42" i="14" s="1"/>
  <c r="BA41" i="14"/>
  <c r="BD41" i="14" s="1"/>
  <c r="BA40" i="14"/>
  <c r="BD40" i="14" s="1"/>
  <c r="BA39" i="14"/>
  <c r="BD39" i="14" s="1"/>
  <c r="BA38" i="14"/>
  <c r="BD38" i="14" s="1"/>
  <c r="BA37" i="14"/>
  <c r="BD37" i="14" s="1"/>
  <c r="BA36" i="14"/>
  <c r="BD36" i="14" s="1"/>
  <c r="BA35" i="14"/>
  <c r="BD35" i="14" s="1"/>
  <c r="BA34" i="14"/>
  <c r="BD34" i="14" s="1"/>
  <c r="BA33" i="14"/>
  <c r="BD33" i="14" s="1"/>
  <c r="BA32" i="14"/>
  <c r="BD32" i="14" s="1"/>
  <c r="BA31" i="14"/>
  <c r="BD31" i="14" s="1"/>
  <c r="BA30" i="14"/>
  <c r="BD30" i="14" s="1"/>
  <c r="BA29" i="14"/>
  <c r="BD29" i="14" s="1"/>
  <c r="BE29" i="14" s="1"/>
  <c r="BA28" i="14"/>
  <c r="BD28" i="14" s="1"/>
  <c r="BE28" i="14" s="1"/>
  <c r="BA27" i="14"/>
  <c r="BD27" i="14" s="1"/>
  <c r="BA26" i="14"/>
  <c r="BD26" i="14" s="1"/>
  <c r="BA25" i="14"/>
  <c r="BD25" i="14" s="1"/>
  <c r="BA24" i="14"/>
  <c r="BD24" i="14" s="1"/>
  <c r="BA23" i="14"/>
  <c r="BD23" i="14" s="1"/>
  <c r="BA22" i="14"/>
  <c r="BD22" i="14" s="1"/>
  <c r="BA21" i="14"/>
  <c r="BD21" i="14" s="1"/>
  <c r="BA20" i="14"/>
  <c r="BD20" i="14" s="1"/>
  <c r="BA19" i="14"/>
  <c r="BD19" i="14" s="1"/>
  <c r="BA18" i="14"/>
  <c r="BD18" i="14" s="1"/>
  <c r="BA17" i="14"/>
  <c r="BD17" i="14" s="1"/>
  <c r="BA16" i="14"/>
  <c r="BD16" i="14" s="1"/>
  <c r="BA15" i="14"/>
  <c r="BD15" i="14" s="1"/>
  <c r="BA14" i="14"/>
  <c r="BD14" i="14" s="1"/>
  <c r="BA13" i="14"/>
  <c r="BD13" i="14" s="1"/>
  <c r="BE13" i="14" s="1"/>
  <c r="BA12" i="14"/>
  <c r="BD12" i="14" s="1"/>
  <c r="BE12" i="14" s="1"/>
  <c r="BA11" i="14"/>
  <c r="BD11" i="14" s="1"/>
  <c r="BA10" i="14"/>
  <c r="BD10" i="14" s="1"/>
  <c r="BA9" i="14"/>
  <c r="BD9" i="14" s="1"/>
  <c r="BA8" i="14"/>
  <c r="BD8" i="14" s="1"/>
  <c r="BA7" i="14"/>
  <c r="BD7" i="14" s="1"/>
  <c r="BA6" i="14"/>
  <c r="BD6" i="14" s="1"/>
  <c r="BA5" i="14"/>
  <c r="BD5" i="14" s="1"/>
  <c r="BA4" i="14"/>
  <c r="BD4" i="14" s="1"/>
  <c r="BA3" i="14"/>
  <c r="BD3" i="14" s="1"/>
  <c r="BA2" i="14"/>
  <c r="BD2" i="14" s="1"/>
  <c r="AE1239" i="15"/>
  <c r="AE1273" i="15"/>
  <c r="AE1307" i="15"/>
  <c r="AE1341" i="15"/>
  <c r="AE1375" i="15"/>
  <c r="AE1409" i="15"/>
  <c r="AE1443" i="15"/>
  <c r="AE1477" i="15"/>
  <c r="AE1511" i="15"/>
  <c r="AE1545" i="15"/>
  <c r="AE1579" i="15"/>
  <c r="AE1613" i="15"/>
  <c r="AE1238" i="15"/>
  <c r="AE1272" i="15"/>
  <c r="AE1306" i="15"/>
  <c r="AE1340" i="15"/>
  <c r="AE1374" i="15"/>
  <c r="AE1408" i="15"/>
  <c r="AE1442" i="15"/>
  <c r="AE1476" i="15"/>
  <c r="AE1510" i="15"/>
  <c r="AE1544" i="15"/>
  <c r="AE1578" i="15"/>
  <c r="AE1612" i="15"/>
  <c r="AE1240" i="15"/>
  <c r="AE1274" i="15"/>
  <c r="AE1308" i="15"/>
  <c r="AE1342" i="15"/>
  <c r="AE1376" i="15"/>
  <c r="AE1410" i="15"/>
  <c r="AE1444" i="15"/>
  <c r="AE1478" i="15"/>
  <c r="AE1512" i="15"/>
  <c r="AE1546" i="15"/>
  <c r="AE1580" i="15"/>
  <c r="AE1614" i="15"/>
  <c r="AE1241" i="15"/>
  <c r="AE1275" i="15"/>
  <c r="AE1309" i="15"/>
  <c r="AE1343" i="15"/>
  <c r="AE1377" i="15"/>
  <c r="AE1411" i="15"/>
  <c r="AE1445" i="15"/>
  <c r="AE1479" i="15"/>
  <c r="AE1513" i="15"/>
  <c r="AE1547" i="15"/>
  <c r="AE1581" i="15"/>
  <c r="AE1615" i="15"/>
  <c r="AE1242" i="15"/>
  <c r="AE1276" i="15"/>
  <c r="AE1310" i="15"/>
  <c r="AE1344" i="15"/>
  <c r="AE1378" i="15"/>
  <c r="AE1412" i="15"/>
  <c r="AE1446" i="15"/>
  <c r="AE1480" i="15"/>
  <c r="AE1514" i="15"/>
  <c r="AE1548" i="15"/>
  <c r="AE1582" i="15"/>
  <c r="AE1616" i="15"/>
  <c r="AE1243" i="15"/>
  <c r="AE1277" i="15"/>
  <c r="AE1311" i="15"/>
  <c r="AE1345" i="15"/>
  <c r="AE1379" i="15"/>
  <c r="AE1413" i="15"/>
  <c r="AE1447" i="15"/>
  <c r="AE1481" i="15"/>
  <c r="AE1515" i="15"/>
  <c r="AE1549" i="15"/>
  <c r="AE1583" i="15"/>
  <c r="AE1617" i="15"/>
  <c r="AE1244" i="15"/>
  <c r="AE1278" i="15"/>
  <c r="AE1312" i="15"/>
  <c r="AE1346" i="15"/>
  <c r="AE1380" i="15"/>
  <c r="AE1414" i="15"/>
  <c r="AE1448" i="15"/>
  <c r="AE1482" i="15"/>
  <c r="AE1516" i="15"/>
  <c r="AE1550" i="15"/>
  <c r="AE1584" i="15"/>
  <c r="AE1618" i="15"/>
  <c r="AE1245" i="15"/>
  <c r="AE1279" i="15"/>
  <c r="AE1313" i="15"/>
  <c r="AE1347" i="15"/>
  <c r="AE1381" i="15"/>
  <c r="AE1415" i="15"/>
  <c r="AE1449" i="15"/>
  <c r="AE1483" i="15"/>
  <c r="AE1517" i="15"/>
  <c r="AE1551" i="15"/>
  <c r="AE1585" i="15"/>
  <c r="AE1619" i="15"/>
  <c r="AE1246" i="15"/>
  <c r="AE1280" i="15"/>
  <c r="AE1314" i="15"/>
  <c r="AE1348" i="15"/>
  <c r="AE1382" i="15"/>
  <c r="AE1416" i="15"/>
  <c r="AE1450" i="15"/>
  <c r="AE1484" i="15"/>
  <c r="AE1518" i="15"/>
  <c r="AE1552" i="15"/>
  <c r="AE1586" i="15"/>
  <c r="AE1620" i="15"/>
  <c r="AE1247" i="15"/>
  <c r="AE1281" i="15"/>
  <c r="AE1315" i="15"/>
  <c r="AE1349" i="15"/>
  <c r="AE1383" i="15"/>
  <c r="AE1417" i="15"/>
  <c r="AE1451" i="15"/>
  <c r="AE1485" i="15"/>
  <c r="AE1519" i="15"/>
  <c r="AE1553" i="15"/>
  <c r="AE1587" i="15"/>
  <c r="AE1621" i="15"/>
  <c r="AE1248" i="15"/>
  <c r="AE1282" i="15"/>
  <c r="AE1316" i="15"/>
  <c r="AE1350" i="15"/>
  <c r="AE1384" i="15"/>
  <c r="AE1418" i="15"/>
  <c r="AE1452" i="15"/>
  <c r="AE1486" i="15"/>
  <c r="AE1520" i="15"/>
  <c r="AE1554" i="15"/>
  <c r="AE1588" i="15"/>
  <c r="AE1622" i="15"/>
  <c r="AE1249" i="15"/>
  <c r="AE1283" i="15"/>
  <c r="AE1317" i="15"/>
  <c r="AE1351" i="15"/>
  <c r="AE1385" i="15"/>
  <c r="AE1419" i="15"/>
  <c r="AE1453" i="15"/>
  <c r="AE1487" i="15"/>
  <c r="AE1521" i="15"/>
  <c r="AE1555" i="15"/>
  <c r="AE1589" i="15"/>
  <c r="AE1623" i="15"/>
  <c r="AE1250" i="15"/>
  <c r="AE1284" i="15"/>
  <c r="AE1318" i="15"/>
  <c r="AE1352" i="15"/>
  <c r="AE1386" i="15"/>
  <c r="AE1420" i="15"/>
  <c r="AE1454" i="15"/>
  <c r="AE1488" i="15"/>
  <c r="AE1522" i="15"/>
  <c r="AE1556" i="15"/>
  <c r="AE1590" i="15"/>
  <c r="AE1624" i="15"/>
  <c r="AE1251" i="15"/>
  <c r="AE1285" i="15"/>
  <c r="AE1319" i="15"/>
  <c r="AE1353" i="15"/>
  <c r="AE1387" i="15"/>
  <c r="AE1421" i="15"/>
  <c r="AE1455" i="15"/>
  <c r="AE1489" i="15"/>
  <c r="AE1523" i="15"/>
  <c r="AE1557" i="15"/>
  <c r="AE1591" i="15"/>
  <c r="AE1625" i="15"/>
  <c r="AE1252" i="15"/>
  <c r="AE1286" i="15"/>
  <c r="AE1320" i="15"/>
  <c r="AE1354" i="15"/>
  <c r="AE1388" i="15"/>
  <c r="AE1422" i="15"/>
  <c r="AE1456" i="15"/>
  <c r="AE1490" i="15"/>
  <c r="AE1524" i="15"/>
  <c r="AE1558" i="15"/>
  <c r="AE1592" i="15"/>
  <c r="AE1626" i="15"/>
  <c r="AE1253" i="15"/>
  <c r="AE1287" i="15"/>
  <c r="AE1321" i="15"/>
  <c r="AE1355" i="15"/>
  <c r="AE1389" i="15"/>
  <c r="AE1423" i="15"/>
  <c r="AE1457" i="15"/>
  <c r="AE1491" i="15"/>
  <c r="AE1525" i="15"/>
  <c r="AE1559" i="15"/>
  <c r="AE1593" i="15"/>
  <c r="AE1627" i="15"/>
  <c r="AE1254" i="15"/>
  <c r="AE1288" i="15"/>
  <c r="AE1322" i="15"/>
  <c r="AE1356" i="15"/>
  <c r="AE1390" i="15"/>
  <c r="AE1424" i="15"/>
  <c r="AE1458" i="15"/>
  <c r="AE1492" i="15"/>
  <c r="AE1526" i="15"/>
  <c r="AE1560" i="15"/>
  <c r="AE1594" i="15"/>
  <c r="AE1628" i="15"/>
  <c r="AE1255" i="15"/>
  <c r="AE1289" i="15"/>
  <c r="AE1323" i="15"/>
  <c r="AE1357" i="15"/>
  <c r="AE1391" i="15"/>
  <c r="AE1425" i="15"/>
  <c r="AE1459" i="15"/>
  <c r="AE1493" i="15"/>
  <c r="AE1527" i="15"/>
  <c r="AE1561" i="15"/>
  <c r="AE1595" i="15"/>
  <c r="AE1629" i="15"/>
  <c r="AE1256" i="15"/>
  <c r="AE1290" i="15"/>
  <c r="AE1324" i="15"/>
  <c r="AE1358" i="15"/>
  <c r="AE1392" i="15"/>
  <c r="AE1426" i="15"/>
  <c r="AE1460" i="15"/>
  <c r="AE1494" i="15"/>
  <c r="AE1528" i="15"/>
  <c r="AE1562" i="15"/>
  <c r="AE1596" i="15"/>
  <c r="AE1630" i="15"/>
  <c r="AE1257" i="15"/>
  <c r="AE1291" i="15"/>
  <c r="AE1325" i="15"/>
  <c r="AE1359" i="15"/>
  <c r="AE1393" i="15"/>
  <c r="AE1427" i="15"/>
  <c r="AE1461" i="15"/>
  <c r="AE1495" i="15"/>
  <c r="AE1529" i="15"/>
  <c r="AE1563" i="15"/>
  <c r="AE1597" i="15"/>
  <c r="AE1631" i="15"/>
  <c r="AE1258" i="15"/>
  <c r="AE1292" i="15"/>
  <c r="AE1326" i="15"/>
  <c r="AE1360" i="15"/>
  <c r="AE1394" i="15"/>
  <c r="AE1428" i="15"/>
  <c r="AE1462" i="15"/>
  <c r="AE1496" i="15"/>
  <c r="AE1530" i="15"/>
  <c r="AE1564" i="15"/>
  <c r="AE1598" i="15"/>
  <c r="AE1632" i="15"/>
  <c r="AE1259" i="15"/>
  <c r="AE1293" i="15"/>
  <c r="AE1327" i="15"/>
  <c r="AE1361" i="15"/>
  <c r="AE1395" i="15"/>
  <c r="AE1429" i="15"/>
  <c r="AE1463" i="15"/>
  <c r="AE1497" i="15"/>
  <c r="AE1531" i="15"/>
  <c r="AE1565" i="15"/>
  <c r="AE1599" i="15"/>
  <c r="AE1633" i="15"/>
  <c r="AE1260" i="15"/>
  <c r="AE1294" i="15"/>
  <c r="AE1328" i="15"/>
  <c r="AE1362" i="15"/>
  <c r="AE1396" i="15"/>
  <c r="AE1430" i="15"/>
  <c r="AE1464" i="15"/>
  <c r="AE1498" i="15"/>
  <c r="AE1532" i="15"/>
  <c r="AE1566" i="15"/>
  <c r="AE1600" i="15"/>
  <c r="AE1634" i="15"/>
  <c r="AE1261" i="15"/>
  <c r="AE1295" i="15"/>
  <c r="AE1329" i="15"/>
  <c r="AE1363" i="15"/>
  <c r="AE1397" i="15"/>
  <c r="AE1431" i="15"/>
  <c r="AE1465" i="15"/>
  <c r="AE1499" i="15"/>
  <c r="AE1533" i="15"/>
  <c r="AE1567" i="15"/>
  <c r="AE1601" i="15"/>
  <c r="AE1635" i="15"/>
  <c r="AE1262" i="15"/>
  <c r="AE1296" i="15"/>
  <c r="AE1330" i="15"/>
  <c r="AE1364" i="15"/>
  <c r="AE1398" i="15"/>
  <c r="AE1432" i="15"/>
  <c r="AE1466" i="15"/>
  <c r="AE1500" i="15"/>
  <c r="AE1534" i="15"/>
  <c r="AE1568" i="15"/>
  <c r="AE1602" i="15"/>
  <c r="AE1636" i="15"/>
  <c r="AE1263" i="15"/>
  <c r="AE1297" i="15"/>
  <c r="AE1331" i="15"/>
  <c r="AE1365" i="15"/>
  <c r="AE1399" i="15"/>
  <c r="AE1433" i="15"/>
  <c r="AE1467" i="15"/>
  <c r="AE1501" i="15"/>
  <c r="AE1535" i="15"/>
  <c r="AE1569" i="15"/>
  <c r="AE1603" i="15"/>
  <c r="AE1637" i="15"/>
  <c r="AE1264" i="15"/>
  <c r="AE1298" i="15"/>
  <c r="AE1332" i="15"/>
  <c r="AE1366" i="15"/>
  <c r="AE1400" i="15"/>
  <c r="AE1434" i="15"/>
  <c r="AE1468" i="15"/>
  <c r="AE1502" i="15"/>
  <c r="AE1536" i="15"/>
  <c r="AE1570" i="15"/>
  <c r="AE1604" i="15"/>
  <c r="AE1638" i="15"/>
  <c r="AE1265" i="15"/>
  <c r="AE1299" i="15"/>
  <c r="AE1333" i="15"/>
  <c r="AE1367" i="15"/>
  <c r="AE1401" i="15"/>
  <c r="AE1435" i="15"/>
  <c r="AE1469" i="15"/>
  <c r="AE1503" i="15"/>
  <c r="AE1537" i="15"/>
  <c r="AE1571" i="15"/>
  <c r="AE1605" i="15"/>
  <c r="AE1639" i="15"/>
  <c r="AE1266" i="15"/>
  <c r="AE1300" i="15"/>
  <c r="AE1334" i="15"/>
  <c r="AE1368" i="15"/>
  <c r="AE1402" i="15"/>
  <c r="AE1436" i="15"/>
  <c r="AE1470" i="15"/>
  <c r="AE1504" i="15"/>
  <c r="AE1538" i="15"/>
  <c r="AE1572" i="15"/>
  <c r="AE1606" i="15"/>
  <c r="AE1640" i="15"/>
  <c r="AE1267" i="15"/>
  <c r="AE1301" i="15"/>
  <c r="AE1335" i="15"/>
  <c r="AE1369" i="15"/>
  <c r="AE1403" i="15"/>
  <c r="AE1437" i="15"/>
  <c r="AE1471" i="15"/>
  <c r="AE1505" i="15"/>
  <c r="AE1539" i="15"/>
  <c r="AE1573" i="15"/>
  <c r="AE1607" i="15"/>
  <c r="AE1641" i="15"/>
  <c r="AE1268" i="15"/>
  <c r="AE1302" i="15"/>
  <c r="AE1336" i="15"/>
  <c r="AE1370" i="15"/>
  <c r="AE1404" i="15"/>
  <c r="AE1438" i="15"/>
  <c r="AE1472" i="15"/>
  <c r="AE1506" i="15"/>
  <c r="AE1540" i="15"/>
  <c r="AE1574" i="15"/>
  <c r="AE1608" i="15"/>
  <c r="AE1642" i="15"/>
  <c r="AE1269" i="15"/>
  <c r="AE1303" i="15"/>
  <c r="AE1337" i="15"/>
  <c r="AE1371" i="15"/>
  <c r="AE1405" i="15"/>
  <c r="AE1439" i="15"/>
  <c r="AE1473" i="15"/>
  <c r="AE1507" i="15"/>
  <c r="AE1541" i="15"/>
  <c r="AE1575" i="15"/>
  <c r="AE1609" i="15"/>
  <c r="AE1643" i="15"/>
  <c r="AE1270" i="15"/>
  <c r="AE1304" i="15"/>
  <c r="AE1338" i="15"/>
  <c r="AE1372" i="15"/>
  <c r="AE1406" i="15"/>
  <c r="AE1440" i="15"/>
  <c r="AE1474" i="15"/>
  <c r="AE1508" i="15"/>
  <c r="AE1542" i="15"/>
  <c r="AE1576" i="15"/>
  <c r="AE1610" i="15"/>
  <c r="AE1644" i="15"/>
  <c r="AE1271" i="15"/>
  <c r="AE1305" i="15"/>
  <c r="AE1339" i="15"/>
  <c r="AE1373" i="15"/>
  <c r="AE1407" i="15"/>
  <c r="AE1441" i="15"/>
  <c r="AE1475" i="15"/>
  <c r="AE1509" i="15"/>
  <c r="AE1543" i="15"/>
  <c r="AE1577" i="15"/>
  <c r="AE1611" i="15"/>
  <c r="AE1645" i="15"/>
  <c r="AF1239" i="15"/>
  <c r="AF1273" i="15"/>
  <c r="AF1307" i="15"/>
  <c r="AF1341" i="15"/>
  <c r="AF1375" i="15"/>
  <c r="AF1409" i="15"/>
  <c r="AF1443" i="15"/>
  <c r="AF1477" i="15"/>
  <c r="AF1511" i="15"/>
  <c r="AF1545" i="15"/>
  <c r="AF1579" i="15"/>
  <c r="AF1613" i="15"/>
  <c r="AF1238" i="15"/>
  <c r="AF1272" i="15"/>
  <c r="AF1306" i="15"/>
  <c r="AF1340" i="15"/>
  <c r="AF1374" i="15"/>
  <c r="AF1408" i="15"/>
  <c r="AF1442" i="15"/>
  <c r="AF1476" i="15"/>
  <c r="AF1510" i="15"/>
  <c r="AF1544" i="15"/>
  <c r="AF1578" i="15"/>
  <c r="AF1612" i="15"/>
  <c r="AF1240" i="15"/>
  <c r="AF1274" i="15"/>
  <c r="AF1308" i="15"/>
  <c r="AF1342" i="15"/>
  <c r="AF1376" i="15"/>
  <c r="AF1410" i="15"/>
  <c r="AF1444" i="15"/>
  <c r="AF1478" i="15"/>
  <c r="AF1512" i="15"/>
  <c r="AF1546" i="15"/>
  <c r="AF1580" i="15"/>
  <c r="AF1614" i="15"/>
  <c r="AF1241" i="15"/>
  <c r="AF1275" i="15"/>
  <c r="AF1309" i="15"/>
  <c r="AF1343" i="15"/>
  <c r="AF1377" i="15"/>
  <c r="AF1411" i="15"/>
  <c r="AF1445" i="15"/>
  <c r="AF1479" i="15"/>
  <c r="AF1513" i="15"/>
  <c r="AF1547" i="15"/>
  <c r="AF1581" i="15"/>
  <c r="AF1615" i="15"/>
  <c r="AF1242" i="15"/>
  <c r="AF1276" i="15"/>
  <c r="AF1310" i="15"/>
  <c r="AF1344" i="15"/>
  <c r="AF1378" i="15"/>
  <c r="AF1412" i="15"/>
  <c r="AF1446" i="15"/>
  <c r="AF1480" i="15"/>
  <c r="AF1514" i="15"/>
  <c r="AF1548" i="15"/>
  <c r="AF1582" i="15"/>
  <c r="AF1616" i="15"/>
  <c r="AF1243" i="15"/>
  <c r="AF1277" i="15"/>
  <c r="AF1311" i="15"/>
  <c r="AF1345" i="15"/>
  <c r="AF1379" i="15"/>
  <c r="AF1413" i="15"/>
  <c r="AF1447" i="15"/>
  <c r="AF1481" i="15"/>
  <c r="AF1515" i="15"/>
  <c r="AF1549" i="15"/>
  <c r="AF1583" i="15"/>
  <c r="AF1617" i="15"/>
  <c r="AF1244" i="15"/>
  <c r="AF1278" i="15"/>
  <c r="AF1312" i="15"/>
  <c r="AF1346" i="15"/>
  <c r="AF1380" i="15"/>
  <c r="AF1414" i="15"/>
  <c r="AF1448" i="15"/>
  <c r="AF1482" i="15"/>
  <c r="AF1516" i="15"/>
  <c r="AF1550" i="15"/>
  <c r="AF1584" i="15"/>
  <c r="AF1618" i="15"/>
  <c r="AF1245" i="15"/>
  <c r="AF1279" i="15"/>
  <c r="AF1313" i="15"/>
  <c r="AF1347" i="15"/>
  <c r="AF1381" i="15"/>
  <c r="AF1415" i="15"/>
  <c r="AF1449" i="15"/>
  <c r="AF1483" i="15"/>
  <c r="AF1517" i="15"/>
  <c r="AF1551" i="15"/>
  <c r="AF1585" i="15"/>
  <c r="AF1619" i="15"/>
  <c r="AF1246" i="15"/>
  <c r="AF1280" i="15"/>
  <c r="AF1314" i="15"/>
  <c r="AF1348" i="15"/>
  <c r="AF1382" i="15"/>
  <c r="AF1416" i="15"/>
  <c r="AF1450" i="15"/>
  <c r="AF1484" i="15"/>
  <c r="AF1518" i="15"/>
  <c r="AF1552" i="15"/>
  <c r="AF1586" i="15"/>
  <c r="AF1620" i="15"/>
  <c r="AF1247" i="15"/>
  <c r="AF1281" i="15"/>
  <c r="AF1315" i="15"/>
  <c r="AF1349" i="15"/>
  <c r="AF1383" i="15"/>
  <c r="AF1417" i="15"/>
  <c r="AF1451" i="15"/>
  <c r="AF1485" i="15"/>
  <c r="AF1519" i="15"/>
  <c r="AF1553" i="15"/>
  <c r="AF1587" i="15"/>
  <c r="AF1621" i="15"/>
  <c r="AF1248" i="15"/>
  <c r="AF1282" i="15"/>
  <c r="AF1316" i="15"/>
  <c r="AF1350" i="15"/>
  <c r="AF1384" i="15"/>
  <c r="AF1418" i="15"/>
  <c r="AF1452" i="15"/>
  <c r="AF1486" i="15"/>
  <c r="AF1520" i="15"/>
  <c r="AF1554" i="15"/>
  <c r="AF1588" i="15"/>
  <c r="AF1622" i="15"/>
  <c r="AF1249" i="15"/>
  <c r="AF1283" i="15"/>
  <c r="AF1317" i="15"/>
  <c r="AF1351" i="15"/>
  <c r="AF1385" i="15"/>
  <c r="AF1419" i="15"/>
  <c r="AF1453" i="15"/>
  <c r="AF1487" i="15"/>
  <c r="AF1521" i="15"/>
  <c r="AF1555" i="15"/>
  <c r="AF1589" i="15"/>
  <c r="AF1623" i="15"/>
  <c r="AF1250" i="15"/>
  <c r="AF1284" i="15"/>
  <c r="AF1318" i="15"/>
  <c r="AF1352" i="15"/>
  <c r="AF1386" i="15"/>
  <c r="AF1420" i="15"/>
  <c r="AF1454" i="15"/>
  <c r="AF1488" i="15"/>
  <c r="AF1522" i="15"/>
  <c r="AF1556" i="15"/>
  <c r="AF1590" i="15"/>
  <c r="AF1624" i="15"/>
  <c r="AF1251" i="15"/>
  <c r="AF1285" i="15"/>
  <c r="AF1319" i="15"/>
  <c r="AF1353" i="15"/>
  <c r="AF1387" i="15"/>
  <c r="AF1421" i="15"/>
  <c r="AF1455" i="15"/>
  <c r="AF1489" i="15"/>
  <c r="AF1523" i="15"/>
  <c r="AF1557" i="15"/>
  <c r="AF1591" i="15"/>
  <c r="AF1625" i="15"/>
  <c r="AF1252" i="15"/>
  <c r="AF1286" i="15"/>
  <c r="AF1320" i="15"/>
  <c r="AF1354" i="15"/>
  <c r="AF1388" i="15"/>
  <c r="AF1422" i="15"/>
  <c r="AF1456" i="15"/>
  <c r="AF1490" i="15"/>
  <c r="AF1524" i="15"/>
  <c r="AF1558" i="15"/>
  <c r="AF1592" i="15"/>
  <c r="AF1626" i="15"/>
  <c r="AF1253" i="15"/>
  <c r="AF1287" i="15"/>
  <c r="AF1321" i="15"/>
  <c r="AF1355" i="15"/>
  <c r="AF1389" i="15"/>
  <c r="AF1423" i="15"/>
  <c r="AF1457" i="15"/>
  <c r="AF1491" i="15"/>
  <c r="AF1525" i="15"/>
  <c r="AF1559" i="15"/>
  <c r="AF1593" i="15"/>
  <c r="AF1627" i="15"/>
  <c r="AF1254" i="15"/>
  <c r="AF1288" i="15"/>
  <c r="AF1322" i="15"/>
  <c r="AF1356" i="15"/>
  <c r="AF1390" i="15"/>
  <c r="AF1424" i="15"/>
  <c r="AF1458" i="15"/>
  <c r="AF1492" i="15"/>
  <c r="AF1526" i="15"/>
  <c r="AF1560" i="15"/>
  <c r="AF1594" i="15"/>
  <c r="AF1628" i="15"/>
  <c r="AF1255" i="15"/>
  <c r="AF1289" i="15"/>
  <c r="AF1323" i="15"/>
  <c r="AF1357" i="15"/>
  <c r="AF1391" i="15"/>
  <c r="AF1425" i="15"/>
  <c r="AF1459" i="15"/>
  <c r="AF1493" i="15"/>
  <c r="AF1527" i="15"/>
  <c r="AF1561" i="15"/>
  <c r="AF1595" i="15"/>
  <c r="AF1629" i="15"/>
  <c r="AF1256" i="15"/>
  <c r="AF1290" i="15"/>
  <c r="AF1324" i="15"/>
  <c r="AF1358" i="15"/>
  <c r="AF1392" i="15"/>
  <c r="AF1426" i="15"/>
  <c r="AF1460" i="15"/>
  <c r="AF1494" i="15"/>
  <c r="AF1528" i="15"/>
  <c r="AF1562" i="15"/>
  <c r="AF1596" i="15"/>
  <c r="AF1630" i="15"/>
  <c r="AF1257" i="15"/>
  <c r="AF1291" i="15"/>
  <c r="AF1325" i="15"/>
  <c r="AF1359" i="15"/>
  <c r="AF1393" i="15"/>
  <c r="AF1427" i="15"/>
  <c r="AF1461" i="15"/>
  <c r="AF1495" i="15"/>
  <c r="AF1529" i="15"/>
  <c r="AF1563" i="15"/>
  <c r="AF1597" i="15"/>
  <c r="AF1631" i="15"/>
  <c r="AF1258" i="15"/>
  <c r="AF1292" i="15"/>
  <c r="AF1326" i="15"/>
  <c r="AF1360" i="15"/>
  <c r="AF1394" i="15"/>
  <c r="AF1428" i="15"/>
  <c r="AF1462" i="15"/>
  <c r="AF1496" i="15"/>
  <c r="AF1530" i="15"/>
  <c r="AF1564" i="15"/>
  <c r="AF1598" i="15"/>
  <c r="AF1632" i="15"/>
  <c r="AF1259" i="15"/>
  <c r="AF1293" i="15"/>
  <c r="AF1327" i="15"/>
  <c r="AF1361" i="15"/>
  <c r="AF1395" i="15"/>
  <c r="AF1429" i="15"/>
  <c r="AF1463" i="15"/>
  <c r="AF1497" i="15"/>
  <c r="AF1531" i="15"/>
  <c r="AF1565" i="15"/>
  <c r="AF1599" i="15"/>
  <c r="AF1633" i="15"/>
  <c r="AF1260" i="15"/>
  <c r="AF1294" i="15"/>
  <c r="AF1328" i="15"/>
  <c r="AF1362" i="15"/>
  <c r="AF1396" i="15"/>
  <c r="AF1430" i="15"/>
  <c r="AF1464" i="15"/>
  <c r="AF1498" i="15"/>
  <c r="AF1532" i="15"/>
  <c r="AF1566" i="15"/>
  <c r="AF1600" i="15"/>
  <c r="AF1634" i="15"/>
  <c r="AF1261" i="15"/>
  <c r="AF1295" i="15"/>
  <c r="AF1329" i="15"/>
  <c r="AF1363" i="15"/>
  <c r="AF1397" i="15"/>
  <c r="AF1431" i="15"/>
  <c r="AF1465" i="15"/>
  <c r="AF1499" i="15"/>
  <c r="AF1533" i="15"/>
  <c r="AF1567" i="15"/>
  <c r="AF1601" i="15"/>
  <c r="AF1635" i="15"/>
  <c r="AF1262" i="15"/>
  <c r="AF1296" i="15"/>
  <c r="AF1330" i="15"/>
  <c r="AF1364" i="15"/>
  <c r="AF1398" i="15"/>
  <c r="AF1432" i="15"/>
  <c r="AF1466" i="15"/>
  <c r="AF1500" i="15"/>
  <c r="AF1534" i="15"/>
  <c r="AF1568" i="15"/>
  <c r="AF1602" i="15"/>
  <c r="AF1636" i="15"/>
  <c r="AF1263" i="15"/>
  <c r="AF1297" i="15"/>
  <c r="AF1331" i="15"/>
  <c r="AF1365" i="15"/>
  <c r="AF1399" i="15"/>
  <c r="AF1433" i="15"/>
  <c r="AF1467" i="15"/>
  <c r="AF1501" i="15"/>
  <c r="AF1535" i="15"/>
  <c r="AF1569" i="15"/>
  <c r="AF1603" i="15"/>
  <c r="AF1637" i="15"/>
  <c r="AF1264" i="15"/>
  <c r="AF1298" i="15"/>
  <c r="AF1332" i="15"/>
  <c r="AF1366" i="15"/>
  <c r="AF1400" i="15"/>
  <c r="AF1434" i="15"/>
  <c r="AF1468" i="15"/>
  <c r="AF1502" i="15"/>
  <c r="AF1536" i="15"/>
  <c r="AF1570" i="15"/>
  <c r="AF1604" i="15"/>
  <c r="AF1638" i="15"/>
  <c r="AF1265" i="15"/>
  <c r="AF1299" i="15"/>
  <c r="AF1333" i="15"/>
  <c r="AF1367" i="15"/>
  <c r="AF1401" i="15"/>
  <c r="AF1435" i="15"/>
  <c r="AF1469" i="15"/>
  <c r="AF1503" i="15"/>
  <c r="AF1537" i="15"/>
  <c r="AF1571" i="15"/>
  <c r="AF1605" i="15"/>
  <c r="AF1639" i="15"/>
  <c r="AF1266" i="15"/>
  <c r="AF1300" i="15"/>
  <c r="AF1334" i="15"/>
  <c r="AF1368" i="15"/>
  <c r="AF1402" i="15"/>
  <c r="AF1436" i="15"/>
  <c r="AF1470" i="15"/>
  <c r="AF1504" i="15"/>
  <c r="AF1538" i="15"/>
  <c r="AF1572" i="15"/>
  <c r="AF1606" i="15"/>
  <c r="AF1640" i="15"/>
  <c r="AF1267" i="15"/>
  <c r="AF1301" i="15"/>
  <c r="AF1335" i="15"/>
  <c r="AF1369" i="15"/>
  <c r="AF1403" i="15"/>
  <c r="AF1437" i="15"/>
  <c r="AF1471" i="15"/>
  <c r="AF1505" i="15"/>
  <c r="AF1539" i="15"/>
  <c r="AF1573" i="15"/>
  <c r="AF1607" i="15"/>
  <c r="AF1641" i="15"/>
  <c r="AF1268" i="15"/>
  <c r="AF1302" i="15"/>
  <c r="AF1336" i="15"/>
  <c r="AF1370" i="15"/>
  <c r="AF1404" i="15"/>
  <c r="AF1438" i="15"/>
  <c r="AF1472" i="15"/>
  <c r="AF1506" i="15"/>
  <c r="AF1540" i="15"/>
  <c r="AF1574" i="15"/>
  <c r="AF1608" i="15"/>
  <c r="AF1642" i="15"/>
  <c r="AF1269" i="15"/>
  <c r="AF1303" i="15"/>
  <c r="AF1337" i="15"/>
  <c r="AF1371" i="15"/>
  <c r="AF1405" i="15"/>
  <c r="AF1439" i="15"/>
  <c r="AF1473" i="15"/>
  <c r="AF1507" i="15"/>
  <c r="AF1541" i="15"/>
  <c r="AF1575" i="15"/>
  <c r="AF1609" i="15"/>
  <c r="AF1643" i="15"/>
  <c r="AF1270" i="15"/>
  <c r="AF1304" i="15"/>
  <c r="AF1338" i="15"/>
  <c r="AF1372" i="15"/>
  <c r="AF1406" i="15"/>
  <c r="AF1440" i="15"/>
  <c r="AF1474" i="15"/>
  <c r="AF1508" i="15"/>
  <c r="AF1542" i="15"/>
  <c r="AF1576" i="15"/>
  <c r="AF1610" i="15"/>
  <c r="AF1644" i="15"/>
  <c r="AF1271" i="15"/>
  <c r="AF1305" i="15"/>
  <c r="AF1339" i="15"/>
  <c r="AF1373" i="15"/>
  <c r="AF1407" i="15"/>
  <c r="AF1441" i="15"/>
  <c r="AF1475" i="15"/>
  <c r="AF1509" i="15"/>
  <c r="AF1543" i="15"/>
  <c r="AF1577" i="15"/>
  <c r="AF1611" i="15"/>
  <c r="AF1645" i="15"/>
  <c r="AG1239" i="15"/>
  <c r="AG1273" i="15"/>
  <c r="AG1307" i="15"/>
  <c r="AG1341" i="15"/>
  <c r="AG1375" i="15"/>
  <c r="AG1409" i="15"/>
  <c r="AG1443" i="15"/>
  <c r="AG1477" i="15"/>
  <c r="AG1511" i="15"/>
  <c r="AG1545" i="15"/>
  <c r="AG1579" i="15"/>
  <c r="AG1613" i="15"/>
  <c r="AG1238" i="15"/>
  <c r="AG1272" i="15"/>
  <c r="AG1306" i="15"/>
  <c r="AG1340" i="15"/>
  <c r="AG1374" i="15"/>
  <c r="AG1408" i="15"/>
  <c r="AG1442" i="15"/>
  <c r="AG1476" i="15"/>
  <c r="AG1510" i="15"/>
  <c r="AG1544" i="15"/>
  <c r="AG1578" i="15"/>
  <c r="AG1612" i="15"/>
  <c r="AG1240" i="15"/>
  <c r="AG1274" i="15"/>
  <c r="AG1308" i="15"/>
  <c r="AG1342" i="15"/>
  <c r="AG1376" i="15"/>
  <c r="AG1410" i="15"/>
  <c r="AG1444" i="15"/>
  <c r="AG1478" i="15"/>
  <c r="AG1512" i="15"/>
  <c r="AG1546" i="15"/>
  <c r="AG1580" i="15"/>
  <c r="AG1614" i="15"/>
  <c r="AG1241" i="15"/>
  <c r="AG1275" i="15"/>
  <c r="AG1309" i="15"/>
  <c r="AG1343" i="15"/>
  <c r="AG1377" i="15"/>
  <c r="AG1411" i="15"/>
  <c r="AG1445" i="15"/>
  <c r="AG1479" i="15"/>
  <c r="AG1513" i="15"/>
  <c r="AG1547" i="15"/>
  <c r="AG1581" i="15"/>
  <c r="AG1615" i="15"/>
  <c r="AG1242" i="15"/>
  <c r="AG1276" i="15"/>
  <c r="AG1310" i="15"/>
  <c r="AG1344" i="15"/>
  <c r="AG1378" i="15"/>
  <c r="AG1412" i="15"/>
  <c r="AG1446" i="15"/>
  <c r="AG1480" i="15"/>
  <c r="AG1514" i="15"/>
  <c r="AG1548" i="15"/>
  <c r="AG1582" i="15"/>
  <c r="AG1616" i="15"/>
  <c r="AG1243" i="15"/>
  <c r="AG1277" i="15"/>
  <c r="AG1311" i="15"/>
  <c r="AG1345" i="15"/>
  <c r="AG1379" i="15"/>
  <c r="AG1413" i="15"/>
  <c r="AG1447" i="15"/>
  <c r="AG1481" i="15"/>
  <c r="AG1515" i="15"/>
  <c r="AG1549" i="15"/>
  <c r="AG1583" i="15"/>
  <c r="AG1617" i="15"/>
  <c r="AG1244" i="15"/>
  <c r="AG1278" i="15"/>
  <c r="AG1312" i="15"/>
  <c r="AG1346" i="15"/>
  <c r="AG1380" i="15"/>
  <c r="AG1414" i="15"/>
  <c r="AG1448" i="15"/>
  <c r="AG1482" i="15"/>
  <c r="AG1516" i="15"/>
  <c r="AG1550" i="15"/>
  <c r="AG1584" i="15"/>
  <c r="AG1618" i="15"/>
  <c r="AG1245" i="15"/>
  <c r="AG1279" i="15"/>
  <c r="AG1313" i="15"/>
  <c r="AG1347" i="15"/>
  <c r="AG1381" i="15"/>
  <c r="AG1415" i="15"/>
  <c r="AG1449" i="15"/>
  <c r="AG1483" i="15"/>
  <c r="AG1517" i="15"/>
  <c r="AG1551" i="15"/>
  <c r="AG1585" i="15"/>
  <c r="AG1619" i="15"/>
  <c r="AG1246" i="15"/>
  <c r="AG1280" i="15"/>
  <c r="AG1314" i="15"/>
  <c r="AG1348" i="15"/>
  <c r="AG1382" i="15"/>
  <c r="AG1416" i="15"/>
  <c r="AG1450" i="15"/>
  <c r="AG1484" i="15"/>
  <c r="AG1518" i="15"/>
  <c r="AG1552" i="15"/>
  <c r="AG1586" i="15"/>
  <c r="AG1620" i="15"/>
  <c r="AG1247" i="15"/>
  <c r="AG1281" i="15"/>
  <c r="AG1315" i="15"/>
  <c r="AG1349" i="15"/>
  <c r="AG1383" i="15"/>
  <c r="AG1417" i="15"/>
  <c r="AG1451" i="15"/>
  <c r="AG1485" i="15"/>
  <c r="AG1519" i="15"/>
  <c r="AG1553" i="15"/>
  <c r="AG1587" i="15"/>
  <c r="AG1621" i="15"/>
  <c r="AG1248" i="15"/>
  <c r="AG1282" i="15"/>
  <c r="AG1316" i="15"/>
  <c r="AG1350" i="15"/>
  <c r="AG1384" i="15"/>
  <c r="AG1418" i="15"/>
  <c r="AG1452" i="15"/>
  <c r="AG1486" i="15"/>
  <c r="AG1520" i="15"/>
  <c r="AG1554" i="15"/>
  <c r="AG1588" i="15"/>
  <c r="AG1622" i="15"/>
  <c r="AG1249" i="15"/>
  <c r="AG1283" i="15"/>
  <c r="AG1317" i="15"/>
  <c r="AG1351" i="15"/>
  <c r="AG1385" i="15"/>
  <c r="AG1419" i="15"/>
  <c r="AG1453" i="15"/>
  <c r="AG1487" i="15"/>
  <c r="AG1521" i="15"/>
  <c r="AG1555" i="15"/>
  <c r="AG1589" i="15"/>
  <c r="AG1623" i="15"/>
  <c r="AG1250" i="15"/>
  <c r="AG1284" i="15"/>
  <c r="AG1318" i="15"/>
  <c r="AG1352" i="15"/>
  <c r="AG1386" i="15"/>
  <c r="AG1420" i="15"/>
  <c r="AG1454" i="15"/>
  <c r="AG1488" i="15"/>
  <c r="AG1522" i="15"/>
  <c r="AG1556" i="15"/>
  <c r="AG1590" i="15"/>
  <c r="AG1624" i="15"/>
  <c r="AG1251" i="15"/>
  <c r="AG1285" i="15"/>
  <c r="AG1319" i="15"/>
  <c r="AG1353" i="15"/>
  <c r="AG1387" i="15"/>
  <c r="AG1421" i="15"/>
  <c r="AG1455" i="15"/>
  <c r="AG1489" i="15"/>
  <c r="AG1523" i="15"/>
  <c r="AG1557" i="15"/>
  <c r="AG1591" i="15"/>
  <c r="AG1625" i="15"/>
  <c r="AG1252" i="15"/>
  <c r="AG1286" i="15"/>
  <c r="AG1320" i="15"/>
  <c r="AG1354" i="15"/>
  <c r="AG1388" i="15"/>
  <c r="AG1422" i="15"/>
  <c r="AG1456" i="15"/>
  <c r="AG1490" i="15"/>
  <c r="AG1524" i="15"/>
  <c r="AG1558" i="15"/>
  <c r="AG1592" i="15"/>
  <c r="AG1626" i="15"/>
  <c r="AG1253" i="15"/>
  <c r="AG1287" i="15"/>
  <c r="AG1321" i="15"/>
  <c r="AG1355" i="15"/>
  <c r="AG1389" i="15"/>
  <c r="AG1423" i="15"/>
  <c r="AG1457" i="15"/>
  <c r="AG1491" i="15"/>
  <c r="AG1525" i="15"/>
  <c r="AG1559" i="15"/>
  <c r="AG1593" i="15"/>
  <c r="AG1627" i="15"/>
  <c r="AG1254" i="15"/>
  <c r="AG1288" i="15"/>
  <c r="AG1322" i="15"/>
  <c r="AG1356" i="15"/>
  <c r="AG1390" i="15"/>
  <c r="AG1424" i="15"/>
  <c r="AG1458" i="15"/>
  <c r="AG1492" i="15"/>
  <c r="AG1526" i="15"/>
  <c r="AG1560" i="15"/>
  <c r="AG1594" i="15"/>
  <c r="AG1628" i="15"/>
  <c r="AG1255" i="15"/>
  <c r="AG1289" i="15"/>
  <c r="AG1323" i="15"/>
  <c r="AG1357" i="15"/>
  <c r="AG1391" i="15"/>
  <c r="AG1425" i="15"/>
  <c r="AG1459" i="15"/>
  <c r="AG1493" i="15"/>
  <c r="AG1527" i="15"/>
  <c r="AG1561" i="15"/>
  <c r="AG1595" i="15"/>
  <c r="AG1629" i="15"/>
  <c r="AG1256" i="15"/>
  <c r="AG1290" i="15"/>
  <c r="AG1324" i="15"/>
  <c r="AG1358" i="15"/>
  <c r="AG1392" i="15"/>
  <c r="AG1426" i="15"/>
  <c r="AG1460" i="15"/>
  <c r="AG1494" i="15"/>
  <c r="AG1528" i="15"/>
  <c r="AG1562" i="15"/>
  <c r="AG1596" i="15"/>
  <c r="AG1630" i="15"/>
  <c r="AG1257" i="15"/>
  <c r="AG1291" i="15"/>
  <c r="AG1325" i="15"/>
  <c r="AG1359" i="15"/>
  <c r="AG1393" i="15"/>
  <c r="AG1427" i="15"/>
  <c r="AG1461" i="15"/>
  <c r="AG1495" i="15"/>
  <c r="AG1529" i="15"/>
  <c r="AG1563" i="15"/>
  <c r="AG1597" i="15"/>
  <c r="AG1631" i="15"/>
  <c r="AG1258" i="15"/>
  <c r="AG1292" i="15"/>
  <c r="AG1326" i="15"/>
  <c r="AG1360" i="15"/>
  <c r="AG1394" i="15"/>
  <c r="AG1428" i="15"/>
  <c r="AG1462" i="15"/>
  <c r="AG1496" i="15"/>
  <c r="AG1530" i="15"/>
  <c r="AG1564" i="15"/>
  <c r="AG1598" i="15"/>
  <c r="AG1632" i="15"/>
  <c r="AG1259" i="15"/>
  <c r="AG1293" i="15"/>
  <c r="AG1327" i="15"/>
  <c r="AG1361" i="15"/>
  <c r="AG1395" i="15"/>
  <c r="AG1429" i="15"/>
  <c r="AG1463" i="15"/>
  <c r="AG1497" i="15"/>
  <c r="AG1531" i="15"/>
  <c r="AG1565" i="15"/>
  <c r="AG1599" i="15"/>
  <c r="AG1633" i="15"/>
  <c r="AG1260" i="15"/>
  <c r="AG1294" i="15"/>
  <c r="AG1328" i="15"/>
  <c r="AG1362" i="15"/>
  <c r="AG1396" i="15"/>
  <c r="AG1430" i="15"/>
  <c r="AG1464" i="15"/>
  <c r="AG1498" i="15"/>
  <c r="AG1532" i="15"/>
  <c r="AG1566" i="15"/>
  <c r="AG1600" i="15"/>
  <c r="AG1634" i="15"/>
  <c r="AG1261" i="15"/>
  <c r="AG1295" i="15"/>
  <c r="AG1329" i="15"/>
  <c r="AG1363" i="15"/>
  <c r="AG1397" i="15"/>
  <c r="AG1431" i="15"/>
  <c r="AG1465" i="15"/>
  <c r="AG1499" i="15"/>
  <c r="AG1533" i="15"/>
  <c r="AG1567" i="15"/>
  <c r="AG1601" i="15"/>
  <c r="AG1635" i="15"/>
  <c r="AG1262" i="15"/>
  <c r="AG1296" i="15"/>
  <c r="AG1330" i="15"/>
  <c r="AG1364" i="15"/>
  <c r="AG1398" i="15"/>
  <c r="AG1432" i="15"/>
  <c r="AG1466" i="15"/>
  <c r="AG1500" i="15"/>
  <c r="AG1534" i="15"/>
  <c r="AG1568" i="15"/>
  <c r="AG1602" i="15"/>
  <c r="AG1636" i="15"/>
  <c r="AG1263" i="15"/>
  <c r="AG1297" i="15"/>
  <c r="AG1331" i="15"/>
  <c r="AG1365" i="15"/>
  <c r="AG1399" i="15"/>
  <c r="AG1433" i="15"/>
  <c r="AG1467" i="15"/>
  <c r="AG1501" i="15"/>
  <c r="AG1535" i="15"/>
  <c r="AG1569" i="15"/>
  <c r="AG1603" i="15"/>
  <c r="AG1637" i="15"/>
  <c r="AG1264" i="15"/>
  <c r="AG1298" i="15"/>
  <c r="AG1332" i="15"/>
  <c r="AG1366" i="15"/>
  <c r="AG1400" i="15"/>
  <c r="AG1434" i="15"/>
  <c r="AG1468" i="15"/>
  <c r="AG1502" i="15"/>
  <c r="AG1536" i="15"/>
  <c r="AG1570" i="15"/>
  <c r="AG1604" i="15"/>
  <c r="AG1638" i="15"/>
  <c r="AG1265" i="15"/>
  <c r="AG1299" i="15"/>
  <c r="AG1333" i="15"/>
  <c r="AG1367" i="15"/>
  <c r="AG1401" i="15"/>
  <c r="AG1435" i="15"/>
  <c r="AG1469" i="15"/>
  <c r="AG1503" i="15"/>
  <c r="AG1537" i="15"/>
  <c r="AG1571" i="15"/>
  <c r="AG1605" i="15"/>
  <c r="AG1639" i="15"/>
  <c r="AG1266" i="15"/>
  <c r="AG1300" i="15"/>
  <c r="AG1334" i="15"/>
  <c r="AG1368" i="15"/>
  <c r="AG1402" i="15"/>
  <c r="AG1436" i="15"/>
  <c r="AG1470" i="15"/>
  <c r="AG1504" i="15"/>
  <c r="AG1538" i="15"/>
  <c r="AG1572" i="15"/>
  <c r="AG1606" i="15"/>
  <c r="AG1640" i="15"/>
  <c r="AG1267" i="15"/>
  <c r="AG1301" i="15"/>
  <c r="AG1335" i="15"/>
  <c r="AG1369" i="15"/>
  <c r="AG1403" i="15"/>
  <c r="AG1437" i="15"/>
  <c r="AG1471" i="15"/>
  <c r="AG1505" i="15"/>
  <c r="AG1539" i="15"/>
  <c r="AG1573" i="15"/>
  <c r="AG1607" i="15"/>
  <c r="AG1641" i="15"/>
  <c r="AG1268" i="15"/>
  <c r="AG1302" i="15"/>
  <c r="AG1336" i="15"/>
  <c r="AG1370" i="15"/>
  <c r="AG1404" i="15"/>
  <c r="AG1438" i="15"/>
  <c r="AG1472" i="15"/>
  <c r="AG1506" i="15"/>
  <c r="AG1540" i="15"/>
  <c r="AG1574" i="15"/>
  <c r="AG1608" i="15"/>
  <c r="AG1642" i="15"/>
  <c r="AG1269" i="15"/>
  <c r="AG1303" i="15"/>
  <c r="AG1337" i="15"/>
  <c r="AG1371" i="15"/>
  <c r="AG1405" i="15"/>
  <c r="AG1439" i="15"/>
  <c r="AG1473" i="15"/>
  <c r="AG1507" i="15"/>
  <c r="AG1541" i="15"/>
  <c r="AG1575" i="15"/>
  <c r="AG1609" i="15"/>
  <c r="AG1643" i="15"/>
  <c r="AG1270" i="15"/>
  <c r="AG1304" i="15"/>
  <c r="AG1338" i="15"/>
  <c r="AG1372" i="15"/>
  <c r="AG1406" i="15"/>
  <c r="AG1440" i="15"/>
  <c r="AG1474" i="15"/>
  <c r="AG1508" i="15"/>
  <c r="AG1542" i="15"/>
  <c r="AG1576" i="15"/>
  <c r="AG1610" i="15"/>
  <c r="AG1644" i="15"/>
  <c r="AG1271" i="15"/>
  <c r="AG1305" i="15"/>
  <c r="AG1339" i="15"/>
  <c r="AG1373" i="15"/>
  <c r="AG1407" i="15"/>
  <c r="AG1441" i="15"/>
  <c r="AG1475" i="15"/>
  <c r="AG1509" i="15"/>
  <c r="AG1543" i="15"/>
  <c r="AG1577" i="15"/>
  <c r="AG1611" i="15"/>
  <c r="AG1645" i="15"/>
  <c r="AH1239" i="15"/>
  <c r="AH1273" i="15"/>
  <c r="AH1307" i="15"/>
  <c r="AH1341" i="15"/>
  <c r="AH1375" i="15"/>
  <c r="AH1409" i="15"/>
  <c r="AH1443" i="15"/>
  <c r="AH1477" i="15"/>
  <c r="AH1511" i="15"/>
  <c r="AH1545" i="15"/>
  <c r="AH1579" i="15"/>
  <c r="AH1613" i="15"/>
  <c r="AH1238" i="15"/>
  <c r="AH1272" i="15"/>
  <c r="AH1306" i="15"/>
  <c r="AH1340" i="15"/>
  <c r="AH1374" i="15"/>
  <c r="AH1408" i="15"/>
  <c r="AH1442" i="15"/>
  <c r="AH1476" i="15"/>
  <c r="AH1510" i="15"/>
  <c r="AH1544" i="15"/>
  <c r="AH1578" i="15"/>
  <c r="AH1612" i="15"/>
  <c r="AH1240" i="15"/>
  <c r="AH1274" i="15"/>
  <c r="AH1308" i="15"/>
  <c r="AH1342" i="15"/>
  <c r="AH1376" i="15"/>
  <c r="AH1410" i="15"/>
  <c r="AH1444" i="15"/>
  <c r="AH1478" i="15"/>
  <c r="AH1512" i="15"/>
  <c r="AH1546" i="15"/>
  <c r="AH1580" i="15"/>
  <c r="AH1614" i="15"/>
  <c r="AH1241" i="15"/>
  <c r="AH1275" i="15"/>
  <c r="AH1309" i="15"/>
  <c r="AH1343" i="15"/>
  <c r="AH1377" i="15"/>
  <c r="AH1411" i="15"/>
  <c r="AH1445" i="15"/>
  <c r="AH1479" i="15"/>
  <c r="AH1513" i="15"/>
  <c r="AH1547" i="15"/>
  <c r="AH1581" i="15"/>
  <c r="AH1615" i="15"/>
  <c r="AH1242" i="15"/>
  <c r="AH1276" i="15"/>
  <c r="AH1310" i="15"/>
  <c r="AH1344" i="15"/>
  <c r="AH1378" i="15"/>
  <c r="AH1412" i="15"/>
  <c r="AH1446" i="15"/>
  <c r="AH1480" i="15"/>
  <c r="AH1514" i="15"/>
  <c r="AH1548" i="15"/>
  <c r="AH1582" i="15"/>
  <c r="AH1616" i="15"/>
  <c r="AH1243" i="15"/>
  <c r="AH1277" i="15"/>
  <c r="AH1311" i="15"/>
  <c r="AH1345" i="15"/>
  <c r="AH1379" i="15"/>
  <c r="AH1413" i="15"/>
  <c r="AH1447" i="15"/>
  <c r="AH1481" i="15"/>
  <c r="AH1515" i="15"/>
  <c r="AH1549" i="15"/>
  <c r="AH1583" i="15"/>
  <c r="AH1617" i="15"/>
  <c r="AH1244" i="15"/>
  <c r="AH1278" i="15"/>
  <c r="AH1312" i="15"/>
  <c r="AH1346" i="15"/>
  <c r="AH1380" i="15"/>
  <c r="AH1414" i="15"/>
  <c r="AH1448" i="15"/>
  <c r="AH1482" i="15"/>
  <c r="AH1516" i="15"/>
  <c r="AH1550" i="15"/>
  <c r="AH1584" i="15"/>
  <c r="AH1618" i="15"/>
  <c r="AH1245" i="15"/>
  <c r="AH1279" i="15"/>
  <c r="AH1313" i="15"/>
  <c r="AH1347" i="15"/>
  <c r="AH1381" i="15"/>
  <c r="AH1415" i="15"/>
  <c r="AH1449" i="15"/>
  <c r="AH1483" i="15"/>
  <c r="AH1517" i="15"/>
  <c r="AH1551" i="15"/>
  <c r="AH1585" i="15"/>
  <c r="AH1619" i="15"/>
  <c r="AH1246" i="15"/>
  <c r="AH1280" i="15"/>
  <c r="AH1314" i="15"/>
  <c r="AH1348" i="15"/>
  <c r="AH1382" i="15"/>
  <c r="AH1416" i="15"/>
  <c r="AH1450" i="15"/>
  <c r="AH1484" i="15"/>
  <c r="AH1518" i="15"/>
  <c r="AH1552" i="15"/>
  <c r="AH1586" i="15"/>
  <c r="AH1620" i="15"/>
  <c r="AH1247" i="15"/>
  <c r="AH1281" i="15"/>
  <c r="AH1315" i="15"/>
  <c r="AH1349" i="15"/>
  <c r="AH1383" i="15"/>
  <c r="AH1417" i="15"/>
  <c r="AH1451" i="15"/>
  <c r="AH1485" i="15"/>
  <c r="AH1519" i="15"/>
  <c r="AH1553" i="15"/>
  <c r="AH1587" i="15"/>
  <c r="AH1621" i="15"/>
  <c r="AH1248" i="15"/>
  <c r="AH1282" i="15"/>
  <c r="AH1316" i="15"/>
  <c r="AH1350" i="15"/>
  <c r="AH1384" i="15"/>
  <c r="AH1418" i="15"/>
  <c r="AH1452" i="15"/>
  <c r="AH1486" i="15"/>
  <c r="AH1520" i="15"/>
  <c r="AH1554" i="15"/>
  <c r="AH1588" i="15"/>
  <c r="AH1622" i="15"/>
  <c r="AH1249" i="15"/>
  <c r="AH1283" i="15"/>
  <c r="AH1317" i="15"/>
  <c r="AH1351" i="15"/>
  <c r="AH1385" i="15"/>
  <c r="AH1419" i="15"/>
  <c r="AH1453" i="15"/>
  <c r="AH1487" i="15"/>
  <c r="AH1521" i="15"/>
  <c r="AH1555" i="15"/>
  <c r="AH1589" i="15"/>
  <c r="AH1623" i="15"/>
  <c r="AH1250" i="15"/>
  <c r="AH1284" i="15"/>
  <c r="AH1318" i="15"/>
  <c r="AH1352" i="15"/>
  <c r="AH1386" i="15"/>
  <c r="AH1420" i="15"/>
  <c r="AH1454" i="15"/>
  <c r="AH1488" i="15"/>
  <c r="AH1522" i="15"/>
  <c r="AH1556" i="15"/>
  <c r="AH1590" i="15"/>
  <c r="AH1624" i="15"/>
  <c r="AH1251" i="15"/>
  <c r="AH1285" i="15"/>
  <c r="AH1319" i="15"/>
  <c r="AH1353" i="15"/>
  <c r="AH1387" i="15"/>
  <c r="AH1421" i="15"/>
  <c r="AH1455" i="15"/>
  <c r="AH1489" i="15"/>
  <c r="AH1523" i="15"/>
  <c r="AH1557" i="15"/>
  <c r="AH1591" i="15"/>
  <c r="AH1625" i="15"/>
  <c r="AH1252" i="15"/>
  <c r="AH1286" i="15"/>
  <c r="AH1320" i="15"/>
  <c r="AH1354" i="15"/>
  <c r="AH1388" i="15"/>
  <c r="AH1422" i="15"/>
  <c r="AH1456" i="15"/>
  <c r="AH1490" i="15"/>
  <c r="AH1524" i="15"/>
  <c r="AH1558" i="15"/>
  <c r="AH1592" i="15"/>
  <c r="AH1626" i="15"/>
  <c r="AH1253" i="15"/>
  <c r="AH1287" i="15"/>
  <c r="AH1321" i="15"/>
  <c r="AH1355" i="15"/>
  <c r="AH1389" i="15"/>
  <c r="AH1423" i="15"/>
  <c r="AH1457" i="15"/>
  <c r="AH1491" i="15"/>
  <c r="AH1525" i="15"/>
  <c r="AH1559" i="15"/>
  <c r="AH1593" i="15"/>
  <c r="AH1627" i="15"/>
  <c r="AH1254" i="15"/>
  <c r="AH1288" i="15"/>
  <c r="AH1322" i="15"/>
  <c r="AH1356" i="15"/>
  <c r="AH1390" i="15"/>
  <c r="AH1424" i="15"/>
  <c r="AH1458" i="15"/>
  <c r="AH1492" i="15"/>
  <c r="AH1526" i="15"/>
  <c r="AH1560" i="15"/>
  <c r="AH1594" i="15"/>
  <c r="AH1628" i="15"/>
  <c r="AH1255" i="15"/>
  <c r="AH1289" i="15"/>
  <c r="AH1323" i="15"/>
  <c r="AH1357" i="15"/>
  <c r="AH1391" i="15"/>
  <c r="AH1425" i="15"/>
  <c r="AH1459" i="15"/>
  <c r="AH1493" i="15"/>
  <c r="AH1527" i="15"/>
  <c r="AH1561" i="15"/>
  <c r="AH1595" i="15"/>
  <c r="AH1629" i="15"/>
  <c r="AH1256" i="15"/>
  <c r="AH1290" i="15"/>
  <c r="AH1324" i="15"/>
  <c r="AH1358" i="15"/>
  <c r="AH1392" i="15"/>
  <c r="AH1426" i="15"/>
  <c r="AH1460" i="15"/>
  <c r="AH1494" i="15"/>
  <c r="AH1528" i="15"/>
  <c r="AH1562" i="15"/>
  <c r="AH1596" i="15"/>
  <c r="AH1630" i="15"/>
  <c r="AH1257" i="15"/>
  <c r="AH1291" i="15"/>
  <c r="AH1325" i="15"/>
  <c r="AH1359" i="15"/>
  <c r="AH1393" i="15"/>
  <c r="AH1427" i="15"/>
  <c r="AH1461" i="15"/>
  <c r="AH1495" i="15"/>
  <c r="AH1529" i="15"/>
  <c r="AH1563" i="15"/>
  <c r="AH1597" i="15"/>
  <c r="AH1631" i="15"/>
  <c r="AH1258" i="15"/>
  <c r="AH1292" i="15"/>
  <c r="AH1326" i="15"/>
  <c r="AH1360" i="15"/>
  <c r="AH1394" i="15"/>
  <c r="AH1428" i="15"/>
  <c r="AH1462" i="15"/>
  <c r="AH1496" i="15"/>
  <c r="AH1530" i="15"/>
  <c r="AH1564" i="15"/>
  <c r="AH1598" i="15"/>
  <c r="AH1632" i="15"/>
  <c r="AH1259" i="15"/>
  <c r="AH1293" i="15"/>
  <c r="AH1327" i="15"/>
  <c r="AH1361" i="15"/>
  <c r="AH1395" i="15"/>
  <c r="AH1429" i="15"/>
  <c r="AH1463" i="15"/>
  <c r="AH1497" i="15"/>
  <c r="AH1531" i="15"/>
  <c r="AH1565" i="15"/>
  <c r="AH1599" i="15"/>
  <c r="AH1633" i="15"/>
  <c r="AH1260" i="15"/>
  <c r="AH1294" i="15"/>
  <c r="AH1328" i="15"/>
  <c r="AH1362" i="15"/>
  <c r="AH1396" i="15"/>
  <c r="AH1430" i="15"/>
  <c r="AH1464" i="15"/>
  <c r="AH1498" i="15"/>
  <c r="AH1532" i="15"/>
  <c r="AH1566" i="15"/>
  <c r="AH1600" i="15"/>
  <c r="AH1634" i="15"/>
  <c r="AH1261" i="15"/>
  <c r="AH1295" i="15"/>
  <c r="AH1329" i="15"/>
  <c r="AH1363" i="15"/>
  <c r="AH1397" i="15"/>
  <c r="AH1431" i="15"/>
  <c r="AH1465" i="15"/>
  <c r="AH1499" i="15"/>
  <c r="AH1533" i="15"/>
  <c r="AH1567" i="15"/>
  <c r="AH1601" i="15"/>
  <c r="AH1635" i="15"/>
  <c r="AH1262" i="15"/>
  <c r="AH1296" i="15"/>
  <c r="AH1330" i="15"/>
  <c r="AH1364" i="15"/>
  <c r="AH1398" i="15"/>
  <c r="AH1432" i="15"/>
  <c r="AH1466" i="15"/>
  <c r="AH1500" i="15"/>
  <c r="AH1534" i="15"/>
  <c r="AH1568" i="15"/>
  <c r="AH1602" i="15"/>
  <c r="AH1636" i="15"/>
  <c r="AH1263" i="15"/>
  <c r="AH1297" i="15"/>
  <c r="AH1331" i="15"/>
  <c r="AH1365" i="15"/>
  <c r="AH1399" i="15"/>
  <c r="AH1433" i="15"/>
  <c r="AH1467" i="15"/>
  <c r="AH1501" i="15"/>
  <c r="AH1535" i="15"/>
  <c r="AH1569" i="15"/>
  <c r="AH1603" i="15"/>
  <c r="AH1637" i="15"/>
  <c r="AH1264" i="15"/>
  <c r="AH1298" i="15"/>
  <c r="AH1332" i="15"/>
  <c r="AH1366" i="15"/>
  <c r="AH1400" i="15"/>
  <c r="AH1434" i="15"/>
  <c r="AH1468" i="15"/>
  <c r="AH1502" i="15"/>
  <c r="AH1536" i="15"/>
  <c r="AH1570" i="15"/>
  <c r="AH1604" i="15"/>
  <c r="AH1638" i="15"/>
  <c r="AH1265" i="15"/>
  <c r="AH1299" i="15"/>
  <c r="AH1333" i="15"/>
  <c r="AH1367" i="15"/>
  <c r="AH1401" i="15"/>
  <c r="AH1435" i="15"/>
  <c r="AH1469" i="15"/>
  <c r="AH1503" i="15"/>
  <c r="AH1537" i="15"/>
  <c r="AH1571" i="15"/>
  <c r="AH1605" i="15"/>
  <c r="AH1639" i="15"/>
  <c r="AH1266" i="15"/>
  <c r="AH1300" i="15"/>
  <c r="AH1334" i="15"/>
  <c r="AH1368" i="15"/>
  <c r="AH1402" i="15"/>
  <c r="AH1436" i="15"/>
  <c r="AH1470" i="15"/>
  <c r="AH1504" i="15"/>
  <c r="AH1538" i="15"/>
  <c r="AH1572" i="15"/>
  <c r="AH1606" i="15"/>
  <c r="AH1640" i="15"/>
  <c r="AH1267" i="15"/>
  <c r="AH1301" i="15"/>
  <c r="AH1335" i="15"/>
  <c r="AH1369" i="15"/>
  <c r="AH1403" i="15"/>
  <c r="AH1437" i="15"/>
  <c r="AH1471" i="15"/>
  <c r="AH1505" i="15"/>
  <c r="AH1539" i="15"/>
  <c r="AH1573" i="15"/>
  <c r="AH1607" i="15"/>
  <c r="AH1641" i="15"/>
  <c r="AH1268" i="15"/>
  <c r="AH1302" i="15"/>
  <c r="AH1336" i="15"/>
  <c r="AH1370" i="15"/>
  <c r="AH1404" i="15"/>
  <c r="AH1438" i="15"/>
  <c r="AH1472" i="15"/>
  <c r="AH1506" i="15"/>
  <c r="AH1540" i="15"/>
  <c r="AH1574" i="15"/>
  <c r="AH1608" i="15"/>
  <c r="AH1642" i="15"/>
  <c r="AH1269" i="15"/>
  <c r="AH1303" i="15"/>
  <c r="AH1337" i="15"/>
  <c r="AH1371" i="15"/>
  <c r="AH1405" i="15"/>
  <c r="AH1439" i="15"/>
  <c r="AH1473" i="15"/>
  <c r="AH1507" i="15"/>
  <c r="AH1541" i="15"/>
  <c r="AH1575" i="15"/>
  <c r="AH1609" i="15"/>
  <c r="AH1643" i="15"/>
  <c r="AH1270" i="15"/>
  <c r="AH1304" i="15"/>
  <c r="AH1338" i="15"/>
  <c r="AH1372" i="15"/>
  <c r="AH1406" i="15"/>
  <c r="AH1440" i="15"/>
  <c r="AH1474" i="15"/>
  <c r="AH1508" i="15"/>
  <c r="AH1542" i="15"/>
  <c r="AH1576" i="15"/>
  <c r="AH1610" i="15"/>
  <c r="AH1644" i="15"/>
  <c r="AH1271" i="15"/>
  <c r="AH1305" i="15"/>
  <c r="AH1339" i="15"/>
  <c r="AH1373" i="15"/>
  <c r="AH1407" i="15"/>
  <c r="AH1441" i="15"/>
  <c r="AH1475" i="15"/>
  <c r="AH1509" i="15"/>
  <c r="AH1543" i="15"/>
  <c r="AH1577" i="15"/>
  <c r="AH1611" i="15"/>
  <c r="AH1645" i="15"/>
  <c r="AE2" i="14"/>
  <c r="AE3" i="14"/>
  <c r="AE4" i="14"/>
  <c r="AE5" i="14"/>
  <c r="AE6" i="14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AE39" i="14"/>
  <c r="AE40" i="14"/>
  <c r="AE41" i="14"/>
  <c r="AE42" i="14"/>
  <c r="AE43" i="14"/>
  <c r="AE44" i="14"/>
  <c r="AE45" i="14"/>
  <c r="AE46" i="14"/>
  <c r="AE47" i="14"/>
  <c r="AE48" i="14"/>
  <c r="AE49" i="14"/>
  <c r="AE50" i="14"/>
  <c r="AE51" i="14"/>
  <c r="AE52" i="14"/>
  <c r="AE53" i="14"/>
  <c r="AE54" i="14"/>
  <c r="AE55" i="14"/>
  <c r="AE56" i="14"/>
  <c r="AE57" i="14"/>
  <c r="AE58" i="14"/>
  <c r="AE59" i="14"/>
  <c r="AE60" i="14"/>
  <c r="AE61" i="14"/>
  <c r="AE62" i="14"/>
  <c r="AE63" i="14"/>
  <c r="AE64" i="14"/>
  <c r="AE65" i="14"/>
  <c r="AE66" i="14"/>
  <c r="AE67" i="14"/>
  <c r="AE68" i="14"/>
  <c r="AE69" i="14"/>
  <c r="AE70" i="14"/>
  <c r="AE71" i="14"/>
  <c r="AE72" i="14"/>
  <c r="AE73" i="14"/>
  <c r="AE74" i="14"/>
  <c r="AE75" i="14"/>
  <c r="AE76" i="14"/>
  <c r="AE77" i="14"/>
  <c r="AE78" i="14"/>
  <c r="AE79" i="14"/>
  <c r="AE80" i="14"/>
  <c r="AE81" i="14"/>
  <c r="AE82" i="14"/>
  <c r="AE83" i="14"/>
  <c r="AE84" i="14"/>
  <c r="AE85" i="14"/>
  <c r="AE86" i="14"/>
  <c r="AE87" i="14"/>
  <c r="AE88" i="14"/>
  <c r="AE89" i="14"/>
  <c r="AE90" i="14"/>
  <c r="AE91" i="14"/>
  <c r="AE92" i="14"/>
  <c r="AE93" i="14"/>
  <c r="AE94" i="14"/>
  <c r="AE95" i="14"/>
  <c r="AE96" i="14"/>
  <c r="AE97" i="14"/>
  <c r="AE98" i="14"/>
  <c r="AE99" i="14"/>
  <c r="AE100" i="14"/>
  <c r="AE101" i="14"/>
  <c r="AE102" i="14"/>
  <c r="AE103" i="14"/>
  <c r="AE104" i="14"/>
  <c r="AE105" i="14"/>
  <c r="AE106" i="14"/>
  <c r="AE107" i="14"/>
  <c r="AE108" i="14"/>
  <c r="AE109" i="14"/>
  <c r="AE110" i="14"/>
  <c r="AE111" i="14"/>
  <c r="AE112" i="14"/>
  <c r="AE113" i="14"/>
  <c r="AE114" i="14"/>
  <c r="AE115" i="14"/>
  <c r="AE116" i="14"/>
  <c r="AE117" i="14"/>
  <c r="AE118" i="14"/>
  <c r="AE119" i="14"/>
  <c r="AE120" i="14"/>
  <c r="AE121" i="14"/>
  <c r="AE122" i="14"/>
  <c r="AE123" i="14"/>
  <c r="AE124" i="14"/>
  <c r="AE125" i="14"/>
  <c r="AE126" i="14"/>
  <c r="AE127" i="14"/>
  <c r="AE128" i="14"/>
  <c r="AE129" i="14"/>
  <c r="AE130" i="14"/>
  <c r="AE131" i="14"/>
  <c r="AE132" i="14"/>
  <c r="AE133" i="14"/>
  <c r="AE134" i="14"/>
  <c r="AE135" i="14"/>
  <c r="AE136" i="14"/>
  <c r="AE137" i="14"/>
  <c r="AE138" i="14"/>
  <c r="AE139" i="14"/>
  <c r="AE140" i="14"/>
  <c r="AE141" i="14"/>
  <c r="AE142" i="14"/>
  <c r="AE143" i="14"/>
  <c r="AE144" i="14"/>
  <c r="AE145" i="14"/>
  <c r="AE146" i="14"/>
  <c r="AE147" i="14"/>
  <c r="AE148" i="14"/>
  <c r="AE149" i="14"/>
  <c r="AE150" i="14"/>
  <c r="AE151" i="14"/>
  <c r="AE152" i="14"/>
  <c r="AE153" i="14"/>
  <c r="AE154" i="14"/>
  <c r="AE155" i="14"/>
  <c r="AE156" i="14"/>
  <c r="AE157" i="14"/>
  <c r="AE158" i="14"/>
  <c r="AE159" i="14"/>
  <c r="AE160" i="14"/>
  <c r="AE161" i="14"/>
  <c r="AE162" i="14"/>
  <c r="AE163" i="14"/>
  <c r="AE164" i="14"/>
  <c r="AE165" i="14"/>
  <c r="AE166" i="14"/>
  <c r="AE167" i="14"/>
  <c r="AE168" i="14"/>
  <c r="AE169" i="14"/>
  <c r="AE170" i="14"/>
  <c r="AE171" i="14"/>
  <c r="AE172" i="14"/>
  <c r="AE173" i="14"/>
  <c r="AE174" i="14"/>
  <c r="AE175" i="14"/>
  <c r="AE176" i="14"/>
  <c r="AE177" i="14"/>
  <c r="AE178" i="14"/>
  <c r="AE179" i="14"/>
  <c r="AE180" i="14"/>
  <c r="AE181" i="14"/>
  <c r="AE182" i="14"/>
  <c r="AE183" i="14"/>
  <c r="AE184" i="14"/>
  <c r="AE185" i="14"/>
  <c r="AE186" i="14"/>
  <c r="AE187" i="14"/>
  <c r="AE188" i="14"/>
  <c r="AE189" i="14"/>
  <c r="AE190" i="14"/>
  <c r="AE191" i="14"/>
  <c r="AE192" i="14"/>
  <c r="AE193" i="14"/>
  <c r="AE194" i="14"/>
  <c r="AE195" i="14"/>
  <c r="AE196" i="14"/>
  <c r="AE197" i="14"/>
  <c r="AE198" i="14"/>
  <c r="AE199" i="14"/>
  <c r="AE200" i="14"/>
  <c r="AE201" i="14"/>
  <c r="AE202" i="14"/>
  <c r="AE203" i="14"/>
  <c r="AE204" i="14"/>
  <c r="AE205" i="14"/>
  <c r="AE206" i="14"/>
  <c r="AE207" i="14"/>
  <c r="AE208" i="14"/>
  <c r="AE209" i="14"/>
  <c r="AE210" i="14"/>
  <c r="AE211" i="14"/>
  <c r="AE212" i="14"/>
  <c r="AE213" i="14"/>
  <c r="AE214" i="14"/>
  <c r="AE215" i="14"/>
  <c r="AE216" i="14"/>
  <c r="AE217" i="14"/>
  <c r="AE218" i="14"/>
  <c r="AE219" i="14"/>
  <c r="AE220" i="14"/>
  <c r="AE221" i="14"/>
  <c r="AE222" i="14"/>
  <c r="AE223" i="14"/>
  <c r="AE224" i="14"/>
  <c r="AE225" i="14"/>
  <c r="AE226" i="14"/>
  <c r="AE227" i="14"/>
  <c r="AE228" i="14"/>
  <c r="AE229" i="14"/>
  <c r="AE230" i="14"/>
  <c r="AE231" i="14"/>
  <c r="AE232" i="14"/>
  <c r="AE233" i="14"/>
  <c r="AE234" i="14"/>
  <c r="AE235" i="14"/>
  <c r="AE236" i="14"/>
  <c r="AE237" i="14"/>
  <c r="AE238" i="14"/>
  <c r="AE239" i="14"/>
  <c r="AE240" i="14"/>
  <c r="AE241" i="14"/>
  <c r="AE242" i="14"/>
  <c r="AE243" i="14"/>
  <c r="AE244" i="14"/>
  <c r="AE245" i="14"/>
  <c r="AE246" i="14"/>
  <c r="AE247" i="14"/>
  <c r="AE248" i="14"/>
  <c r="AE249" i="14"/>
  <c r="AE250" i="14"/>
  <c r="AE251" i="14"/>
  <c r="AE252" i="14"/>
  <c r="AE253" i="14"/>
  <c r="AE254" i="14"/>
  <c r="AE255" i="14"/>
  <c r="AE256" i="14"/>
  <c r="AE257" i="14"/>
  <c r="AE258" i="14"/>
  <c r="AE259" i="14"/>
  <c r="AE260" i="14"/>
  <c r="AE261" i="14"/>
  <c r="AE262" i="14"/>
  <c r="AE263" i="14"/>
  <c r="AE264" i="14"/>
  <c r="AE265" i="14"/>
  <c r="AE266" i="14"/>
  <c r="AE267" i="14"/>
  <c r="AE268" i="14"/>
  <c r="AE269" i="14"/>
  <c r="AE270" i="14"/>
  <c r="AE271" i="14"/>
  <c r="AE272" i="14"/>
  <c r="AE273" i="14"/>
  <c r="AE274" i="14"/>
  <c r="AE275" i="14"/>
  <c r="AE276" i="14"/>
  <c r="AE277" i="14"/>
  <c r="AE278" i="14"/>
  <c r="AE279" i="14"/>
  <c r="AE280" i="14"/>
  <c r="AE281" i="14"/>
  <c r="AE282" i="14"/>
  <c r="AE283" i="14"/>
  <c r="AE284" i="14"/>
  <c r="AE285" i="14"/>
  <c r="AE286" i="14"/>
  <c r="AE287" i="14"/>
  <c r="AE288" i="14"/>
  <c r="AE289" i="14"/>
  <c r="AE290" i="14"/>
  <c r="AE291" i="14"/>
  <c r="AE292" i="14"/>
  <c r="AE293" i="14"/>
  <c r="AE294" i="14"/>
  <c r="AE295" i="14"/>
  <c r="AE296" i="14"/>
  <c r="AE297" i="14"/>
  <c r="AE298" i="14"/>
  <c r="AE299" i="14"/>
  <c r="AE300" i="14"/>
  <c r="AE301" i="14"/>
  <c r="AE302" i="14"/>
  <c r="AE303" i="14"/>
  <c r="AE304" i="14"/>
  <c r="AE305" i="14"/>
  <c r="AE306" i="14"/>
  <c r="AE307" i="14"/>
  <c r="AE308" i="14"/>
  <c r="AE309" i="14"/>
  <c r="AE310" i="14"/>
  <c r="AE311" i="14"/>
  <c r="AE312" i="14"/>
  <c r="AE313" i="14"/>
  <c r="AE314" i="14"/>
  <c r="AE315" i="14"/>
  <c r="AE316" i="14"/>
  <c r="AE317" i="14"/>
  <c r="AE318" i="14"/>
  <c r="AE319" i="14"/>
  <c r="AE320" i="14"/>
  <c r="AE321" i="14"/>
  <c r="AE322" i="14"/>
  <c r="AE323" i="14"/>
  <c r="AE324" i="14"/>
  <c r="AE325" i="14"/>
  <c r="AE326" i="14"/>
  <c r="AE327" i="14"/>
  <c r="AE328" i="14"/>
  <c r="AE329" i="14"/>
  <c r="AE330" i="14"/>
  <c r="AE331" i="14"/>
  <c r="AE332" i="14"/>
  <c r="AE333" i="14"/>
  <c r="AE334" i="14"/>
  <c r="AE335" i="14"/>
  <c r="AE336" i="14"/>
  <c r="AE337" i="14"/>
  <c r="AE338" i="14"/>
  <c r="AE339" i="14"/>
  <c r="AE340" i="14"/>
  <c r="AE341" i="14"/>
  <c r="AE342" i="14"/>
  <c r="AE343" i="14"/>
  <c r="AE344" i="14"/>
  <c r="AE345" i="14"/>
  <c r="AE346" i="14"/>
  <c r="AE347" i="14"/>
  <c r="AE348" i="14"/>
  <c r="AE349" i="14"/>
  <c r="AE350" i="14"/>
  <c r="AE351" i="14"/>
  <c r="AE352" i="14"/>
  <c r="AE353" i="14"/>
  <c r="AE354" i="14"/>
  <c r="AE355" i="14"/>
  <c r="AE356" i="14"/>
  <c r="AE357" i="14"/>
  <c r="AE358" i="14"/>
  <c r="AE359" i="14"/>
  <c r="AE360" i="14"/>
  <c r="AE361" i="14"/>
  <c r="AE362" i="14"/>
  <c r="AE363" i="14"/>
  <c r="AE364" i="14"/>
  <c r="AE365" i="14"/>
  <c r="AE366" i="14"/>
  <c r="AE367" i="14"/>
  <c r="AE368" i="14"/>
  <c r="AE369" i="14"/>
  <c r="AE370" i="14"/>
  <c r="AE371" i="14"/>
  <c r="AE372" i="14"/>
  <c r="AE373" i="14"/>
  <c r="AE374" i="14"/>
  <c r="AE375" i="14"/>
  <c r="AE376" i="14"/>
  <c r="AE377" i="14"/>
  <c r="AE378" i="14"/>
  <c r="AE379" i="14"/>
  <c r="AE380" i="14"/>
  <c r="AE381" i="14"/>
  <c r="AE382" i="14"/>
  <c r="AE383" i="14"/>
  <c r="AE384" i="14"/>
  <c r="AE385" i="14"/>
  <c r="AE386" i="14"/>
  <c r="AE387" i="14"/>
  <c r="AE388" i="14"/>
  <c r="AE389" i="14"/>
  <c r="AE390" i="14"/>
  <c r="AE391" i="14"/>
  <c r="AE392" i="14"/>
  <c r="AE393" i="14"/>
  <c r="AE394" i="14"/>
  <c r="AE395" i="14"/>
  <c r="AE396" i="14"/>
  <c r="AE397" i="14"/>
  <c r="AE398" i="14"/>
  <c r="AE399" i="14"/>
  <c r="AE400" i="14"/>
  <c r="AE401" i="14"/>
  <c r="AE402" i="14"/>
  <c r="AE403" i="14"/>
  <c r="AE404" i="14"/>
  <c r="AE405" i="14"/>
  <c r="AE406" i="14"/>
  <c r="AE407" i="14"/>
  <c r="AE408" i="14"/>
  <c r="AE409" i="14"/>
  <c r="AE410" i="14"/>
  <c r="AE411" i="14"/>
  <c r="AE412" i="14"/>
  <c r="AE413" i="14"/>
  <c r="AE414" i="14"/>
  <c r="AE415" i="14"/>
  <c r="AE416" i="14"/>
  <c r="AE417" i="14"/>
  <c r="AE418" i="14"/>
  <c r="AE419" i="14"/>
  <c r="AE420" i="14"/>
  <c r="AE421" i="14"/>
  <c r="AE422" i="14"/>
  <c r="AE423" i="14"/>
  <c r="AE424" i="14"/>
  <c r="AE425" i="14"/>
  <c r="AE426" i="14"/>
  <c r="AE427" i="14"/>
  <c r="AE428" i="14"/>
  <c r="AE429" i="14"/>
  <c r="AE430" i="14"/>
  <c r="AE431" i="14"/>
  <c r="AE432" i="14"/>
  <c r="AE433" i="14"/>
  <c r="AE434" i="14"/>
  <c r="AE435" i="14"/>
  <c r="AE436" i="14"/>
  <c r="AE437" i="14"/>
  <c r="AE438" i="14"/>
  <c r="AE439" i="14"/>
  <c r="AE440" i="14"/>
  <c r="AE441" i="14"/>
  <c r="AE442" i="14"/>
  <c r="AE443" i="14"/>
  <c r="AE444" i="14"/>
  <c r="AE445" i="14"/>
  <c r="AE446" i="14"/>
  <c r="AE447" i="14"/>
  <c r="AE448" i="14"/>
  <c r="AE449" i="14"/>
  <c r="AE450" i="14"/>
  <c r="AE451" i="14"/>
  <c r="AD2" i="14"/>
  <c r="AD3" i="14"/>
  <c r="AD4" i="14"/>
  <c r="AD5" i="14"/>
  <c r="AD6" i="14"/>
  <c r="AD7" i="14"/>
  <c r="AD8" i="14"/>
  <c r="AD9" i="14"/>
  <c r="AD10" i="14"/>
  <c r="AD11" i="14"/>
  <c r="AD12" i="14"/>
  <c r="AD13" i="14"/>
  <c r="AD14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38" i="14"/>
  <c r="AD39" i="14"/>
  <c r="AD40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AD80" i="14"/>
  <c r="AD81" i="14"/>
  <c r="AD82" i="14"/>
  <c r="AD83" i="14"/>
  <c r="AD84" i="14"/>
  <c r="AD85" i="14"/>
  <c r="AD86" i="14"/>
  <c r="AD87" i="14"/>
  <c r="AD88" i="14"/>
  <c r="AD89" i="14"/>
  <c r="AD90" i="14"/>
  <c r="AD91" i="14"/>
  <c r="AD92" i="14"/>
  <c r="AD93" i="14"/>
  <c r="AD94" i="14"/>
  <c r="AD95" i="14"/>
  <c r="AD96" i="14"/>
  <c r="AD97" i="14"/>
  <c r="AD98" i="14"/>
  <c r="AD99" i="14"/>
  <c r="AD100" i="14"/>
  <c r="AD101" i="14"/>
  <c r="AD102" i="14"/>
  <c r="AD103" i="14"/>
  <c r="AD104" i="14"/>
  <c r="AD105" i="14"/>
  <c r="AD106" i="14"/>
  <c r="AD107" i="14"/>
  <c r="AD108" i="14"/>
  <c r="AD109" i="14"/>
  <c r="AD110" i="14"/>
  <c r="AD111" i="14"/>
  <c r="AD112" i="14"/>
  <c r="AD113" i="14"/>
  <c r="AD114" i="14"/>
  <c r="AD115" i="14"/>
  <c r="AD116" i="14"/>
  <c r="AD117" i="14"/>
  <c r="AD118" i="14"/>
  <c r="AD119" i="14"/>
  <c r="AD120" i="14"/>
  <c r="AD121" i="14"/>
  <c r="AD122" i="14"/>
  <c r="AD123" i="14"/>
  <c r="AD124" i="14"/>
  <c r="AD125" i="14"/>
  <c r="AD126" i="14"/>
  <c r="AD127" i="14"/>
  <c r="AD128" i="14"/>
  <c r="AD129" i="14"/>
  <c r="AD130" i="14"/>
  <c r="AD131" i="14"/>
  <c r="AD132" i="14"/>
  <c r="AD133" i="14"/>
  <c r="AD134" i="14"/>
  <c r="AD135" i="14"/>
  <c r="AD136" i="14"/>
  <c r="AD137" i="14"/>
  <c r="AD138" i="14"/>
  <c r="AD139" i="14"/>
  <c r="AD140" i="14"/>
  <c r="AD141" i="14"/>
  <c r="AD142" i="14"/>
  <c r="AD143" i="14"/>
  <c r="AD144" i="14"/>
  <c r="AD145" i="14"/>
  <c r="AD146" i="14"/>
  <c r="AD147" i="14"/>
  <c r="AD148" i="14"/>
  <c r="AD149" i="14"/>
  <c r="AD150" i="14"/>
  <c r="AD151" i="14"/>
  <c r="AD152" i="14"/>
  <c r="AD153" i="14"/>
  <c r="AD154" i="14"/>
  <c r="AD155" i="14"/>
  <c r="AD156" i="14"/>
  <c r="AD157" i="14"/>
  <c r="AD158" i="14"/>
  <c r="AD159" i="14"/>
  <c r="AD160" i="14"/>
  <c r="AD161" i="14"/>
  <c r="AD162" i="14"/>
  <c r="AD163" i="14"/>
  <c r="AD164" i="14"/>
  <c r="AD165" i="14"/>
  <c r="AD166" i="14"/>
  <c r="AD167" i="14"/>
  <c r="AD168" i="14"/>
  <c r="AD169" i="14"/>
  <c r="AD170" i="14"/>
  <c r="AD171" i="14"/>
  <c r="AD172" i="14"/>
  <c r="AD173" i="14"/>
  <c r="AD174" i="14"/>
  <c r="AD175" i="14"/>
  <c r="AD176" i="14"/>
  <c r="AD177" i="14"/>
  <c r="AD178" i="14"/>
  <c r="AD179" i="14"/>
  <c r="AD180" i="14"/>
  <c r="AD181" i="14"/>
  <c r="AD182" i="14"/>
  <c r="AD183" i="14"/>
  <c r="AD184" i="14"/>
  <c r="AD185" i="14"/>
  <c r="AD186" i="14"/>
  <c r="AD187" i="14"/>
  <c r="AD188" i="14"/>
  <c r="AD189" i="14"/>
  <c r="AD190" i="14"/>
  <c r="AD191" i="14"/>
  <c r="AD192" i="14"/>
  <c r="AD193" i="14"/>
  <c r="AD194" i="14"/>
  <c r="AD195" i="14"/>
  <c r="AD196" i="14"/>
  <c r="AD197" i="14"/>
  <c r="AD198" i="14"/>
  <c r="AD199" i="14"/>
  <c r="AD200" i="14"/>
  <c r="AD201" i="14"/>
  <c r="AD202" i="14"/>
  <c r="AD203" i="14"/>
  <c r="AD204" i="14"/>
  <c r="AD205" i="14"/>
  <c r="AD206" i="14"/>
  <c r="AD207" i="14"/>
  <c r="AD208" i="14"/>
  <c r="AD209" i="14"/>
  <c r="AD210" i="14"/>
  <c r="AD211" i="14"/>
  <c r="AD212" i="14"/>
  <c r="AD213" i="14"/>
  <c r="AD214" i="14"/>
  <c r="AD215" i="14"/>
  <c r="AD216" i="14"/>
  <c r="AD217" i="14"/>
  <c r="AD218" i="14"/>
  <c r="AD219" i="14"/>
  <c r="AD220" i="14"/>
  <c r="AD221" i="14"/>
  <c r="AD222" i="14"/>
  <c r="AD223" i="14"/>
  <c r="AD224" i="14"/>
  <c r="AD225" i="14"/>
  <c r="AD226" i="14"/>
  <c r="AD227" i="14"/>
  <c r="AD228" i="14"/>
  <c r="AD229" i="14"/>
  <c r="AD230" i="14"/>
  <c r="AD231" i="14"/>
  <c r="AD232" i="14"/>
  <c r="AD233" i="14"/>
  <c r="AD234" i="14"/>
  <c r="AD235" i="14"/>
  <c r="AD236" i="14"/>
  <c r="AD237" i="14"/>
  <c r="AD238" i="14"/>
  <c r="AD239" i="14"/>
  <c r="AD240" i="14"/>
  <c r="AD241" i="14"/>
  <c r="AD242" i="14"/>
  <c r="AD243" i="14"/>
  <c r="AD244" i="14"/>
  <c r="AD245" i="14"/>
  <c r="AD246" i="14"/>
  <c r="AD247" i="14"/>
  <c r="AD248" i="14"/>
  <c r="AD249" i="14"/>
  <c r="AD250" i="14"/>
  <c r="AD251" i="14"/>
  <c r="AD252" i="14"/>
  <c r="AD253" i="14"/>
  <c r="AD254" i="14"/>
  <c r="AD255" i="14"/>
  <c r="AD256" i="14"/>
  <c r="AD257" i="14"/>
  <c r="AD258" i="14"/>
  <c r="AD259" i="14"/>
  <c r="AD260" i="14"/>
  <c r="AD261" i="14"/>
  <c r="AD262" i="14"/>
  <c r="AD263" i="14"/>
  <c r="AD264" i="14"/>
  <c r="AD265" i="14"/>
  <c r="AD266" i="14"/>
  <c r="AD267" i="14"/>
  <c r="AD268" i="14"/>
  <c r="AD269" i="14"/>
  <c r="AD270" i="14"/>
  <c r="AD271" i="14"/>
  <c r="AD272" i="14"/>
  <c r="AD273" i="14"/>
  <c r="AD274" i="14"/>
  <c r="AD275" i="14"/>
  <c r="AD276" i="14"/>
  <c r="AD277" i="14"/>
  <c r="AD278" i="14"/>
  <c r="AD279" i="14"/>
  <c r="AD280" i="14"/>
  <c r="AD281" i="14"/>
  <c r="AD282" i="14"/>
  <c r="AD283" i="14"/>
  <c r="AD284" i="14"/>
  <c r="AD285" i="14"/>
  <c r="AD286" i="14"/>
  <c r="AD287" i="14"/>
  <c r="AD288" i="14"/>
  <c r="AD289" i="14"/>
  <c r="AD290" i="14"/>
  <c r="AD291" i="14"/>
  <c r="AD292" i="14"/>
  <c r="AD293" i="14"/>
  <c r="AD294" i="14"/>
  <c r="AD295" i="14"/>
  <c r="AD296" i="14"/>
  <c r="AD297" i="14"/>
  <c r="AD298" i="14"/>
  <c r="AD299" i="14"/>
  <c r="AD300" i="14"/>
  <c r="AD301" i="14"/>
  <c r="AD302" i="14"/>
  <c r="AD303" i="14"/>
  <c r="AD304" i="14"/>
  <c r="AD305" i="14"/>
  <c r="AD306" i="14"/>
  <c r="AD307" i="14"/>
  <c r="AD308" i="14"/>
  <c r="AD309" i="14"/>
  <c r="AD310" i="14"/>
  <c r="AD311" i="14"/>
  <c r="AD312" i="14"/>
  <c r="AD313" i="14"/>
  <c r="AD314" i="14"/>
  <c r="AD315" i="14"/>
  <c r="AD316" i="14"/>
  <c r="AD317" i="14"/>
  <c r="AD318" i="14"/>
  <c r="AD319" i="14"/>
  <c r="AD320" i="14"/>
  <c r="AD321" i="14"/>
  <c r="AD322" i="14"/>
  <c r="AD323" i="14"/>
  <c r="AD324" i="14"/>
  <c r="AD325" i="14"/>
  <c r="AD326" i="14"/>
  <c r="AD327" i="14"/>
  <c r="AD328" i="14"/>
  <c r="AD329" i="14"/>
  <c r="AD330" i="14"/>
  <c r="AD331" i="14"/>
  <c r="AD332" i="14"/>
  <c r="AD333" i="14"/>
  <c r="AD334" i="14"/>
  <c r="AD335" i="14"/>
  <c r="AD336" i="14"/>
  <c r="AD337" i="14"/>
  <c r="AD338" i="14"/>
  <c r="AD339" i="14"/>
  <c r="AD340" i="14"/>
  <c r="AD341" i="14"/>
  <c r="AD342" i="14"/>
  <c r="AD343" i="14"/>
  <c r="AD344" i="14"/>
  <c r="AD345" i="14"/>
  <c r="AD346" i="14"/>
  <c r="AD347" i="14"/>
  <c r="AD348" i="14"/>
  <c r="AD349" i="14"/>
  <c r="AD350" i="14"/>
  <c r="AD351" i="14"/>
  <c r="AD352" i="14"/>
  <c r="AD353" i="14"/>
  <c r="AD354" i="14"/>
  <c r="AD355" i="14"/>
  <c r="AD356" i="14"/>
  <c r="AD357" i="14"/>
  <c r="AD358" i="14"/>
  <c r="AD359" i="14"/>
  <c r="AD360" i="14"/>
  <c r="AD361" i="14"/>
  <c r="AD362" i="14"/>
  <c r="AD363" i="14"/>
  <c r="AD364" i="14"/>
  <c r="AD365" i="14"/>
  <c r="AD366" i="14"/>
  <c r="AD367" i="14"/>
  <c r="AD368" i="14"/>
  <c r="AD369" i="14"/>
  <c r="AD370" i="14"/>
  <c r="AD371" i="14"/>
  <c r="AD372" i="14"/>
  <c r="AD373" i="14"/>
  <c r="AD374" i="14"/>
  <c r="AD375" i="14"/>
  <c r="AD376" i="14"/>
  <c r="AD377" i="14"/>
  <c r="AD378" i="14"/>
  <c r="AD379" i="14"/>
  <c r="AD380" i="14"/>
  <c r="AD381" i="14"/>
  <c r="AD382" i="14"/>
  <c r="AD383" i="14"/>
  <c r="AD384" i="14"/>
  <c r="AD385" i="14"/>
  <c r="AD386" i="14"/>
  <c r="AD387" i="14"/>
  <c r="AD388" i="14"/>
  <c r="AD389" i="14"/>
  <c r="AD390" i="14"/>
  <c r="AD391" i="14"/>
  <c r="AD392" i="14"/>
  <c r="AD393" i="14"/>
  <c r="AD394" i="14"/>
  <c r="AD395" i="14"/>
  <c r="AD396" i="14"/>
  <c r="AD397" i="14"/>
  <c r="AD398" i="14"/>
  <c r="AD399" i="14"/>
  <c r="AD400" i="14"/>
  <c r="AD401" i="14"/>
  <c r="AD402" i="14"/>
  <c r="AD403" i="14"/>
  <c r="AD404" i="14"/>
  <c r="AD405" i="14"/>
  <c r="AD406" i="14"/>
  <c r="AD407" i="14"/>
  <c r="AD408" i="14"/>
  <c r="AD409" i="14"/>
  <c r="AD410" i="14"/>
  <c r="AD411" i="14"/>
  <c r="AD412" i="14"/>
  <c r="AD413" i="14"/>
  <c r="AD414" i="14"/>
  <c r="AD415" i="14"/>
  <c r="AD416" i="14"/>
  <c r="AD417" i="14"/>
  <c r="AD418" i="14"/>
  <c r="AD419" i="14"/>
  <c r="AD420" i="14"/>
  <c r="AD421" i="14"/>
  <c r="AD422" i="14"/>
  <c r="AD423" i="14"/>
  <c r="AD424" i="14"/>
  <c r="AD425" i="14"/>
  <c r="AD426" i="14"/>
  <c r="AD427" i="14"/>
  <c r="AD428" i="14"/>
  <c r="AD429" i="14"/>
  <c r="AD430" i="14"/>
  <c r="AD431" i="14"/>
  <c r="AD432" i="14"/>
  <c r="AD433" i="14"/>
  <c r="AD434" i="14"/>
  <c r="AD435" i="14"/>
  <c r="AD436" i="14"/>
  <c r="AD437" i="14"/>
  <c r="AD438" i="14"/>
  <c r="AD439" i="14"/>
  <c r="AD440" i="14"/>
  <c r="AD441" i="14"/>
  <c r="AD442" i="14"/>
  <c r="AD443" i="14"/>
  <c r="AD444" i="14"/>
  <c r="AD445" i="14"/>
  <c r="AD446" i="14"/>
  <c r="AD447" i="14"/>
  <c r="AD448" i="14"/>
  <c r="AD449" i="14"/>
  <c r="AD450" i="14"/>
  <c r="AD451" i="14"/>
  <c r="AC2" i="14"/>
  <c r="AC3" i="14"/>
  <c r="AC4" i="14"/>
  <c r="AC5" i="14"/>
  <c r="AC6" i="14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C91" i="14"/>
  <c r="AC92" i="14"/>
  <c r="AC93" i="14"/>
  <c r="AC94" i="14"/>
  <c r="AC95" i="14"/>
  <c r="AC96" i="14"/>
  <c r="AC97" i="14"/>
  <c r="AC98" i="14"/>
  <c r="AC99" i="14"/>
  <c r="AC100" i="14"/>
  <c r="AC101" i="14"/>
  <c r="AC102" i="14"/>
  <c r="AC103" i="14"/>
  <c r="AC104" i="14"/>
  <c r="AC105" i="14"/>
  <c r="AC106" i="14"/>
  <c r="AC107" i="14"/>
  <c r="AC108" i="14"/>
  <c r="AC109" i="14"/>
  <c r="AC110" i="14"/>
  <c r="AC111" i="14"/>
  <c r="AC112" i="14"/>
  <c r="AC113" i="14"/>
  <c r="AC114" i="14"/>
  <c r="AC115" i="14"/>
  <c r="AC116" i="14"/>
  <c r="AC117" i="14"/>
  <c r="AC118" i="14"/>
  <c r="AC119" i="14"/>
  <c r="AC120" i="14"/>
  <c r="AC121" i="14"/>
  <c r="AC122" i="14"/>
  <c r="AC123" i="14"/>
  <c r="AC124" i="14"/>
  <c r="AC125" i="14"/>
  <c r="AC126" i="14"/>
  <c r="AC127" i="14"/>
  <c r="AC128" i="14"/>
  <c r="AC129" i="14"/>
  <c r="AC130" i="14"/>
  <c r="AC131" i="14"/>
  <c r="AC132" i="14"/>
  <c r="AC133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AC239" i="14"/>
  <c r="AC240" i="14"/>
  <c r="AC241" i="14"/>
  <c r="AC242" i="14"/>
  <c r="AC243" i="14"/>
  <c r="AC244" i="14"/>
  <c r="AC245" i="14"/>
  <c r="AC246" i="14"/>
  <c r="AC247" i="14"/>
  <c r="AC248" i="14"/>
  <c r="AC249" i="14"/>
  <c r="AC250" i="14"/>
  <c r="AC251" i="14"/>
  <c r="AC252" i="14"/>
  <c r="AC253" i="14"/>
  <c r="AC254" i="14"/>
  <c r="AC255" i="14"/>
  <c r="AC256" i="14"/>
  <c r="AC257" i="14"/>
  <c r="AC258" i="14"/>
  <c r="AC259" i="14"/>
  <c r="AC260" i="14"/>
  <c r="AC261" i="14"/>
  <c r="AC262" i="14"/>
  <c r="AC263" i="14"/>
  <c r="AC264" i="14"/>
  <c r="AC265" i="14"/>
  <c r="AC266" i="14"/>
  <c r="AC267" i="14"/>
  <c r="AC268" i="14"/>
  <c r="AC269" i="14"/>
  <c r="AC270" i="14"/>
  <c r="AC271" i="14"/>
  <c r="AC272" i="14"/>
  <c r="AC273" i="14"/>
  <c r="AC274" i="14"/>
  <c r="AC275" i="14"/>
  <c r="AC276" i="14"/>
  <c r="AC277" i="14"/>
  <c r="AC278" i="14"/>
  <c r="AC279" i="14"/>
  <c r="AC280" i="14"/>
  <c r="AC281" i="14"/>
  <c r="AC282" i="14"/>
  <c r="AC283" i="14"/>
  <c r="AC284" i="14"/>
  <c r="AC285" i="14"/>
  <c r="AC286" i="14"/>
  <c r="AC287" i="14"/>
  <c r="AC288" i="14"/>
  <c r="AC289" i="14"/>
  <c r="AC290" i="14"/>
  <c r="AC291" i="14"/>
  <c r="AC292" i="14"/>
  <c r="AC293" i="14"/>
  <c r="AC294" i="14"/>
  <c r="AC295" i="14"/>
  <c r="AC296" i="14"/>
  <c r="AC297" i="14"/>
  <c r="AC298" i="14"/>
  <c r="AC299" i="14"/>
  <c r="AC300" i="14"/>
  <c r="AC301" i="14"/>
  <c r="AC302" i="14"/>
  <c r="AC303" i="14"/>
  <c r="AC304" i="14"/>
  <c r="AC305" i="14"/>
  <c r="AC306" i="14"/>
  <c r="AC307" i="14"/>
  <c r="AC308" i="14"/>
  <c r="AC309" i="14"/>
  <c r="AC310" i="14"/>
  <c r="AC311" i="14"/>
  <c r="AC312" i="14"/>
  <c r="AC313" i="14"/>
  <c r="AC314" i="14"/>
  <c r="AC315" i="14"/>
  <c r="AC316" i="14"/>
  <c r="AC317" i="14"/>
  <c r="AC318" i="14"/>
  <c r="AC319" i="14"/>
  <c r="AC320" i="14"/>
  <c r="AC321" i="14"/>
  <c r="AC322" i="14"/>
  <c r="AC323" i="14"/>
  <c r="AC324" i="14"/>
  <c r="AC325" i="14"/>
  <c r="AC326" i="14"/>
  <c r="AC327" i="14"/>
  <c r="AC328" i="14"/>
  <c r="AC329" i="14"/>
  <c r="AC330" i="14"/>
  <c r="AC331" i="14"/>
  <c r="AC332" i="14"/>
  <c r="AC333" i="14"/>
  <c r="AC334" i="14"/>
  <c r="AC335" i="14"/>
  <c r="AC336" i="14"/>
  <c r="AC337" i="14"/>
  <c r="AC338" i="14"/>
  <c r="AC339" i="14"/>
  <c r="AC340" i="14"/>
  <c r="AC341" i="14"/>
  <c r="AC342" i="14"/>
  <c r="AC343" i="14"/>
  <c r="AC344" i="14"/>
  <c r="AC345" i="14"/>
  <c r="AC346" i="14"/>
  <c r="AC347" i="14"/>
  <c r="AC348" i="14"/>
  <c r="AC349" i="14"/>
  <c r="AC350" i="14"/>
  <c r="AC351" i="14"/>
  <c r="AC352" i="14"/>
  <c r="AC353" i="14"/>
  <c r="AC354" i="14"/>
  <c r="AC355" i="14"/>
  <c r="AC356" i="14"/>
  <c r="AC357" i="14"/>
  <c r="AC358" i="14"/>
  <c r="AC359" i="14"/>
  <c r="AC360" i="14"/>
  <c r="AC361" i="14"/>
  <c r="AC362" i="14"/>
  <c r="AC363" i="14"/>
  <c r="AC364" i="14"/>
  <c r="AC365" i="14"/>
  <c r="AC366" i="14"/>
  <c r="AC367" i="14"/>
  <c r="AC368" i="14"/>
  <c r="AC369" i="14"/>
  <c r="AC370" i="14"/>
  <c r="AC371" i="14"/>
  <c r="AC372" i="14"/>
  <c r="AC373" i="14"/>
  <c r="AC374" i="14"/>
  <c r="AC375" i="14"/>
  <c r="AC376" i="14"/>
  <c r="AC377" i="14"/>
  <c r="AC378" i="14"/>
  <c r="AC379" i="14"/>
  <c r="AC380" i="14"/>
  <c r="AC381" i="14"/>
  <c r="AC382" i="14"/>
  <c r="AC383" i="14"/>
  <c r="AC384" i="14"/>
  <c r="AC385" i="14"/>
  <c r="AC386" i="14"/>
  <c r="AC387" i="14"/>
  <c r="AC388" i="14"/>
  <c r="AC389" i="14"/>
  <c r="AC390" i="14"/>
  <c r="AC391" i="14"/>
  <c r="AC392" i="14"/>
  <c r="AC393" i="14"/>
  <c r="AC394" i="14"/>
  <c r="AC395" i="14"/>
  <c r="AC396" i="14"/>
  <c r="AC397" i="14"/>
  <c r="AC398" i="14"/>
  <c r="AC399" i="14"/>
  <c r="AC400" i="14"/>
  <c r="AC401" i="14"/>
  <c r="AC402" i="14"/>
  <c r="AC403" i="14"/>
  <c r="AC404" i="14"/>
  <c r="AC405" i="14"/>
  <c r="AC406" i="14"/>
  <c r="AC407" i="14"/>
  <c r="AC408" i="14"/>
  <c r="AC409" i="14"/>
  <c r="AC410" i="14"/>
  <c r="AC411" i="14"/>
  <c r="AC412" i="14"/>
  <c r="AC413" i="14"/>
  <c r="AC414" i="14"/>
  <c r="AC415" i="14"/>
  <c r="AC416" i="14"/>
  <c r="AC417" i="14"/>
  <c r="AC418" i="14"/>
  <c r="AC419" i="14"/>
  <c r="AC420" i="14"/>
  <c r="AC421" i="14"/>
  <c r="AC422" i="14"/>
  <c r="AC423" i="14"/>
  <c r="AC424" i="14"/>
  <c r="AC425" i="14"/>
  <c r="AC426" i="14"/>
  <c r="AC427" i="14"/>
  <c r="AC428" i="14"/>
  <c r="AC429" i="14"/>
  <c r="AC430" i="14"/>
  <c r="AC431" i="14"/>
  <c r="AC432" i="14"/>
  <c r="AC433" i="14"/>
  <c r="AC434" i="14"/>
  <c r="AC435" i="14"/>
  <c r="AC436" i="14"/>
  <c r="AC437" i="14"/>
  <c r="AC438" i="14"/>
  <c r="AC439" i="14"/>
  <c r="AC440" i="14"/>
  <c r="AC441" i="14"/>
  <c r="AC442" i="14"/>
  <c r="AC443" i="14"/>
  <c r="AC444" i="14"/>
  <c r="AC445" i="14"/>
  <c r="AC446" i="14"/>
  <c r="AC447" i="14"/>
  <c r="AC448" i="14"/>
  <c r="AC449" i="14"/>
  <c r="AC450" i="14"/>
  <c r="AC451" i="14"/>
  <c r="AB2" i="14"/>
  <c r="AB3" i="14"/>
  <c r="AB4" i="14"/>
  <c r="AB5" i="14"/>
  <c r="AB6" i="14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40" i="14"/>
  <c r="AB41" i="14"/>
  <c r="AB42" i="14"/>
  <c r="AB43" i="14"/>
  <c r="AB44" i="14"/>
  <c r="AB45" i="14"/>
  <c r="AB46" i="14"/>
  <c r="AB47" i="14"/>
  <c r="AB48" i="14"/>
  <c r="AB49" i="14"/>
  <c r="AB50" i="14"/>
  <c r="AB51" i="14"/>
  <c r="AB52" i="14"/>
  <c r="AB53" i="14"/>
  <c r="AB54" i="14"/>
  <c r="AB55" i="14"/>
  <c r="AB56" i="14"/>
  <c r="AB57" i="14"/>
  <c r="AB58" i="14"/>
  <c r="AB59" i="14"/>
  <c r="AB60" i="14"/>
  <c r="AB61" i="14"/>
  <c r="AB62" i="14"/>
  <c r="AB63" i="14"/>
  <c r="AB64" i="14"/>
  <c r="AB65" i="14"/>
  <c r="AB66" i="14"/>
  <c r="AB67" i="14"/>
  <c r="AB68" i="14"/>
  <c r="AB69" i="14"/>
  <c r="AB70" i="14"/>
  <c r="AB71" i="14"/>
  <c r="AB72" i="14"/>
  <c r="AB73" i="14"/>
  <c r="AB74" i="14"/>
  <c r="AB75" i="14"/>
  <c r="AB76" i="14"/>
  <c r="AB77" i="14"/>
  <c r="AB78" i="14"/>
  <c r="AB79" i="14"/>
  <c r="AB80" i="14"/>
  <c r="AB81" i="14"/>
  <c r="AB82" i="14"/>
  <c r="AB83" i="14"/>
  <c r="AB84" i="14"/>
  <c r="AB85" i="14"/>
  <c r="AB86" i="14"/>
  <c r="AB87" i="14"/>
  <c r="AB88" i="14"/>
  <c r="AB89" i="14"/>
  <c r="AB90" i="14"/>
  <c r="AB91" i="14"/>
  <c r="AB92" i="14"/>
  <c r="AB93" i="14"/>
  <c r="AB94" i="14"/>
  <c r="AB95" i="14"/>
  <c r="AB96" i="14"/>
  <c r="AB97" i="14"/>
  <c r="AB98" i="14"/>
  <c r="AB99" i="14"/>
  <c r="AB100" i="14"/>
  <c r="AB101" i="14"/>
  <c r="AB102" i="14"/>
  <c r="AB103" i="14"/>
  <c r="AB104" i="14"/>
  <c r="AB105" i="14"/>
  <c r="AB106" i="14"/>
  <c r="AB107" i="14"/>
  <c r="AB108" i="14"/>
  <c r="AB109" i="14"/>
  <c r="AB110" i="14"/>
  <c r="AB111" i="14"/>
  <c r="AB112" i="14"/>
  <c r="AB113" i="14"/>
  <c r="AB114" i="14"/>
  <c r="AB115" i="14"/>
  <c r="AB116" i="14"/>
  <c r="AB117" i="14"/>
  <c r="AB118" i="14"/>
  <c r="AB119" i="14"/>
  <c r="AB120" i="14"/>
  <c r="AB121" i="14"/>
  <c r="AB122" i="14"/>
  <c r="AB123" i="14"/>
  <c r="AB124" i="14"/>
  <c r="AB125" i="14"/>
  <c r="AB126" i="14"/>
  <c r="AB127" i="14"/>
  <c r="AB128" i="14"/>
  <c r="AB129" i="14"/>
  <c r="AB130" i="14"/>
  <c r="AB131" i="14"/>
  <c r="AB132" i="14"/>
  <c r="AB133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72" i="14"/>
  <c r="AB173" i="14"/>
  <c r="AB174" i="14"/>
  <c r="AB175" i="14"/>
  <c r="AB176" i="14"/>
  <c r="AB177" i="14"/>
  <c r="AB178" i="14"/>
  <c r="AB179" i="14"/>
  <c r="AB180" i="14"/>
  <c r="AB181" i="14"/>
  <c r="AB182" i="14"/>
  <c r="AB183" i="14"/>
  <c r="AB184" i="14"/>
  <c r="AB185" i="14"/>
  <c r="AB186" i="14"/>
  <c r="AB187" i="14"/>
  <c r="AB188" i="14"/>
  <c r="AB189" i="14"/>
  <c r="AB190" i="14"/>
  <c r="AB191" i="14"/>
  <c r="AB192" i="14"/>
  <c r="AB193" i="14"/>
  <c r="AB194" i="14"/>
  <c r="AB195" i="14"/>
  <c r="AB196" i="14"/>
  <c r="AB197" i="14"/>
  <c r="AB198" i="14"/>
  <c r="AB199" i="14"/>
  <c r="AB200" i="14"/>
  <c r="AB201" i="14"/>
  <c r="AB202" i="14"/>
  <c r="AB203" i="14"/>
  <c r="AB204" i="14"/>
  <c r="AB205" i="14"/>
  <c r="AB206" i="14"/>
  <c r="AB207" i="14"/>
  <c r="AB208" i="14"/>
  <c r="AB209" i="14"/>
  <c r="AB210" i="14"/>
  <c r="AB211" i="14"/>
  <c r="AB212" i="14"/>
  <c r="AB213" i="14"/>
  <c r="AB214" i="14"/>
  <c r="AB215" i="14"/>
  <c r="AB216" i="14"/>
  <c r="AB217" i="14"/>
  <c r="AB218" i="14"/>
  <c r="AB219" i="14"/>
  <c r="AB220" i="14"/>
  <c r="AB221" i="14"/>
  <c r="AB222" i="14"/>
  <c r="AB223" i="14"/>
  <c r="AB224" i="14"/>
  <c r="AB225" i="14"/>
  <c r="AB226" i="14"/>
  <c r="AB227" i="14"/>
  <c r="AB228" i="14"/>
  <c r="AB229" i="14"/>
  <c r="AB230" i="14"/>
  <c r="AB231" i="14"/>
  <c r="AB232" i="14"/>
  <c r="AB233" i="14"/>
  <c r="AB234" i="14"/>
  <c r="AB235" i="14"/>
  <c r="AB236" i="14"/>
  <c r="AB237" i="14"/>
  <c r="AB238" i="14"/>
  <c r="AB239" i="14"/>
  <c r="AB240" i="14"/>
  <c r="AB241" i="14"/>
  <c r="AB242" i="14"/>
  <c r="AB243" i="14"/>
  <c r="AB244" i="14"/>
  <c r="AB245" i="14"/>
  <c r="AB246" i="14"/>
  <c r="AB247" i="14"/>
  <c r="AB248" i="14"/>
  <c r="AB249" i="14"/>
  <c r="AB250" i="14"/>
  <c r="AB251" i="14"/>
  <c r="AB252" i="14"/>
  <c r="AB253" i="14"/>
  <c r="AB254" i="14"/>
  <c r="AB255" i="14"/>
  <c r="AB256" i="14"/>
  <c r="AB257" i="14"/>
  <c r="AB258" i="14"/>
  <c r="AB259" i="14"/>
  <c r="AB260" i="14"/>
  <c r="AB261" i="14"/>
  <c r="AB262" i="14"/>
  <c r="AB263" i="14"/>
  <c r="AB264" i="14"/>
  <c r="AB265" i="14"/>
  <c r="AB266" i="14"/>
  <c r="AB267" i="14"/>
  <c r="AB268" i="14"/>
  <c r="AB269" i="14"/>
  <c r="AB270" i="14"/>
  <c r="AB271" i="14"/>
  <c r="AB272" i="14"/>
  <c r="AB273" i="14"/>
  <c r="AB274" i="14"/>
  <c r="AB275" i="14"/>
  <c r="AB276" i="14"/>
  <c r="AB277" i="14"/>
  <c r="AB278" i="14"/>
  <c r="AB279" i="14"/>
  <c r="AB280" i="14"/>
  <c r="AB281" i="14"/>
  <c r="AB282" i="14"/>
  <c r="AB283" i="14"/>
  <c r="AB284" i="14"/>
  <c r="AB285" i="14"/>
  <c r="AB286" i="14"/>
  <c r="AB287" i="14"/>
  <c r="AB288" i="14"/>
  <c r="AB289" i="14"/>
  <c r="AB290" i="14"/>
  <c r="AB291" i="14"/>
  <c r="AB292" i="14"/>
  <c r="AB293" i="14"/>
  <c r="AB294" i="14"/>
  <c r="AB295" i="14"/>
  <c r="AB296" i="14"/>
  <c r="AB297" i="14"/>
  <c r="AB298" i="14"/>
  <c r="AB299" i="14"/>
  <c r="AB300" i="14"/>
  <c r="AB301" i="14"/>
  <c r="AB302" i="14"/>
  <c r="AB303" i="14"/>
  <c r="AB304" i="14"/>
  <c r="AB305" i="14"/>
  <c r="AB306" i="14"/>
  <c r="AB307" i="14"/>
  <c r="AB308" i="14"/>
  <c r="AB309" i="14"/>
  <c r="AB310" i="14"/>
  <c r="AB311" i="14"/>
  <c r="AB312" i="14"/>
  <c r="AB313" i="14"/>
  <c r="AB314" i="14"/>
  <c r="AB315" i="14"/>
  <c r="AB316" i="14"/>
  <c r="AB317" i="14"/>
  <c r="AB318" i="14"/>
  <c r="AB319" i="14"/>
  <c r="AB320" i="14"/>
  <c r="AB321" i="14"/>
  <c r="AB322" i="14"/>
  <c r="AB323" i="14"/>
  <c r="AB324" i="14"/>
  <c r="AB325" i="14"/>
  <c r="AB326" i="14"/>
  <c r="AB327" i="14"/>
  <c r="AB328" i="14"/>
  <c r="AB329" i="14"/>
  <c r="AB330" i="14"/>
  <c r="AB331" i="14"/>
  <c r="AB332" i="14"/>
  <c r="AB333" i="14"/>
  <c r="AB334" i="14"/>
  <c r="AB335" i="14"/>
  <c r="AB336" i="14"/>
  <c r="AB337" i="14"/>
  <c r="AB338" i="14"/>
  <c r="AB339" i="14"/>
  <c r="AB340" i="14"/>
  <c r="AB341" i="14"/>
  <c r="AB342" i="14"/>
  <c r="AB343" i="14"/>
  <c r="AB344" i="14"/>
  <c r="AB345" i="14"/>
  <c r="AB346" i="14"/>
  <c r="AB347" i="14"/>
  <c r="AB348" i="14"/>
  <c r="AB349" i="14"/>
  <c r="AB350" i="14"/>
  <c r="AB351" i="14"/>
  <c r="AB352" i="14"/>
  <c r="AB353" i="14"/>
  <c r="AB354" i="14"/>
  <c r="AB355" i="14"/>
  <c r="AB356" i="14"/>
  <c r="AB357" i="14"/>
  <c r="AB358" i="14"/>
  <c r="AB359" i="14"/>
  <c r="AB360" i="14"/>
  <c r="AB361" i="14"/>
  <c r="AB362" i="14"/>
  <c r="AB363" i="14"/>
  <c r="AB364" i="14"/>
  <c r="AB365" i="14"/>
  <c r="AB366" i="14"/>
  <c r="AB367" i="14"/>
  <c r="AB368" i="14"/>
  <c r="AB369" i="14"/>
  <c r="AB370" i="14"/>
  <c r="AB371" i="14"/>
  <c r="AB372" i="14"/>
  <c r="AB373" i="14"/>
  <c r="AB374" i="14"/>
  <c r="AB375" i="14"/>
  <c r="AB376" i="14"/>
  <c r="AB377" i="14"/>
  <c r="AB378" i="14"/>
  <c r="AB379" i="14"/>
  <c r="AB380" i="14"/>
  <c r="AB381" i="14"/>
  <c r="AB382" i="14"/>
  <c r="AB383" i="14"/>
  <c r="AB384" i="14"/>
  <c r="AB385" i="14"/>
  <c r="AB386" i="14"/>
  <c r="AB387" i="14"/>
  <c r="AB388" i="14"/>
  <c r="AB389" i="14"/>
  <c r="AB390" i="14"/>
  <c r="AB391" i="14"/>
  <c r="AB392" i="14"/>
  <c r="AB393" i="14"/>
  <c r="AB394" i="14"/>
  <c r="AB395" i="14"/>
  <c r="AB396" i="14"/>
  <c r="AB397" i="14"/>
  <c r="AB398" i="14"/>
  <c r="AB399" i="14"/>
  <c r="AB400" i="14"/>
  <c r="AB401" i="14"/>
  <c r="AB402" i="14"/>
  <c r="AB403" i="14"/>
  <c r="AB404" i="14"/>
  <c r="AB405" i="14"/>
  <c r="AB406" i="14"/>
  <c r="AB407" i="14"/>
  <c r="AB408" i="14"/>
  <c r="AB409" i="14"/>
  <c r="AB410" i="14"/>
  <c r="AB411" i="14"/>
  <c r="AB412" i="14"/>
  <c r="AB413" i="14"/>
  <c r="AB414" i="14"/>
  <c r="AB415" i="14"/>
  <c r="AB416" i="14"/>
  <c r="AB417" i="14"/>
  <c r="AB418" i="14"/>
  <c r="AB419" i="14"/>
  <c r="AB420" i="14"/>
  <c r="AB421" i="14"/>
  <c r="AB422" i="14"/>
  <c r="AB423" i="14"/>
  <c r="AB424" i="14"/>
  <c r="AB425" i="14"/>
  <c r="AB426" i="14"/>
  <c r="AB427" i="14"/>
  <c r="AB428" i="14"/>
  <c r="AB429" i="14"/>
  <c r="AB430" i="14"/>
  <c r="AB431" i="14"/>
  <c r="AB432" i="14"/>
  <c r="AB433" i="14"/>
  <c r="AB434" i="14"/>
  <c r="AB435" i="14"/>
  <c r="AB436" i="14"/>
  <c r="AB437" i="14"/>
  <c r="AB438" i="14"/>
  <c r="AB439" i="14"/>
  <c r="AB440" i="14"/>
  <c r="AB441" i="14"/>
  <c r="AB442" i="14"/>
  <c r="AB443" i="14"/>
  <c r="AB444" i="14"/>
  <c r="AB445" i="14"/>
  <c r="AB446" i="14"/>
  <c r="AB447" i="14"/>
  <c r="AB448" i="14"/>
  <c r="AB449" i="14"/>
  <c r="AB450" i="14"/>
  <c r="AB451" i="14"/>
  <c r="AA2" i="14"/>
  <c r="AA3" i="14"/>
  <c r="AA4" i="14"/>
  <c r="AA5" i="14"/>
  <c r="AA6" i="14"/>
  <c r="AA7" i="14"/>
  <c r="AA8" i="14"/>
  <c r="AA9" i="14"/>
  <c r="AA10" i="14"/>
  <c r="AA11" i="14"/>
  <c r="AA12" i="14"/>
  <c r="AA13" i="14"/>
  <c r="AA14" i="14"/>
  <c r="AA15" i="14"/>
  <c r="AA16" i="14"/>
  <c r="AA17" i="14"/>
  <c r="AA18" i="14"/>
  <c r="AA19" i="14"/>
  <c r="AA20" i="14"/>
  <c r="AA21" i="14"/>
  <c r="AA22" i="14"/>
  <c r="AA23" i="14"/>
  <c r="AA24" i="14"/>
  <c r="AA25" i="14"/>
  <c r="AA26" i="14"/>
  <c r="AA27" i="14"/>
  <c r="AA28" i="14"/>
  <c r="AA29" i="14"/>
  <c r="AA30" i="14"/>
  <c r="AA31" i="14"/>
  <c r="AA32" i="14"/>
  <c r="AA33" i="14"/>
  <c r="AA34" i="14"/>
  <c r="AA35" i="14"/>
  <c r="AA36" i="14"/>
  <c r="AA37" i="14"/>
  <c r="AA38" i="14"/>
  <c r="AA39" i="14"/>
  <c r="AA40" i="14"/>
  <c r="AA41" i="14"/>
  <c r="AA42" i="14"/>
  <c r="AA43" i="14"/>
  <c r="AA44" i="14"/>
  <c r="AA45" i="14"/>
  <c r="AA46" i="14"/>
  <c r="AA47" i="14"/>
  <c r="AA48" i="14"/>
  <c r="AA49" i="14"/>
  <c r="AA50" i="14"/>
  <c r="AA51" i="14"/>
  <c r="AA52" i="14"/>
  <c r="AA53" i="14"/>
  <c r="AA54" i="14"/>
  <c r="AA55" i="14"/>
  <c r="AA56" i="14"/>
  <c r="AA57" i="14"/>
  <c r="AA58" i="14"/>
  <c r="AA59" i="14"/>
  <c r="AA60" i="14"/>
  <c r="AA61" i="14"/>
  <c r="AA62" i="14"/>
  <c r="AA63" i="14"/>
  <c r="AA64" i="14"/>
  <c r="AA65" i="14"/>
  <c r="AA66" i="14"/>
  <c r="AA67" i="14"/>
  <c r="AA68" i="14"/>
  <c r="AA69" i="14"/>
  <c r="AA70" i="14"/>
  <c r="AA71" i="14"/>
  <c r="AA72" i="14"/>
  <c r="AA73" i="14"/>
  <c r="AA74" i="14"/>
  <c r="AA75" i="14"/>
  <c r="AA76" i="14"/>
  <c r="AA77" i="14"/>
  <c r="AA78" i="14"/>
  <c r="AA79" i="14"/>
  <c r="AA80" i="14"/>
  <c r="AA81" i="14"/>
  <c r="AA82" i="14"/>
  <c r="AA83" i="14"/>
  <c r="AA84" i="14"/>
  <c r="AA85" i="14"/>
  <c r="AA86" i="14"/>
  <c r="AA87" i="14"/>
  <c r="AA88" i="14"/>
  <c r="AA89" i="14"/>
  <c r="AA90" i="14"/>
  <c r="AA91" i="14"/>
  <c r="AA92" i="14"/>
  <c r="AA93" i="14"/>
  <c r="AA94" i="14"/>
  <c r="AA95" i="14"/>
  <c r="AA96" i="14"/>
  <c r="AA97" i="14"/>
  <c r="AA98" i="14"/>
  <c r="AA99" i="14"/>
  <c r="AA100" i="14"/>
  <c r="AA101" i="14"/>
  <c r="AA102" i="14"/>
  <c r="AA103" i="14"/>
  <c r="AA104" i="14"/>
  <c r="AA105" i="14"/>
  <c r="AA106" i="14"/>
  <c r="AA107" i="14"/>
  <c r="AA108" i="14"/>
  <c r="AA109" i="14"/>
  <c r="AA110" i="14"/>
  <c r="AA111" i="14"/>
  <c r="AA112" i="14"/>
  <c r="AA113" i="14"/>
  <c r="AA114" i="14"/>
  <c r="AA115" i="14"/>
  <c r="AA116" i="14"/>
  <c r="AA117" i="14"/>
  <c r="AA118" i="14"/>
  <c r="AA119" i="14"/>
  <c r="AA120" i="14"/>
  <c r="AA121" i="14"/>
  <c r="AA122" i="14"/>
  <c r="AA123" i="14"/>
  <c r="AA124" i="14"/>
  <c r="AA125" i="14"/>
  <c r="AA126" i="14"/>
  <c r="AA127" i="14"/>
  <c r="AA128" i="14"/>
  <c r="AA129" i="14"/>
  <c r="AA130" i="14"/>
  <c r="AA131" i="14"/>
  <c r="AA132" i="14"/>
  <c r="AA133" i="14"/>
  <c r="AA134" i="14"/>
  <c r="AA135" i="14"/>
  <c r="AA136" i="14"/>
  <c r="AA137" i="14"/>
  <c r="AA138" i="14"/>
  <c r="AA139" i="14"/>
  <c r="AA140" i="14"/>
  <c r="AA141" i="14"/>
  <c r="AA142" i="14"/>
  <c r="AA143" i="14"/>
  <c r="AA144" i="14"/>
  <c r="AA145" i="14"/>
  <c r="AA146" i="14"/>
  <c r="AA147" i="14"/>
  <c r="AA148" i="14"/>
  <c r="AA149" i="14"/>
  <c r="AA150" i="14"/>
  <c r="AA151" i="14"/>
  <c r="AA152" i="14"/>
  <c r="AA153" i="14"/>
  <c r="AA154" i="14"/>
  <c r="AA155" i="14"/>
  <c r="AA156" i="14"/>
  <c r="AA157" i="14"/>
  <c r="AA158" i="14"/>
  <c r="AA159" i="14"/>
  <c r="AA160" i="14"/>
  <c r="AA161" i="14"/>
  <c r="AA162" i="14"/>
  <c r="AA163" i="14"/>
  <c r="AA164" i="14"/>
  <c r="AA165" i="14"/>
  <c r="AA166" i="14"/>
  <c r="AA167" i="14"/>
  <c r="AA168" i="14"/>
  <c r="AA169" i="14"/>
  <c r="AA170" i="14"/>
  <c r="AA171" i="14"/>
  <c r="AA172" i="14"/>
  <c r="AA173" i="14"/>
  <c r="AA174" i="14"/>
  <c r="AA175" i="14"/>
  <c r="AA176" i="14"/>
  <c r="AA177" i="14"/>
  <c r="AA178" i="14"/>
  <c r="AA179" i="14"/>
  <c r="AA180" i="14"/>
  <c r="AA181" i="14"/>
  <c r="AA182" i="14"/>
  <c r="AA183" i="14"/>
  <c r="AA184" i="14"/>
  <c r="AA185" i="14"/>
  <c r="AA186" i="14"/>
  <c r="AA187" i="14"/>
  <c r="AA188" i="14"/>
  <c r="AA189" i="14"/>
  <c r="AA190" i="14"/>
  <c r="AA191" i="14"/>
  <c r="AA192" i="14"/>
  <c r="AA193" i="14"/>
  <c r="AA194" i="14"/>
  <c r="AA195" i="14"/>
  <c r="AA196" i="14"/>
  <c r="AA197" i="14"/>
  <c r="AA198" i="14"/>
  <c r="AA199" i="14"/>
  <c r="AA200" i="14"/>
  <c r="AA201" i="14"/>
  <c r="AA202" i="14"/>
  <c r="AA203" i="14"/>
  <c r="AA204" i="14"/>
  <c r="AA205" i="14"/>
  <c r="AA206" i="14"/>
  <c r="AA207" i="14"/>
  <c r="AA208" i="14"/>
  <c r="AA209" i="14"/>
  <c r="AA210" i="14"/>
  <c r="AA211" i="14"/>
  <c r="AA212" i="14"/>
  <c r="AA213" i="14"/>
  <c r="AA214" i="14"/>
  <c r="AA215" i="14"/>
  <c r="AA216" i="14"/>
  <c r="AA217" i="14"/>
  <c r="AA218" i="14"/>
  <c r="AA219" i="14"/>
  <c r="AA220" i="14"/>
  <c r="AA221" i="14"/>
  <c r="AA222" i="14"/>
  <c r="AA223" i="14"/>
  <c r="AA224" i="14"/>
  <c r="AA225" i="14"/>
  <c r="AA226" i="14"/>
  <c r="AA227" i="14"/>
  <c r="AA228" i="14"/>
  <c r="AA229" i="14"/>
  <c r="AA230" i="14"/>
  <c r="AA231" i="14"/>
  <c r="AA232" i="14"/>
  <c r="AA233" i="14"/>
  <c r="AA234" i="14"/>
  <c r="AA235" i="14"/>
  <c r="AA236" i="14"/>
  <c r="AA237" i="14"/>
  <c r="AA238" i="14"/>
  <c r="AA239" i="14"/>
  <c r="AA240" i="14"/>
  <c r="AA241" i="14"/>
  <c r="AA242" i="14"/>
  <c r="AA243" i="14"/>
  <c r="AA244" i="14"/>
  <c r="AA245" i="14"/>
  <c r="AA246" i="14"/>
  <c r="AA247" i="14"/>
  <c r="AA248" i="14"/>
  <c r="AA249" i="14"/>
  <c r="AA250" i="14"/>
  <c r="AA251" i="14"/>
  <c r="AA252" i="14"/>
  <c r="AA253" i="14"/>
  <c r="AA254" i="14"/>
  <c r="AA255" i="14"/>
  <c r="AA256" i="14"/>
  <c r="AA257" i="14"/>
  <c r="AA258" i="14"/>
  <c r="AA259" i="14"/>
  <c r="AA260" i="14"/>
  <c r="AA261" i="14"/>
  <c r="AA262" i="14"/>
  <c r="AA263" i="14"/>
  <c r="AA264" i="14"/>
  <c r="AA265" i="14"/>
  <c r="AA266" i="14"/>
  <c r="AA267" i="14"/>
  <c r="AA268" i="14"/>
  <c r="AA269" i="14"/>
  <c r="AA270" i="14"/>
  <c r="AA271" i="14"/>
  <c r="AA272" i="14"/>
  <c r="AA273" i="14"/>
  <c r="AA274" i="14"/>
  <c r="AA275" i="14"/>
  <c r="AA276" i="14"/>
  <c r="AA277" i="14"/>
  <c r="AA278" i="14"/>
  <c r="AA279" i="14"/>
  <c r="AA280" i="14"/>
  <c r="AA281" i="14"/>
  <c r="AA282" i="14"/>
  <c r="AA283" i="14"/>
  <c r="AA284" i="14"/>
  <c r="AA285" i="14"/>
  <c r="AA286" i="14"/>
  <c r="AA287" i="14"/>
  <c r="AA288" i="14"/>
  <c r="AA289" i="14"/>
  <c r="AA290" i="14"/>
  <c r="AA291" i="14"/>
  <c r="AA292" i="14"/>
  <c r="AA293" i="14"/>
  <c r="AA294" i="14"/>
  <c r="AA295" i="14"/>
  <c r="AA296" i="14"/>
  <c r="AA297" i="14"/>
  <c r="AA298" i="14"/>
  <c r="AA299" i="14"/>
  <c r="AA300" i="14"/>
  <c r="AA301" i="14"/>
  <c r="AA302" i="14"/>
  <c r="AA303" i="14"/>
  <c r="AA304" i="14"/>
  <c r="AA305" i="14"/>
  <c r="AA306" i="14"/>
  <c r="AA307" i="14"/>
  <c r="AA308" i="14"/>
  <c r="AA309" i="14"/>
  <c r="AA310" i="14"/>
  <c r="AA311" i="14"/>
  <c r="AA312" i="14"/>
  <c r="AA313" i="14"/>
  <c r="AA314" i="14"/>
  <c r="AA315" i="14"/>
  <c r="AA316" i="14"/>
  <c r="AA317" i="14"/>
  <c r="AA318" i="14"/>
  <c r="AA319" i="14"/>
  <c r="AA320" i="14"/>
  <c r="AA321" i="14"/>
  <c r="AA322" i="14"/>
  <c r="AA323" i="14"/>
  <c r="AA324" i="14"/>
  <c r="AA325" i="14"/>
  <c r="AA326" i="14"/>
  <c r="AA327" i="14"/>
  <c r="AA328" i="14"/>
  <c r="AA329" i="14"/>
  <c r="AA330" i="14"/>
  <c r="AA331" i="14"/>
  <c r="AA332" i="14"/>
  <c r="AA333" i="14"/>
  <c r="AA334" i="14"/>
  <c r="AA335" i="14"/>
  <c r="AA336" i="14"/>
  <c r="AA337" i="14"/>
  <c r="AA338" i="14"/>
  <c r="AA339" i="14"/>
  <c r="AA340" i="14"/>
  <c r="AA341" i="14"/>
  <c r="AA342" i="14"/>
  <c r="AA343" i="14"/>
  <c r="AA344" i="14"/>
  <c r="AA345" i="14"/>
  <c r="AA346" i="14"/>
  <c r="AA347" i="14"/>
  <c r="AA348" i="14"/>
  <c r="AA349" i="14"/>
  <c r="AA350" i="14"/>
  <c r="AA351" i="14"/>
  <c r="AA352" i="14"/>
  <c r="AA353" i="14"/>
  <c r="AA354" i="14"/>
  <c r="AA355" i="14"/>
  <c r="AA356" i="14"/>
  <c r="AA357" i="14"/>
  <c r="AA358" i="14"/>
  <c r="AA359" i="14"/>
  <c r="AA360" i="14"/>
  <c r="AA361" i="14"/>
  <c r="AA362" i="14"/>
  <c r="AA363" i="14"/>
  <c r="AA364" i="14"/>
  <c r="AA365" i="14"/>
  <c r="AA366" i="14"/>
  <c r="AA367" i="14"/>
  <c r="AA368" i="14"/>
  <c r="AA369" i="14"/>
  <c r="AA370" i="14"/>
  <c r="AA371" i="14"/>
  <c r="AA372" i="14"/>
  <c r="AA373" i="14"/>
  <c r="AA374" i="14"/>
  <c r="AA375" i="14"/>
  <c r="AA376" i="14"/>
  <c r="AA377" i="14"/>
  <c r="AA378" i="14"/>
  <c r="AA379" i="14"/>
  <c r="AA380" i="14"/>
  <c r="AA381" i="14"/>
  <c r="AA382" i="14"/>
  <c r="AA383" i="14"/>
  <c r="AA384" i="14"/>
  <c r="AA385" i="14"/>
  <c r="AA386" i="14"/>
  <c r="AA387" i="14"/>
  <c r="AA388" i="14"/>
  <c r="AA389" i="14"/>
  <c r="AA390" i="14"/>
  <c r="AA391" i="14"/>
  <c r="AA392" i="14"/>
  <c r="AA393" i="14"/>
  <c r="AA394" i="14"/>
  <c r="AA395" i="14"/>
  <c r="AA396" i="14"/>
  <c r="AA397" i="14"/>
  <c r="AA398" i="14"/>
  <c r="AA399" i="14"/>
  <c r="AA400" i="14"/>
  <c r="AA401" i="14"/>
  <c r="AA402" i="14"/>
  <c r="AA403" i="14"/>
  <c r="AA404" i="14"/>
  <c r="AA405" i="14"/>
  <c r="AA406" i="14"/>
  <c r="AA407" i="14"/>
  <c r="AA408" i="14"/>
  <c r="AA409" i="14"/>
  <c r="AA410" i="14"/>
  <c r="AA411" i="14"/>
  <c r="AA412" i="14"/>
  <c r="AA413" i="14"/>
  <c r="AA414" i="14"/>
  <c r="AA415" i="14"/>
  <c r="AA416" i="14"/>
  <c r="AA417" i="14"/>
  <c r="AA418" i="14"/>
  <c r="AA419" i="14"/>
  <c r="AA420" i="14"/>
  <c r="AA421" i="14"/>
  <c r="AA422" i="14"/>
  <c r="AA423" i="14"/>
  <c r="AA424" i="14"/>
  <c r="AA425" i="14"/>
  <c r="AA426" i="14"/>
  <c r="AA427" i="14"/>
  <c r="AA428" i="14"/>
  <c r="AA429" i="14"/>
  <c r="AA430" i="14"/>
  <c r="AA431" i="14"/>
  <c r="AA432" i="14"/>
  <c r="AA433" i="14"/>
  <c r="AA434" i="14"/>
  <c r="AA435" i="14"/>
  <c r="AA436" i="14"/>
  <c r="AA437" i="14"/>
  <c r="AA438" i="14"/>
  <c r="AA439" i="14"/>
  <c r="AA440" i="14"/>
  <c r="AA441" i="14"/>
  <c r="AA442" i="14"/>
  <c r="AA443" i="14"/>
  <c r="AA444" i="14"/>
  <c r="AA445" i="14"/>
  <c r="AA446" i="14"/>
  <c r="AA447" i="14"/>
  <c r="AA448" i="14"/>
  <c r="AA449" i="14"/>
  <c r="AA450" i="14"/>
  <c r="AA451" i="14"/>
  <c r="Z2" i="14"/>
  <c r="Z3" i="14"/>
  <c r="Z4" i="14"/>
  <c r="Z5" i="14"/>
  <c r="Z6" i="14"/>
  <c r="Z7" i="14"/>
  <c r="Z8" i="14"/>
  <c r="Z9" i="14"/>
  <c r="Z10" i="14"/>
  <c r="Z11" i="14"/>
  <c r="Z12" i="14"/>
  <c r="Z13" i="14"/>
  <c r="Z14" i="14"/>
  <c r="Z15" i="14"/>
  <c r="Z16" i="14"/>
  <c r="Z17" i="14"/>
  <c r="Z18" i="14"/>
  <c r="Z19" i="14"/>
  <c r="Z20" i="14"/>
  <c r="Z21" i="14"/>
  <c r="Z22" i="14"/>
  <c r="Z23" i="14"/>
  <c r="Z24" i="14"/>
  <c r="Z25" i="14"/>
  <c r="Z26" i="14"/>
  <c r="Z27" i="14"/>
  <c r="Z28" i="14"/>
  <c r="Z29" i="14"/>
  <c r="Z30" i="14"/>
  <c r="Z31" i="14"/>
  <c r="Z32" i="14"/>
  <c r="Z33" i="14"/>
  <c r="Z34" i="14"/>
  <c r="Z35" i="14"/>
  <c r="Z36" i="14"/>
  <c r="Z37" i="14"/>
  <c r="Z38" i="14"/>
  <c r="Z39" i="14"/>
  <c r="Z40" i="14"/>
  <c r="Z41" i="14"/>
  <c r="Z42" i="14"/>
  <c r="Z43" i="14"/>
  <c r="Z44" i="14"/>
  <c r="Z45" i="14"/>
  <c r="Z46" i="14"/>
  <c r="Z47" i="14"/>
  <c r="Z48" i="14"/>
  <c r="Z49" i="14"/>
  <c r="Z50" i="14"/>
  <c r="Z51" i="14"/>
  <c r="Z52" i="14"/>
  <c r="Z53" i="14"/>
  <c r="Z54" i="14"/>
  <c r="Z55" i="14"/>
  <c r="Z56" i="14"/>
  <c r="Z57" i="14"/>
  <c r="Z58" i="14"/>
  <c r="Z59" i="14"/>
  <c r="Z60" i="14"/>
  <c r="Z61" i="14"/>
  <c r="Z62" i="14"/>
  <c r="Z63" i="14"/>
  <c r="Z64" i="14"/>
  <c r="Z65" i="14"/>
  <c r="Z66" i="14"/>
  <c r="Z67" i="14"/>
  <c r="Z68" i="14"/>
  <c r="Z69" i="14"/>
  <c r="Z70" i="14"/>
  <c r="Z71" i="14"/>
  <c r="Z72" i="14"/>
  <c r="Z73" i="14"/>
  <c r="Z74" i="14"/>
  <c r="Z75" i="14"/>
  <c r="Z76" i="14"/>
  <c r="Z77" i="14"/>
  <c r="Z78" i="14"/>
  <c r="Z79" i="14"/>
  <c r="Z80" i="14"/>
  <c r="Z81" i="14"/>
  <c r="Z82" i="14"/>
  <c r="Z83" i="14"/>
  <c r="Z84" i="14"/>
  <c r="Z85" i="14"/>
  <c r="Z86" i="14"/>
  <c r="Z87" i="14"/>
  <c r="Z88" i="14"/>
  <c r="Z89" i="14"/>
  <c r="Z90" i="14"/>
  <c r="Z91" i="14"/>
  <c r="Z92" i="14"/>
  <c r="Z93" i="14"/>
  <c r="Z94" i="14"/>
  <c r="Z95" i="14"/>
  <c r="Z96" i="14"/>
  <c r="Z97" i="14"/>
  <c r="Z98" i="14"/>
  <c r="Z99" i="14"/>
  <c r="Z100" i="14"/>
  <c r="Z101" i="14"/>
  <c r="Z102" i="14"/>
  <c r="Z103" i="14"/>
  <c r="Z104" i="14"/>
  <c r="Z105" i="14"/>
  <c r="Z106" i="14"/>
  <c r="Z107" i="14"/>
  <c r="Z108" i="14"/>
  <c r="Z109" i="14"/>
  <c r="Z110" i="14"/>
  <c r="Z111" i="14"/>
  <c r="Z112" i="14"/>
  <c r="Z113" i="14"/>
  <c r="Z114" i="14"/>
  <c r="Z115" i="14"/>
  <c r="Z116" i="14"/>
  <c r="Z117" i="14"/>
  <c r="Z118" i="14"/>
  <c r="Z119" i="14"/>
  <c r="Z120" i="14"/>
  <c r="Z121" i="14"/>
  <c r="Z122" i="14"/>
  <c r="Z123" i="14"/>
  <c r="Z124" i="14"/>
  <c r="Z125" i="14"/>
  <c r="Z126" i="14"/>
  <c r="Z127" i="14"/>
  <c r="Z128" i="14"/>
  <c r="Z129" i="14"/>
  <c r="Z130" i="14"/>
  <c r="Z131" i="14"/>
  <c r="Z132" i="14"/>
  <c r="Z133" i="14"/>
  <c r="Z134" i="14"/>
  <c r="Z135" i="14"/>
  <c r="Z136" i="14"/>
  <c r="Z137" i="14"/>
  <c r="Z138" i="14"/>
  <c r="Z139" i="14"/>
  <c r="Z140" i="14"/>
  <c r="Z141" i="14"/>
  <c r="Z142" i="14"/>
  <c r="Z143" i="14"/>
  <c r="Z144" i="14"/>
  <c r="Z145" i="14"/>
  <c r="Z146" i="14"/>
  <c r="Z147" i="14"/>
  <c r="Z148" i="14"/>
  <c r="Z149" i="14"/>
  <c r="Z150" i="14"/>
  <c r="Z151" i="14"/>
  <c r="Z152" i="14"/>
  <c r="Z153" i="14"/>
  <c r="Z154" i="14"/>
  <c r="Z155" i="14"/>
  <c r="Z156" i="14"/>
  <c r="Z157" i="14"/>
  <c r="Z158" i="14"/>
  <c r="Z159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72" i="14"/>
  <c r="Z173" i="14"/>
  <c r="Z174" i="14"/>
  <c r="Z175" i="14"/>
  <c r="Z176" i="14"/>
  <c r="Z177" i="14"/>
  <c r="Z178" i="14"/>
  <c r="Z179" i="14"/>
  <c r="Z180" i="14"/>
  <c r="Z181" i="14"/>
  <c r="Z182" i="14"/>
  <c r="Z183" i="14"/>
  <c r="Z184" i="14"/>
  <c r="Z185" i="14"/>
  <c r="Z186" i="14"/>
  <c r="Z187" i="14"/>
  <c r="Z188" i="14"/>
  <c r="Z189" i="14"/>
  <c r="Z190" i="14"/>
  <c r="Z191" i="14"/>
  <c r="Z192" i="14"/>
  <c r="Z193" i="14"/>
  <c r="Z194" i="14"/>
  <c r="Z195" i="14"/>
  <c r="Z196" i="14"/>
  <c r="Z197" i="14"/>
  <c r="Z198" i="14"/>
  <c r="Z199" i="14"/>
  <c r="Z200" i="14"/>
  <c r="Z201" i="14"/>
  <c r="Z202" i="14"/>
  <c r="Z203" i="14"/>
  <c r="Z204" i="14"/>
  <c r="Z205" i="14"/>
  <c r="Z206" i="14"/>
  <c r="Z207" i="14"/>
  <c r="Z208" i="14"/>
  <c r="Z209" i="14"/>
  <c r="Z210" i="14"/>
  <c r="Z211" i="14"/>
  <c r="Z212" i="14"/>
  <c r="Z213" i="14"/>
  <c r="Z214" i="14"/>
  <c r="Z215" i="14"/>
  <c r="Z216" i="14"/>
  <c r="Z217" i="14"/>
  <c r="Z218" i="14"/>
  <c r="Z219" i="14"/>
  <c r="Z220" i="14"/>
  <c r="Z221" i="14"/>
  <c r="Z222" i="14"/>
  <c r="Z223" i="14"/>
  <c r="Z224" i="14"/>
  <c r="Z225" i="14"/>
  <c r="Z226" i="14"/>
  <c r="Z227" i="14"/>
  <c r="Z228" i="14"/>
  <c r="Z229" i="14"/>
  <c r="Z230" i="14"/>
  <c r="Z231" i="14"/>
  <c r="Z232" i="14"/>
  <c r="Z233" i="14"/>
  <c r="Z234" i="14"/>
  <c r="Z235" i="14"/>
  <c r="Z236" i="14"/>
  <c r="Z237" i="14"/>
  <c r="Z238" i="14"/>
  <c r="Z239" i="14"/>
  <c r="Z240" i="14"/>
  <c r="Z241" i="14"/>
  <c r="Z242" i="14"/>
  <c r="Z243" i="14"/>
  <c r="Z244" i="14"/>
  <c r="Z245" i="14"/>
  <c r="Z246" i="14"/>
  <c r="Z247" i="14"/>
  <c r="Z248" i="14"/>
  <c r="Z249" i="14"/>
  <c r="Z250" i="14"/>
  <c r="Z251" i="14"/>
  <c r="Z252" i="14"/>
  <c r="Z253" i="14"/>
  <c r="Z254" i="14"/>
  <c r="Z255" i="14"/>
  <c r="Z256" i="14"/>
  <c r="Z257" i="14"/>
  <c r="Z258" i="14"/>
  <c r="Z259" i="14"/>
  <c r="Z260" i="14"/>
  <c r="Z261" i="14"/>
  <c r="Z262" i="14"/>
  <c r="Z263" i="14"/>
  <c r="Z264" i="14"/>
  <c r="Z265" i="14"/>
  <c r="Z266" i="14"/>
  <c r="Z267" i="14"/>
  <c r="Z268" i="14"/>
  <c r="Z269" i="14"/>
  <c r="Z270" i="14"/>
  <c r="Z271" i="14"/>
  <c r="Z272" i="14"/>
  <c r="Z273" i="14"/>
  <c r="Z274" i="14"/>
  <c r="Z275" i="14"/>
  <c r="Z276" i="14"/>
  <c r="Z277" i="14"/>
  <c r="Z278" i="14"/>
  <c r="Z279" i="14"/>
  <c r="Z280" i="14"/>
  <c r="Z281" i="14"/>
  <c r="Z282" i="14"/>
  <c r="Z283" i="14"/>
  <c r="Z284" i="14"/>
  <c r="Z285" i="14"/>
  <c r="Z286" i="14"/>
  <c r="Z287" i="14"/>
  <c r="Z288" i="14"/>
  <c r="Z289" i="14"/>
  <c r="Z290" i="14"/>
  <c r="Z291" i="14"/>
  <c r="Z292" i="14"/>
  <c r="Z293" i="14"/>
  <c r="Z294" i="14"/>
  <c r="Z295" i="14"/>
  <c r="Z296" i="14"/>
  <c r="Z297" i="14"/>
  <c r="Z298" i="14"/>
  <c r="Z299" i="14"/>
  <c r="Z300" i="14"/>
  <c r="Z301" i="14"/>
  <c r="Z302" i="14"/>
  <c r="Z303" i="14"/>
  <c r="Z304" i="14"/>
  <c r="Z305" i="14"/>
  <c r="Z306" i="14"/>
  <c r="Z307" i="14"/>
  <c r="Z308" i="14"/>
  <c r="Z309" i="14"/>
  <c r="Z310" i="14"/>
  <c r="Z311" i="14"/>
  <c r="Z312" i="14"/>
  <c r="Z313" i="14"/>
  <c r="Z314" i="14"/>
  <c r="Z315" i="14"/>
  <c r="Z316" i="14"/>
  <c r="Z317" i="14"/>
  <c r="Z318" i="14"/>
  <c r="Z319" i="14"/>
  <c r="Z320" i="14"/>
  <c r="Z321" i="14"/>
  <c r="Z322" i="14"/>
  <c r="Z323" i="14"/>
  <c r="Z324" i="14"/>
  <c r="Z325" i="14"/>
  <c r="Z326" i="14"/>
  <c r="Z327" i="14"/>
  <c r="Z328" i="14"/>
  <c r="Z329" i="14"/>
  <c r="Z330" i="14"/>
  <c r="Z331" i="14"/>
  <c r="Z332" i="14"/>
  <c r="Z333" i="14"/>
  <c r="Z334" i="14"/>
  <c r="Z335" i="14"/>
  <c r="Z336" i="14"/>
  <c r="Z337" i="14"/>
  <c r="Z338" i="14"/>
  <c r="Z339" i="14"/>
  <c r="Z340" i="14"/>
  <c r="Z341" i="14"/>
  <c r="Z342" i="14"/>
  <c r="Z343" i="14"/>
  <c r="Z344" i="14"/>
  <c r="Z345" i="14"/>
  <c r="Z346" i="14"/>
  <c r="Z347" i="14"/>
  <c r="Z348" i="14"/>
  <c r="Z349" i="14"/>
  <c r="Z350" i="14"/>
  <c r="Z351" i="14"/>
  <c r="Z352" i="14"/>
  <c r="Z353" i="14"/>
  <c r="Z354" i="14"/>
  <c r="Z355" i="14"/>
  <c r="Z356" i="14"/>
  <c r="Z357" i="14"/>
  <c r="Z358" i="14"/>
  <c r="Z359" i="14"/>
  <c r="Z360" i="14"/>
  <c r="Z361" i="14"/>
  <c r="Z362" i="14"/>
  <c r="Z363" i="14"/>
  <c r="Z364" i="14"/>
  <c r="Z365" i="14"/>
  <c r="Z366" i="14"/>
  <c r="Z367" i="14"/>
  <c r="Z368" i="14"/>
  <c r="Z369" i="14"/>
  <c r="Z370" i="14"/>
  <c r="Z371" i="14"/>
  <c r="Z372" i="14"/>
  <c r="Z373" i="14"/>
  <c r="Z374" i="14"/>
  <c r="Z375" i="14"/>
  <c r="Z376" i="14"/>
  <c r="Z377" i="14"/>
  <c r="Z378" i="14"/>
  <c r="Z379" i="14"/>
  <c r="Z380" i="14"/>
  <c r="Z381" i="14"/>
  <c r="Z382" i="14"/>
  <c r="Z383" i="14"/>
  <c r="Z384" i="14"/>
  <c r="Z385" i="14"/>
  <c r="Z386" i="14"/>
  <c r="Z387" i="14"/>
  <c r="Z388" i="14"/>
  <c r="Z389" i="14"/>
  <c r="Z390" i="14"/>
  <c r="Z391" i="14"/>
  <c r="Z392" i="14"/>
  <c r="Z393" i="14"/>
  <c r="Z394" i="14"/>
  <c r="Z395" i="14"/>
  <c r="Z396" i="14"/>
  <c r="Z397" i="14"/>
  <c r="Z398" i="14"/>
  <c r="Z399" i="14"/>
  <c r="Z400" i="14"/>
  <c r="Z401" i="14"/>
  <c r="Z402" i="14"/>
  <c r="Z403" i="14"/>
  <c r="Z404" i="14"/>
  <c r="Z405" i="14"/>
  <c r="Z406" i="14"/>
  <c r="Z407" i="14"/>
  <c r="Z408" i="14"/>
  <c r="Z409" i="14"/>
  <c r="Z410" i="14"/>
  <c r="Z411" i="14"/>
  <c r="Z412" i="14"/>
  <c r="Z413" i="14"/>
  <c r="Z414" i="14"/>
  <c r="Z415" i="14"/>
  <c r="Z416" i="14"/>
  <c r="Z417" i="14"/>
  <c r="Z418" i="14"/>
  <c r="Z419" i="14"/>
  <c r="Z420" i="14"/>
  <c r="Z421" i="14"/>
  <c r="Z422" i="14"/>
  <c r="Z423" i="14"/>
  <c r="Z424" i="14"/>
  <c r="Z425" i="14"/>
  <c r="Z426" i="14"/>
  <c r="Z427" i="14"/>
  <c r="Z428" i="14"/>
  <c r="Z429" i="14"/>
  <c r="Z430" i="14"/>
  <c r="Z431" i="14"/>
  <c r="Z432" i="14"/>
  <c r="Z433" i="14"/>
  <c r="Z434" i="14"/>
  <c r="Z435" i="14"/>
  <c r="Z436" i="14"/>
  <c r="Z437" i="14"/>
  <c r="Z438" i="14"/>
  <c r="Z439" i="14"/>
  <c r="Z440" i="14"/>
  <c r="Z441" i="14"/>
  <c r="Z442" i="14"/>
  <c r="Z443" i="14"/>
  <c r="Z444" i="14"/>
  <c r="Z445" i="14"/>
  <c r="Z446" i="14"/>
  <c r="Z447" i="14"/>
  <c r="Z448" i="14"/>
  <c r="Z449" i="14"/>
  <c r="Z450" i="14"/>
  <c r="Z451" i="14"/>
  <c r="Y2" i="14"/>
  <c r="Y3" i="14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X2" i="14"/>
  <c r="X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W2" i="14"/>
  <c r="W3" i="14"/>
  <c r="W4" i="14"/>
  <c r="W5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38" i="14"/>
  <c r="W39" i="14"/>
  <c r="W40" i="14"/>
  <c r="W41" i="14"/>
  <c r="W42" i="14"/>
  <c r="W43" i="14"/>
  <c r="W44" i="14"/>
  <c r="W45" i="14"/>
  <c r="W46" i="14"/>
  <c r="W47" i="14"/>
  <c r="W48" i="14"/>
  <c r="W49" i="14"/>
  <c r="W50" i="14"/>
  <c r="W51" i="14"/>
  <c r="W52" i="14"/>
  <c r="W53" i="14"/>
  <c r="W54" i="14"/>
  <c r="W55" i="14"/>
  <c r="W56" i="14"/>
  <c r="W57" i="14"/>
  <c r="W58" i="14"/>
  <c r="W59" i="14"/>
  <c r="W60" i="14"/>
  <c r="W61" i="14"/>
  <c r="W62" i="14"/>
  <c r="W63" i="14"/>
  <c r="W64" i="14"/>
  <c r="W65" i="14"/>
  <c r="W66" i="14"/>
  <c r="W67" i="14"/>
  <c r="W68" i="14"/>
  <c r="W69" i="14"/>
  <c r="W70" i="14"/>
  <c r="W71" i="14"/>
  <c r="W72" i="14"/>
  <c r="W73" i="14"/>
  <c r="W74" i="14"/>
  <c r="W75" i="14"/>
  <c r="W76" i="14"/>
  <c r="W77" i="14"/>
  <c r="W78" i="14"/>
  <c r="W79" i="14"/>
  <c r="W80" i="14"/>
  <c r="W81" i="14"/>
  <c r="W82" i="14"/>
  <c r="W83" i="14"/>
  <c r="W84" i="14"/>
  <c r="W85" i="14"/>
  <c r="W86" i="14"/>
  <c r="W87" i="14"/>
  <c r="W88" i="14"/>
  <c r="W89" i="14"/>
  <c r="W90" i="14"/>
  <c r="W91" i="14"/>
  <c r="W92" i="14"/>
  <c r="W93" i="14"/>
  <c r="W94" i="14"/>
  <c r="W95" i="14"/>
  <c r="W96" i="14"/>
  <c r="W97" i="14"/>
  <c r="W98" i="14"/>
  <c r="W99" i="14"/>
  <c r="W100" i="14"/>
  <c r="W101" i="14"/>
  <c r="W102" i="14"/>
  <c r="W103" i="14"/>
  <c r="W104" i="14"/>
  <c r="W105" i="14"/>
  <c r="W106" i="14"/>
  <c r="W107" i="14"/>
  <c r="W108" i="14"/>
  <c r="W109" i="14"/>
  <c r="W110" i="14"/>
  <c r="W111" i="14"/>
  <c r="W112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W147" i="14"/>
  <c r="W148" i="14"/>
  <c r="W149" i="14"/>
  <c r="W150" i="14"/>
  <c r="W151" i="14"/>
  <c r="W152" i="14"/>
  <c r="W153" i="14"/>
  <c r="W154" i="14"/>
  <c r="W155" i="14"/>
  <c r="W156" i="14"/>
  <c r="W157" i="14"/>
  <c r="W158" i="14"/>
  <c r="W159" i="14"/>
  <c r="W160" i="14"/>
  <c r="W161" i="14"/>
  <c r="W162" i="14"/>
  <c r="W163" i="14"/>
  <c r="W164" i="14"/>
  <c r="W165" i="14"/>
  <c r="W166" i="14"/>
  <c r="W167" i="14"/>
  <c r="W168" i="14"/>
  <c r="W169" i="14"/>
  <c r="W170" i="14"/>
  <c r="W171" i="14"/>
  <c r="W172" i="14"/>
  <c r="W173" i="14"/>
  <c r="W174" i="14"/>
  <c r="W175" i="14"/>
  <c r="W176" i="14"/>
  <c r="W177" i="14"/>
  <c r="W178" i="14"/>
  <c r="W179" i="14"/>
  <c r="W180" i="14"/>
  <c r="W181" i="14"/>
  <c r="W182" i="14"/>
  <c r="W183" i="14"/>
  <c r="W184" i="14"/>
  <c r="W185" i="14"/>
  <c r="W186" i="14"/>
  <c r="W187" i="14"/>
  <c r="W188" i="14"/>
  <c r="W189" i="14"/>
  <c r="W190" i="14"/>
  <c r="W191" i="14"/>
  <c r="W192" i="14"/>
  <c r="W193" i="14"/>
  <c r="W194" i="14"/>
  <c r="W195" i="14"/>
  <c r="W196" i="14"/>
  <c r="W197" i="14"/>
  <c r="W198" i="14"/>
  <c r="W199" i="14"/>
  <c r="W200" i="14"/>
  <c r="W201" i="14"/>
  <c r="W202" i="14"/>
  <c r="W203" i="14"/>
  <c r="W204" i="14"/>
  <c r="W205" i="14"/>
  <c r="W206" i="14"/>
  <c r="W207" i="14"/>
  <c r="W208" i="14"/>
  <c r="W209" i="14"/>
  <c r="W210" i="14"/>
  <c r="W211" i="14"/>
  <c r="W212" i="14"/>
  <c r="W213" i="14"/>
  <c r="W214" i="14"/>
  <c r="W215" i="14"/>
  <c r="W216" i="14"/>
  <c r="W217" i="14"/>
  <c r="W218" i="14"/>
  <c r="W219" i="14"/>
  <c r="W220" i="14"/>
  <c r="W221" i="14"/>
  <c r="W222" i="14"/>
  <c r="W223" i="14"/>
  <c r="W224" i="14"/>
  <c r="W225" i="14"/>
  <c r="W226" i="14"/>
  <c r="W227" i="14"/>
  <c r="W228" i="14"/>
  <c r="W229" i="14"/>
  <c r="W230" i="14"/>
  <c r="W231" i="14"/>
  <c r="W232" i="14"/>
  <c r="W233" i="14"/>
  <c r="W234" i="14"/>
  <c r="W235" i="14"/>
  <c r="W236" i="14"/>
  <c r="W237" i="14"/>
  <c r="W238" i="14"/>
  <c r="W239" i="14"/>
  <c r="W240" i="14"/>
  <c r="W241" i="14"/>
  <c r="W242" i="14"/>
  <c r="W243" i="14"/>
  <c r="W244" i="14"/>
  <c r="W245" i="14"/>
  <c r="W246" i="14"/>
  <c r="W247" i="14"/>
  <c r="W248" i="14"/>
  <c r="W249" i="14"/>
  <c r="W250" i="14"/>
  <c r="W251" i="14"/>
  <c r="W252" i="14"/>
  <c r="W253" i="14"/>
  <c r="W254" i="14"/>
  <c r="W255" i="14"/>
  <c r="W256" i="14"/>
  <c r="W257" i="14"/>
  <c r="W258" i="14"/>
  <c r="W259" i="14"/>
  <c r="W260" i="14"/>
  <c r="W261" i="14"/>
  <c r="W262" i="14"/>
  <c r="W263" i="14"/>
  <c r="W264" i="14"/>
  <c r="W265" i="14"/>
  <c r="W266" i="14"/>
  <c r="W267" i="14"/>
  <c r="W268" i="14"/>
  <c r="W269" i="14"/>
  <c r="W270" i="14"/>
  <c r="W271" i="14"/>
  <c r="W272" i="14"/>
  <c r="W273" i="14"/>
  <c r="W274" i="14"/>
  <c r="W275" i="14"/>
  <c r="W276" i="14"/>
  <c r="W277" i="14"/>
  <c r="W278" i="14"/>
  <c r="W279" i="14"/>
  <c r="W280" i="14"/>
  <c r="W281" i="14"/>
  <c r="W282" i="14"/>
  <c r="W283" i="14"/>
  <c r="W284" i="14"/>
  <c r="W285" i="14"/>
  <c r="W286" i="14"/>
  <c r="W287" i="14"/>
  <c r="W288" i="14"/>
  <c r="W289" i="14"/>
  <c r="W290" i="14"/>
  <c r="W291" i="14"/>
  <c r="W292" i="14"/>
  <c r="W293" i="14"/>
  <c r="W294" i="14"/>
  <c r="W295" i="14"/>
  <c r="W296" i="14"/>
  <c r="W297" i="14"/>
  <c r="W298" i="14"/>
  <c r="W299" i="14"/>
  <c r="W300" i="14"/>
  <c r="W301" i="14"/>
  <c r="W302" i="14"/>
  <c r="W303" i="14"/>
  <c r="W304" i="14"/>
  <c r="W305" i="14"/>
  <c r="W306" i="14"/>
  <c r="W307" i="14"/>
  <c r="W308" i="14"/>
  <c r="W309" i="14"/>
  <c r="W310" i="14"/>
  <c r="W311" i="14"/>
  <c r="W312" i="14"/>
  <c r="W313" i="14"/>
  <c r="W314" i="14"/>
  <c r="W315" i="14"/>
  <c r="W316" i="14"/>
  <c r="W317" i="14"/>
  <c r="W318" i="14"/>
  <c r="W319" i="14"/>
  <c r="W320" i="14"/>
  <c r="W321" i="14"/>
  <c r="W322" i="14"/>
  <c r="W323" i="14"/>
  <c r="W324" i="14"/>
  <c r="W325" i="14"/>
  <c r="W326" i="14"/>
  <c r="W327" i="14"/>
  <c r="W328" i="14"/>
  <c r="W329" i="14"/>
  <c r="W330" i="14"/>
  <c r="W331" i="14"/>
  <c r="W332" i="14"/>
  <c r="W333" i="14"/>
  <c r="W334" i="14"/>
  <c r="W335" i="14"/>
  <c r="W336" i="14"/>
  <c r="W337" i="14"/>
  <c r="W338" i="14"/>
  <c r="W339" i="14"/>
  <c r="W340" i="14"/>
  <c r="W341" i="14"/>
  <c r="W342" i="14"/>
  <c r="W343" i="14"/>
  <c r="W344" i="14"/>
  <c r="W345" i="14"/>
  <c r="W346" i="14"/>
  <c r="W347" i="14"/>
  <c r="W348" i="14"/>
  <c r="W349" i="14"/>
  <c r="W350" i="14"/>
  <c r="W351" i="14"/>
  <c r="W352" i="14"/>
  <c r="W353" i="14"/>
  <c r="W354" i="14"/>
  <c r="W355" i="14"/>
  <c r="W356" i="14"/>
  <c r="W357" i="14"/>
  <c r="W358" i="14"/>
  <c r="W359" i="14"/>
  <c r="W360" i="14"/>
  <c r="W361" i="14"/>
  <c r="W362" i="14"/>
  <c r="W363" i="14"/>
  <c r="W364" i="14"/>
  <c r="W365" i="14"/>
  <c r="W366" i="14"/>
  <c r="W367" i="14"/>
  <c r="W368" i="14"/>
  <c r="W369" i="14"/>
  <c r="W370" i="14"/>
  <c r="W371" i="14"/>
  <c r="W372" i="14"/>
  <c r="W373" i="14"/>
  <c r="W374" i="14"/>
  <c r="W375" i="14"/>
  <c r="W376" i="14"/>
  <c r="W377" i="14"/>
  <c r="W378" i="14"/>
  <c r="W379" i="14"/>
  <c r="W380" i="14"/>
  <c r="W381" i="14"/>
  <c r="W382" i="14"/>
  <c r="W383" i="14"/>
  <c r="W384" i="14"/>
  <c r="W385" i="14"/>
  <c r="W386" i="14"/>
  <c r="W387" i="14"/>
  <c r="W388" i="14"/>
  <c r="W389" i="14"/>
  <c r="W390" i="14"/>
  <c r="W391" i="14"/>
  <c r="W392" i="14"/>
  <c r="W393" i="14"/>
  <c r="W394" i="14"/>
  <c r="W395" i="14"/>
  <c r="W396" i="14"/>
  <c r="W397" i="14"/>
  <c r="W398" i="14"/>
  <c r="W399" i="14"/>
  <c r="W400" i="14"/>
  <c r="W401" i="14"/>
  <c r="W402" i="14"/>
  <c r="W403" i="14"/>
  <c r="W404" i="14"/>
  <c r="W405" i="14"/>
  <c r="W406" i="14"/>
  <c r="W407" i="14"/>
  <c r="W408" i="14"/>
  <c r="W409" i="14"/>
  <c r="W410" i="14"/>
  <c r="W411" i="14"/>
  <c r="W412" i="14"/>
  <c r="W413" i="14"/>
  <c r="W414" i="14"/>
  <c r="W415" i="14"/>
  <c r="W416" i="14"/>
  <c r="W417" i="14"/>
  <c r="W418" i="14"/>
  <c r="W419" i="14"/>
  <c r="W420" i="14"/>
  <c r="W421" i="14"/>
  <c r="W422" i="14"/>
  <c r="W423" i="14"/>
  <c r="W424" i="14"/>
  <c r="W425" i="14"/>
  <c r="W426" i="14"/>
  <c r="W427" i="14"/>
  <c r="W428" i="14"/>
  <c r="W429" i="14"/>
  <c r="W430" i="14"/>
  <c r="W431" i="14"/>
  <c r="W432" i="14"/>
  <c r="W433" i="14"/>
  <c r="W434" i="14"/>
  <c r="W435" i="14"/>
  <c r="W436" i="14"/>
  <c r="W437" i="14"/>
  <c r="W438" i="14"/>
  <c r="W439" i="14"/>
  <c r="W440" i="14"/>
  <c r="W441" i="14"/>
  <c r="W442" i="14"/>
  <c r="W443" i="14"/>
  <c r="W444" i="14"/>
  <c r="W445" i="14"/>
  <c r="W446" i="14"/>
  <c r="W447" i="14"/>
  <c r="W448" i="14"/>
  <c r="W449" i="14"/>
  <c r="W450" i="14"/>
  <c r="W451" i="14"/>
  <c r="V2" i="14"/>
  <c r="V3" i="14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V236" i="14"/>
  <c r="V237" i="14"/>
  <c r="V238" i="14"/>
  <c r="V239" i="14"/>
  <c r="V240" i="14"/>
  <c r="V241" i="14"/>
  <c r="V242" i="14"/>
  <c r="V243" i="14"/>
  <c r="V244" i="14"/>
  <c r="V245" i="14"/>
  <c r="V246" i="14"/>
  <c r="V247" i="14"/>
  <c r="V248" i="14"/>
  <c r="V249" i="14"/>
  <c r="V250" i="14"/>
  <c r="V251" i="14"/>
  <c r="V252" i="14"/>
  <c r="V253" i="14"/>
  <c r="V254" i="14"/>
  <c r="V255" i="14"/>
  <c r="V256" i="14"/>
  <c r="V257" i="14"/>
  <c r="V258" i="14"/>
  <c r="V259" i="14"/>
  <c r="V260" i="14"/>
  <c r="V261" i="14"/>
  <c r="V262" i="14"/>
  <c r="V263" i="14"/>
  <c r="V264" i="14"/>
  <c r="V265" i="14"/>
  <c r="V266" i="14"/>
  <c r="V267" i="14"/>
  <c r="V268" i="14"/>
  <c r="V269" i="14"/>
  <c r="V270" i="14"/>
  <c r="V271" i="14"/>
  <c r="V272" i="14"/>
  <c r="V273" i="14"/>
  <c r="V274" i="14"/>
  <c r="V275" i="14"/>
  <c r="V276" i="14"/>
  <c r="V277" i="14"/>
  <c r="V278" i="14"/>
  <c r="V279" i="14"/>
  <c r="V280" i="14"/>
  <c r="V281" i="14"/>
  <c r="V282" i="14"/>
  <c r="V283" i="14"/>
  <c r="V284" i="14"/>
  <c r="V285" i="14"/>
  <c r="V286" i="14"/>
  <c r="V287" i="14"/>
  <c r="V288" i="14"/>
  <c r="V289" i="14"/>
  <c r="V290" i="14"/>
  <c r="V291" i="14"/>
  <c r="V292" i="14"/>
  <c r="V293" i="14"/>
  <c r="V294" i="14"/>
  <c r="V295" i="14"/>
  <c r="V296" i="14"/>
  <c r="V297" i="14"/>
  <c r="V298" i="14"/>
  <c r="V299" i="14"/>
  <c r="V300" i="14"/>
  <c r="V301" i="14"/>
  <c r="V302" i="14"/>
  <c r="V303" i="14"/>
  <c r="V304" i="14"/>
  <c r="V305" i="14"/>
  <c r="V306" i="14"/>
  <c r="V307" i="14"/>
  <c r="V308" i="14"/>
  <c r="V309" i="14"/>
  <c r="V310" i="14"/>
  <c r="V311" i="14"/>
  <c r="V312" i="14"/>
  <c r="V313" i="14"/>
  <c r="V314" i="14"/>
  <c r="V315" i="14"/>
  <c r="V316" i="14"/>
  <c r="V317" i="14"/>
  <c r="V318" i="14"/>
  <c r="V319" i="14"/>
  <c r="V320" i="14"/>
  <c r="V321" i="14"/>
  <c r="V322" i="14"/>
  <c r="V323" i="14"/>
  <c r="V324" i="14"/>
  <c r="V325" i="14"/>
  <c r="V326" i="14"/>
  <c r="V327" i="14"/>
  <c r="V328" i="14"/>
  <c r="V329" i="14"/>
  <c r="V330" i="14"/>
  <c r="V331" i="14"/>
  <c r="V332" i="14"/>
  <c r="V333" i="14"/>
  <c r="V334" i="14"/>
  <c r="V335" i="14"/>
  <c r="V336" i="14"/>
  <c r="V337" i="14"/>
  <c r="V338" i="14"/>
  <c r="V339" i="14"/>
  <c r="V340" i="14"/>
  <c r="V341" i="14"/>
  <c r="V342" i="14"/>
  <c r="V343" i="14"/>
  <c r="V344" i="14"/>
  <c r="V345" i="14"/>
  <c r="V346" i="14"/>
  <c r="V347" i="14"/>
  <c r="V348" i="14"/>
  <c r="V349" i="14"/>
  <c r="V350" i="14"/>
  <c r="V351" i="14"/>
  <c r="V352" i="14"/>
  <c r="V353" i="14"/>
  <c r="V354" i="14"/>
  <c r="V355" i="14"/>
  <c r="V356" i="14"/>
  <c r="V357" i="14"/>
  <c r="V358" i="14"/>
  <c r="V359" i="14"/>
  <c r="V360" i="14"/>
  <c r="V361" i="14"/>
  <c r="V362" i="14"/>
  <c r="V363" i="14"/>
  <c r="V364" i="14"/>
  <c r="V365" i="14"/>
  <c r="V366" i="14"/>
  <c r="V367" i="14"/>
  <c r="V368" i="14"/>
  <c r="V369" i="14"/>
  <c r="V370" i="14"/>
  <c r="V371" i="14"/>
  <c r="V372" i="14"/>
  <c r="V373" i="14"/>
  <c r="V374" i="14"/>
  <c r="V375" i="14"/>
  <c r="V376" i="14"/>
  <c r="V377" i="14"/>
  <c r="V378" i="14"/>
  <c r="V379" i="14"/>
  <c r="V380" i="14"/>
  <c r="V381" i="14"/>
  <c r="V382" i="14"/>
  <c r="V383" i="14"/>
  <c r="V384" i="14"/>
  <c r="V385" i="14"/>
  <c r="V386" i="14"/>
  <c r="V387" i="14"/>
  <c r="V388" i="14"/>
  <c r="V389" i="14"/>
  <c r="V390" i="14"/>
  <c r="V391" i="14"/>
  <c r="V392" i="14"/>
  <c r="V393" i="14"/>
  <c r="V394" i="14"/>
  <c r="V395" i="14"/>
  <c r="V396" i="14"/>
  <c r="V397" i="14"/>
  <c r="V398" i="14"/>
  <c r="V399" i="14"/>
  <c r="V400" i="14"/>
  <c r="V401" i="14"/>
  <c r="V402" i="14"/>
  <c r="V403" i="14"/>
  <c r="V404" i="14"/>
  <c r="V405" i="14"/>
  <c r="V406" i="14"/>
  <c r="V407" i="14"/>
  <c r="V408" i="14"/>
  <c r="V409" i="14"/>
  <c r="V410" i="14"/>
  <c r="V411" i="14"/>
  <c r="V412" i="14"/>
  <c r="V413" i="14"/>
  <c r="V414" i="14"/>
  <c r="V415" i="14"/>
  <c r="V416" i="14"/>
  <c r="V417" i="14"/>
  <c r="V418" i="14"/>
  <c r="V419" i="14"/>
  <c r="V420" i="14"/>
  <c r="V421" i="14"/>
  <c r="V422" i="14"/>
  <c r="V423" i="14"/>
  <c r="V424" i="14"/>
  <c r="V425" i="14"/>
  <c r="V426" i="14"/>
  <c r="V427" i="14"/>
  <c r="V428" i="14"/>
  <c r="V429" i="14"/>
  <c r="V430" i="14"/>
  <c r="V431" i="14"/>
  <c r="V432" i="14"/>
  <c r="V433" i="14"/>
  <c r="V434" i="14"/>
  <c r="V435" i="14"/>
  <c r="V436" i="14"/>
  <c r="V442" i="14"/>
  <c r="V443" i="14"/>
  <c r="V444" i="14"/>
  <c r="V445" i="14"/>
  <c r="V446" i="14"/>
  <c r="V447" i="14"/>
  <c r="V448" i="14"/>
  <c r="V449" i="14"/>
  <c r="V450" i="14"/>
  <c r="V451" i="14"/>
  <c r="AH37" i="15"/>
  <c r="AH73" i="15"/>
  <c r="AH109" i="15"/>
  <c r="AH145" i="15"/>
  <c r="AH181" i="15"/>
  <c r="AH217" i="15"/>
  <c r="AH253" i="15"/>
  <c r="AH289" i="15"/>
  <c r="AH325" i="15"/>
  <c r="AH361" i="15"/>
  <c r="AH397" i="15"/>
  <c r="AH433" i="15"/>
  <c r="AH2124" i="15"/>
  <c r="AH2159" i="15"/>
  <c r="AH1682" i="15"/>
  <c r="AH1719" i="15"/>
  <c r="AH1756" i="15"/>
  <c r="AH1793" i="15"/>
  <c r="AH1830" i="15"/>
  <c r="AH1867" i="15"/>
  <c r="AH1904" i="15"/>
  <c r="AH1941" i="15"/>
  <c r="AH1978" i="15"/>
  <c r="AH2015" i="15"/>
  <c r="AH2052" i="15"/>
  <c r="AH2089" i="15"/>
  <c r="AH863" i="15"/>
  <c r="AH897" i="15"/>
  <c r="AH931" i="15"/>
  <c r="AH965" i="15"/>
  <c r="AH999" i="15"/>
  <c r="AH1033" i="15"/>
  <c r="AH1067" i="15"/>
  <c r="AH1101" i="15"/>
  <c r="AH1135" i="15"/>
  <c r="AH1169" i="15"/>
  <c r="AH1203" i="15"/>
  <c r="AH1237" i="15"/>
  <c r="AH466" i="15"/>
  <c r="AH499" i="15"/>
  <c r="AH532" i="15"/>
  <c r="AH565" i="15"/>
  <c r="AH598" i="15"/>
  <c r="AH631" i="15"/>
  <c r="AH664" i="15"/>
  <c r="AH697" i="15"/>
  <c r="AH730" i="15"/>
  <c r="AH763" i="15"/>
  <c r="AH796" i="15"/>
  <c r="AH829" i="15"/>
  <c r="AH36" i="15"/>
  <c r="AH72" i="15"/>
  <c r="AH108" i="15"/>
  <c r="AH144" i="15"/>
  <c r="AH180" i="15"/>
  <c r="AH216" i="15"/>
  <c r="AH252" i="15"/>
  <c r="AH288" i="15"/>
  <c r="AH324" i="15"/>
  <c r="AH360" i="15"/>
  <c r="AH396" i="15"/>
  <c r="AH432" i="15"/>
  <c r="AH2123" i="15"/>
  <c r="AH2158" i="15"/>
  <c r="AH1681" i="15"/>
  <c r="AH1718" i="15"/>
  <c r="AH1755" i="15"/>
  <c r="AH1792" i="15"/>
  <c r="AH1829" i="15"/>
  <c r="AH1866" i="15"/>
  <c r="AH1903" i="15"/>
  <c r="AH1940" i="15"/>
  <c r="AH1977" i="15"/>
  <c r="AH2014" i="15"/>
  <c r="AH2051" i="15"/>
  <c r="AH2088" i="15"/>
  <c r="AH862" i="15"/>
  <c r="AH896" i="15"/>
  <c r="AH930" i="15"/>
  <c r="AH964" i="15"/>
  <c r="AH998" i="15"/>
  <c r="AH1032" i="15"/>
  <c r="AH1066" i="15"/>
  <c r="AH1100" i="15"/>
  <c r="AH1134" i="15"/>
  <c r="AH1168" i="15"/>
  <c r="AH1202" i="15"/>
  <c r="AH1236" i="15"/>
  <c r="AH465" i="15"/>
  <c r="AH498" i="15"/>
  <c r="AH531" i="15"/>
  <c r="AH564" i="15"/>
  <c r="AH597" i="15"/>
  <c r="AH630" i="15"/>
  <c r="AH663" i="15"/>
  <c r="AH696" i="15"/>
  <c r="AH729" i="15"/>
  <c r="AH762" i="15"/>
  <c r="AH795" i="15"/>
  <c r="AH828" i="15"/>
  <c r="AH35" i="15"/>
  <c r="AH71" i="15"/>
  <c r="AH107" i="15"/>
  <c r="AH143" i="15"/>
  <c r="AH179" i="15"/>
  <c r="AH215" i="15"/>
  <c r="AH251" i="15"/>
  <c r="AH287" i="15"/>
  <c r="AH323" i="15"/>
  <c r="AH359" i="15"/>
  <c r="AH395" i="15"/>
  <c r="AH431" i="15"/>
  <c r="AH2122" i="15"/>
  <c r="AH2157" i="15"/>
  <c r="AH1680" i="15"/>
  <c r="AH1717" i="15"/>
  <c r="AH1754" i="15"/>
  <c r="AH1791" i="15"/>
  <c r="AH1828" i="15"/>
  <c r="AH1865" i="15"/>
  <c r="AH1902" i="15"/>
  <c r="AH1939" i="15"/>
  <c r="AH1976" i="15"/>
  <c r="AH2013" i="15"/>
  <c r="AH2050" i="15"/>
  <c r="AH2087" i="15"/>
  <c r="AH861" i="15"/>
  <c r="AH895" i="15"/>
  <c r="AH929" i="15"/>
  <c r="AH963" i="15"/>
  <c r="AH997" i="15"/>
  <c r="AH1031" i="15"/>
  <c r="AH1065" i="15"/>
  <c r="AH1099" i="15"/>
  <c r="AH1133" i="15"/>
  <c r="AH1167" i="15"/>
  <c r="AH1201" i="15"/>
  <c r="AH1235" i="15"/>
  <c r="AH464" i="15"/>
  <c r="AH497" i="15"/>
  <c r="AH530" i="15"/>
  <c r="AH563" i="15"/>
  <c r="AH596" i="15"/>
  <c r="AH629" i="15"/>
  <c r="AH662" i="15"/>
  <c r="AH695" i="15"/>
  <c r="AH728" i="15"/>
  <c r="AH761" i="15"/>
  <c r="AH794" i="15"/>
  <c r="AH827" i="15"/>
  <c r="AH34" i="15"/>
  <c r="AH70" i="15"/>
  <c r="AH106" i="15"/>
  <c r="AH142" i="15"/>
  <c r="AH178" i="15"/>
  <c r="AH214" i="15"/>
  <c r="AH250" i="15"/>
  <c r="AH286" i="15"/>
  <c r="AH322" i="15"/>
  <c r="AH358" i="15"/>
  <c r="AH394" i="15"/>
  <c r="AH430" i="15"/>
  <c r="AH2121" i="15"/>
  <c r="AH2156" i="15"/>
  <c r="AH1679" i="15"/>
  <c r="AH1716" i="15"/>
  <c r="AH1753" i="15"/>
  <c r="AH1790" i="15"/>
  <c r="AH1827" i="15"/>
  <c r="AH1864" i="15"/>
  <c r="AH1901" i="15"/>
  <c r="AH1938" i="15"/>
  <c r="AH1975" i="15"/>
  <c r="AH2012" i="15"/>
  <c r="AH2049" i="15"/>
  <c r="AH2086" i="15"/>
  <c r="AH2120" i="15"/>
  <c r="AH2155" i="15"/>
  <c r="AH1678" i="15"/>
  <c r="AH1715" i="15"/>
  <c r="AH1752" i="15"/>
  <c r="AH1789" i="15"/>
  <c r="AH1826" i="15"/>
  <c r="AH1863" i="15"/>
  <c r="AH1900" i="15"/>
  <c r="AH1937" i="15"/>
  <c r="AH1974" i="15"/>
  <c r="AH2011" i="15"/>
  <c r="AH2048" i="15"/>
  <c r="AH2085" i="15"/>
  <c r="AH860" i="15"/>
  <c r="AH894" i="15"/>
  <c r="AH928" i="15"/>
  <c r="AH962" i="15"/>
  <c r="AH996" i="15"/>
  <c r="AH1030" i="15"/>
  <c r="AH1064" i="15"/>
  <c r="AH1098" i="15"/>
  <c r="AH1132" i="15"/>
  <c r="AH1166" i="15"/>
  <c r="AH1200" i="15"/>
  <c r="AH1234" i="15"/>
  <c r="AH2119" i="15"/>
  <c r="AH2154" i="15"/>
  <c r="AH1677" i="15"/>
  <c r="AH1714" i="15"/>
  <c r="AH1751" i="15"/>
  <c r="AH1788" i="15"/>
  <c r="AH1825" i="15"/>
  <c r="AH1862" i="15"/>
  <c r="AH1899" i="15"/>
  <c r="AH1936" i="15"/>
  <c r="AH1973" i="15"/>
  <c r="AH2010" i="15"/>
  <c r="AH2047" i="15"/>
  <c r="AH2084" i="15"/>
  <c r="AH859" i="15"/>
  <c r="AH893" i="15"/>
  <c r="AH927" i="15"/>
  <c r="AH961" i="15"/>
  <c r="AH995" i="15"/>
  <c r="AH1029" i="15"/>
  <c r="AH1063" i="15"/>
  <c r="AH1097" i="15"/>
  <c r="AH1131" i="15"/>
  <c r="AH1165" i="15"/>
  <c r="AH1199" i="15"/>
  <c r="AH1233" i="15"/>
  <c r="AH463" i="15"/>
  <c r="AH496" i="15"/>
  <c r="AH529" i="15"/>
  <c r="AH562" i="15"/>
  <c r="AH595" i="15"/>
  <c r="AH628" i="15"/>
  <c r="AH661" i="15"/>
  <c r="AH694" i="15"/>
  <c r="AH727" i="15"/>
  <c r="AH760" i="15"/>
  <c r="AH793" i="15"/>
  <c r="AH826" i="15"/>
  <c r="AH33" i="15"/>
  <c r="AH69" i="15"/>
  <c r="AH105" i="15"/>
  <c r="AH141" i="15"/>
  <c r="AH177" i="15"/>
  <c r="AH213" i="15"/>
  <c r="AH249" i="15"/>
  <c r="AH285" i="15"/>
  <c r="AH321" i="15"/>
  <c r="AH357" i="15"/>
  <c r="AH393" i="15"/>
  <c r="AH429" i="15"/>
  <c r="AH1676" i="15"/>
  <c r="AH1713" i="15"/>
  <c r="AH1750" i="15"/>
  <c r="AH1787" i="15"/>
  <c r="AH1824" i="15"/>
  <c r="AH1861" i="15"/>
  <c r="AH1898" i="15"/>
  <c r="AH1935" i="15"/>
  <c r="AH1972" i="15"/>
  <c r="AH2009" i="15"/>
  <c r="AH2046" i="15"/>
  <c r="AH2083" i="15"/>
  <c r="AH858" i="15"/>
  <c r="AH892" i="15"/>
  <c r="AH926" i="15"/>
  <c r="AH960" i="15"/>
  <c r="AH994" i="15"/>
  <c r="AH1028" i="15"/>
  <c r="AH1062" i="15"/>
  <c r="AH1096" i="15"/>
  <c r="AH1130" i="15"/>
  <c r="AH1164" i="15"/>
  <c r="AH1198" i="15"/>
  <c r="AH1232" i="15"/>
  <c r="AH462" i="15"/>
  <c r="AH495" i="15"/>
  <c r="AH528" i="15"/>
  <c r="AH561" i="15"/>
  <c r="AH594" i="15"/>
  <c r="AH627" i="15"/>
  <c r="AH660" i="15"/>
  <c r="AH693" i="15"/>
  <c r="AH726" i="15"/>
  <c r="AH759" i="15"/>
  <c r="AH792" i="15"/>
  <c r="AH825" i="15"/>
  <c r="AH32" i="15"/>
  <c r="AH68" i="15"/>
  <c r="AH104" i="15"/>
  <c r="AH140" i="15"/>
  <c r="AH176" i="15"/>
  <c r="AH212" i="15"/>
  <c r="AH248" i="15"/>
  <c r="AH284" i="15"/>
  <c r="AH320" i="15"/>
  <c r="AH356" i="15"/>
  <c r="AH392" i="15"/>
  <c r="AH428" i="15"/>
  <c r="AH2118" i="15"/>
  <c r="AH2153" i="15"/>
  <c r="AH1675" i="15"/>
  <c r="AH1712" i="15"/>
  <c r="AH1749" i="15"/>
  <c r="AH1786" i="15"/>
  <c r="AH1823" i="15"/>
  <c r="AH1860" i="15"/>
  <c r="AH1897" i="15"/>
  <c r="AH1934" i="15"/>
  <c r="AH1971" i="15"/>
  <c r="AH2008" i="15"/>
  <c r="AH2045" i="15"/>
  <c r="AH2082" i="15"/>
  <c r="AH857" i="15"/>
  <c r="AH891" i="15"/>
  <c r="AH925" i="15"/>
  <c r="AH959" i="15"/>
  <c r="AH993" i="15"/>
  <c r="AH1027" i="15"/>
  <c r="AH1061" i="15"/>
  <c r="AH1095" i="15"/>
  <c r="AH1129" i="15"/>
  <c r="AH1163" i="15"/>
  <c r="AH1197" i="15"/>
  <c r="AH1231" i="15"/>
  <c r="AH461" i="15"/>
  <c r="AH494" i="15"/>
  <c r="AH527" i="15"/>
  <c r="AH560" i="15"/>
  <c r="AH593" i="15"/>
  <c r="AH626" i="15"/>
  <c r="AH659" i="15"/>
  <c r="AH692" i="15"/>
  <c r="AH725" i="15"/>
  <c r="AH758" i="15"/>
  <c r="AH791" i="15"/>
  <c r="AH824" i="15"/>
  <c r="AH31" i="15"/>
  <c r="AH67" i="15"/>
  <c r="AH103" i="15"/>
  <c r="AH139" i="15"/>
  <c r="AH175" i="15"/>
  <c r="AH211" i="15"/>
  <c r="AH247" i="15"/>
  <c r="AH283" i="15"/>
  <c r="AH319" i="15"/>
  <c r="AH355" i="15"/>
  <c r="AH391" i="15"/>
  <c r="AH427" i="15"/>
  <c r="AH2117" i="15"/>
  <c r="AH2152" i="15"/>
  <c r="AH1674" i="15"/>
  <c r="AH1711" i="15"/>
  <c r="AH1748" i="15"/>
  <c r="AH1785" i="15"/>
  <c r="AH1822" i="15"/>
  <c r="AH1859" i="15"/>
  <c r="AH1896" i="15"/>
  <c r="AH1933" i="15"/>
  <c r="AH1970" i="15"/>
  <c r="AH2007" i="15"/>
  <c r="AH2044" i="15"/>
  <c r="AH2081" i="15"/>
  <c r="AH2116" i="15"/>
  <c r="AH2151" i="15"/>
  <c r="AH1673" i="15"/>
  <c r="AH1710" i="15"/>
  <c r="AH1747" i="15"/>
  <c r="AH1784" i="15"/>
  <c r="AH1821" i="15"/>
  <c r="AH1858" i="15"/>
  <c r="AH1895" i="15"/>
  <c r="AH1932" i="15"/>
  <c r="AH1969" i="15"/>
  <c r="AH2006" i="15"/>
  <c r="AH2043" i="15"/>
  <c r="AH2080" i="15"/>
  <c r="AH856" i="15"/>
  <c r="AH890" i="15"/>
  <c r="AH924" i="15"/>
  <c r="AH958" i="15"/>
  <c r="AH992" i="15"/>
  <c r="AH1026" i="15"/>
  <c r="AH1060" i="15"/>
  <c r="AH1094" i="15"/>
  <c r="AH1128" i="15"/>
  <c r="AH1162" i="15"/>
  <c r="AH1196" i="15"/>
  <c r="AH1230" i="15"/>
  <c r="AH30" i="15"/>
  <c r="AH66" i="15"/>
  <c r="AH102" i="15"/>
  <c r="AH138" i="15"/>
  <c r="AH174" i="15"/>
  <c r="AH210" i="15"/>
  <c r="AH246" i="15"/>
  <c r="AH282" i="15"/>
  <c r="AH318" i="15"/>
  <c r="AH354" i="15"/>
  <c r="AH390" i="15"/>
  <c r="AH426" i="15"/>
  <c r="AH2115" i="15"/>
  <c r="AH2150" i="15"/>
  <c r="AH1672" i="15"/>
  <c r="AH1709" i="15"/>
  <c r="AH1746" i="15"/>
  <c r="AH1783" i="15"/>
  <c r="AH1820" i="15"/>
  <c r="AH1857" i="15"/>
  <c r="AH1894" i="15"/>
  <c r="AH1931" i="15"/>
  <c r="AH1968" i="15"/>
  <c r="AH2005" i="15"/>
  <c r="AH2042" i="15"/>
  <c r="AH2079" i="15"/>
  <c r="AH460" i="15"/>
  <c r="AH493" i="15"/>
  <c r="AH526" i="15"/>
  <c r="AH559" i="15"/>
  <c r="AH592" i="15"/>
  <c r="AH625" i="15"/>
  <c r="AH658" i="15"/>
  <c r="AH691" i="15"/>
  <c r="AH724" i="15"/>
  <c r="AH757" i="15"/>
  <c r="AH790" i="15"/>
  <c r="AH823" i="15"/>
  <c r="AH29" i="15"/>
  <c r="AH65" i="15"/>
  <c r="AH101" i="15"/>
  <c r="AH137" i="15"/>
  <c r="AH173" i="15"/>
  <c r="AH209" i="15"/>
  <c r="AH245" i="15"/>
  <c r="AH281" i="15"/>
  <c r="AH317" i="15"/>
  <c r="AH353" i="15"/>
  <c r="AH389" i="15"/>
  <c r="AH425" i="15"/>
  <c r="AH2114" i="15"/>
  <c r="AH2149" i="15"/>
  <c r="AH1671" i="15"/>
  <c r="AH1708" i="15"/>
  <c r="AH1745" i="15"/>
  <c r="AH1782" i="15"/>
  <c r="AH1819" i="15"/>
  <c r="AH1856" i="15"/>
  <c r="AH1893" i="15"/>
  <c r="AH1930" i="15"/>
  <c r="AH1967" i="15"/>
  <c r="AH2004" i="15"/>
  <c r="AH2041" i="15"/>
  <c r="AH2078" i="15"/>
  <c r="AH2113" i="15"/>
  <c r="AH2148" i="15"/>
  <c r="AH1670" i="15"/>
  <c r="AH1707" i="15"/>
  <c r="AH1744" i="15"/>
  <c r="AH1781" i="15"/>
  <c r="AH1818" i="15"/>
  <c r="AH1855" i="15"/>
  <c r="AH1892" i="15"/>
  <c r="AH1929" i="15"/>
  <c r="AH1966" i="15"/>
  <c r="AH2003" i="15"/>
  <c r="AH2040" i="15"/>
  <c r="AH2077" i="15"/>
  <c r="AH1669" i="15"/>
  <c r="AH1706" i="15"/>
  <c r="AH1743" i="15"/>
  <c r="AH1780" i="15"/>
  <c r="AH1817" i="15"/>
  <c r="AH1854" i="15"/>
  <c r="AH1891" i="15"/>
  <c r="AH1928" i="15"/>
  <c r="AH1965" i="15"/>
  <c r="AH2002" i="15"/>
  <c r="AH2039" i="15"/>
  <c r="AH2076" i="15"/>
  <c r="AH855" i="15"/>
  <c r="AH889" i="15"/>
  <c r="AH923" i="15"/>
  <c r="AH957" i="15"/>
  <c r="AH991" i="15"/>
  <c r="AH1025" i="15"/>
  <c r="AH1059" i="15"/>
  <c r="AH1093" i="15"/>
  <c r="AH1127" i="15"/>
  <c r="AH1161" i="15"/>
  <c r="AH1195" i="15"/>
  <c r="AH1229" i="15"/>
  <c r="AH459" i="15"/>
  <c r="AH492" i="15"/>
  <c r="AH525" i="15"/>
  <c r="AH558" i="15"/>
  <c r="AH591" i="15"/>
  <c r="AH624" i="15"/>
  <c r="AH657" i="15"/>
  <c r="AH690" i="15"/>
  <c r="AH723" i="15"/>
  <c r="AH756" i="15"/>
  <c r="AH789" i="15"/>
  <c r="AH822" i="15"/>
  <c r="AH2112" i="15"/>
  <c r="AH2147" i="15"/>
  <c r="AH1668" i="15"/>
  <c r="AH1705" i="15"/>
  <c r="AH1742" i="15"/>
  <c r="AH1779" i="15"/>
  <c r="AH1816" i="15"/>
  <c r="AH1853" i="15"/>
  <c r="AH1890" i="15"/>
  <c r="AH1927" i="15"/>
  <c r="AH1964" i="15"/>
  <c r="AH2001" i="15"/>
  <c r="AH2038" i="15"/>
  <c r="AH2075" i="15"/>
  <c r="AH2111" i="15"/>
  <c r="AH2146" i="15"/>
  <c r="AH1667" i="15"/>
  <c r="AH1704" i="15"/>
  <c r="AH1741" i="15"/>
  <c r="AH1778" i="15"/>
  <c r="AH1815" i="15"/>
  <c r="AH1852" i="15"/>
  <c r="AH1889" i="15"/>
  <c r="AH1926" i="15"/>
  <c r="AH1963" i="15"/>
  <c r="AH2000" i="15"/>
  <c r="AH2037" i="15"/>
  <c r="AH2074" i="15"/>
  <c r="AH854" i="15"/>
  <c r="AH888" i="15"/>
  <c r="AH922" i="15"/>
  <c r="AH956" i="15"/>
  <c r="AH990" i="15"/>
  <c r="AH1024" i="15"/>
  <c r="AH1058" i="15"/>
  <c r="AH1092" i="15"/>
  <c r="AH1126" i="15"/>
  <c r="AH1160" i="15"/>
  <c r="AH1194" i="15"/>
  <c r="AH1228" i="15"/>
  <c r="AH2110" i="15"/>
  <c r="AH2145" i="15"/>
  <c r="AH1666" i="15"/>
  <c r="AH1703" i="15"/>
  <c r="AH1740" i="15"/>
  <c r="AH1777" i="15"/>
  <c r="AH1814" i="15"/>
  <c r="AH1851" i="15"/>
  <c r="AH1888" i="15"/>
  <c r="AH1925" i="15"/>
  <c r="AH1962" i="15"/>
  <c r="AH1999" i="15"/>
  <c r="AH2036" i="15"/>
  <c r="AH2073" i="15"/>
  <c r="AH2109" i="15"/>
  <c r="AH2144" i="15"/>
  <c r="AH1665" i="15"/>
  <c r="AH1702" i="15"/>
  <c r="AH1739" i="15"/>
  <c r="AH1776" i="15"/>
  <c r="AH1813" i="15"/>
  <c r="AH1850" i="15"/>
  <c r="AH1887" i="15"/>
  <c r="AH1924" i="15"/>
  <c r="AH1961" i="15"/>
  <c r="AH1998" i="15"/>
  <c r="AH2035" i="15"/>
  <c r="AH2072" i="15"/>
  <c r="AH853" i="15"/>
  <c r="AH887" i="15"/>
  <c r="AH921" i="15"/>
  <c r="AH955" i="15"/>
  <c r="AH989" i="15"/>
  <c r="AH1023" i="15"/>
  <c r="AH1057" i="15"/>
  <c r="AH1091" i="15"/>
  <c r="AH1125" i="15"/>
  <c r="AH1159" i="15"/>
  <c r="AH1193" i="15"/>
  <c r="AH1227" i="15"/>
  <c r="AH458" i="15"/>
  <c r="AH491" i="15"/>
  <c r="AH524" i="15"/>
  <c r="AH557" i="15"/>
  <c r="AH590" i="15"/>
  <c r="AH623" i="15"/>
  <c r="AH656" i="15"/>
  <c r="AH689" i="15"/>
  <c r="AH722" i="15"/>
  <c r="AH755" i="15"/>
  <c r="AH788" i="15"/>
  <c r="AH821" i="15"/>
  <c r="AH28" i="15"/>
  <c r="AH64" i="15"/>
  <c r="AH100" i="15"/>
  <c r="AH136" i="15"/>
  <c r="AH172" i="15"/>
  <c r="AH208" i="15"/>
  <c r="AH244" i="15"/>
  <c r="AH280" i="15"/>
  <c r="AH316" i="15"/>
  <c r="AH352" i="15"/>
  <c r="AH388" i="15"/>
  <c r="AH424" i="15"/>
  <c r="AH2108" i="15"/>
  <c r="AH2143" i="15"/>
  <c r="AH1664" i="15"/>
  <c r="AH1701" i="15"/>
  <c r="AH1738" i="15"/>
  <c r="AH1775" i="15"/>
  <c r="AH1812" i="15"/>
  <c r="AH1849" i="15"/>
  <c r="AH1886" i="15"/>
  <c r="AH1923" i="15"/>
  <c r="AH1960" i="15"/>
  <c r="AH1997" i="15"/>
  <c r="AH2034" i="15"/>
  <c r="AH2071" i="15"/>
  <c r="AH852" i="15"/>
  <c r="AH886" i="15"/>
  <c r="AH920" i="15"/>
  <c r="AH954" i="15"/>
  <c r="AH988" i="15"/>
  <c r="AH1022" i="15"/>
  <c r="AH1056" i="15"/>
  <c r="AH1090" i="15"/>
  <c r="AH1124" i="15"/>
  <c r="AH1158" i="15"/>
  <c r="AH1192" i="15"/>
  <c r="AH1226" i="15"/>
  <c r="AH457" i="15"/>
  <c r="AH490" i="15"/>
  <c r="AH523" i="15"/>
  <c r="AH556" i="15"/>
  <c r="AH589" i="15"/>
  <c r="AH622" i="15"/>
  <c r="AH655" i="15"/>
  <c r="AH688" i="15"/>
  <c r="AH721" i="15"/>
  <c r="AH754" i="15"/>
  <c r="AH787" i="15"/>
  <c r="AH820" i="15"/>
  <c r="AH27" i="15"/>
  <c r="AH63" i="15"/>
  <c r="AH99" i="15"/>
  <c r="AH135" i="15"/>
  <c r="AH171" i="15"/>
  <c r="AH207" i="15"/>
  <c r="AH243" i="15"/>
  <c r="AH279" i="15"/>
  <c r="AH315" i="15"/>
  <c r="AH351" i="15"/>
  <c r="AH387" i="15"/>
  <c r="AH423" i="15"/>
  <c r="AH851" i="15"/>
  <c r="AH885" i="15"/>
  <c r="AH919" i="15"/>
  <c r="AH953" i="15"/>
  <c r="AH987" i="15"/>
  <c r="AH1021" i="15"/>
  <c r="AH1055" i="15"/>
  <c r="AH1089" i="15"/>
  <c r="AH1123" i="15"/>
  <c r="AH1157" i="15"/>
  <c r="AH1191" i="15"/>
  <c r="AH1225" i="15"/>
  <c r="AH456" i="15"/>
  <c r="AH489" i="15"/>
  <c r="AH522" i="15"/>
  <c r="AH555" i="15"/>
  <c r="AH588" i="15"/>
  <c r="AH621" i="15"/>
  <c r="AH654" i="15"/>
  <c r="AH687" i="15"/>
  <c r="AH720" i="15"/>
  <c r="AH753" i="15"/>
  <c r="AH786" i="15"/>
  <c r="AH819" i="15"/>
  <c r="AH26" i="15"/>
  <c r="AH62" i="15"/>
  <c r="AH98" i="15"/>
  <c r="AH134" i="15"/>
  <c r="AH170" i="15"/>
  <c r="AH206" i="15"/>
  <c r="AH242" i="15"/>
  <c r="AH278" i="15"/>
  <c r="AH314" i="15"/>
  <c r="AH350" i="15"/>
  <c r="AH386" i="15"/>
  <c r="AH422" i="15"/>
  <c r="AH2107" i="15"/>
  <c r="AH2142" i="15"/>
  <c r="AH1663" i="15"/>
  <c r="AH1700" i="15"/>
  <c r="AH1737" i="15"/>
  <c r="AH1774" i="15"/>
  <c r="AH1811" i="15"/>
  <c r="AH1848" i="15"/>
  <c r="AH1885" i="15"/>
  <c r="AH1922" i="15"/>
  <c r="AH1959" i="15"/>
  <c r="AH1996" i="15"/>
  <c r="AH2033" i="15"/>
  <c r="AH2070" i="15"/>
  <c r="AH850" i="15"/>
  <c r="AH884" i="15"/>
  <c r="AH918" i="15"/>
  <c r="AH952" i="15"/>
  <c r="AH986" i="15"/>
  <c r="AH1020" i="15"/>
  <c r="AH1054" i="15"/>
  <c r="AH1088" i="15"/>
  <c r="AH1122" i="15"/>
  <c r="AH1156" i="15"/>
  <c r="AH1190" i="15"/>
  <c r="AH1224" i="15"/>
  <c r="AH455" i="15"/>
  <c r="AH488" i="15"/>
  <c r="AH521" i="15"/>
  <c r="AH554" i="15"/>
  <c r="AH587" i="15"/>
  <c r="AH620" i="15"/>
  <c r="AH653" i="15"/>
  <c r="AH686" i="15"/>
  <c r="AH719" i="15"/>
  <c r="AH752" i="15"/>
  <c r="AH785" i="15"/>
  <c r="AH818" i="15"/>
  <c r="AH25" i="15"/>
  <c r="AH61" i="15"/>
  <c r="AH97" i="15"/>
  <c r="AH133" i="15"/>
  <c r="AH169" i="15"/>
  <c r="AH205" i="15"/>
  <c r="AH241" i="15"/>
  <c r="AH277" i="15"/>
  <c r="AH313" i="15"/>
  <c r="AH349" i="15"/>
  <c r="AH385" i="15"/>
  <c r="AH421" i="15"/>
  <c r="AH2106" i="15"/>
  <c r="AH2141" i="15"/>
  <c r="AH1662" i="15"/>
  <c r="AH1699" i="15"/>
  <c r="AH1736" i="15"/>
  <c r="AH1773" i="15"/>
  <c r="AH1810" i="15"/>
  <c r="AH1847" i="15"/>
  <c r="AH1884" i="15"/>
  <c r="AH1921" i="15"/>
  <c r="AH1958" i="15"/>
  <c r="AH1995" i="15"/>
  <c r="AH2032" i="15"/>
  <c r="AH2069" i="15"/>
  <c r="AH849" i="15"/>
  <c r="AH883" i="15"/>
  <c r="AH917" i="15"/>
  <c r="AH951" i="15"/>
  <c r="AH985" i="15"/>
  <c r="AH1019" i="15"/>
  <c r="AH1053" i="15"/>
  <c r="AH1087" i="15"/>
  <c r="AH1121" i="15"/>
  <c r="AH1155" i="15"/>
  <c r="AH1189" i="15"/>
  <c r="AH1223" i="15"/>
  <c r="AH454" i="15"/>
  <c r="AH487" i="15"/>
  <c r="AH520" i="15"/>
  <c r="AH553" i="15"/>
  <c r="AH586" i="15"/>
  <c r="AH619" i="15"/>
  <c r="AH652" i="15"/>
  <c r="AH685" i="15"/>
  <c r="AH718" i="15"/>
  <c r="AH751" i="15"/>
  <c r="AH784" i="15"/>
  <c r="AH817" i="15"/>
  <c r="AH24" i="15"/>
  <c r="AH60" i="15"/>
  <c r="AH96" i="15"/>
  <c r="AH132" i="15"/>
  <c r="AH168" i="15"/>
  <c r="AH204" i="15"/>
  <c r="AH240" i="15"/>
  <c r="AH276" i="15"/>
  <c r="AH312" i="15"/>
  <c r="AH348" i="15"/>
  <c r="AH384" i="15"/>
  <c r="AH420" i="15"/>
  <c r="AH2105" i="15"/>
  <c r="AH2140" i="15"/>
  <c r="AH1661" i="15"/>
  <c r="AH1698" i="15"/>
  <c r="AH1735" i="15"/>
  <c r="AH1772" i="15"/>
  <c r="AH1809" i="15"/>
  <c r="AH1846" i="15"/>
  <c r="AH1883" i="15"/>
  <c r="AH1920" i="15"/>
  <c r="AH1957" i="15"/>
  <c r="AH1994" i="15"/>
  <c r="AH2031" i="15"/>
  <c r="AH2068" i="15"/>
  <c r="AH2104" i="15"/>
  <c r="AH2139" i="15"/>
  <c r="AH1660" i="15"/>
  <c r="AH1697" i="15"/>
  <c r="AH1734" i="15"/>
  <c r="AH1771" i="15"/>
  <c r="AH1808" i="15"/>
  <c r="AH1845" i="15"/>
  <c r="AH1882" i="15"/>
  <c r="AH1919" i="15"/>
  <c r="AH1956" i="15"/>
  <c r="AH1993" i="15"/>
  <c r="AH2030" i="15"/>
  <c r="AH2067" i="15"/>
  <c r="AH848" i="15"/>
  <c r="AH882" i="15"/>
  <c r="AH916" i="15"/>
  <c r="AH950" i="15"/>
  <c r="AH984" i="15"/>
  <c r="AH1018" i="15"/>
  <c r="AH1052" i="15"/>
  <c r="AH1086" i="15"/>
  <c r="AH1120" i="15"/>
  <c r="AH1154" i="15"/>
  <c r="AH1188" i="15"/>
  <c r="AH1222" i="15"/>
  <c r="AH453" i="15"/>
  <c r="AH486" i="15"/>
  <c r="AH519" i="15"/>
  <c r="AH552" i="15"/>
  <c r="AH585" i="15"/>
  <c r="AH618" i="15"/>
  <c r="AH651" i="15"/>
  <c r="AH684" i="15"/>
  <c r="AH717" i="15"/>
  <c r="AH750" i="15"/>
  <c r="AH783" i="15"/>
  <c r="AH816" i="15"/>
  <c r="AH23" i="15"/>
  <c r="AH59" i="15"/>
  <c r="AH95" i="15"/>
  <c r="AH131" i="15"/>
  <c r="AH167" i="15"/>
  <c r="AH203" i="15"/>
  <c r="AH239" i="15"/>
  <c r="AH275" i="15"/>
  <c r="AH311" i="15"/>
  <c r="AH347" i="15"/>
  <c r="AH383" i="15"/>
  <c r="AH419" i="15"/>
  <c r="AH2103" i="15"/>
  <c r="AH2138" i="15"/>
  <c r="AH1659" i="15"/>
  <c r="AH1696" i="15"/>
  <c r="AH1733" i="15"/>
  <c r="AH1770" i="15"/>
  <c r="AH1807" i="15"/>
  <c r="AH1844" i="15"/>
  <c r="AH1881" i="15"/>
  <c r="AH1918" i="15"/>
  <c r="AH1955" i="15"/>
  <c r="AH1992" i="15"/>
  <c r="AH2029" i="15"/>
  <c r="AH2066" i="15"/>
  <c r="AH847" i="15"/>
  <c r="AH881" i="15"/>
  <c r="AH915" i="15"/>
  <c r="AH949" i="15"/>
  <c r="AH983" i="15"/>
  <c r="AH1017" i="15"/>
  <c r="AH1051" i="15"/>
  <c r="AH1085" i="15"/>
  <c r="AH1119" i="15"/>
  <c r="AH1153" i="15"/>
  <c r="AH1187" i="15"/>
  <c r="AH1221" i="15"/>
  <c r="AH452" i="15"/>
  <c r="AH485" i="15"/>
  <c r="AH518" i="15"/>
  <c r="AH551" i="15"/>
  <c r="AH584" i="15"/>
  <c r="AH617" i="15"/>
  <c r="AH650" i="15"/>
  <c r="AH683" i="15"/>
  <c r="AH716" i="15"/>
  <c r="AH749" i="15"/>
  <c r="AH782" i="15"/>
  <c r="AH815" i="15"/>
  <c r="AH22" i="15"/>
  <c r="AH58" i="15"/>
  <c r="AH94" i="15"/>
  <c r="AH130" i="15"/>
  <c r="AH166" i="15"/>
  <c r="AH202" i="15"/>
  <c r="AH238" i="15"/>
  <c r="AH274" i="15"/>
  <c r="AH310" i="15"/>
  <c r="AH346" i="15"/>
  <c r="AH382" i="15"/>
  <c r="AH418" i="15"/>
  <c r="AH2102" i="15"/>
  <c r="AH2137" i="15"/>
  <c r="AH1658" i="15"/>
  <c r="AH1695" i="15"/>
  <c r="AH1732" i="15"/>
  <c r="AH1769" i="15"/>
  <c r="AH1806" i="15"/>
  <c r="AH1843" i="15"/>
  <c r="AH1880" i="15"/>
  <c r="AH1917" i="15"/>
  <c r="AH1954" i="15"/>
  <c r="AH1991" i="15"/>
  <c r="AH2028" i="15"/>
  <c r="AH2065" i="15"/>
  <c r="AH846" i="15"/>
  <c r="AH880" i="15"/>
  <c r="AH914" i="15"/>
  <c r="AH948" i="15"/>
  <c r="AH982" i="15"/>
  <c r="AH1016" i="15"/>
  <c r="AH1050" i="15"/>
  <c r="AH1084" i="15"/>
  <c r="AH1118" i="15"/>
  <c r="AH1152" i="15"/>
  <c r="AH1186" i="15"/>
  <c r="AH1220" i="15"/>
  <c r="AH451" i="15"/>
  <c r="AH484" i="15"/>
  <c r="AH517" i="15"/>
  <c r="AH550" i="15"/>
  <c r="AH583" i="15"/>
  <c r="AH616" i="15"/>
  <c r="AH649" i="15"/>
  <c r="AH682" i="15"/>
  <c r="AH715" i="15"/>
  <c r="AH748" i="15"/>
  <c r="AH781" i="15"/>
  <c r="AH814" i="15"/>
  <c r="AH21" i="15"/>
  <c r="AH57" i="15"/>
  <c r="AH93" i="15"/>
  <c r="AH129" i="15"/>
  <c r="AH165" i="15"/>
  <c r="AH201" i="15"/>
  <c r="AH237" i="15"/>
  <c r="AH273" i="15"/>
  <c r="AH309" i="15"/>
  <c r="AH345" i="15"/>
  <c r="AH381" i="15"/>
  <c r="AH417" i="15"/>
  <c r="AH2101" i="15"/>
  <c r="AH2136" i="15"/>
  <c r="AH1657" i="15"/>
  <c r="AH1694" i="15"/>
  <c r="AH1731" i="15"/>
  <c r="AH1768" i="15"/>
  <c r="AH1805" i="15"/>
  <c r="AH1842" i="15"/>
  <c r="AH1879" i="15"/>
  <c r="AH1916" i="15"/>
  <c r="AH1953" i="15"/>
  <c r="AH1990" i="15"/>
  <c r="AH2027" i="15"/>
  <c r="AH2064" i="15"/>
  <c r="AH845" i="15"/>
  <c r="AH879" i="15"/>
  <c r="AH913" i="15"/>
  <c r="AH947" i="15"/>
  <c r="AH981" i="15"/>
  <c r="AH1015" i="15"/>
  <c r="AH1049" i="15"/>
  <c r="AH1083" i="15"/>
  <c r="AH1117" i="15"/>
  <c r="AH1151" i="15"/>
  <c r="AH1185" i="15"/>
  <c r="AH1219" i="15"/>
  <c r="AH450" i="15"/>
  <c r="AH483" i="15"/>
  <c r="AH516" i="15"/>
  <c r="AH549" i="15"/>
  <c r="AH582" i="15"/>
  <c r="AH615" i="15"/>
  <c r="AH648" i="15"/>
  <c r="AH681" i="15"/>
  <c r="AH714" i="15"/>
  <c r="AH747" i="15"/>
  <c r="AH780" i="15"/>
  <c r="AH813" i="15"/>
  <c r="AH20" i="15"/>
  <c r="AH56" i="15"/>
  <c r="AH92" i="15"/>
  <c r="AH128" i="15"/>
  <c r="AH164" i="15"/>
  <c r="AH200" i="15"/>
  <c r="AH236" i="15"/>
  <c r="AH272" i="15"/>
  <c r="AH308" i="15"/>
  <c r="AH344" i="15"/>
  <c r="AH380" i="15"/>
  <c r="AH416" i="15"/>
  <c r="AH19" i="15"/>
  <c r="AH55" i="15"/>
  <c r="AH91" i="15"/>
  <c r="AH127" i="15"/>
  <c r="AH163" i="15"/>
  <c r="AH199" i="15"/>
  <c r="AH235" i="15"/>
  <c r="AH271" i="15"/>
  <c r="AH307" i="15"/>
  <c r="AH343" i="15"/>
  <c r="AH379" i="15"/>
  <c r="AH415" i="15"/>
  <c r="AH844" i="15"/>
  <c r="AH878" i="15"/>
  <c r="AH912" i="15"/>
  <c r="AH946" i="15"/>
  <c r="AH980" i="15"/>
  <c r="AH1014" i="15"/>
  <c r="AH1048" i="15"/>
  <c r="AH1082" i="15"/>
  <c r="AH1116" i="15"/>
  <c r="AH1150" i="15"/>
  <c r="AH1184" i="15"/>
  <c r="AH1218" i="15"/>
  <c r="AH449" i="15"/>
  <c r="AH482" i="15"/>
  <c r="AH515" i="15"/>
  <c r="AH548" i="15"/>
  <c r="AH581" i="15"/>
  <c r="AH614" i="15"/>
  <c r="AH647" i="15"/>
  <c r="AH680" i="15"/>
  <c r="AH713" i="15"/>
  <c r="AH746" i="15"/>
  <c r="AH779" i="15"/>
  <c r="AH812" i="15"/>
  <c r="AH18" i="15"/>
  <c r="AH54" i="15"/>
  <c r="AH90" i="15"/>
  <c r="AH126" i="15"/>
  <c r="AH162" i="15"/>
  <c r="AH198" i="15"/>
  <c r="AH234" i="15"/>
  <c r="AH270" i="15"/>
  <c r="AH306" i="15"/>
  <c r="AH342" i="15"/>
  <c r="AH378" i="15"/>
  <c r="AH414" i="15"/>
  <c r="AH2100" i="15"/>
  <c r="AH2135" i="15"/>
  <c r="AH1656" i="15"/>
  <c r="AH1693" i="15"/>
  <c r="AH1730" i="15"/>
  <c r="AH1767" i="15"/>
  <c r="AH1804" i="15"/>
  <c r="AH1841" i="15"/>
  <c r="AH1878" i="15"/>
  <c r="AH1915" i="15"/>
  <c r="AH1952" i="15"/>
  <c r="AH1989" i="15"/>
  <c r="AH2026" i="15"/>
  <c r="AH2063" i="15"/>
  <c r="AH843" i="15"/>
  <c r="AH877" i="15"/>
  <c r="AH911" i="15"/>
  <c r="AH945" i="15"/>
  <c r="AH979" i="15"/>
  <c r="AH1013" i="15"/>
  <c r="AH1047" i="15"/>
  <c r="AH1081" i="15"/>
  <c r="AH1115" i="15"/>
  <c r="AH1149" i="15"/>
  <c r="AH1183" i="15"/>
  <c r="AH1217" i="15"/>
  <c r="AH448" i="15"/>
  <c r="AH481" i="15"/>
  <c r="AH514" i="15"/>
  <c r="AH547" i="15"/>
  <c r="AH580" i="15"/>
  <c r="AH613" i="15"/>
  <c r="AH646" i="15"/>
  <c r="AH679" i="15"/>
  <c r="AH712" i="15"/>
  <c r="AH745" i="15"/>
  <c r="AH778" i="15"/>
  <c r="AH811" i="15"/>
  <c r="AH17" i="15"/>
  <c r="AH53" i="15"/>
  <c r="AH89" i="15"/>
  <c r="AH125" i="15"/>
  <c r="AH161" i="15"/>
  <c r="AH197" i="15"/>
  <c r="AH233" i="15"/>
  <c r="AH269" i="15"/>
  <c r="AH305" i="15"/>
  <c r="AH341" i="15"/>
  <c r="AH377" i="15"/>
  <c r="AH413" i="15"/>
  <c r="AH2099" i="15"/>
  <c r="AH2134" i="15"/>
  <c r="AH1655" i="15"/>
  <c r="AH1692" i="15"/>
  <c r="AH1729" i="15"/>
  <c r="AH1766" i="15"/>
  <c r="AH1803" i="15"/>
  <c r="AH1840" i="15"/>
  <c r="AH1877" i="15"/>
  <c r="AH1914" i="15"/>
  <c r="AH1951" i="15"/>
  <c r="AH1988" i="15"/>
  <c r="AH2025" i="15"/>
  <c r="AH2062" i="15"/>
  <c r="AH842" i="15"/>
  <c r="AH876" i="15"/>
  <c r="AH910" i="15"/>
  <c r="AH944" i="15"/>
  <c r="AH978" i="15"/>
  <c r="AH1012" i="15"/>
  <c r="AH1046" i="15"/>
  <c r="AH1080" i="15"/>
  <c r="AH1114" i="15"/>
  <c r="AH1148" i="15"/>
  <c r="AH1182" i="15"/>
  <c r="AH1216" i="15"/>
  <c r="AH447" i="15"/>
  <c r="AH480" i="15"/>
  <c r="AH513" i="15"/>
  <c r="AH546" i="15"/>
  <c r="AH579" i="15"/>
  <c r="AH612" i="15"/>
  <c r="AH645" i="15"/>
  <c r="AH678" i="15"/>
  <c r="AH711" i="15"/>
  <c r="AH744" i="15"/>
  <c r="AH777" i="15"/>
  <c r="AH810" i="15"/>
  <c r="AH16" i="15"/>
  <c r="AH52" i="15"/>
  <c r="AH88" i="15"/>
  <c r="AH124" i="15"/>
  <c r="AH160" i="15"/>
  <c r="AH196" i="15"/>
  <c r="AH232" i="15"/>
  <c r="AH268" i="15"/>
  <c r="AH304" i="15"/>
  <c r="AH340" i="15"/>
  <c r="AH376" i="15"/>
  <c r="AH412" i="15"/>
  <c r="AH2098" i="15"/>
  <c r="AH2133" i="15"/>
  <c r="AH1654" i="15"/>
  <c r="AH1691" i="15"/>
  <c r="AH1728" i="15"/>
  <c r="AH1765" i="15"/>
  <c r="AH1802" i="15"/>
  <c r="AH1839" i="15"/>
  <c r="AH1876" i="15"/>
  <c r="AH1913" i="15"/>
  <c r="AH1950" i="15"/>
  <c r="AH1987" i="15"/>
  <c r="AH2024" i="15"/>
  <c r="AH2061" i="15"/>
  <c r="AH841" i="15"/>
  <c r="AH875" i="15"/>
  <c r="AH909" i="15"/>
  <c r="AH943" i="15"/>
  <c r="AH977" i="15"/>
  <c r="AH1011" i="15"/>
  <c r="AH1045" i="15"/>
  <c r="AH1079" i="15"/>
  <c r="AH1113" i="15"/>
  <c r="AH1147" i="15"/>
  <c r="AH1181" i="15"/>
  <c r="AH1215" i="15"/>
  <c r="AH446" i="15"/>
  <c r="AH479" i="15"/>
  <c r="AH512" i="15"/>
  <c r="AH545" i="15"/>
  <c r="AH578" i="15"/>
  <c r="AH611" i="15"/>
  <c r="AH644" i="15"/>
  <c r="AH677" i="15"/>
  <c r="AH710" i="15"/>
  <c r="AH743" i="15"/>
  <c r="AH776" i="15"/>
  <c r="AH809" i="15"/>
  <c r="AH15" i="15"/>
  <c r="AH51" i="15"/>
  <c r="AH87" i="15"/>
  <c r="AH123" i="15"/>
  <c r="AH159" i="15"/>
  <c r="AH195" i="15"/>
  <c r="AH231" i="15"/>
  <c r="AH267" i="15"/>
  <c r="AH303" i="15"/>
  <c r="AH339" i="15"/>
  <c r="AH375" i="15"/>
  <c r="AH411" i="15"/>
  <c r="AH2097" i="15"/>
  <c r="AH2132" i="15"/>
  <c r="AH1653" i="15"/>
  <c r="AH1690" i="15"/>
  <c r="AH1727" i="15"/>
  <c r="AH1764" i="15"/>
  <c r="AH1801" i="15"/>
  <c r="AH1838" i="15"/>
  <c r="AH1875" i="15"/>
  <c r="AH1912" i="15"/>
  <c r="AH1949" i="15"/>
  <c r="AH1986" i="15"/>
  <c r="AH2023" i="15"/>
  <c r="AH2060" i="15"/>
  <c r="AH840" i="15"/>
  <c r="AH874" i="15"/>
  <c r="AH908" i="15"/>
  <c r="AH942" i="15"/>
  <c r="AH976" i="15"/>
  <c r="AH1010" i="15"/>
  <c r="AH1044" i="15"/>
  <c r="AH1078" i="15"/>
  <c r="AH1112" i="15"/>
  <c r="AH1146" i="15"/>
  <c r="AH1180" i="15"/>
  <c r="AH1214" i="15"/>
  <c r="AH445" i="15"/>
  <c r="AH478" i="15"/>
  <c r="AH511" i="15"/>
  <c r="AH544" i="15"/>
  <c r="AH577" i="15"/>
  <c r="AH610" i="15"/>
  <c r="AH643" i="15"/>
  <c r="AH676" i="15"/>
  <c r="AH709" i="15"/>
  <c r="AH742" i="15"/>
  <c r="AH775" i="15"/>
  <c r="AH808" i="15"/>
  <c r="AH14" i="15"/>
  <c r="AH50" i="15"/>
  <c r="AH86" i="15"/>
  <c r="AH122" i="15"/>
  <c r="AH158" i="15"/>
  <c r="AH194" i="15"/>
  <c r="AH230" i="15"/>
  <c r="AH266" i="15"/>
  <c r="AH302" i="15"/>
  <c r="AH338" i="15"/>
  <c r="AH374" i="15"/>
  <c r="AH410" i="15"/>
  <c r="AH2096" i="15"/>
  <c r="AH2131" i="15"/>
  <c r="AH1652" i="15"/>
  <c r="AH1689" i="15"/>
  <c r="AH1726" i="15"/>
  <c r="AH1763" i="15"/>
  <c r="AH1800" i="15"/>
  <c r="AH1837" i="15"/>
  <c r="AH1874" i="15"/>
  <c r="AH1911" i="15"/>
  <c r="AH1948" i="15"/>
  <c r="AH1985" i="15"/>
  <c r="AH2022" i="15"/>
  <c r="AH2059" i="15"/>
  <c r="AH13" i="15"/>
  <c r="AH49" i="15"/>
  <c r="AH85" i="15"/>
  <c r="AH121" i="15"/>
  <c r="AH157" i="15"/>
  <c r="AH193" i="15"/>
  <c r="AH229" i="15"/>
  <c r="AH265" i="15"/>
  <c r="AH301" i="15"/>
  <c r="AH337" i="15"/>
  <c r="AH373" i="15"/>
  <c r="AH409" i="15"/>
  <c r="AH2095" i="15"/>
  <c r="AH2130" i="15"/>
  <c r="AH1651" i="15"/>
  <c r="AH1688" i="15"/>
  <c r="AH1725" i="15"/>
  <c r="AH1762" i="15"/>
  <c r="AH1799" i="15"/>
  <c r="AH1836" i="15"/>
  <c r="AH1873" i="15"/>
  <c r="AH1910" i="15"/>
  <c r="AH1947" i="15"/>
  <c r="AH1984" i="15"/>
  <c r="AH2021" i="15"/>
  <c r="AH2058" i="15"/>
  <c r="AH839" i="15"/>
  <c r="AH873" i="15"/>
  <c r="AH907" i="15"/>
  <c r="AH941" i="15"/>
  <c r="AH975" i="15"/>
  <c r="AH1009" i="15"/>
  <c r="AH1043" i="15"/>
  <c r="AH1077" i="15"/>
  <c r="AH1111" i="15"/>
  <c r="AH1145" i="15"/>
  <c r="AH1179" i="15"/>
  <c r="AH1213" i="15"/>
  <c r="AH444" i="15"/>
  <c r="AH477" i="15"/>
  <c r="AH510" i="15"/>
  <c r="AH543" i="15"/>
  <c r="AH576" i="15"/>
  <c r="AH609" i="15"/>
  <c r="AH642" i="15"/>
  <c r="AH675" i="15"/>
  <c r="AH708" i="15"/>
  <c r="AH741" i="15"/>
  <c r="AH774" i="15"/>
  <c r="AH807" i="15"/>
  <c r="AH12" i="15"/>
  <c r="AH48" i="15"/>
  <c r="AH84" i="15"/>
  <c r="AH120" i="15"/>
  <c r="AH156" i="15"/>
  <c r="AH192" i="15"/>
  <c r="AH228" i="15"/>
  <c r="AH264" i="15"/>
  <c r="AH300" i="15"/>
  <c r="AH336" i="15"/>
  <c r="AH372" i="15"/>
  <c r="AH408" i="15"/>
  <c r="AH838" i="15"/>
  <c r="AH872" i="15"/>
  <c r="AH906" i="15"/>
  <c r="AH940" i="15"/>
  <c r="AH974" i="15"/>
  <c r="AH1008" i="15"/>
  <c r="AH1042" i="15"/>
  <c r="AH1076" i="15"/>
  <c r="AH1110" i="15"/>
  <c r="AH1144" i="15"/>
  <c r="AH1178" i="15"/>
  <c r="AH1212" i="15"/>
  <c r="AH443" i="15"/>
  <c r="AH476" i="15"/>
  <c r="AH509" i="15"/>
  <c r="AH542" i="15"/>
  <c r="AH575" i="15"/>
  <c r="AH608" i="15"/>
  <c r="AH641" i="15"/>
  <c r="AH674" i="15"/>
  <c r="AH707" i="15"/>
  <c r="AH740" i="15"/>
  <c r="AH773" i="15"/>
  <c r="AH806" i="15"/>
  <c r="AH11" i="15"/>
  <c r="AH47" i="15"/>
  <c r="AH83" i="15"/>
  <c r="AH119" i="15"/>
  <c r="AH155" i="15"/>
  <c r="AH191" i="15"/>
  <c r="AH227" i="15"/>
  <c r="AH263" i="15"/>
  <c r="AH299" i="15"/>
  <c r="AH335" i="15"/>
  <c r="AH371" i="15"/>
  <c r="AH407" i="15"/>
  <c r="AH2094" i="15"/>
  <c r="AH2129" i="15"/>
  <c r="AH837" i="15"/>
  <c r="AH871" i="15"/>
  <c r="AH905" i="15"/>
  <c r="AH939" i="15"/>
  <c r="AH973" i="15"/>
  <c r="AH1007" i="15"/>
  <c r="AH1041" i="15"/>
  <c r="AH1075" i="15"/>
  <c r="AH1109" i="15"/>
  <c r="AH1143" i="15"/>
  <c r="AH1177" i="15"/>
  <c r="AH1211" i="15"/>
  <c r="AH442" i="15"/>
  <c r="AH475" i="15"/>
  <c r="AH508" i="15"/>
  <c r="AH541" i="15"/>
  <c r="AH574" i="15"/>
  <c r="AH607" i="15"/>
  <c r="AH640" i="15"/>
  <c r="AH673" i="15"/>
  <c r="AH706" i="15"/>
  <c r="AH739" i="15"/>
  <c r="AH772" i="15"/>
  <c r="AH805" i="15"/>
  <c r="AH10" i="15"/>
  <c r="AH46" i="15"/>
  <c r="AH82" i="15"/>
  <c r="AH118" i="15"/>
  <c r="AH154" i="15"/>
  <c r="AH190" i="15"/>
  <c r="AH226" i="15"/>
  <c r="AH262" i="15"/>
  <c r="AH298" i="15"/>
  <c r="AH334" i="15"/>
  <c r="AH370" i="15"/>
  <c r="AH406" i="15"/>
  <c r="AH9" i="15"/>
  <c r="AH45" i="15"/>
  <c r="AH81" i="15"/>
  <c r="AH117" i="15"/>
  <c r="AH153" i="15"/>
  <c r="AH189" i="15"/>
  <c r="AH225" i="15"/>
  <c r="AH261" i="15"/>
  <c r="AH297" i="15"/>
  <c r="AH333" i="15"/>
  <c r="AH369" i="15"/>
  <c r="AH405" i="15"/>
  <c r="AH836" i="15"/>
  <c r="AH870" i="15"/>
  <c r="AH904" i="15"/>
  <c r="AH938" i="15"/>
  <c r="AH972" i="15"/>
  <c r="AH1006" i="15"/>
  <c r="AH1040" i="15"/>
  <c r="AH1074" i="15"/>
  <c r="AH1108" i="15"/>
  <c r="AH1142" i="15"/>
  <c r="AH1176" i="15"/>
  <c r="AH1210" i="15"/>
  <c r="AH441" i="15"/>
  <c r="AH474" i="15"/>
  <c r="AH507" i="15"/>
  <c r="AH540" i="15"/>
  <c r="AH573" i="15"/>
  <c r="AH606" i="15"/>
  <c r="AH639" i="15"/>
  <c r="AH672" i="15"/>
  <c r="AH705" i="15"/>
  <c r="AH738" i="15"/>
  <c r="AH771" i="15"/>
  <c r="AH804" i="15"/>
  <c r="AH8" i="15"/>
  <c r="AH44" i="15"/>
  <c r="AH80" i="15"/>
  <c r="AH116" i="15"/>
  <c r="AH152" i="15"/>
  <c r="AH188" i="15"/>
  <c r="AH224" i="15"/>
  <c r="AH260" i="15"/>
  <c r="AH296" i="15"/>
  <c r="AH332" i="15"/>
  <c r="AH368" i="15"/>
  <c r="AH404" i="15"/>
  <c r="AH2093" i="15"/>
  <c r="AH2128" i="15"/>
  <c r="AH1650" i="15"/>
  <c r="AH1687" i="15"/>
  <c r="AH1724" i="15"/>
  <c r="AH1761" i="15"/>
  <c r="AH1798" i="15"/>
  <c r="AH1835" i="15"/>
  <c r="AH1872" i="15"/>
  <c r="AH1909" i="15"/>
  <c r="AH1946" i="15"/>
  <c r="AH1983" i="15"/>
  <c r="AH2020" i="15"/>
  <c r="AH2057" i="15"/>
  <c r="AH835" i="15"/>
  <c r="AH869" i="15"/>
  <c r="AH903" i="15"/>
  <c r="AH937" i="15"/>
  <c r="AH971" i="15"/>
  <c r="AH1005" i="15"/>
  <c r="AH1039" i="15"/>
  <c r="AH1073" i="15"/>
  <c r="AH1107" i="15"/>
  <c r="AH1141" i="15"/>
  <c r="AH1175" i="15"/>
  <c r="AH1209" i="15"/>
  <c r="AH440" i="15"/>
  <c r="AH473" i="15"/>
  <c r="AH506" i="15"/>
  <c r="AH539" i="15"/>
  <c r="AH572" i="15"/>
  <c r="AH605" i="15"/>
  <c r="AH638" i="15"/>
  <c r="AH671" i="15"/>
  <c r="AH704" i="15"/>
  <c r="AH737" i="15"/>
  <c r="AH770" i="15"/>
  <c r="AH803" i="15"/>
  <c r="AH7" i="15"/>
  <c r="AH43" i="15"/>
  <c r="AH79" i="15"/>
  <c r="AH115" i="15"/>
  <c r="AH151" i="15"/>
  <c r="AH187" i="15"/>
  <c r="AH223" i="15"/>
  <c r="AH259" i="15"/>
  <c r="AH295" i="15"/>
  <c r="AH331" i="15"/>
  <c r="AH367" i="15"/>
  <c r="AH403" i="15"/>
  <c r="AH439" i="15"/>
  <c r="AH472" i="15"/>
  <c r="AH505" i="15"/>
  <c r="AH538" i="15"/>
  <c r="AH571" i="15"/>
  <c r="AH604" i="15"/>
  <c r="AH637" i="15"/>
  <c r="AH670" i="15"/>
  <c r="AH703" i="15"/>
  <c r="AH736" i="15"/>
  <c r="AH769" i="15"/>
  <c r="AH802" i="15"/>
  <c r="AH2092" i="15"/>
  <c r="AH2127" i="15"/>
  <c r="AH1649" i="15"/>
  <c r="AH1686" i="15"/>
  <c r="AH1723" i="15"/>
  <c r="AH1760" i="15"/>
  <c r="AH1797" i="15"/>
  <c r="AH1834" i="15"/>
  <c r="AH1871" i="15"/>
  <c r="AH1908" i="15"/>
  <c r="AH1945" i="15"/>
  <c r="AH1982" i="15"/>
  <c r="AH2019" i="15"/>
  <c r="AH2056" i="15"/>
  <c r="AH2091" i="15"/>
  <c r="AH2126" i="15"/>
  <c r="AH1648" i="15"/>
  <c r="AH1685" i="15"/>
  <c r="AH1722" i="15"/>
  <c r="AH1759" i="15"/>
  <c r="AH1796" i="15"/>
  <c r="AH1833" i="15"/>
  <c r="AH1870" i="15"/>
  <c r="AH1907" i="15"/>
  <c r="AH1944" i="15"/>
  <c r="AH1981" i="15"/>
  <c r="AH2018" i="15"/>
  <c r="AH2055" i="15"/>
  <c r="AH834" i="15"/>
  <c r="AH868" i="15"/>
  <c r="AH902" i="15"/>
  <c r="AH936" i="15"/>
  <c r="AH970" i="15"/>
  <c r="AH1004" i="15"/>
  <c r="AH1038" i="15"/>
  <c r="AH1072" i="15"/>
  <c r="AH1106" i="15"/>
  <c r="AH1140" i="15"/>
  <c r="AH1174" i="15"/>
  <c r="AH1208" i="15"/>
  <c r="AH438" i="15"/>
  <c r="AH471" i="15"/>
  <c r="AH504" i="15"/>
  <c r="AH537" i="15"/>
  <c r="AH570" i="15"/>
  <c r="AH603" i="15"/>
  <c r="AH636" i="15"/>
  <c r="AH669" i="15"/>
  <c r="AH702" i="15"/>
  <c r="AH735" i="15"/>
  <c r="AH768" i="15"/>
  <c r="AH801" i="15"/>
  <c r="AH6" i="15"/>
  <c r="AH42" i="15"/>
  <c r="AH78" i="15"/>
  <c r="AH114" i="15"/>
  <c r="AH150" i="15"/>
  <c r="AH186" i="15"/>
  <c r="AH222" i="15"/>
  <c r="AH258" i="15"/>
  <c r="AH294" i="15"/>
  <c r="AH330" i="15"/>
  <c r="AH366" i="15"/>
  <c r="AH402" i="15"/>
  <c r="AH2090" i="15"/>
  <c r="AH2125" i="15"/>
  <c r="AH1647" i="15"/>
  <c r="AH1684" i="15"/>
  <c r="AH1721" i="15"/>
  <c r="AH1758" i="15"/>
  <c r="AH1795" i="15"/>
  <c r="AH1832" i="15"/>
  <c r="AH1869" i="15"/>
  <c r="AH1906" i="15"/>
  <c r="AH1943" i="15"/>
  <c r="AH1980" i="15"/>
  <c r="AH2017" i="15"/>
  <c r="AH2054" i="15"/>
  <c r="AH833" i="15"/>
  <c r="AH867" i="15"/>
  <c r="AH901" i="15"/>
  <c r="AH935" i="15"/>
  <c r="AH969" i="15"/>
  <c r="AH1003" i="15"/>
  <c r="AH1037" i="15"/>
  <c r="AH1071" i="15"/>
  <c r="AH1105" i="15"/>
  <c r="AH1139" i="15"/>
  <c r="AH1173" i="15"/>
  <c r="AH1207" i="15"/>
  <c r="AH437" i="15"/>
  <c r="AH470" i="15"/>
  <c r="AH503" i="15"/>
  <c r="AH536" i="15"/>
  <c r="AH569" i="15"/>
  <c r="AH602" i="15"/>
  <c r="AH635" i="15"/>
  <c r="AH668" i="15"/>
  <c r="AH701" i="15"/>
  <c r="AH734" i="15"/>
  <c r="AH767" i="15"/>
  <c r="AH800" i="15"/>
  <c r="AH5" i="15"/>
  <c r="AH41" i="15"/>
  <c r="AH77" i="15"/>
  <c r="AH113" i="15"/>
  <c r="AH149" i="15"/>
  <c r="AH185" i="15"/>
  <c r="AH221" i="15"/>
  <c r="AH257" i="15"/>
  <c r="AH293" i="15"/>
  <c r="AH329" i="15"/>
  <c r="AH365" i="15"/>
  <c r="AH401" i="15"/>
  <c r="AH832" i="15"/>
  <c r="AH866" i="15"/>
  <c r="AH900" i="15"/>
  <c r="AH934" i="15"/>
  <c r="AH968" i="15"/>
  <c r="AH1002" i="15"/>
  <c r="AH1036" i="15"/>
  <c r="AH1070" i="15"/>
  <c r="AH1104" i="15"/>
  <c r="AH1138" i="15"/>
  <c r="AH1172" i="15"/>
  <c r="AH1206" i="15"/>
  <c r="AH436" i="15"/>
  <c r="AH469" i="15"/>
  <c r="AH502" i="15"/>
  <c r="AH535" i="15"/>
  <c r="AH568" i="15"/>
  <c r="AH601" i="15"/>
  <c r="AH634" i="15"/>
  <c r="AH667" i="15"/>
  <c r="AH700" i="15"/>
  <c r="AH733" i="15"/>
  <c r="AH766" i="15"/>
  <c r="AH799" i="15"/>
  <c r="AH4" i="15"/>
  <c r="AH40" i="15"/>
  <c r="AH76" i="15"/>
  <c r="AH112" i="15"/>
  <c r="AH148" i="15"/>
  <c r="AH184" i="15"/>
  <c r="AH220" i="15"/>
  <c r="AH256" i="15"/>
  <c r="AH292" i="15"/>
  <c r="AH328" i="15"/>
  <c r="AH364" i="15"/>
  <c r="AH400" i="15"/>
  <c r="AH831" i="15"/>
  <c r="AH865" i="15"/>
  <c r="AH899" i="15"/>
  <c r="AH933" i="15"/>
  <c r="AH967" i="15"/>
  <c r="AH1001" i="15"/>
  <c r="AH1035" i="15"/>
  <c r="AH1069" i="15"/>
  <c r="AH1103" i="15"/>
  <c r="AH1137" i="15"/>
  <c r="AH1171" i="15"/>
  <c r="AH1205" i="15"/>
  <c r="AH435" i="15"/>
  <c r="AH468" i="15"/>
  <c r="AH501" i="15"/>
  <c r="AH534" i="15"/>
  <c r="AH567" i="15"/>
  <c r="AH600" i="15"/>
  <c r="AH633" i="15"/>
  <c r="AH666" i="15"/>
  <c r="AH699" i="15"/>
  <c r="AH732" i="15"/>
  <c r="AH765" i="15"/>
  <c r="AH798" i="15"/>
  <c r="AH3" i="15"/>
  <c r="AH39" i="15"/>
  <c r="AH75" i="15"/>
  <c r="AH111" i="15"/>
  <c r="AH147" i="15"/>
  <c r="AH183" i="15"/>
  <c r="AH219" i="15"/>
  <c r="AH255" i="15"/>
  <c r="AH291" i="15"/>
  <c r="AH327" i="15"/>
  <c r="AH363" i="15"/>
  <c r="AH399" i="15"/>
  <c r="AH1646" i="15"/>
  <c r="AH1683" i="15"/>
  <c r="AH1720" i="15"/>
  <c r="AH1757" i="15"/>
  <c r="AH1794" i="15"/>
  <c r="AH1831" i="15"/>
  <c r="AH1868" i="15"/>
  <c r="AH1905" i="15"/>
  <c r="AH1942" i="15"/>
  <c r="AH1979" i="15"/>
  <c r="AH2016" i="15"/>
  <c r="AH2053" i="15"/>
  <c r="AH830" i="15"/>
  <c r="AH864" i="15"/>
  <c r="AH898" i="15"/>
  <c r="AH932" i="15"/>
  <c r="AH966" i="15"/>
  <c r="AH1000" i="15"/>
  <c r="AH1034" i="15"/>
  <c r="AH1068" i="15"/>
  <c r="AH1102" i="15"/>
  <c r="AH1136" i="15"/>
  <c r="AH1170" i="15"/>
  <c r="AH1204" i="15"/>
  <c r="AH434" i="15"/>
  <c r="AH467" i="15"/>
  <c r="AH500" i="15"/>
  <c r="AH533" i="15"/>
  <c r="AH566" i="15"/>
  <c r="AH599" i="15"/>
  <c r="AH632" i="15"/>
  <c r="AH665" i="15"/>
  <c r="AH698" i="15"/>
  <c r="AH731" i="15"/>
  <c r="AH764" i="15"/>
  <c r="AH797" i="15"/>
  <c r="AH2" i="15"/>
  <c r="AH38" i="15"/>
  <c r="AH74" i="15"/>
  <c r="AH110" i="15"/>
  <c r="AH146" i="15"/>
  <c r="AH182" i="15"/>
  <c r="AH218" i="15"/>
  <c r="AH254" i="15"/>
  <c r="AH290" i="15"/>
  <c r="AH326" i="15"/>
  <c r="AH362" i="15"/>
  <c r="AH398" i="15"/>
  <c r="AG37" i="15"/>
  <c r="AG73" i="15"/>
  <c r="AG109" i="15"/>
  <c r="AG145" i="15"/>
  <c r="AG181" i="15"/>
  <c r="AG217" i="15"/>
  <c r="AG253" i="15"/>
  <c r="AG289" i="15"/>
  <c r="AG325" i="15"/>
  <c r="AG361" i="15"/>
  <c r="AG397" i="15"/>
  <c r="AG433" i="15"/>
  <c r="AG2124" i="15"/>
  <c r="AG2159" i="15"/>
  <c r="AG1682" i="15"/>
  <c r="AG1719" i="15"/>
  <c r="AG1756" i="15"/>
  <c r="AG1793" i="15"/>
  <c r="AG1830" i="15"/>
  <c r="AG1867" i="15"/>
  <c r="AG1904" i="15"/>
  <c r="AG1941" i="15"/>
  <c r="AG1978" i="15"/>
  <c r="AG2015" i="15"/>
  <c r="AG2052" i="15"/>
  <c r="AG2089" i="15"/>
  <c r="AG863" i="15"/>
  <c r="AG897" i="15"/>
  <c r="AG931" i="15"/>
  <c r="AG965" i="15"/>
  <c r="AG999" i="15"/>
  <c r="AG1033" i="15"/>
  <c r="AG1067" i="15"/>
  <c r="AG1101" i="15"/>
  <c r="AG1135" i="15"/>
  <c r="AG1169" i="15"/>
  <c r="AG1203" i="15"/>
  <c r="AG1237" i="15"/>
  <c r="AG466" i="15"/>
  <c r="AG499" i="15"/>
  <c r="AG532" i="15"/>
  <c r="AG565" i="15"/>
  <c r="AG598" i="15"/>
  <c r="AG631" i="15"/>
  <c r="AG664" i="15"/>
  <c r="AG697" i="15"/>
  <c r="AG730" i="15"/>
  <c r="AG763" i="15"/>
  <c r="AG796" i="15"/>
  <c r="AG829" i="15"/>
  <c r="AG36" i="15"/>
  <c r="AG72" i="15"/>
  <c r="AG108" i="15"/>
  <c r="AG144" i="15"/>
  <c r="AG180" i="15"/>
  <c r="AG216" i="15"/>
  <c r="AG252" i="15"/>
  <c r="AG288" i="15"/>
  <c r="AG324" i="15"/>
  <c r="AG360" i="15"/>
  <c r="AG396" i="15"/>
  <c r="AG432" i="15"/>
  <c r="AG2123" i="15"/>
  <c r="AG2158" i="15"/>
  <c r="AG1681" i="15"/>
  <c r="AG1718" i="15"/>
  <c r="AG1755" i="15"/>
  <c r="AG1792" i="15"/>
  <c r="AG1829" i="15"/>
  <c r="AG1866" i="15"/>
  <c r="AG1903" i="15"/>
  <c r="AG1940" i="15"/>
  <c r="AG1977" i="15"/>
  <c r="AG2014" i="15"/>
  <c r="AG2051" i="15"/>
  <c r="AG2088" i="15"/>
  <c r="AG862" i="15"/>
  <c r="AG896" i="15"/>
  <c r="AG930" i="15"/>
  <c r="AG964" i="15"/>
  <c r="AG998" i="15"/>
  <c r="AG1032" i="15"/>
  <c r="AG1066" i="15"/>
  <c r="AG1100" i="15"/>
  <c r="AG1134" i="15"/>
  <c r="AG1168" i="15"/>
  <c r="AG1202" i="15"/>
  <c r="AG1236" i="15"/>
  <c r="AG465" i="15"/>
  <c r="AG498" i="15"/>
  <c r="AG531" i="15"/>
  <c r="AG564" i="15"/>
  <c r="AG597" i="15"/>
  <c r="AG630" i="15"/>
  <c r="AG663" i="15"/>
  <c r="AG696" i="15"/>
  <c r="AG729" i="15"/>
  <c r="AG762" i="15"/>
  <c r="AG795" i="15"/>
  <c r="AG828" i="15"/>
  <c r="AG35" i="15"/>
  <c r="AG71" i="15"/>
  <c r="AG107" i="15"/>
  <c r="AG143" i="15"/>
  <c r="AG179" i="15"/>
  <c r="AG215" i="15"/>
  <c r="AG251" i="15"/>
  <c r="AG287" i="15"/>
  <c r="AG323" i="15"/>
  <c r="AG359" i="15"/>
  <c r="AG395" i="15"/>
  <c r="AG431" i="15"/>
  <c r="AG2122" i="15"/>
  <c r="AG2157" i="15"/>
  <c r="AG1680" i="15"/>
  <c r="AG1717" i="15"/>
  <c r="AG1754" i="15"/>
  <c r="AG1791" i="15"/>
  <c r="AG1828" i="15"/>
  <c r="AG1865" i="15"/>
  <c r="AG1902" i="15"/>
  <c r="AG1939" i="15"/>
  <c r="AG1976" i="15"/>
  <c r="AG2013" i="15"/>
  <c r="AG2050" i="15"/>
  <c r="AG2087" i="15"/>
  <c r="AG861" i="15"/>
  <c r="AG895" i="15"/>
  <c r="AG929" i="15"/>
  <c r="AG963" i="15"/>
  <c r="AG997" i="15"/>
  <c r="AG1031" i="15"/>
  <c r="AG1065" i="15"/>
  <c r="AG1099" i="15"/>
  <c r="AG1133" i="15"/>
  <c r="AG1167" i="15"/>
  <c r="AG1201" i="15"/>
  <c r="AG1235" i="15"/>
  <c r="AG464" i="15"/>
  <c r="AG497" i="15"/>
  <c r="AG530" i="15"/>
  <c r="AG563" i="15"/>
  <c r="AG596" i="15"/>
  <c r="AG629" i="15"/>
  <c r="AG662" i="15"/>
  <c r="AG695" i="15"/>
  <c r="AG728" i="15"/>
  <c r="AG761" i="15"/>
  <c r="AG794" i="15"/>
  <c r="AG827" i="15"/>
  <c r="AG34" i="15"/>
  <c r="AG70" i="15"/>
  <c r="AG106" i="15"/>
  <c r="AG142" i="15"/>
  <c r="AG178" i="15"/>
  <c r="AG214" i="15"/>
  <c r="AG250" i="15"/>
  <c r="AG286" i="15"/>
  <c r="AG322" i="15"/>
  <c r="AG358" i="15"/>
  <c r="AG394" i="15"/>
  <c r="AG430" i="15"/>
  <c r="AG2121" i="15"/>
  <c r="AG2156" i="15"/>
  <c r="AG1679" i="15"/>
  <c r="AG1716" i="15"/>
  <c r="AG1753" i="15"/>
  <c r="AG1790" i="15"/>
  <c r="AG1827" i="15"/>
  <c r="AG1864" i="15"/>
  <c r="AG1901" i="15"/>
  <c r="AG1938" i="15"/>
  <c r="AG1975" i="15"/>
  <c r="AG2012" i="15"/>
  <c r="AG2049" i="15"/>
  <c r="AG2086" i="15"/>
  <c r="AG2120" i="15"/>
  <c r="AG2155" i="15"/>
  <c r="AG1678" i="15"/>
  <c r="AG1715" i="15"/>
  <c r="AG1752" i="15"/>
  <c r="AG1789" i="15"/>
  <c r="AG1826" i="15"/>
  <c r="AG1863" i="15"/>
  <c r="AG1900" i="15"/>
  <c r="AG1937" i="15"/>
  <c r="AG1974" i="15"/>
  <c r="AG2011" i="15"/>
  <c r="AG2048" i="15"/>
  <c r="AG2085" i="15"/>
  <c r="AG860" i="15"/>
  <c r="AG894" i="15"/>
  <c r="AG928" i="15"/>
  <c r="AG962" i="15"/>
  <c r="AG996" i="15"/>
  <c r="AG1030" i="15"/>
  <c r="AG1064" i="15"/>
  <c r="AG1098" i="15"/>
  <c r="AG1132" i="15"/>
  <c r="AG1166" i="15"/>
  <c r="AG1200" i="15"/>
  <c r="AG1234" i="15"/>
  <c r="AG2119" i="15"/>
  <c r="AG2154" i="15"/>
  <c r="AG1677" i="15"/>
  <c r="AG1714" i="15"/>
  <c r="AG1751" i="15"/>
  <c r="AG1788" i="15"/>
  <c r="AG1825" i="15"/>
  <c r="AG1862" i="15"/>
  <c r="AG1899" i="15"/>
  <c r="AG1936" i="15"/>
  <c r="AG1973" i="15"/>
  <c r="AG2010" i="15"/>
  <c r="AG2047" i="15"/>
  <c r="AG2084" i="15"/>
  <c r="AG859" i="15"/>
  <c r="AG893" i="15"/>
  <c r="AG927" i="15"/>
  <c r="AG961" i="15"/>
  <c r="AG995" i="15"/>
  <c r="AG1029" i="15"/>
  <c r="AG1063" i="15"/>
  <c r="AG1097" i="15"/>
  <c r="AG1131" i="15"/>
  <c r="AG1165" i="15"/>
  <c r="AG1199" i="15"/>
  <c r="AG1233" i="15"/>
  <c r="AG463" i="15"/>
  <c r="AG496" i="15"/>
  <c r="AG529" i="15"/>
  <c r="AG562" i="15"/>
  <c r="AG595" i="15"/>
  <c r="AG628" i="15"/>
  <c r="AG661" i="15"/>
  <c r="AG694" i="15"/>
  <c r="AG727" i="15"/>
  <c r="AG760" i="15"/>
  <c r="AG793" i="15"/>
  <c r="AG826" i="15"/>
  <c r="AG33" i="15"/>
  <c r="AG69" i="15"/>
  <c r="AG105" i="15"/>
  <c r="AG141" i="15"/>
  <c r="AG177" i="15"/>
  <c r="AG213" i="15"/>
  <c r="AG249" i="15"/>
  <c r="AG285" i="15"/>
  <c r="AG321" i="15"/>
  <c r="AG357" i="15"/>
  <c r="AG393" i="15"/>
  <c r="AG429" i="15"/>
  <c r="AG1676" i="15"/>
  <c r="AG1713" i="15"/>
  <c r="AG1750" i="15"/>
  <c r="AG1787" i="15"/>
  <c r="AG1824" i="15"/>
  <c r="AG1861" i="15"/>
  <c r="AG1898" i="15"/>
  <c r="AG1935" i="15"/>
  <c r="AG1972" i="15"/>
  <c r="AG2009" i="15"/>
  <c r="AG2046" i="15"/>
  <c r="AG2083" i="15"/>
  <c r="AG858" i="15"/>
  <c r="AG892" i="15"/>
  <c r="AG926" i="15"/>
  <c r="AG960" i="15"/>
  <c r="AG994" i="15"/>
  <c r="AG1028" i="15"/>
  <c r="AG1062" i="15"/>
  <c r="AG1096" i="15"/>
  <c r="AG1130" i="15"/>
  <c r="AG1164" i="15"/>
  <c r="AG1198" i="15"/>
  <c r="AG1232" i="15"/>
  <c r="AG462" i="15"/>
  <c r="AG495" i="15"/>
  <c r="AG528" i="15"/>
  <c r="AG561" i="15"/>
  <c r="AG594" i="15"/>
  <c r="AG627" i="15"/>
  <c r="AG660" i="15"/>
  <c r="AG693" i="15"/>
  <c r="AG726" i="15"/>
  <c r="AG759" i="15"/>
  <c r="AG792" i="15"/>
  <c r="AG825" i="15"/>
  <c r="AG32" i="15"/>
  <c r="AG68" i="15"/>
  <c r="AG104" i="15"/>
  <c r="AG140" i="15"/>
  <c r="AG176" i="15"/>
  <c r="AG212" i="15"/>
  <c r="AG248" i="15"/>
  <c r="AG284" i="15"/>
  <c r="AG320" i="15"/>
  <c r="AG356" i="15"/>
  <c r="AG392" i="15"/>
  <c r="AG428" i="15"/>
  <c r="AG2118" i="15"/>
  <c r="AG2153" i="15"/>
  <c r="AG1675" i="15"/>
  <c r="AG1712" i="15"/>
  <c r="AG1749" i="15"/>
  <c r="AG1786" i="15"/>
  <c r="AG1823" i="15"/>
  <c r="AG1860" i="15"/>
  <c r="AG1897" i="15"/>
  <c r="AG1934" i="15"/>
  <c r="AG1971" i="15"/>
  <c r="AG2008" i="15"/>
  <c r="AG2045" i="15"/>
  <c r="AG2082" i="15"/>
  <c r="AG857" i="15"/>
  <c r="AG891" i="15"/>
  <c r="AG925" i="15"/>
  <c r="AG959" i="15"/>
  <c r="AG993" i="15"/>
  <c r="AG1027" i="15"/>
  <c r="AG1061" i="15"/>
  <c r="AG1095" i="15"/>
  <c r="AG1129" i="15"/>
  <c r="AG1163" i="15"/>
  <c r="AG1197" i="15"/>
  <c r="AG1231" i="15"/>
  <c r="AG461" i="15"/>
  <c r="AG494" i="15"/>
  <c r="AG527" i="15"/>
  <c r="AG560" i="15"/>
  <c r="AG593" i="15"/>
  <c r="AG626" i="15"/>
  <c r="AG659" i="15"/>
  <c r="AG692" i="15"/>
  <c r="AG725" i="15"/>
  <c r="AG758" i="15"/>
  <c r="AG791" i="15"/>
  <c r="AG824" i="15"/>
  <c r="AG31" i="15"/>
  <c r="AG67" i="15"/>
  <c r="AG103" i="15"/>
  <c r="AG139" i="15"/>
  <c r="AG175" i="15"/>
  <c r="AG211" i="15"/>
  <c r="AG247" i="15"/>
  <c r="AG283" i="15"/>
  <c r="AG319" i="15"/>
  <c r="AG355" i="15"/>
  <c r="AG391" i="15"/>
  <c r="AG427" i="15"/>
  <c r="AG2117" i="15"/>
  <c r="AG2152" i="15"/>
  <c r="AG1674" i="15"/>
  <c r="AG1711" i="15"/>
  <c r="AG1748" i="15"/>
  <c r="AG1785" i="15"/>
  <c r="AG1822" i="15"/>
  <c r="AG1859" i="15"/>
  <c r="AG1896" i="15"/>
  <c r="AG1933" i="15"/>
  <c r="AG1970" i="15"/>
  <c r="AG2007" i="15"/>
  <c r="AG2044" i="15"/>
  <c r="AG2081" i="15"/>
  <c r="AG2116" i="15"/>
  <c r="AG2151" i="15"/>
  <c r="AG1673" i="15"/>
  <c r="AG1710" i="15"/>
  <c r="AG1747" i="15"/>
  <c r="AG1784" i="15"/>
  <c r="AG1821" i="15"/>
  <c r="AG1858" i="15"/>
  <c r="AG1895" i="15"/>
  <c r="AG1932" i="15"/>
  <c r="AG1969" i="15"/>
  <c r="AG2006" i="15"/>
  <c r="AG2043" i="15"/>
  <c r="AG2080" i="15"/>
  <c r="AG856" i="15"/>
  <c r="AG890" i="15"/>
  <c r="AG924" i="15"/>
  <c r="AG958" i="15"/>
  <c r="AG992" i="15"/>
  <c r="AG1026" i="15"/>
  <c r="AG1060" i="15"/>
  <c r="AG1094" i="15"/>
  <c r="AG1128" i="15"/>
  <c r="AG1162" i="15"/>
  <c r="AG1196" i="15"/>
  <c r="AG1230" i="15"/>
  <c r="AG30" i="15"/>
  <c r="AG66" i="15"/>
  <c r="AG102" i="15"/>
  <c r="AG138" i="15"/>
  <c r="AG174" i="15"/>
  <c r="AG210" i="15"/>
  <c r="AG246" i="15"/>
  <c r="AG282" i="15"/>
  <c r="AG318" i="15"/>
  <c r="AG354" i="15"/>
  <c r="AG390" i="15"/>
  <c r="AG426" i="15"/>
  <c r="AG2115" i="15"/>
  <c r="AG2150" i="15"/>
  <c r="AG1672" i="15"/>
  <c r="AG1709" i="15"/>
  <c r="AG1746" i="15"/>
  <c r="AG1783" i="15"/>
  <c r="AG1820" i="15"/>
  <c r="AG1857" i="15"/>
  <c r="AG1894" i="15"/>
  <c r="AG1931" i="15"/>
  <c r="AG1968" i="15"/>
  <c r="AG2005" i="15"/>
  <c r="AG2042" i="15"/>
  <c r="AG2079" i="15"/>
  <c r="AG460" i="15"/>
  <c r="AG493" i="15"/>
  <c r="AG526" i="15"/>
  <c r="AG559" i="15"/>
  <c r="AG592" i="15"/>
  <c r="AG625" i="15"/>
  <c r="AG658" i="15"/>
  <c r="AG691" i="15"/>
  <c r="AG724" i="15"/>
  <c r="AG757" i="15"/>
  <c r="AG790" i="15"/>
  <c r="AG823" i="15"/>
  <c r="AG29" i="15"/>
  <c r="AG65" i="15"/>
  <c r="AG101" i="15"/>
  <c r="AG137" i="15"/>
  <c r="AG173" i="15"/>
  <c r="AG209" i="15"/>
  <c r="AG245" i="15"/>
  <c r="AG281" i="15"/>
  <c r="AG317" i="15"/>
  <c r="AG353" i="15"/>
  <c r="AG389" i="15"/>
  <c r="AG425" i="15"/>
  <c r="AG2114" i="15"/>
  <c r="AG2149" i="15"/>
  <c r="AG1671" i="15"/>
  <c r="AG1708" i="15"/>
  <c r="AG1745" i="15"/>
  <c r="AG1782" i="15"/>
  <c r="AG1819" i="15"/>
  <c r="AG1856" i="15"/>
  <c r="AG1893" i="15"/>
  <c r="AG1930" i="15"/>
  <c r="AG1967" i="15"/>
  <c r="AG2004" i="15"/>
  <c r="AG2041" i="15"/>
  <c r="AG2078" i="15"/>
  <c r="AG2113" i="15"/>
  <c r="AG2148" i="15"/>
  <c r="AG1670" i="15"/>
  <c r="AG1707" i="15"/>
  <c r="AG1744" i="15"/>
  <c r="AG1781" i="15"/>
  <c r="AG1818" i="15"/>
  <c r="AG1855" i="15"/>
  <c r="AG1892" i="15"/>
  <c r="AG1929" i="15"/>
  <c r="AG1966" i="15"/>
  <c r="AG2003" i="15"/>
  <c r="AG2040" i="15"/>
  <c r="AG2077" i="15"/>
  <c r="AG1669" i="15"/>
  <c r="AG1706" i="15"/>
  <c r="AG1743" i="15"/>
  <c r="AG1780" i="15"/>
  <c r="AG1817" i="15"/>
  <c r="AG1854" i="15"/>
  <c r="AG1891" i="15"/>
  <c r="AG1928" i="15"/>
  <c r="AG1965" i="15"/>
  <c r="AG2002" i="15"/>
  <c r="AG2039" i="15"/>
  <c r="AG2076" i="15"/>
  <c r="AG855" i="15"/>
  <c r="AG889" i="15"/>
  <c r="AG923" i="15"/>
  <c r="AG957" i="15"/>
  <c r="AG991" i="15"/>
  <c r="AG1025" i="15"/>
  <c r="AG1059" i="15"/>
  <c r="AG1093" i="15"/>
  <c r="AG1127" i="15"/>
  <c r="AG1161" i="15"/>
  <c r="AG1195" i="15"/>
  <c r="AG1229" i="15"/>
  <c r="AG459" i="15"/>
  <c r="AG492" i="15"/>
  <c r="AG525" i="15"/>
  <c r="AG558" i="15"/>
  <c r="AG591" i="15"/>
  <c r="AG624" i="15"/>
  <c r="AG657" i="15"/>
  <c r="AG690" i="15"/>
  <c r="AG723" i="15"/>
  <c r="AG756" i="15"/>
  <c r="AG789" i="15"/>
  <c r="AG822" i="15"/>
  <c r="AG2112" i="15"/>
  <c r="AG2147" i="15"/>
  <c r="AG1668" i="15"/>
  <c r="AG1705" i="15"/>
  <c r="AG1742" i="15"/>
  <c r="AG1779" i="15"/>
  <c r="AG1816" i="15"/>
  <c r="AG1853" i="15"/>
  <c r="AG1890" i="15"/>
  <c r="AG1927" i="15"/>
  <c r="AG1964" i="15"/>
  <c r="AG2001" i="15"/>
  <c r="AG2038" i="15"/>
  <c r="AG2075" i="15"/>
  <c r="AG2111" i="15"/>
  <c r="AG2146" i="15"/>
  <c r="AG1667" i="15"/>
  <c r="AG1704" i="15"/>
  <c r="AG1741" i="15"/>
  <c r="AG1778" i="15"/>
  <c r="AG1815" i="15"/>
  <c r="AG1852" i="15"/>
  <c r="AG1889" i="15"/>
  <c r="AG1926" i="15"/>
  <c r="AG1963" i="15"/>
  <c r="AG2000" i="15"/>
  <c r="AG2037" i="15"/>
  <c r="AG2074" i="15"/>
  <c r="AG854" i="15"/>
  <c r="AG888" i="15"/>
  <c r="AG922" i="15"/>
  <c r="AG956" i="15"/>
  <c r="AG990" i="15"/>
  <c r="AG1024" i="15"/>
  <c r="AG1058" i="15"/>
  <c r="AG1092" i="15"/>
  <c r="AG1126" i="15"/>
  <c r="AG1160" i="15"/>
  <c r="AG1194" i="15"/>
  <c r="AG1228" i="15"/>
  <c r="AG2110" i="15"/>
  <c r="AG2145" i="15"/>
  <c r="AG1666" i="15"/>
  <c r="AG1703" i="15"/>
  <c r="AG1740" i="15"/>
  <c r="AG1777" i="15"/>
  <c r="AG1814" i="15"/>
  <c r="AG1851" i="15"/>
  <c r="AG1888" i="15"/>
  <c r="AG1925" i="15"/>
  <c r="AG1962" i="15"/>
  <c r="AG1999" i="15"/>
  <c r="AG2036" i="15"/>
  <c r="AG2073" i="15"/>
  <c r="AG2109" i="15"/>
  <c r="AG2144" i="15"/>
  <c r="AG1665" i="15"/>
  <c r="AG1702" i="15"/>
  <c r="AG1739" i="15"/>
  <c r="AG1776" i="15"/>
  <c r="AG1813" i="15"/>
  <c r="AG1850" i="15"/>
  <c r="AG1887" i="15"/>
  <c r="AG1924" i="15"/>
  <c r="AG1961" i="15"/>
  <c r="AG1998" i="15"/>
  <c r="AG2035" i="15"/>
  <c r="AG2072" i="15"/>
  <c r="AG853" i="15"/>
  <c r="AG887" i="15"/>
  <c r="AG921" i="15"/>
  <c r="AG955" i="15"/>
  <c r="AG989" i="15"/>
  <c r="AG1023" i="15"/>
  <c r="AG1057" i="15"/>
  <c r="AG1091" i="15"/>
  <c r="AG1125" i="15"/>
  <c r="AG1159" i="15"/>
  <c r="AG1193" i="15"/>
  <c r="AG1227" i="15"/>
  <c r="AG458" i="15"/>
  <c r="AG491" i="15"/>
  <c r="AG524" i="15"/>
  <c r="AG557" i="15"/>
  <c r="AG590" i="15"/>
  <c r="AG623" i="15"/>
  <c r="AG656" i="15"/>
  <c r="AG689" i="15"/>
  <c r="AG722" i="15"/>
  <c r="AG755" i="15"/>
  <c r="AG788" i="15"/>
  <c r="AG821" i="15"/>
  <c r="AG28" i="15"/>
  <c r="AG64" i="15"/>
  <c r="AG100" i="15"/>
  <c r="AG136" i="15"/>
  <c r="AG172" i="15"/>
  <c r="AG208" i="15"/>
  <c r="AG244" i="15"/>
  <c r="AG280" i="15"/>
  <c r="AG316" i="15"/>
  <c r="AG352" i="15"/>
  <c r="AG388" i="15"/>
  <c r="AG424" i="15"/>
  <c r="AG2108" i="15"/>
  <c r="AG2143" i="15"/>
  <c r="AG1664" i="15"/>
  <c r="AG1701" i="15"/>
  <c r="AG1738" i="15"/>
  <c r="AG1775" i="15"/>
  <c r="AG1812" i="15"/>
  <c r="AG1849" i="15"/>
  <c r="AG1886" i="15"/>
  <c r="AG1923" i="15"/>
  <c r="AG1960" i="15"/>
  <c r="AG1997" i="15"/>
  <c r="AG2034" i="15"/>
  <c r="AG2071" i="15"/>
  <c r="AG852" i="15"/>
  <c r="AG886" i="15"/>
  <c r="AG920" i="15"/>
  <c r="AG954" i="15"/>
  <c r="AG988" i="15"/>
  <c r="AG1022" i="15"/>
  <c r="AG1056" i="15"/>
  <c r="AG1090" i="15"/>
  <c r="AG1124" i="15"/>
  <c r="AG1158" i="15"/>
  <c r="AG1192" i="15"/>
  <c r="AG1226" i="15"/>
  <c r="AG457" i="15"/>
  <c r="AG490" i="15"/>
  <c r="AG523" i="15"/>
  <c r="AG556" i="15"/>
  <c r="AG589" i="15"/>
  <c r="AG622" i="15"/>
  <c r="AG655" i="15"/>
  <c r="AG688" i="15"/>
  <c r="AG721" i="15"/>
  <c r="AG754" i="15"/>
  <c r="AG787" i="15"/>
  <c r="AG820" i="15"/>
  <c r="AG27" i="15"/>
  <c r="AG63" i="15"/>
  <c r="AG99" i="15"/>
  <c r="AG135" i="15"/>
  <c r="AG171" i="15"/>
  <c r="AG207" i="15"/>
  <c r="AG243" i="15"/>
  <c r="AG279" i="15"/>
  <c r="AG315" i="15"/>
  <c r="AG351" i="15"/>
  <c r="AG387" i="15"/>
  <c r="AG423" i="15"/>
  <c r="AG851" i="15"/>
  <c r="AG885" i="15"/>
  <c r="AG919" i="15"/>
  <c r="AG953" i="15"/>
  <c r="AG987" i="15"/>
  <c r="AG1021" i="15"/>
  <c r="AG1055" i="15"/>
  <c r="AG1089" i="15"/>
  <c r="AG1123" i="15"/>
  <c r="AG1157" i="15"/>
  <c r="AG1191" i="15"/>
  <c r="AG1225" i="15"/>
  <c r="AG456" i="15"/>
  <c r="AG489" i="15"/>
  <c r="AG522" i="15"/>
  <c r="AG555" i="15"/>
  <c r="AG588" i="15"/>
  <c r="AG621" i="15"/>
  <c r="AG654" i="15"/>
  <c r="AG687" i="15"/>
  <c r="AG720" i="15"/>
  <c r="AG753" i="15"/>
  <c r="AG786" i="15"/>
  <c r="AG819" i="15"/>
  <c r="AG26" i="15"/>
  <c r="AG62" i="15"/>
  <c r="AG98" i="15"/>
  <c r="AG134" i="15"/>
  <c r="AG170" i="15"/>
  <c r="AG206" i="15"/>
  <c r="AG242" i="15"/>
  <c r="AG278" i="15"/>
  <c r="AG314" i="15"/>
  <c r="AG350" i="15"/>
  <c r="AG386" i="15"/>
  <c r="AG422" i="15"/>
  <c r="AG2107" i="15"/>
  <c r="AG2142" i="15"/>
  <c r="AG1663" i="15"/>
  <c r="AG1700" i="15"/>
  <c r="AG1737" i="15"/>
  <c r="AG1774" i="15"/>
  <c r="AG1811" i="15"/>
  <c r="AG1848" i="15"/>
  <c r="AG1885" i="15"/>
  <c r="AG1922" i="15"/>
  <c r="AG1959" i="15"/>
  <c r="AG1996" i="15"/>
  <c r="AG2033" i="15"/>
  <c r="AG2070" i="15"/>
  <c r="AG850" i="15"/>
  <c r="AG884" i="15"/>
  <c r="AG918" i="15"/>
  <c r="AG952" i="15"/>
  <c r="AG986" i="15"/>
  <c r="AG1020" i="15"/>
  <c r="AG1054" i="15"/>
  <c r="AG1088" i="15"/>
  <c r="AG1122" i="15"/>
  <c r="AG1156" i="15"/>
  <c r="AG1190" i="15"/>
  <c r="AG1224" i="15"/>
  <c r="AG455" i="15"/>
  <c r="AG488" i="15"/>
  <c r="AG521" i="15"/>
  <c r="AG554" i="15"/>
  <c r="AG587" i="15"/>
  <c r="AG620" i="15"/>
  <c r="AG653" i="15"/>
  <c r="AG686" i="15"/>
  <c r="AG719" i="15"/>
  <c r="AG752" i="15"/>
  <c r="AG785" i="15"/>
  <c r="AG818" i="15"/>
  <c r="AG25" i="15"/>
  <c r="AG61" i="15"/>
  <c r="AG97" i="15"/>
  <c r="AG133" i="15"/>
  <c r="AG169" i="15"/>
  <c r="AG205" i="15"/>
  <c r="AG241" i="15"/>
  <c r="AG277" i="15"/>
  <c r="AG313" i="15"/>
  <c r="AG349" i="15"/>
  <c r="AG385" i="15"/>
  <c r="AG421" i="15"/>
  <c r="AG2106" i="15"/>
  <c r="AG2141" i="15"/>
  <c r="AG1662" i="15"/>
  <c r="AG1699" i="15"/>
  <c r="AG1736" i="15"/>
  <c r="AG1773" i="15"/>
  <c r="AG1810" i="15"/>
  <c r="AG1847" i="15"/>
  <c r="AG1884" i="15"/>
  <c r="AG1921" i="15"/>
  <c r="AG1958" i="15"/>
  <c r="AG1995" i="15"/>
  <c r="AG2032" i="15"/>
  <c r="AG2069" i="15"/>
  <c r="AG849" i="15"/>
  <c r="AG883" i="15"/>
  <c r="AG917" i="15"/>
  <c r="AG951" i="15"/>
  <c r="AG985" i="15"/>
  <c r="AG1019" i="15"/>
  <c r="AG1053" i="15"/>
  <c r="AG1087" i="15"/>
  <c r="AG1121" i="15"/>
  <c r="AG1155" i="15"/>
  <c r="AG1189" i="15"/>
  <c r="AG1223" i="15"/>
  <c r="AG454" i="15"/>
  <c r="AG487" i="15"/>
  <c r="AG520" i="15"/>
  <c r="AG553" i="15"/>
  <c r="AG586" i="15"/>
  <c r="AG619" i="15"/>
  <c r="AG652" i="15"/>
  <c r="AG685" i="15"/>
  <c r="AG718" i="15"/>
  <c r="AG751" i="15"/>
  <c r="AG784" i="15"/>
  <c r="AG817" i="15"/>
  <c r="AG24" i="15"/>
  <c r="AG60" i="15"/>
  <c r="AG96" i="15"/>
  <c r="AG132" i="15"/>
  <c r="AG168" i="15"/>
  <c r="AG204" i="15"/>
  <c r="AG240" i="15"/>
  <c r="AG276" i="15"/>
  <c r="AG312" i="15"/>
  <c r="AG348" i="15"/>
  <c r="AG384" i="15"/>
  <c r="AG420" i="15"/>
  <c r="AG2105" i="15"/>
  <c r="AG2140" i="15"/>
  <c r="AG1661" i="15"/>
  <c r="AG1698" i="15"/>
  <c r="AG1735" i="15"/>
  <c r="AG1772" i="15"/>
  <c r="AG1809" i="15"/>
  <c r="AG1846" i="15"/>
  <c r="AG1883" i="15"/>
  <c r="AG1920" i="15"/>
  <c r="AG1957" i="15"/>
  <c r="AG1994" i="15"/>
  <c r="AG2031" i="15"/>
  <c r="AG2068" i="15"/>
  <c r="AG2104" i="15"/>
  <c r="AG2139" i="15"/>
  <c r="AG1660" i="15"/>
  <c r="AG1697" i="15"/>
  <c r="AG1734" i="15"/>
  <c r="AG1771" i="15"/>
  <c r="AG1808" i="15"/>
  <c r="AG1845" i="15"/>
  <c r="AG1882" i="15"/>
  <c r="AG1919" i="15"/>
  <c r="AG1956" i="15"/>
  <c r="AG1993" i="15"/>
  <c r="AG2030" i="15"/>
  <c r="AG2067" i="15"/>
  <c r="AG848" i="15"/>
  <c r="AG882" i="15"/>
  <c r="AG916" i="15"/>
  <c r="AG950" i="15"/>
  <c r="AG984" i="15"/>
  <c r="AG1018" i="15"/>
  <c r="AG1052" i="15"/>
  <c r="AG1086" i="15"/>
  <c r="AG1120" i="15"/>
  <c r="AG1154" i="15"/>
  <c r="AG1188" i="15"/>
  <c r="AG1222" i="15"/>
  <c r="AG453" i="15"/>
  <c r="AG486" i="15"/>
  <c r="AG519" i="15"/>
  <c r="AG552" i="15"/>
  <c r="AG585" i="15"/>
  <c r="AG618" i="15"/>
  <c r="AG651" i="15"/>
  <c r="AG684" i="15"/>
  <c r="AG717" i="15"/>
  <c r="AG750" i="15"/>
  <c r="AG783" i="15"/>
  <c r="AG816" i="15"/>
  <c r="AG23" i="15"/>
  <c r="AG59" i="15"/>
  <c r="AG95" i="15"/>
  <c r="AG131" i="15"/>
  <c r="AG167" i="15"/>
  <c r="AG203" i="15"/>
  <c r="AG239" i="15"/>
  <c r="AG275" i="15"/>
  <c r="AG311" i="15"/>
  <c r="AG347" i="15"/>
  <c r="AG383" i="15"/>
  <c r="AG419" i="15"/>
  <c r="AG2103" i="15"/>
  <c r="AG2138" i="15"/>
  <c r="AG1659" i="15"/>
  <c r="AG1696" i="15"/>
  <c r="AG1733" i="15"/>
  <c r="AG1770" i="15"/>
  <c r="AG1807" i="15"/>
  <c r="AG1844" i="15"/>
  <c r="AG1881" i="15"/>
  <c r="AG1918" i="15"/>
  <c r="AG1955" i="15"/>
  <c r="AG1992" i="15"/>
  <c r="AG2029" i="15"/>
  <c r="AG2066" i="15"/>
  <c r="AG847" i="15"/>
  <c r="AG881" i="15"/>
  <c r="AG915" i="15"/>
  <c r="AG949" i="15"/>
  <c r="AG983" i="15"/>
  <c r="AG1017" i="15"/>
  <c r="AG1051" i="15"/>
  <c r="AG1085" i="15"/>
  <c r="AG1119" i="15"/>
  <c r="AG1153" i="15"/>
  <c r="AG1187" i="15"/>
  <c r="AG1221" i="15"/>
  <c r="AG452" i="15"/>
  <c r="AG485" i="15"/>
  <c r="AG518" i="15"/>
  <c r="AG551" i="15"/>
  <c r="AG584" i="15"/>
  <c r="AG617" i="15"/>
  <c r="AG650" i="15"/>
  <c r="AG683" i="15"/>
  <c r="AG716" i="15"/>
  <c r="AG749" i="15"/>
  <c r="AG782" i="15"/>
  <c r="AG815" i="15"/>
  <c r="AG22" i="15"/>
  <c r="AG58" i="15"/>
  <c r="AG94" i="15"/>
  <c r="AG130" i="15"/>
  <c r="AG166" i="15"/>
  <c r="AG202" i="15"/>
  <c r="AG238" i="15"/>
  <c r="AG274" i="15"/>
  <c r="AG310" i="15"/>
  <c r="AG346" i="15"/>
  <c r="AG382" i="15"/>
  <c r="AG418" i="15"/>
  <c r="AG2102" i="15"/>
  <c r="AG2137" i="15"/>
  <c r="AG1658" i="15"/>
  <c r="AG1695" i="15"/>
  <c r="AG1732" i="15"/>
  <c r="AG1769" i="15"/>
  <c r="AG1806" i="15"/>
  <c r="AG1843" i="15"/>
  <c r="AG1880" i="15"/>
  <c r="AG1917" i="15"/>
  <c r="AG1954" i="15"/>
  <c r="AG1991" i="15"/>
  <c r="AG2028" i="15"/>
  <c r="AG2065" i="15"/>
  <c r="AG846" i="15"/>
  <c r="AG880" i="15"/>
  <c r="AG914" i="15"/>
  <c r="AG948" i="15"/>
  <c r="AG982" i="15"/>
  <c r="AG1016" i="15"/>
  <c r="AG1050" i="15"/>
  <c r="AG1084" i="15"/>
  <c r="AG1118" i="15"/>
  <c r="AG1152" i="15"/>
  <c r="AG1186" i="15"/>
  <c r="AG1220" i="15"/>
  <c r="AG451" i="15"/>
  <c r="AG484" i="15"/>
  <c r="AG517" i="15"/>
  <c r="AG550" i="15"/>
  <c r="AG583" i="15"/>
  <c r="AG616" i="15"/>
  <c r="AG649" i="15"/>
  <c r="AG682" i="15"/>
  <c r="AG715" i="15"/>
  <c r="AG748" i="15"/>
  <c r="AG781" i="15"/>
  <c r="AG814" i="15"/>
  <c r="AG21" i="15"/>
  <c r="AG57" i="15"/>
  <c r="AG93" i="15"/>
  <c r="AG129" i="15"/>
  <c r="AG165" i="15"/>
  <c r="AG201" i="15"/>
  <c r="AG237" i="15"/>
  <c r="AG273" i="15"/>
  <c r="AG309" i="15"/>
  <c r="AG345" i="15"/>
  <c r="AG381" i="15"/>
  <c r="AG417" i="15"/>
  <c r="AG2101" i="15"/>
  <c r="AG2136" i="15"/>
  <c r="AG1657" i="15"/>
  <c r="AG1694" i="15"/>
  <c r="AG1731" i="15"/>
  <c r="AG1768" i="15"/>
  <c r="AG1805" i="15"/>
  <c r="AG1842" i="15"/>
  <c r="AG1879" i="15"/>
  <c r="AG1916" i="15"/>
  <c r="AG1953" i="15"/>
  <c r="AG1990" i="15"/>
  <c r="AG2027" i="15"/>
  <c r="AG2064" i="15"/>
  <c r="AG845" i="15"/>
  <c r="AG879" i="15"/>
  <c r="AG913" i="15"/>
  <c r="AG947" i="15"/>
  <c r="AG981" i="15"/>
  <c r="AG1015" i="15"/>
  <c r="AG1049" i="15"/>
  <c r="AG1083" i="15"/>
  <c r="AG1117" i="15"/>
  <c r="AG1151" i="15"/>
  <c r="AG1185" i="15"/>
  <c r="AG1219" i="15"/>
  <c r="AG450" i="15"/>
  <c r="AG483" i="15"/>
  <c r="AG516" i="15"/>
  <c r="AG549" i="15"/>
  <c r="AG582" i="15"/>
  <c r="AG615" i="15"/>
  <c r="AG648" i="15"/>
  <c r="AG681" i="15"/>
  <c r="AG714" i="15"/>
  <c r="AG747" i="15"/>
  <c r="AG780" i="15"/>
  <c r="AG813" i="15"/>
  <c r="AG20" i="15"/>
  <c r="AG56" i="15"/>
  <c r="AG92" i="15"/>
  <c r="AG128" i="15"/>
  <c r="AG164" i="15"/>
  <c r="AG200" i="15"/>
  <c r="AG236" i="15"/>
  <c r="AG272" i="15"/>
  <c r="AG308" i="15"/>
  <c r="AG344" i="15"/>
  <c r="AG380" i="15"/>
  <c r="AG416" i="15"/>
  <c r="AG19" i="15"/>
  <c r="AG55" i="15"/>
  <c r="AG91" i="15"/>
  <c r="AG127" i="15"/>
  <c r="AG163" i="15"/>
  <c r="AG199" i="15"/>
  <c r="AG235" i="15"/>
  <c r="AG271" i="15"/>
  <c r="AG307" i="15"/>
  <c r="AG343" i="15"/>
  <c r="AG379" i="15"/>
  <c r="AG415" i="15"/>
  <c r="AG844" i="15"/>
  <c r="AG878" i="15"/>
  <c r="AG912" i="15"/>
  <c r="AG946" i="15"/>
  <c r="AG980" i="15"/>
  <c r="AG1014" i="15"/>
  <c r="AG1048" i="15"/>
  <c r="AG1082" i="15"/>
  <c r="AG1116" i="15"/>
  <c r="AG1150" i="15"/>
  <c r="AG1184" i="15"/>
  <c r="AG1218" i="15"/>
  <c r="AG449" i="15"/>
  <c r="AG482" i="15"/>
  <c r="AG515" i="15"/>
  <c r="AG548" i="15"/>
  <c r="AG581" i="15"/>
  <c r="AG614" i="15"/>
  <c r="AG647" i="15"/>
  <c r="AG680" i="15"/>
  <c r="AG713" i="15"/>
  <c r="AG746" i="15"/>
  <c r="AG779" i="15"/>
  <c r="AG812" i="15"/>
  <c r="AG18" i="15"/>
  <c r="AG54" i="15"/>
  <c r="AG90" i="15"/>
  <c r="AG126" i="15"/>
  <c r="AG162" i="15"/>
  <c r="AG198" i="15"/>
  <c r="AG234" i="15"/>
  <c r="AG270" i="15"/>
  <c r="AG306" i="15"/>
  <c r="AG342" i="15"/>
  <c r="AG378" i="15"/>
  <c r="AG414" i="15"/>
  <c r="AG2100" i="15"/>
  <c r="AG2135" i="15"/>
  <c r="AG1656" i="15"/>
  <c r="AG1693" i="15"/>
  <c r="AG1730" i="15"/>
  <c r="AG1767" i="15"/>
  <c r="AG1804" i="15"/>
  <c r="AG1841" i="15"/>
  <c r="AG1878" i="15"/>
  <c r="AG1915" i="15"/>
  <c r="AG1952" i="15"/>
  <c r="AG1989" i="15"/>
  <c r="AG2026" i="15"/>
  <c r="AG2063" i="15"/>
  <c r="AG843" i="15"/>
  <c r="AG877" i="15"/>
  <c r="AG911" i="15"/>
  <c r="AG945" i="15"/>
  <c r="AG979" i="15"/>
  <c r="AG1013" i="15"/>
  <c r="AG1047" i="15"/>
  <c r="AG1081" i="15"/>
  <c r="AG1115" i="15"/>
  <c r="AG1149" i="15"/>
  <c r="AG1183" i="15"/>
  <c r="AG1217" i="15"/>
  <c r="AG448" i="15"/>
  <c r="AG481" i="15"/>
  <c r="AG514" i="15"/>
  <c r="AG547" i="15"/>
  <c r="AG580" i="15"/>
  <c r="AG613" i="15"/>
  <c r="AG646" i="15"/>
  <c r="AG679" i="15"/>
  <c r="AG712" i="15"/>
  <c r="AG745" i="15"/>
  <c r="AG778" i="15"/>
  <c r="AG811" i="15"/>
  <c r="AG17" i="15"/>
  <c r="AG53" i="15"/>
  <c r="AG89" i="15"/>
  <c r="AG125" i="15"/>
  <c r="AG161" i="15"/>
  <c r="AG197" i="15"/>
  <c r="AG233" i="15"/>
  <c r="AG269" i="15"/>
  <c r="AG305" i="15"/>
  <c r="AG341" i="15"/>
  <c r="AG377" i="15"/>
  <c r="AG413" i="15"/>
  <c r="AG2099" i="15"/>
  <c r="AG2134" i="15"/>
  <c r="AG1655" i="15"/>
  <c r="AG1692" i="15"/>
  <c r="AG1729" i="15"/>
  <c r="AG1766" i="15"/>
  <c r="AG1803" i="15"/>
  <c r="AG1840" i="15"/>
  <c r="AG1877" i="15"/>
  <c r="AG1914" i="15"/>
  <c r="AG1951" i="15"/>
  <c r="AG1988" i="15"/>
  <c r="AG2025" i="15"/>
  <c r="AG2062" i="15"/>
  <c r="AG842" i="15"/>
  <c r="AG876" i="15"/>
  <c r="AG910" i="15"/>
  <c r="AG944" i="15"/>
  <c r="AG978" i="15"/>
  <c r="AG1012" i="15"/>
  <c r="AG1046" i="15"/>
  <c r="AG1080" i="15"/>
  <c r="AG1114" i="15"/>
  <c r="AG1148" i="15"/>
  <c r="AG1182" i="15"/>
  <c r="AG1216" i="15"/>
  <c r="AG447" i="15"/>
  <c r="AG480" i="15"/>
  <c r="AG513" i="15"/>
  <c r="AG546" i="15"/>
  <c r="AG579" i="15"/>
  <c r="AG612" i="15"/>
  <c r="AG645" i="15"/>
  <c r="AG678" i="15"/>
  <c r="AG711" i="15"/>
  <c r="AG744" i="15"/>
  <c r="AG777" i="15"/>
  <c r="AG810" i="15"/>
  <c r="AG16" i="15"/>
  <c r="AG52" i="15"/>
  <c r="AG88" i="15"/>
  <c r="AG124" i="15"/>
  <c r="AG160" i="15"/>
  <c r="AG196" i="15"/>
  <c r="AG232" i="15"/>
  <c r="AG268" i="15"/>
  <c r="AG304" i="15"/>
  <c r="AG340" i="15"/>
  <c r="AG376" i="15"/>
  <c r="AG412" i="15"/>
  <c r="AG2098" i="15"/>
  <c r="AG2133" i="15"/>
  <c r="AG1654" i="15"/>
  <c r="AG1691" i="15"/>
  <c r="AG1728" i="15"/>
  <c r="AG1765" i="15"/>
  <c r="AG1802" i="15"/>
  <c r="AG1839" i="15"/>
  <c r="AG1876" i="15"/>
  <c r="AG1913" i="15"/>
  <c r="AG1950" i="15"/>
  <c r="AG1987" i="15"/>
  <c r="AG2024" i="15"/>
  <c r="AG2061" i="15"/>
  <c r="AG841" i="15"/>
  <c r="AG875" i="15"/>
  <c r="AG909" i="15"/>
  <c r="AG943" i="15"/>
  <c r="AG977" i="15"/>
  <c r="AG1011" i="15"/>
  <c r="AG1045" i="15"/>
  <c r="AG1079" i="15"/>
  <c r="AG1113" i="15"/>
  <c r="AG1147" i="15"/>
  <c r="AG1181" i="15"/>
  <c r="AG1215" i="15"/>
  <c r="AG446" i="15"/>
  <c r="AG479" i="15"/>
  <c r="AG512" i="15"/>
  <c r="AG545" i="15"/>
  <c r="AG578" i="15"/>
  <c r="AG611" i="15"/>
  <c r="AG644" i="15"/>
  <c r="AG677" i="15"/>
  <c r="AG710" i="15"/>
  <c r="AG743" i="15"/>
  <c r="AG776" i="15"/>
  <c r="AG809" i="15"/>
  <c r="AG15" i="15"/>
  <c r="AG51" i="15"/>
  <c r="AG87" i="15"/>
  <c r="AG123" i="15"/>
  <c r="AG159" i="15"/>
  <c r="AG195" i="15"/>
  <c r="AG231" i="15"/>
  <c r="AG267" i="15"/>
  <c r="AG303" i="15"/>
  <c r="AG339" i="15"/>
  <c r="AG375" i="15"/>
  <c r="AG411" i="15"/>
  <c r="AG2097" i="15"/>
  <c r="AG2132" i="15"/>
  <c r="AG1653" i="15"/>
  <c r="AG1690" i="15"/>
  <c r="AG1727" i="15"/>
  <c r="AG1764" i="15"/>
  <c r="AG1801" i="15"/>
  <c r="AG1838" i="15"/>
  <c r="AG1875" i="15"/>
  <c r="AG1912" i="15"/>
  <c r="AG1949" i="15"/>
  <c r="AG1986" i="15"/>
  <c r="AG2023" i="15"/>
  <c r="AG2060" i="15"/>
  <c r="AG840" i="15"/>
  <c r="AG874" i="15"/>
  <c r="AG908" i="15"/>
  <c r="AG942" i="15"/>
  <c r="AG976" i="15"/>
  <c r="AG1010" i="15"/>
  <c r="AG1044" i="15"/>
  <c r="AG1078" i="15"/>
  <c r="AG1112" i="15"/>
  <c r="AG1146" i="15"/>
  <c r="AG1180" i="15"/>
  <c r="AG1214" i="15"/>
  <c r="AG445" i="15"/>
  <c r="AG478" i="15"/>
  <c r="AG511" i="15"/>
  <c r="AG544" i="15"/>
  <c r="AG577" i="15"/>
  <c r="AG610" i="15"/>
  <c r="AG643" i="15"/>
  <c r="AG676" i="15"/>
  <c r="AG709" i="15"/>
  <c r="AG742" i="15"/>
  <c r="AG775" i="15"/>
  <c r="AG808" i="15"/>
  <c r="AG14" i="15"/>
  <c r="AG50" i="15"/>
  <c r="AG86" i="15"/>
  <c r="AG122" i="15"/>
  <c r="AG158" i="15"/>
  <c r="AG194" i="15"/>
  <c r="AG230" i="15"/>
  <c r="AG266" i="15"/>
  <c r="AG302" i="15"/>
  <c r="AG338" i="15"/>
  <c r="AG374" i="15"/>
  <c r="AG410" i="15"/>
  <c r="AG2096" i="15"/>
  <c r="AG2131" i="15"/>
  <c r="AG1652" i="15"/>
  <c r="AG1689" i="15"/>
  <c r="AG1726" i="15"/>
  <c r="AG1763" i="15"/>
  <c r="AG1800" i="15"/>
  <c r="AG1837" i="15"/>
  <c r="AG1874" i="15"/>
  <c r="AG1911" i="15"/>
  <c r="AG1948" i="15"/>
  <c r="AG1985" i="15"/>
  <c r="AG2022" i="15"/>
  <c r="AG2059" i="15"/>
  <c r="AG13" i="15"/>
  <c r="AG49" i="15"/>
  <c r="AG85" i="15"/>
  <c r="AG121" i="15"/>
  <c r="AG157" i="15"/>
  <c r="AG193" i="15"/>
  <c r="AG229" i="15"/>
  <c r="AG265" i="15"/>
  <c r="AG301" i="15"/>
  <c r="AG337" i="15"/>
  <c r="AG373" i="15"/>
  <c r="AG409" i="15"/>
  <c r="AG2095" i="15"/>
  <c r="AG2130" i="15"/>
  <c r="AG1651" i="15"/>
  <c r="AG1688" i="15"/>
  <c r="AG1725" i="15"/>
  <c r="AG1762" i="15"/>
  <c r="AG1799" i="15"/>
  <c r="AG1836" i="15"/>
  <c r="AG1873" i="15"/>
  <c r="AG1910" i="15"/>
  <c r="AG1947" i="15"/>
  <c r="AG1984" i="15"/>
  <c r="AG2021" i="15"/>
  <c r="AG2058" i="15"/>
  <c r="AG839" i="15"/>
  <c r="AG873" i="15"/>
  <c r="AG907" i="15"/>
  <c r="AG941" i="15"/>
  <c r="AG975" i="15"/>
  <c r="AG1009" i="15"/>
  <c r="AG1043" i="15"/>
  <c r="AG1077" i="15"/>
  <c r="AG1111" i="15"/>
  <c r="AG1145" i="15"/>
  <c r="AG1179" i="15"/>
  <c r="AG1213" i="15"/>
  <c r="AG444" i="15"/>
  <c r="AG477" i="15"/>
  <c r="AG510" i="15"/>
  <c r="AG543" i="15"/>
  <c r="AG576" i="15"/>
  <c r="AG609" i="15"/>
  <c r="AG642" i="15"/>
  <c r="AG675" i="15"/>
  <c r="AG708" i="15"/>
  <c r="AG741" i="15"/>
  <c r="AG774" i="15"/>
  <c r="AG807" i="15"/>
  <c r="AG12" i="15"/>
  <c r="AG48" i="15"/>
  <c r="AG84" i="15"/>
  <c r="AG120" i="15"/>
  <c r="AG156" i="15"/>
  <c r="AG192" i="15"/>
  <c r="AG228" i="15"/>
  <c r="AG264" i="15"/>
  <c r="AG300" i="15"/>
  <c r="AG336" i="15"/>
  <c r="AG372" i="15"/>
  <c r="AG408" i="15"/>
  <c r="AG838" i="15"/>
  <c r="AG872" i="15"/>
  <c r="AG906" i="15"/>
  <c r="AG940" i="15"/>
  <c r="AG974" i="15"/>
  <c r="AG1008" i="15"/>
  <c r="AG1042" i="15"/>
  <c r="AG1076" i="15"/>
  <c r="AG1110" i="15"/>
  <c r="AG1144" i="15"/>
  <c r="AG1178" i="15"/>
  <c r="AG1212" i="15"/>
  <c r="AG443" i="15"/>
  <c r="AG476" i="15"/>
  <c r="AG509" i="15"/>
  <c r="AG542" i="15"/>
  <c r="AG575" i="15"/>
  <c r="AG608" i="15"/>
  <c r="AG641" i="15"/>
  <c r="AG674" i="15"/>
  <c r="AG707" i="15"/>
  <c r="AG740" i="15"/>
  <c r="AG773" i="15"/>
  <c r="AG806" i="15"/>
  <c r="AG11" i="15"/>
  <c r="AG47" i="15"/>
  <c r="AG83" i="15"/>
  <c r="AG119" i="15"/>
  <c r="AG155" i="15"/>
  <c r="AG191" i="15"/>
  <c r="AG227" i="15"/>
  <c r="AG263" i="15"/>
  <c r="AG299" i="15"/>
  <c r="AG335" i="15"/>
  <c r="AG371" i="15"/>
  <c r="AG407" i="15"/>
  <c r="AG2094" i="15"/>
  <c r="AG2129" i="15"/>
  <c r="AG837" i="15"/>
  <c r="AG871" i="15"/>
  <c r="AG905" i="15"/>
  <c r="AG939" i="15"/>
  <c r="AG973" i="15"/>
  <c r="AG1007" i="15"/>
  <c r="AG1041" i="15"/>
  <c r="AG1075" i="15"/>
  <c r="AG1109" i="15"/>
  <c r="AG1143" i="15"/>
  <c r="AG1177" i="15"/>
  <c r="AG1211" i="15"/>
  <c r="AG442" i="15"/>
  <c r="AG475" i="15"/>
  <c r="AG508" i="15"/>
  <c r="AG541" i="15"/>
  <c r="AG574" i="15"/>
  <c r="AG607" i="15"/>
  <c r="AG640" i="15"/>
  <c r="AG673" i="15"/>
  <c r="AG706" i="15"/>
  <c r="AG739" i="15"/>
  <c r="AG772" i="15"/>
  <c r="AG805" i="15"/>
  <c r="AG10" i="15"/>
  <c r="AG46" i="15"/>
  <c r="AG82" i="15"/>
  <c r="AG118" i="15"/>
  <c r="AG154" i="15"/>
  <c r="AG190" i="15"/>
  <c r="AG226" i="15"/>
  <c r="AG262" i="15"/>
  <c r="AG298" i="15"/>
  <c r="AG334" i="15"/>
  <c r="AG370" i="15"/>
  <c r="AG406" i="15"/>
  <c r="AG9" i="15"/>
  <c r="AG45" i="15"/>
  <c r="AG81" i="15"/>
  <c r="AG117" i="15"/>
  <c r="AG153" i="15"/>
  <c r="AG189" i="15"/>
  <c r="AG225" i="15"/>
  <c r="AG261" i="15"/>
  <c r="AG297" i="15"/>
  <c r="AG333" i="15"/>
  <c r="AG369" i="15"/>
  <c r="AG405" i="15"/>
  <c r="AG836" i="15"/>
  <c r="AG870" i="15"/>
  <c r="AG904" i="15"/>
  <c r="AG938" i="15"/>
  <c r="AG972" i="15"/>
  <c r="AG1006" i="15"/>
  <c r="AG1040" i="15"/>
  <c r="AG1074" i="15"/>
  <c r="AG1108" i="15"/>
  <c r="AG1142" i="15"/>
  <c r="AG1176" i="15"/>
  <c r="AG1210" i="15"/>
  <c r="AG441" i="15"/>
  <c r="AG474" i="15"/>
  <c r="AG507" i="15"/>
  <c r="AG540" i="15"/>
  <c r="AG573" i="15"/>
  <c r="AG606" i="15"/>
  <c r="AG639" i="15"/>
  <c r="AG672" i="15"/>
  <c r="AG705" i="15"/>
  <c r="AG738" i="15"/>
  <c r="AG771" i="15"/>
  <c r="AG804" i="15"/>
  <c r="AG8" i="15"/>
  <c r="AG44" i="15"/>
  <c r="AG80" i="15"/>
  <c r="AG116" i="15"/>
  <c r="AG152" i="15"/>
  <c r="AG188" i="15"/>
  <c r="AG224" i="15"/>
  <c r="AG260" i="15"/>
  <c r="AG296" i="15"/>
  <c r="AG332" i="15"/>
  <c r="AG368" i="15"/>
  <c r="AG404" i="15"/>
  <c r="AG2093" i="15"/>
  <c r="AG2128" i="15"/>
  <c r="AG1650" i="15"/>
  <c r="AG1687" i="15"/>
  <c r="AG1724" i="15"/>
  <c r="AG1761" i="15"/>
  <c r="AG1798" i="15"/>
  <c r="AG1835" i="15"/>
  <c r="AG1872" i="15"/>
  <c r="AG1909" i="15"/>
  <c r="AG1946" i="15"/>
  <c r="AG1983" i="15"/>
  <c r="AG2020" i="15"/>
  <c r="AG2057" i="15"/>
  <c r="AG835" i="15"/>
  <c r="AG869" i="15"/>
  <c r="AG903" i="15"/>
  <c r="AG937" i="15"/>
  <c r="AG971" i="15"/>
  <c r="AG1005" i="15"/>
  <c r="AG1039" i="15"/>
  <c r="AG1073" i="15"/>
  <c r="AG1107" i="15"/>
  <c r="AG1141" i="15"/>
  <c r="AG1175" i="15"/>
  <c r="AG1209" i="15"/>
  <c r="AG440" i="15"/>
  <c r="AG473" i="15"/>
  <c r="AG506" i="15"/>
  <c r="AG539" i="15"/>
  <c r="AG572" i="15"/>
  <c r="AG605" i="15"/>
  <c r="AG638" i="15"/>
  <c r="AG671" i="15"/>
  <c r="AG704" i="15"/>
  <c r="AG737" i="15"/>
  <c r="AG770" i="15"/>
  <c r="AG803" i="15"/>
  <c r="AG7" i="15"/>
  <c r="AG43" i="15"/>
  <c r="AG79" i="15"/>
  <c r="AG115" i="15"/>
  <c r="AG151" i="15"/>
  <c r="AG187" i="15"/>
  <c r="AG223" i="15"/>
  <c r="AG259" i="15"/>
  <c r="AG295" i="15"/>
  <c r="AG331" i="15"/>
  <c r="AG367" i="15"/>
  <c r="AG403" i="15"/>
  <c r="AG439" i="15"/>
  <c r="AG472" i="15"/>
  <c r="AG505" i="15"/>
  <c r="AG538" i="15"/>
  <c r="AG571" i="15"/>
  <c r="AG604" i="15"/>
  <c r="AG637" i="15"/>
  <c r="AG670" i="15"/>
  <c r="AG703" i="15"/>
  <c r="AG736" i="15"/>
  <c r="AG769" i="15"/>
  <c r="AG802" i="15"/>
  <c r="AG2092" i="15"/>
  <c r="AG2127" i="15"/>
  <c r="AG1649" i="15"/>
  <c r="AG1686" i="15"/>
  <c r="AG1723" i="15"/>
  <c r="AG1760" i="15"/>
  <c r="AG1797" i="15"/>
  <c r="AG1834" i="15"/>
  <c r="AG1871" i="15"/>
  <c r="AG1908" i="15"/>
  <c r="AG1945" i="15"/>
  <c r="AG1982" i="15"/>
  <c r="AG2019" i="15"/>
  <c r="AG2056" i="15"/>
  <c r="AG2091" i="15"/>
  <c r="AG2126" i="15"/>
  <c r="AG1648" i="15"/>
  <c r="AG1685" i="15"/>
  <c r="AG1722" i="15"/>
  <c r="AG1759" i="15"/>
  <c r="AG1796" i="15"/>
  <c r="AG1833" i="15"/>
  <c r="AG1870" i="15"/>
  <c r="AG1907" i="15"/>
  <c r="AG1944" i="15"/>
  <c r="AG1981" i="15"/>
  <c r="AG2018" i="15"/>
  <c r="AG2055" i="15"/>
  <c r="AG834" i="15"/>
  <c r="AG868" i="15"/>
  <c r="AG902" i="15"/>
  <c r="AG936" i="15"/>
  <c r="AG970" i="15"/>
  <c r="AG1004" i="15"/>
  <c r="AG1038" i="15"/>
  <c r="AG1072" i="15"/>
  <c r="AG1106" i="15"/>
  <c r="AG1140" i="15"/>
  <c r="AG1174" i="15"/>
  <c r="AG1208" i="15"/>
  <c r="AG438" i="15"/>
  <c r="AG471" i="15"/>
  <c r="AG504" i="15"/>
  <c r="AG537" i="15"/>
  <c r="AG570" i="15"/>
  <c r="AG603" i="15"/>
  <c r="AG636" i="15"/>
  <c r="AG669" i="15"/>
  <c r="AG702" i="15"/>
  <c r="AG735" i="15"/>
  <c r="AG768" i="15"/>
  <c r="AG801" i="15"/>
  <c r="AG6" i="15"/>
  <c r="AG42" i="15"/>
  <c r="AG78" i="15"/>
  <c r="AG114" i="15"/>
  <c r="AG150" i="15"/>
  <c r="AG186" i="15"/>
  <c r="AG222" i="15"/>
  <c r="AG258" i="15"/>
  <c r="AG294" i="15"/>
  <c r="AG330" i="15"/>
  <c r="AG366" i="15"/>
  <c r="AG402" i="15"/>
  <c r="AG2090" i="15"/>
  <c r="AG2125" i="15"/>
  <c r="AG1647" i="15"/>
  <c r="AG1684" i="15"/>
  <c r="AG1721" i="15"/>
  <c r="AG1758" i="15"/>
  <c r="AG1795" i="15"/>
  <c r="AG1832" i="15"/>
  <c r="AG1869" i="15"/>
  <c r="AG1906" i="15"/>
  <c r="AG1943" i="15"/>
  <c r="AG1980" i="15"/>
  <c r="AG2017" i="15"/>
  <c r="AG2054" i="15"/>
  <c r="AG833" i="15"/>
  <c r="AG867" i="15"/>
  <c r="AG901" i="15"/>
  <c r="AG935" i="15"/>
  <c r="AG969" i="15"/>
  <c r="AG1003" i="15"/>
  <c r="AG1037" i="15"/>
  <c r="AG1071" i="15"/>
  <c r="AG1105" i="15"/>
  <c r="AG1139" i="15"/>
  <c r="AG1173" i="15"/>
  <c r="AG1207" i="15"/>
  <c r="AG437" i="15"/>
  <c r="AG470" i="15"/>
  <c r="AG503" i="15"/>
  <c r="AG536" i="15"/>
  <c r="AG569" i="15"/>
  <c r="AG602" i="15"/>
  <c r="AG635" i="15"/>
  <c r="AG668" i="15"/>
  <c r="AG701" i="15"/>
  <c r="AG734" i="15"/>
  <c r="AG767" i="15"/>
  <c r="AG800" i="15"/>
  <c r="AG5" i="15"/>
  <c r="AG41" i="15"/>
  <c r="AG77" i="15"/>
  <c r="AG113" i="15"/>
  <c r="AG149" i="15"/>
  <c r="AG185" i="15"/>
  <c r="AG221" i="15"/>
  <c r="AG257" i="15"/>
  <c r="AG293" i="15"/>
  <c r="AG329" i="15"/>
  <c r="AG365" i="15"/>
  <c r="AG401" i="15"/>
  <c r="AG832" i="15"/>
  <c r="AG866" i="15"/>
  <c r="AG900" i="15"/>
  <c r="AG934" i="15"/>
  <c r="AG968" i="15"/>
  <c r="AG1002" i="15"/>
  <c r="AG1036" i="15"/>
  <c r="AG1070" i="15"/>
  <c r="AG1104" i="15"/>
  <c r="AG1138" i="15"/>
  <c r="AG1172" i="15"/>
  <c r="AG1206" i="15"/>
  <c r="AG436" i="15"/>
  <c r="AG469" i="15"/>
  <c r="AG502" i="15"/>
  <c r="AG535" i="15"/>
  <c r="AG568" i="15"/>
  <c r="AG601" i="15"/>
  <c r="AG634" i="15"/>
  <c r="AG667" i="15"/>
  <c r="AG700" i="15"/>
  <c r="AG733" i="15"/>
  <c r="AG766" i="15"/>
  <c r="AG799" i="15"/>
  <c r="AG4" i="15"/>
  <c r="AG40" i="15"/>
  <c r="AG76" i="15"/>
  <c r="AG112" i="15"/>
  <c r="AG148" i="15"/>
  <c r="AG184" i="15"/>
  <c r="AG220" i="15"/>
  <c r="AG256" i="15"/>
  <c r="AG292" i="15"/>
  <c r="AG328" i="15"/>
  <c r="AG364" i="15"/>
  <c r="AG400" i="15"/>
  <c r="AG831" i="15"/>
  <c r="AG865" i="15"/>
  <c r="AG899" i="15"/>
  <c r="AG933" i="15"/>
  <c r="AG967" i="15"/>
  <c r="AG1001" i="15"/>
  <c r="AG1035" i="15"/>
  <c r="AG1069" i="15"/>
  <c r="AG1103" i="15"/>
  <c r="AG1137" i="15"/>
  <c r="AG1171" i="15"/>
  <c r="AG1205" i="15"/>
  <c r="AG435" i="15"/>
  <c r="AG468" i="15"/>
  <c r="AG501" i="15"/>
  <c r="AG534" i="15"/>
  <c r="AG567" i="15"/>
  <c r="AG600" i="15"/>
  <c r="AG633" i="15"/>
  <c r="AG666" i="15"/>
  <c r="AG699" i="15"/>
  <c r="AG732" i="15"/>
  <c r="AG765" i="15"/>
  <c r="AG798" i="15"/>
  <c r="AG3" i="15"/>
  <c r="AG39" i="15"/>
  <c r="AG75" i="15"/>
  <c r="AG111" i="15"/>
  <c r="AG147" i="15"/>
  <c r="AG183" i="15"/>
  <c r="AG219" i="15"/>
  <c r="AG255" i="15"/>
  <c r="AG291" i="15"/>
  <c r="AG327" i="15"/>
  <c r="AG363" i="15"/>
  <c r="AG399" i="15"/>
  <c r="AG1646" i="15"/>
  <c r="AG1683" i="15"/>
  <c r="AG1720" i="15"/>
  <c r="AG1757" i="15"/>
  <c r="AG1794" i="15"/>
  <c r="AG1831" i="15"/>
  <c r="AG1868" i="15"/>
  <c r="AG1905" i="15"/>
  <c r="AG1942" i="15"/>
  <c r="AG1979" i="15"/>
  <c r="AG2016" i="15"/>
  <c r="AG2053" i="15"/>
  <c r="AG830" i="15"/>
  <c r="AG864" i="15"/>
  <c r="AG898" i="15"/>
  <c r="AG932" i="15"/>
  <c r="AG966" i="15"/>
  <c r="AG1000" i="15"/>
  <c r="AG1034" i="15"/>
  <c r="AG1068" i="15"/>
  <c r="AG1102" i="15"/>
  <c r="AG1136" i="15"/>
  <c r="AG1170" i="15"/>
  <c r="AG1204" i="15"/>
  <c r="AG434" i="15"/>
  <c r="AG467" i="15"/>
  <c r="AG500" i="15"/>
  <c r="AG533" i="15"/>
  <c r="AG566" i="15"/>
  <c r="AG599" i="15"/>
  <c r="AG632" i="15"/>
  <c r="AG665" i="15"/>
  <c r="AG698" i="15"/>
  <c r="AG731" i="15"/>
  <c r="AG764" i="15"/>
  <c r="AG797" i="15"/>
  <c r="AG2" i="15"/>
  <c r="AG38" i="15"/>
  <c r="AG74" i="15"/>
  <c r="AG110" i="15"/>
  <c r="AG146" i="15"/>
  <c r="AG182" i="15"/>
  <c r="AG218" i="15"/>
  <c r="AG254" i="15"/>
  <c r="AG290" i="15"/>
  <c r="AG326" i="15"/>
  <c r="AG362" i="15"/>
  <c r="AG398" i="15"/>
  <c r="AF37" i="15"/>
  <c r="AF73" i="15"/>
  <c r="AF109" i="15"/>
  <c r="AF145" i="15"/>
  <c r="AF181" i="15"/>
  <c r="AF217" i="15"/>
  <c r="AF253" i="15"/>
  <c r="AF289" i="15"/>
  <c r="AF325" i="15"/>
  <c r="AF361" i="15"/>
  <c r="AF397" i="15"/>
  <c r="AF433" i="15"/>
  <c r="AF2124" i="15"/>
  <c r="AF2159" i="15"/>
  <c r="AF1682" i="15"/>
  <c r="AF1719" i="15"/>
  <c r="AF1756" i="15"/>
  <c r="AF1793" i="15"/>
  <c r="AF1830" i="15"/>
  <c r="AF1867" i="15"/>
  <c r="AF1904" i="15"/>
  <c r="AF1941" i="15"/>
  <c r="AF1978" i="15"/>
  <c r="AF2015" i="15"/>
  <c r="AF2052" i="15"/>
  <c r="AF2089" i="15"/>
  <c r="AF863" i="15"/>
  <c r="AF897" i="15"/>
  <c r="AF931" i="15"/>
  <c r="AF965" i="15"/>
  <c r="AF999" i="15"/>
  <c r="AF1033" i="15"/>
  <c r="AF1067" i="15"/>
  <c r="AF1101" i="15"/>
  <c r="AF1135" i="15"/>
  <c r="AF1169" i="15"/>
  <c r="AF1203" i="15"/>
  <c r="AF1237" i="15"/>
  <c r="AF466" i="15"/>
  <c r="AF499" i="15"/>
  <c r="AF532" i="15"/>
  <c r="AF565" i="15"/>
  <c r="AF598" i="15"/>
  <c r="AF631" i="15"/>
  <c r="AF664" i="15"/>
  <c r="AF697" i="15"/>
  <c r="AF730" i="15"/>
  <c r="AF763" i="15"/>
  <c r="AF796" i="15"/>
  <c r="AF829" i="15"/>
  <c r="AF36" i="15"/>
  <c r="AF72" i="15"/>
  <c r="AF108" i="15"/>
  <c r="AF144" i="15"/>
  <c r="AF180" i="15"/>
  <c r="AF216" i="15"/>
  <c r="AF252" i="15"/>
  <c r="AF288" i="15"/>
  <c r="AF324" i="15"/>
  <c r="AF360" i="15"/>
  <c r="AF396" i="15"/>
  <c r="AF432" i="15"/>
  <c r="AF2123" i="15"/>
  <c r="AF2158" i="15"/>
  <c r="AF1681" i="15"/>
  <c r="AF1718" i="15"/>
  <c r="AF1755" i="15"/>
  <c r="AF1792" i="15"/>
  <c r="AF1829" i="15"/>
  <c r="AF1866" i="15"/>
  <c r="AF1903" i="15"/>
  <c r="AF1940" i="15"/>
  <c r="AF1977" i="15"/>
  <c r="AF2014" i="15"/>
  <c r="AF2051" i="15"/>
  <c r="AF2088" i="15"/>
  <c r="AF862" i="15"/>
  <c r="AF896" i="15"/>
  <c r="AF930" i="15"/>
  <c r="AF964" i="15"/>
  <c r="AF998" i="15"/>
  <c r="AF1032" i="15"/>
  <c r="AF1066" i="15"/>
  <c r="AF1100" i="15"/>
  <c r="AF1134" i="15"/>
  <c r="AF1168" i="15"/>
  <c r="AF1202" i="15"/>
  <c r="AF1236" i="15"/>
  <c r="AF465" i="15"/>
  <c r="AF498" i="15"/>
  <c r="AF531" i="15"/>
  <c r="AF564" i="15"/>
  <c r="AF597" i="15"/>
  <c r="AF630" i="15"/>
  <c r="AF663" i="15"/>
  <c r="AF696" i="15"/>
  <c r="AF729" i="15"/>
  <c r="AF762" i="15"/>
  <c r="AF795" i="15"/>
  <c r="AF828" i="15"/>
  <c r="AF35" i="15"/>
  <c r="AF71" i="15"/>
  <c r="AF107" i="15"/>
  <c r="AF143" i="15"/>
  <c r="AF179" i="15"/>
  <c r="AF215" i="15"/>
  <c r="AF251" i="15"/>
  <c r="AF287" i="15"/>
  <c r="AF323" i="15"/>
  <c r="AF359" i="15"/>
  <c r="AF395" i="15"/>
  <c r="AF431" i="15"/>
  <c r="AF2122" i="15"/>
  <c r="AF2157" i="15"/>
  <c r="AF1680" i="15"/>
  <c r="AF1717" i="15"/>
  <c r="AF1754" i="15"/>
  <c r="AF1791" i="15"/>
  <c r="AF1828" i="15"/>
  <c r="AF1865" i="15"/>
  <c r="AF1902" i="15"/>
  <c r="AF1939" i="15"/>
  <c r="AF1976" i="15"/>
  <c r="AF2013" i="15"/>
  <c r="AF2050" i="15"/>
  <c r="AF2087" i="15"/>
  <c r="AF861" i="15"/>
  <c r="AF895" i="15"/>
  <c r="AF929" i="15"/>
  <c r="AF963" i="15"/>
  <c r="AF997" i="15"/>
  <c r="AF1031" i="15"/>
  <c r="AF1065" i="15"/>
  <c r="AF1099" i="15"/>
  <c r="AF1133" i="15"/>
  <c r="AF1167" i="15"/>
  <c r="AF1201" i="15"/>
  <c r="AF1235" i="15"/>
  <c r="AF464" i="15"/>
  <c r="AF497" i="15"/>
  <c r="AF530" i="15"/>
  <c r="AF563" i="15"/>
  <c r="AF596" i="15"/>
  <c r="AF629" i="15"/>
  <c r="AF662" i="15"/>
  <c r="AF695" i="15"/>
  <c r="AF728" i="15"/>
  <c r="AF761" i="15"/>
  <c r="AF794" i="15"/>
  <c r="AF827" i="15"/>
  <c r="AF34" i="15"/>
  <c r="AF70" i="15"/>
  <c r="AF106" i="15"/>
  <c r="AF142" i="15"/>
  <c r="AF178" i="15"/>
  <c r="AF214" i="15"/>
  <c r="AF250" i="15"/>
  <c r="AF286" i="15"/>
  <c r="AF322" i="15"/>
  <c r="AF358" i="15"/>
  <c r="AF394" i="15"/>
  <c r="AF430" i="15"/>
  <c r="AF2121" i="15"/>
  <c r="AF2156" i="15"/>
  <c r="AF1679" i="15"/>
  <c r="AF1716" i="15"/>
  <c r="AF1753" i="15"/>
  <c r="AF1790" i="15"/>
  <c r="AF1827" i="15"/>
  <c r="AF1864" i="15"/>
  <c r="AF1901" i="15"/>
  <c r="AF1938" i="15"/>
  <c r="AF1975" i="15"/>
  <c r="AF2012" i="15"/>
  <c r="AF2049" i="15"/>
  <c r="AF2086" i="15"/>
  <c r="AF2120" i="15"/>
  <c r="AF2155" i="15"/>
  <c r="AF1678" i="15"/>
  <c r="AF1715" i="15"/>
  <c r="AF1752" i="15"/>
  <c r="AF1789" i="15"/>
  <c r="AF1826" i="15"/>
  <c r="AF1863" i="15"/>
  <c r="AF1900" i="15"/>
  <c r="AF1937" i="15"/>
  <c r="AF1974" i="15"/>
  <c r="AF2011" i="15"/>
  <c r="AF2048" i="15"/>
  <c r="AF2085" i="15"/>
  <c r="AF860" i="15"/>
  <c r="AF894" i="15"/>
  <c r="AF928" i="15"/>
  <c r="AF962" i="15"/>
  <c r="AF996" i="15"/>
  <c r="AF1030" i="15"/>
  <c r="AF1064" i="15"/>
  <c r="AF1098" i="15"/>
  <c r="AF1132" i="15"/>
  <c r="AF1166" i="15"/>
  <c r="AF1200" i="15"/>
  <c r="AF1234" i="15"/>
  <c r="AF2119" i="15"/>
  <c r="AF2154" i="15"/>
  <c r="AF1677" i="15"/>
  <c r="AF1714" i="15"/>
  <c r="AF1751" i="15"/>
  <c r="AF1788" i="15"/>
  <c r="AF1825" i="15"/>
  <c r="AF1862" i="15"/>
  <c r="AF1899" i="15"/>
  <c r="AF1936" i="15"/>
  <c r="AF1973" i="15"/>
  <c r="AF2010" i="15"/>
  <c r="AF2047" i="15"/>
  <c r="AF2084" i="15"/>
  <c r="AF859" i="15"/>
  <c r="AF893" i="15"/>
  <c r="AF927" i="15"/>
  <c r="AF961" i="15"/>
  <c r="AF995" i="15"/>
  <c r="AF1029" i="15"/>
  <c r="AF1063" i="15"/>
  <c r="AF1097" i="15"/>
  <c r="AF1131" i="15"/>
  <c r="AF1165" i="15"/>
  <c r="AF1199" i="15"/>
  <c r="AF1233" i="15"/>
  <c r="AF463" i="15"/>
  <c r="AF496" i="15"/>
  <c r="AF529" i="15"/>
  <c r="AF562" i="15"/>
  <c r="AF595" i="15"/>
  <c r="AF628" i="15"/>
  <c r="AF661" i="15"/>
  <c r="AF694" i="15"/>
  <c r="AF727" i="15"/>
  <c r="AF760" i="15"/>
  <c r="AF793" i="15"/>
  <c r="AF826" i="15"/>
  <c r="AF33" i="15"/>
  <c r="AF69" i="15"/>
  <c r="AF105" i="15"/>
  <c r="AF141" i="15"/>
  <c r="AF177" i="15"/>
  <c r="AF213" i="15"/>
  <c r="AF249" i="15"/>
  <c r="AF285" i="15"/>
  <c r="AF321" i="15"/>
  <c r="AF357" i="15"/>
  <c r="AF393" i="15"/>
  <c r="AF429" i="15"/>
  <c r="AF1676" i="15"/>
  <c r="AF1713" i="15"/>
  <c r="AF1750" i="15"/>
  <c r="AF1787" i="15"/>
  <c r="AF1824" i="15"/>
  <c r="AF1861" i="15"/>
  <c r="AF1898" i="15"/>
  <c r="AF1935" i="15"/>
  <c r="AF1972" i="15"/>
  <c r="AF2009" i="15"/>
  <c r="AF2046" i="15"/>
  <c r="AF2083" i="15"/>
  <c r="AF858" i="15"/>
  <c r="AF892" i="15"/>
  <c r="AF926" i="15"/>
  <c r="AF960" i="15"/>
  <c r="AF994" i="15"/>
  <c r="AF1028" i="15"/>
  <c r="AF1062" i="15"/>
  <c r="AF1096" i="15"/>
  <c r="AF1130" i="15"/>
  <c r="AF1164" i="15"/>
  <c r="AF1198" i="15"/>
  <c r="AF1232" i="15"/>
  <c r="AF462" i="15"/>
  <c r="AF495" i="15"/>
  <c r="AF528" i="15"/>
  <c r="AF561" i="15"/>
  <c r="AF594" i="15"/>
  <c r="AF627" i="15"/>
  <c r="AF660" i="15"/>
  <c r="AF693" i="15"/>
  <c r="AF726" i="15"/>
  <c r="AF759" i="15"/>
  <c r="AF792" i="15"/>
  <c r="AF825" i="15"/>
  <c r="AF32" i="15"/>
  <c r="AF68" i="15"/>
  <c r="AF104" i="15"/>
  <c r="AF140" i="15"/>
  <c r="AF176" i="15"/>
  <c r="AF212" i="15"/>
  <c r="AF248" i="15"/>
  <c r="AF284" i="15"/>
  <c r="AF320" i="15"/>
  <c r="AF356" i="15"/>
  <c r="AF392" i="15"/>
  <c r="AF428" i="15"/>
  <c r="AF2118" i="15"/>
  <c r="AF2153" i="15"/>
  <c r="AF1675" i="15"/>
  <c r="AF1712" i="15"/>
  <c r="AF1749" i="15"/>
  <c r="AF1786" i="15"/>
  <c r="AF1823" i="15"/>
  <c r="AF1860" i="15"/>
  <c r="AF1897" i="15"/>
  <c r="AF1934" i="15"/>
  <c r="AF1971" i="15"/>
  <c r="AF2008" i="15"/>
  <c r="AF2045" i="15"/>
  <c r="AF2082" i="15"/>
  <c r="AF857" i="15"/>
  <c r="AF891" i="15"/>
  <c r="AF925" i="15"/>
  <c r="AF959" i="15"/>
  <c r="AF993" i="15"/>
  <c r="AF1027" i="15"/>
  <c r="AF1061" i="15"/>
  <c r="AF1095" i="15"/>
  <c r="AF1129" i="15"/>
  <c r="AF1163" i="15"/>
  <c r="AF1197" i="15"/>
  <c r="AF1231" i="15"/>
  <c r="AF461" i="15"/>
  <c r="AF494" i="15"/>
  <c r="AF527" i="15"/>
  <c r="AF560" i="15"/>
  <c r="AF593" i="15"/>
  <c r="AF626" i="15"/>
  <c r="AF659" i="15"/>
  <c r="AF692" i="15"/>
  <c r="AF725" i="15"/>
  <c r="AF758" i="15"/>
  <c r="AF791" i="15"/>
  <c r="AF824" i="15"/>
  <c r="AF31" i="15"/>
  <c r="AF67" i="15"/>
  <c r="AF103" i="15"/>
  <c r="AF139" i="15"/>
  <c r="AF175" i="15"/>
  <c r="AF211" i="15"/>
  <c r="AF247" i="15"/>
  <c r="AF283" i="15"/>
  <c r="AF319" i="15"/>
  <c r="AF355" i="15"/>
  <c r="AF391" i="15"/>
  <c r="AF427" i="15"/>
  <c r="AF2117" i="15"/>
  <c r="AF2152" i="15"/>
  <c r="AF1674" i="15"/>
  <c r="AF1711" i="15"/>
  <c r="AF1748" i="15"/>
  <c r="AF1785" i="15"/>
  <c r="AF1822" i="15"/>
  <c r="AF1859" i="15"/>
  <c r="AF1896" i="15"/>
  <c r="AF1933" i="15"/>
  <c r="AF1970" i="15"/>
  <c r="AF2007" i="15"/>
  <c r="AF2044" i="15"/>
  <c r="AF2081" i="15"/>
  <c r="AF2116" i="15"/>
  <c r="AF2151" i="15"/>
  <c r="AF1673" i="15"/>
  <c r="AF1710" i="15"/>
  <c r="AF1747" i="15"/>
  <c r="AF1784" i="15"/>
  <c r="AF1821" i="15"/>
  <c r="AF1858" i="15"/>
  <c r="AF1895" i="15"/>
  <c r="AF1932" i="15"/>
  <c r="AF1969" i="15"/>
  <c r="AF2006" i="15"/>
  <c r="AF2043" i="15"/>
  <c r="AF2080" i="15"/>
  <c r="AF856" i="15"/>
  <c r="AF890" i="15"/>
  <c r="AF924" i="15"/>
  <c r="AF958" i="15"/>
  <c r="AF992" i="15"/>
  <c r="AF1026" i="15"/>
  <c r="AF1060" i="15"/>
  <c r="AF1094" i="15"/>
  <c r="AF1128" i="15"/>
  <c r="AF1162" i="15"/>
  <c r="AF1196" i="15"/>
  <c r="AF1230" i="15"/>
  <c r="AF30" i="15"/>
  <c r="AF66" i="15"/>
  <c r="AF102" i="15"/>
  <c r="AF138" i="15"/>
  <c r="AF174" i="15"/>
  <c r="AF210" i="15"/>
  <c r="AF246" i="15"/>
  <c r="AF282" i="15"/>
  <c r="AF318" i="15"/>
  <c r="AF354" i="15"/>
  <c r="AF390" i="15"/>
  <c r="AF426" i="15"/>
  <c r="AF2115" i="15"/>
  <c r="AF2150" i="15"/>
  <c r="AF1672" i="15"/>
  <c r="AF1709" i="15"/>
  <c r="AF1746" i="15"/>
  <c r="AF1783" i="15"/>
  <c r="AF1820" i="15"/>
  <c r="AF1857" i="15"/>
  <c r="AF1894" i="15"/>
  <c r="AF1931" i="15"/>
  <c r="AF1968" i="15"/>
  <c r="AF2005" i="15"/>
  <c r="AF2042" i="15"/>
  <c r="AF2079" i="15"/>
  <c r="AF460" i="15"/>
  <c r="AF493" i="15"/>
  <c r="AF526" i="15"/>
  <c r="AF559" i="15"/>
  <c r="AF592" i="15"/>
  <c r="AF625" i="15"/>
  <c r="AF658" i="15"/>
  <c r="AF691" i="15"/>
  <c r="AF724" i="15"/>
  <c r="AF757" i="15"/>
  <c r="AF790" i="15"/>
  <c r="AF823" i="15"/>
  <c r="AF29" i="15"/>
  <c r="AF65" i="15"/>
  <c r="AF101" i="15"/>
  <c r="AF137" i="15"/>
  <c r="AF173" i="15"/>
  <c r="AF209" i="15"/>
  <c r="AF245" i="15"/>
  <c r="AF281" i="15"/>
  <c r="AF317" i="15"/>
  <c r="AF353" i="15"/>
  <c r="AF389" i="15"/>
  <c r="AF425" i="15"/>
  <c r="AF2114" i="15"/>
  <c r="AF2149" i="15"/>
  <c r="AF1671" i="15"/>
  <c r="AF1708" i="15"/>
  <c r="AF1745" i="15"/>
  <c r="AF1782" i="15"/>
  <c r="AF1819" i="15"/>
  <c r="AF1856" i="15"/>
  <c r="AF1893" i="15"/>
  <c r="AF1930" i="15"/>
  <c r="AF1967" i="15"/>
  <c r="AF2004" i="15"/>
  <c r="AF2041" i="15"/>
  <c r="AF2078" i="15"/>
  <c r="AF2113" i="15"/>
  <c r="AF2148" i="15"/>
  <c r="AF1670" i="15"/>
  <c r="AF1707" i="15"/>
  <c r="AF1744" i="15"/>
  <c r="AF1781" i="15"/>
  <c r="AF1818" i="15"/>
  <c r="AF1855" i="15"/>
  <c r="AF1892" i="15"/>
  <c r="AF1929" i="15"/>
  <c r="AF1966" i="15"/>
  <c r="AF2003" i="15"/>
  <c r="AF2040" i="15"/>
  <c r="AF2077" i="15"/>
  <c r="AF1669" i="15"/>
  <c r="AF1706" i="15"/>
  <c r="AF1743" i="15"/>
  <c r="AF1780" i="15"/>
  <c r="AF1817" i="15"/>
  <c r="AF1854" i="15"/>
  <c r="AF1891" i="15"/>
  <c r="AF1928" i="15"/>
  <c r="AF1965" i="15"/>
  <c r="AF2002" i="15"/>
  <c r="AF2039" i="15"/>
  <c r="AF2076" i="15"/>
  <c r="AF855" i="15"/>
  <c r="AF889" i="15"/>
  <c r="AF923" i="15"/>
  <c r="AF957" i="15"/>
  <c r="AF991" i="15"/>
  <c r="AF1025" i="15"/>
  <c r="AF1059" i="15"/>
  <c r="AF1093" i="15"/>
  <c r="AF1127" i="15"/>
  <c r="AF1161" i="15"/>
  <c r="AF1195" i="15"/>
  <c r="AF1229" i="15"/>
  <c r="AF459" i="15"/>
  <c r="AF492" i="15"/>
  <c r="AF525" i="15"/>
  <c r="AF558" i="15"/>
  <c r="AF591" i="15"/>
  <c r="AF624" i="15"/>
  <c r="AF657" i="15"/>
  <c r="AF690" i="15"/>
  <c r="AF723" i="15"/>
  <c r="AF756" i="15"/>
  <c r="AF789" i="15"/>
  <c r="AF822" i="15"/>
  <c r="AF2112" i="15"/>
  <c r="AF2147" i="15"/>
  <c r="AF1668" i="15"/>
  <c r="AF1705" i="15"/>
  <c r="AF1742" i="15"/>
  <c r="AF1779" i="15"/>
  <c r="AF1816" i="15"/>
  <c r="AF1853" i="15"/>
  <c r="AF1890" i="15"/>
  <c r="AF1927" i="15"/>
  <c r="AF1964" i="15"/>
  <c r="AF2001" i="15"/>
  <c r="AF2038" i="15"/>
  <c r="AF2075" i="15"/>
  <c r="AF2111" i="15"/>
  <c r="AF2146" i="15"/>
  <c r="AF1667" i="15"/>
  <c r="AF1704" i="15"/>
  <c r="AF1741" i="15"/>
  <c r="AF1778" i="15"/>
  <c r="AF1815" i="15"/>
  <c r="AF1852" i="15"/>
  <c r="AF1889" i="15"/>
  <c r="AF1926" i="15"/>
  <c r="AF1963" i="15"/>
  <c r="AF2000" i="15"/>
  <c r="AF2037" i="15"/>
  <c r="AF2074" i="15"/>
  <c r="AF854" i="15"/>
  <c r="AF888" i="15"/>
  <c r="AF922" i="15"/>
  <c r="AF956" i="15"/>
  <c r="AF990" i="15"/>
  <c r="AF1024" i="15"/>
  <c r="AF1058" i="15"/>
  <c r="AF1092" i="15"/>
  <c r="AF1126" i="15"/>
  <c r="AF1160" i="15"/>
  <c r="AF1194" i="15"/>
  <c r="AF1228" i="15"/>
  <c r="AF2110" i="15"/>
  <c r="AF2145" i="15"/>
  <c r="AF1666" i="15"/>
  <c r="AF1703" i="15"/>
  <c r="AF1740" i="15"/>
  <c r="AF1777" i="15"/>
  <c r="AF1814" i="15"/>
  <c r="AF1851" i="15"/>
  <c r="AF1888" i="15"/>
  <c r="AF1925" i="15"/>
  <c r="AF1962" i="15"/>
  <c r="AF1999" i="15"/>
  <c r="AF2036" i="15"/>
  <c r="AF2073" i="15"/>
  <c r="AF2109" i="15"/>
  <c r="AF2144" i="15"/>
  <c r="AF1665" i="15"/>
  <c r="AF1702" i="15"/>
  <c r="AF1739" i="15"/>
  <c r="AF1776" i="15"/>
  <c r="AF1813" i="15"/>
  <c r="AF1850" i="15"/>
  <c r="AF1887" i="15"/>
  <c r="AF1924" i="15"/>
  <c r="AF1961" i="15"/>
  <c r="AF1998" i="15"/>
  <c r="AF2035" i="15"/>
  <c r="AF2072" i="15"/>
  <c r="AF853" i="15"/>
  <c r="AF887" i="15"/>
  <c r="AF921" i="15"/>
  <c r="AF955" i="15"/>
  <c r="AF989" i="15"/>
  <c r="AF1023" i="15"/>
  <c r="AF1057" i="15"/>
  <c r="AF1091" i="15"/>
  <c r="AF1125" i="15"/>
  <c r="AF1159" i="15"/>
  <c r="AF1193" i="15"/>
  <c r="AF1227" i="15"/>
  <c r="AF458" i="15"/>
  <c r="AF491" i="15"/>
  <c r="AF524" i="15"/>
  <c r="AF557" i="15"/>
  <c r="AF590" i="15"/>
  <c r="AF623" i="15"/>
  <c r="AF656" i="15"/>
  <c r="AF689" i="15"/>
  <c r="AF722" i="15"/>
  <c r="AF755" i="15"/>
  <c r="AF788" i="15"/>
  <c r="AF821" i="15"/>
  <c r="AF28" i="15"/>
  <c r="AF64" i="15"/>
  <c r="AF100" i="15"/>
  <c r="AF136" i="15"/>
  <c r="AF172" i="15"/>
  <c r="AF208" i="15"/>
  <c r="AF244" i="15"/>
  <c r="AF280" i="15"/>
  <c r="AF316" i="15"/>
  <c r="AF352" i="15"/>
  <c r="AF388" i="15"/>
  <c r="AF424" i="15"/>
  <c r="AF2108" i="15"/>
  <c r="AF2143" i="15"/>
  <c r="AF1664" i="15"/>
  <c r="AF1701" i="15"/>
  <c r="AF1738" i="15"/>
  <c r="AF1775" i="15"/>
  <c r="AF1812" i="15"/>
  <c r="AF1849" i="15"/>
  <c r="AF1886" i="15"/>
  <c r="AF1923" i="15"/>
  <c r="AF1960" i="15"/>
  <c r="AF1997" i="15"/>
  <c r="AF2034" i="15"/>
  <c r="AF2071" i="15"/>
  <c r="AF852" i="15"/>
  <c r="AF886" i="15"/>
  <c r="AF920" i="15"/>
  <c r="AF954" i="15"/>
  <c r="AF988" i="15"/>
  <c r="AF1022" i="15"/>
  <c r="AF1056" i="15"/>
  <c r="AF1090" i="15"/>
  <c r="AF1124" i="15"/>
  <c r="AF1158" i="15"/>
  <c r="AF1192" i="15"/>
  <c r="AF1226" i="15"/>
  <c r="AF457" i="15"/>
  <c r="AF490" i="15"/>
  <c r="AF523" i="15"/>
  <c r="AF556" i="15"/>
  <c r="AF589" i="15"/>
  <c r="AF622" i="15"/>
  <c r="AF655" i="15"/>
  <c r="AF688" i="15"/>
  <c r="AF721" i="15"/>
  <c r="AF754" i="15"/>
  <c r="AF787" i="15"/>
  <c r="AF820" i="15"/>
  <c r="AF27" i="15"/>
  <c r="AF63" i="15"/>
  <c r="AF99" i="15"/>
  <c r="AF135" i="15"/>
  <c r="AF171" i="15"/>
  <c r="AF207" i="15"/>
  <c r="AF243" i="15"/>
  <c r="AF279" i="15"/>
  <c r="AF315" i="15"/>
  <c r="AF351" i="15"/>
  <c r="AF387" i="15"/>
  <c r="AF423" i="15"/>
  <c r="AF851" i="15"/>
  <c r="AF885" i="15"/>
  <c r="AF919" i="15"/>
  <c r="AF953" i="15"/>
  <c r="AF987" i="15"/>
  <c r="AF1021" i="15"/>
  <c r="AF1055" i="15"/>
  <c r="AF1089" i="15"/>
  <c r="AF1123" i="15"/>
  <c r="AF1157" i="15"/>
  <c r="AF1191" i="15"/>
  <c r="AF1225" i="15"/>
  <c r="AF456" i="15"/>
  <c r="AF489" i="15"/>
  <c r="AF522" i="15"/>
  <c r="AF555" i="15"/>
  <c r="AF588" i="15"/>
  <c r="AF621" i="15"/>
  <c r="AF654" i="15"/>
  <c r="AF687" i="15"/>
  <c r="AF720" i="15"/>
  <c r="AF753" i="15"/>
  <c r="AF786" i="15"/>
  <c r="AF819" i="15"/>
  <c r="AF26" i="15"/>
  <c r="AF62" i="15"/>
  <c r="AF98" i="15"/>
  <c r="AF134" i="15"/>
  <c r="AF170" i="15"/>
  <c r="AF206" i="15"/>
  <c r="AF242" i="15"/>
  <c r="AF278" i="15"/>
  <c r="AF314" i="15"/>
  <c r="AF350" i="15"/>
  <c r="AF386" i="15"/>
  <c r="AF422" i="15"/>
  <c r="AF2107" i="15"/>
  <c r="AF2142" i="15"/>
  <c r="AF1663" i="15"/>
  <c r="AF1700" i="15"/>
  <c r="AF1737" i="15"/>
  <c r="AF1774" i="15"/>
  <c r="AF1811" i="15"/>
  <c r="AF1848" i="15"/>
  <c r="AF1885" i="15"/>
  <c r="AF1922" i="15"/>
  <c r="AF1959" i="15"/>
  <c r="AF1996" i="15"/>
  <c r="AF2033" i="15"/>
  <c r="AF2070" i="15"/>
  <c r="AF850" i="15"/>
  <c r="AF884" i="15"/>
  <c r="AF918" i="15"/>
  <c r="AF952" i="15"/>
  <c r="AF986" i="15"/>
  <c r="AF1020" i="15"/>
  <c r="AF1054" i="15"/>
  <c r="AF1088" i="15"/>
  <c r="AF1122" i="15"/>
  <c r="AF1156" i="15"/>
  <c r="AF1190" i="15"/>
  <c r="AF1224" i="15"/>
  <c r="AF455" i="15"/>
  <c r="AF488" i="15"/>
  <c r="AF521" i="15"/>
  <c r="AF554" i="15"/>
  <c r="AF587" i="15"/>
  <c r="AF620" i="15"/>
  <c r="AF653" i="15"/>
  <c r="AF686" i="15"/>
  <c r="AF719" i="15"/>
  <c r="AF752" i="15"/>
  <c r="AF785" i="15"/>
  <c r="AF818" i="15"/>
  <c r="AF25" i="15"/>
  <c r="AF61" i="15"/>
  <c r="AF97" i="15"/>
  <c r="AF133" i="15"/>
  <c r="AF169" i="15"/>
  <c r="AF205" i="15"/>
  <c r="AF241" i="15"/>
  <c r="AF277" i="15"/>
  <c r="AF313" i="15"/>
  <c r="AF349" i="15"/>
  <c r="AF385" i="15"/>
  <c r="AF421" i="15"/>
  <c r="AF2106" i="15"/>
  <c r="AF2141" i="15"/>
  <c r="AF1662" i="15"/>
  <c r="AF1699" i="15"/>
  <c r="AF1736" i="15"/>
  <c r="AF1773" i="15"/>
  <c r="AF1810" i="15"/>
  <c r="AF1847" i="15"/>
  <c r="AF1884" i="15"/>
  <c r="AF1921" i="15"/>
  <c r="AF1958" i="15"/>
  <c r="AF1995" i="15"/>
  <c r="AF2032" i="15"/>
  <c r="AF2069" i="15"/>
  <c r="AF849" i="15"/>
  <c r="AF883" i="15"/>
  <c r="AF917" i="15"/>
  <c r="AF951" i="15"/>
  <c r="AF985" i="15"/>
  <c r="AF1019" i="15"/>
  <c r="AF1053" i="15"/>
  <c r="AF1087" i="15"/>
  <c r="AF1121" i="15"/>
  <c r="AF1155" i="15"/>
  <c r="AF1189" i="15"/>
  <c r="AF1223" i="15"/>
  <c r="AF454" i="15"/>
  <c r="AF487" i="15"/>
  <c r="AF520" i="15"/>
  <c r="AF553" i="15"/>
  <c r="AF586" i="15"/>
  <c r="AF619" i="15"/>
  <c r="AF652" i="15"/>
  <c r="AF685" i="15"/>
  <c r="AF718" i="15"/>
  <c r="AF751" i="15"/>
  <c r="AF784" i="15"/>
  <c r="AF817" i="15"/>
  <c r="AF24" i="15"/>
  <c r="AF60" i="15"/>
  <c r="AF96" i="15"/>
  <c r="AF132" i="15"/>
  <c r="AF168" i="15"/>
  <c r="AF204" i="15"/>
  <c r="AF240" i="15"/>
  <c r="AF276" i="15"/>
  <c r="AF312" i="15"/>
  <c r="AF348" i="15"/>
  <c r="AF384" i="15"/>
  <c r="AF420" i="15"/>
  <c r="AF2105" i="15"/>
  <c r="AF2140" i="15"/>
  <c r="AF1661" i="15"/>
  <c r="AF1698" i="15"/>
  <c r="AF1735" i="15"/>
  <c r="AF1772" i="15"/>
  <c r="AF1809" i="15"/>
  <c r="AF1846" i="15"/>
  <c r="AF1883" i="15"/>
  <c r="AF1920" i="15"/>
  <c r="AF1957" i="15"/>
  <c r="AF1994" i="15"/>
  <c r="AF2031" i="15"/>
  <c r="AF2068" i="15"/>
  <c r="AF2104" i="15"/>
  <c r="AF2139" i="15"/>
  <c r="AF1660" i="15"/>
  <c r="AF1697" i="15"/>
  <c r="AF1734" i="15"/>
  <c r="AF1771" i="15"/>
  <c r="AF1808" i="15"/>
  <c r="AF1845" i="15"/>
  <c r="AF1882" i="15"/>
  <c r="AF1919" i="15"/>
  <c r="AF1956" i="15"/>
  <c r="AF1993" i="15"/>
  <c r="AF2030" i="15"/>
  <c r="AF2067" i="15"/>
  <c r="AF848" i="15"/>
  <c r="AF882" i="15"/>
  <c r="AF916" i="15"/>
  <c r="AF950" i="15"/>
  <c r="AF984" i="15"/>
  <c r="AF1018" i="15"/>
  <c r="AF1052" i="15"/>
  <c r="AF1086" i="15"/>
  <c r="AF1120" i="15"/>
  <c r="AF1154" i="15"/>
  <c r="AF1188" i="15"/>
  <c r="AF1222" i="15"/>
  <c r="AF453" i="15"/>
  <c r="AF486" i="15"/>
  <c r="AF519" i="15"/>
  <c r="AF552" i="15"/>
  <c r="AF585" i="15"/>
  <c r="AF618" i="15"/>
  <c r="AF651" i="15"/>
  <c r="AF684" i="15"/>
  <c r="AF717" i="15"/>
  <c r="AF750" i="15"/>
  <c r="AF783" i="15"/>
  <c r="AF816" i="15"/>
  <c r="AF23" i="15"/>
  <c r="AF59" i="15"/>
  <c r="AF95" i="15"/>
  <c r="AF131" i="15"/>
  <c r="AF167" i="15"/>
  <c r="AF203" i="15"/>
  <c r="AF239" i="15"/>
  <c r="AF275" i="15"/>
  <c r="AF311" i="15"/>
  <c r="AF347" i="15"/>
  <c r="AF383" i="15"/>
  <c r="AF419" i="15"/>
  <c r="AF2103" i="15"/>
  <c r="AF2138" i="15"/>
  <c r="AF1659" i="15"/>
  <c r="AF1696" i="15"/>
  <c r="AF1733" i="15"/>
  <c r="AF1770" i="15"/>
  <c r="AF1807" i="15"/>
  <c r="AF1844" i="15"/>
  <c r="AF1881" i="15"/>
  <c r="AF1918" i="15"/>
  <c r="AF1955" i="15"/>
  <c r="AF1992" i="15"/>
  <c r="AF2029" i="15"/>
  <c r="AF2066" i="15"/>
  <c r="AF847" i="15"/>
  <c r="AF881" i="15"/>
  <c r="AF915" i="15"/>
  <c r="AF949" i="15"/>
  <c r="AF983" i="15"/>
  <c r="AF1017" i="15"/>
  <c r="AF1051" i="15"/>
  <c r="AF1085" i="15"/>
  <c r="AF1119" i="15"/>
  <c r="AF1153" i="15"/>
  <c r="AF1187" i="15"/>
  <c r="AF1221" i="15"/>
  <c r="AF452" i="15"/>
  <c r="AF485" i="15"/>
  <c r="AF518" i="15"/>
  <c r="AF551" i="15"/>
  <c r="AF584" i="15"/>
  <c r="AF617" i="15"/>
  <c r="AF650" i="15"/>
  <c r="AF683" i="15"/>
  <c r="AF716" i="15"/>
  <c r="AF749" i="15"/>
  <c r="AF782" i="15"/>
  <c r="AF815" i="15"/>
  <c r="AF22" i="15"/>
  <c r="AF58" i="15"/>
  <c r="AF94" i="15"/>
  <c r="AF130" i="15"/>
  <c r="AF166" i="15"/>
  <c r="AF202" i="15"/>
  <c r="AF238" i="15"/>
  <c r="AF274" i="15"/>
  <c r="AF310" i="15"/>
  <c r="AF346" i="15"/>
  <c r="AF382" i="15"/>
  <c r="AF418" i="15"/>
  <c r="AF2102" i="15"/>
  <c r="AF2137" i="15"/>
  <c r="AF1658" i="15"/>
  <c r="AF1695" i="15"/>
  <c r="AF1732" i="15"/>
  <c r="AF1769" i="15"/>
  <c r="AF1806" i="15"/>
  <c r="AF1843" i="15"/>
  <c r="AF1880" i="15"/>
  <c r="AF1917" i="15"/>
  <c r="AF1954" i="15"/>
  <c r="AF1991" i="15"/>
  <c r="AF2028" i="15"/>
  <c r="AF2065" i="15"/>
  <c r="AF846" i="15"/>
  <c r="AF880" i="15"/>
  <c r="AF914" i="15"/>
  <c r="AF948" i="15"/>
  <c r="AF982" i="15"/>
  <c r="AF1016" i="15"/>
  <c r="AF1050" i="15"/>
  <c r="AF1084" i="15"/>
  <c r="AF1118" i="15"/>
  <c r="AF1152" i="15"/>
  <c r="AF1186" i="15"/>
  <c r="AF1220" i="15"/>
  <c r="AF451" i="15"/>
  <c r="AF484" i="15"/>
  <c r="AF517" i="15"/>
  <c r="AF550" i="15"/>
  <c r="AF583" i="15"/>
  <c r="AF616" i="15"/>
  <c r="AF649" i="15"/>
  <c r="AF682" i="15"/>
  <c r="AF715" i="15"/>
  <c r="AF748" i="15"/>
  <c r="AF781" i="15"/>
  <c r="AF814" i="15"/>
  <c r="AF21" i="15"/>
  <c r="AF57" i="15"/>
  <c r="AF93" i="15"/>
  <c r="AF129" i="15"/>
  <c r="AF165" i="15"/>
  <c r="AF201" i="15"/>
  <c r="AF237" i="15"/>
  <c r="AF273" i="15"/>
  <c r="AF309" i="15"/>
  <c r="AF345" i="15"/>
  <c r="AF381" i="15"/>
  <c r="AF417" i="15"/>
  <c r="AF2101" i="15"/>
  <c r="AF2136" i="15"/>
  <c r="AF1657" i="15"/>
  <c r="AF1694" i="15"/>
  <c r="AF1731" i="15"/>
  <c r="AF1768" i="15"/>
  <c r="AF1805" i="15"/>
  <c r="AF1842" i="15"/>
  <c r="AF1879" i="15"/>
  <c r="AF1916" i="15"/>
  <c r="AF1953" i="15"/>
  <c r="AF1990" i="15"/>
  <c r="AF2027" i="15"/>
  <c r="AF2064" i="15"/>
  <c r="AF845" i="15"/>
  <c r="AF879" i="15"/>
  <c r="AF913" i="15"/>
  <c r="AF947" i="15"/>
  <c r="AF981" i="15"/>
  <c r="AF1015" i="15"/>
  <c r="AF1049" i="15"/>
  <c r="AF1083" i="15"/>
  <c r="AF1117" i="15"/>
  <c r="AF1151" i="15"/>
  <c r="AF1185" i="15"/>
  <c r="AF1219" i="15"/>
  <c r="AF450" i="15"/>
  <c r="AF483" i="15"/>
  <c r="AF516" i="15"/>
  <c r="AF549" i="15"/>
  <c r="AF582" i="15"/>
  <c r="AF615" i="15"/>
  <c r="AF648" i="15"/>
  <c r="AF681" i="15"/>
  <c r="AF714" i="15"/>
  <c r="AF747" i="15"/>
  <c r="AF780" i="15"/>
  <c r="AF813" i="15"/>
  <c r="AF20" i="15"/>
  <c r="AF56" i="15"/>
  <c r="AF92" i="15"/>
  <c r="AF128" i="15"/>
  <c r="AF164" i="15"/>
  <c r="AF200" i="15"/>
  <c r="AF236" i="15"/>
  <c r="AF272" i="15"/>
  <c r="AF308" i="15"/>
  <c r="AF344" i="15"/>
  <c r="AF380" i="15"/>
  <c r="AF416" i="15"/>
  <c r="AF19" i="15"/>
  <c r="AF55" i="15"/>
  <c r="AF91" i="15"/>
  <c r="AF127" i="15"/>
  <c r="AF163" i="15"/>
  <c r="AF199" i="15"/>
  <c r="AF235" i="15"/>
  <c r="AF271" i="15"/>
  <c r="AF307" i="15"/>
  <c r="AF343" i="15"/>
  <c r="AF379" i="15"/>
  <c r="AF415" i="15"/>
  <c r="AF844" i="15"/>
  <c r="AF878" i="15"/>
  <c r="AF912" i="15"/>
  <c r="AF946" i="15"/>
  <c r="AF980" i="15"/>
  <c r="AF1014" i="15"/>
  <c r="AF1048" i="15"/>
  <c r="AF1082" i="15"/>
  <c r="AF1116" i="15"/>
  <c r="AF1150" i="15"/>
  <c r="AF1184" i="15"/>
  <c r="AF1218" i="15"/>
  <c r="AF449" i="15"/>
  <c r="AF482" i="15"/>
  <c r="AF515" i="15"/>
  <c r="AF548" i="15"/>
  <c r="AF581" i="15"/>
  <c r="AF614" i="15"/>
  <c r="AF647" i="15"/>
  <c r="AF680" i="15"/>
  <c r="AF713" i="15"/>
  <c r="AF746" i="15"/>
  <c r="AF779" i="15"/>
  <c r="AF812" i="15"/>
  <c r="AF18" i="15"/>
  <c r="AF54" i="15"/>
  <c r="AF90" i="15"/>
  <c r="AF126" i="15"/>
  <c r="AF162" i="15"/>
  <c r="AF198" i="15"/>
  <c r="AF234" i="15"/>
  <c r="AF270" i="15"/>
  <c r="AF306" i="15"/>
  <c r="AF342" i="15"/>
  <c r="AF378" i="15"/>
  <c r="AF414" i="15"/>
  <c r="AF2100" i="15"/>
  <c r="AF2135" i="15"/>
  <c r="AF1656" i="15"/>
  <c r="AF1693" i="15"/>
  <c r="AF1730" i="15"/>
  <c r="AF1767" i="15"/>
  <c r="AF1804" i="15"/>
  <c r="AF1841" i="15"/>
  <c r="AF1878" i="15"/>
  <c r="AF1915" i="15"/>
  <c r="AF1952" i="15"/>
  <c r="AF1989" i="15"/>
  <c r="AF2026" i="15"/>
  <c r="AF2063" i="15"/>
  <c r="AF843" i="15"/>
  <c r="AF877" i="15"/>
  <c r="AF911" i="15"/>
  <c r="AF945" i="15"/>
  <c r="AF979" i="15"/>
  <c r="AF1013" i="15"/>
  <c r="AF1047" i="15"/>
  <c r="AF1081" i="15"/>
  <c r="AF1115" i="15"/>
  <c r="AF1149" i="15"/>
  <c r="AF1183" i="15"/>
  <c r="AF1217" i="15"/>
  <c r="AF448" i="15"/>
  <c r="AF481" i="15"/>
  <c r="AF514" i="15"/>
  <c r="AF547" i="15"/>
  <c r="AF580" i="15"/>
  <c r="AF613" i="15"/>
  <c r="AF646" i="15"/>
  <c r="AF679" i="15"/>
  <c r="AF712" i="15"/>
  <c r="AF745" i="15"/>
  <c r="AF778" i="15"/>
  <c r="AF811" i="15"/>
  <c r="AF17" i="15"/>
  <c r="AF53" i="15"/>
  <c r="AF89" i="15"/>
  <c r="AF125" i="15"/>
  <c r="AF161" i="15"/>
  <c r="AF197" i="15"/>
  <c r="AF233" i="15"/>
  <c r="AF269" i="15"/>
  <c r="AF305" i="15"/>
  <c r="AF341" i="15"/>
  <c r="AF377" i="15"/>
  <c r="AF413" i="15"/>
  <c r="AF2099" i="15"/>
  <c r="AF2134" i="15"/>
  <c r="AF1655" i="15"/>
  <c r="AF1692" i="15"/>
  <c r="AF1729" i="15"/>
  <c r="AF1766" i="15"/>
  <c r="AF1803" i="15"/>
  <c r="AF1840" i="15"/>
  <c r="AF1877" i="15"/>
  <c r="AF1914" i="15"/>
  <c r="AF1951" i="15"/>
  <c r="AF1988" i="15"/>
  <c r="AF2025" i="15"/>
  <c r="AF2062" i="15"/>
  <c r="AF842" i="15"/>
  <c r="AF876" i="15"/>
  <c r="AF910" i="15"/>
  <c r="AF944" i="15"/>
  <c r="AF978" i="15"/>
  <c r="AF1012" i="15"/>
  <c r="AF1046" i="15"/>
  <c r="AF1080" i="15"/>
  <c r="AF1114" i="15"/>
  <c r="AF1148" i="15"/>
  <c r="AF1182" i="15"/>
  <c r="AF1216" i="15"/>
  <c r="AF447" i="15"/>
  <c r="AF480" i="15"/>
  <c r="AF513" i="15"/>
  <c r="AF546" i="15"/>
  <c r="AF579" i="15"/>
  <c r="AF612" i="15"/>
  <c r="AF645" i="15"/>
  <c r="AF678" i="15"/>
  <c r="AF711" i="15"/>
  <c r="AF744" i="15"/>
  <c r="AF777" i="15"/>
  <c r="AF810" i="15"/>
  <c r="AF16" i="15"/>
  <c r="AF52" i="15"/>
  <c r="AF88" i="15"/>
  <c r="AF124" i="15"/>
  <c r="AF160" i="15"/>
  <c r="AF196" i="15"/>
  <c r="AF232" i="15"/>
  <c r="AF268" i="15"/>
  <c r="AF304" i="15"/>
  <c r="AF340" i="15"/>
  <c r="AF376" i="15"/>
  <c r="AF412" i="15"/>
  <c r="AF2098" i="15"/>
  <c r="AF2133" i="15"/>
  <c r="AF1654" i="15"/>
  <c r="AF1691" i="15"/>
  <c r="AF1728" i="15"/>
  <c r="AF1765" i="15"/>
  <c r="AF1802" i="15"/>
  <c r="AF1839" i="15"/>
  <c r="AF1876" i="15"/>
  <c r="AF1913" i="15"/>
  <c r="AF1950" i="15"/>
  <c r="AF1987" i="15"/>
  <c r="AF2024" i="15"/>
  <c r="AF2061" i="15"/>
  <c r="AF841" i="15"/>
  <c r="AF875" i="15"/>
  <c r="AF909" i="15"/>
  <c r="AF943" i="15"/>
  <c r="AF977" i="15"/>
  <c r="AF1011" i="15"/>
  <c r="AF1045" i="15"/>
  <c r="AF1079" i="15"/>
  <c r="AF1113" i="15"/>
  <c r="AF1147" i="15"/>
  <c r="AF1181" i="15"/>
  <c r="AF1215" i="15"/>
  <c r="AF446" i="15"/>
  <c r="AF479" i="15"/>
  <c r="AF512" i="15"/>
  <c r="AF545" i="15"/>
  <c r="AF578" i="15"/>
  <c r="AF611" i="15"/>
  <c r="AF644" i="15"/>
  <c r="AF677" i="15"/>
  <c r="AF710" i="15"/>
  <c r="AF743" i="15"/>
  <c r="AF776" i="15"/>
  <c r="AF809" i="15"/>
  <c r="AF15" i="15"/>
  <c r="AF51" i="15"/>
  <c r="AF87" i="15"/>
  <c r="AF123" i="15"/>
  <c r="AF159" i="15"/>
  <c r="AF195" i="15"/>
  <c r="AF231" i="15"/>
  <c r="AF267" i="15"/>
  <c r="AF303" i="15"/>
  <c r="AF339" i="15"/>
  <c r="AF375" i="15"/>
  <c r="AF411" i="15"/>
  <c r="AF2097" i="15"/>
  <c r="AF2132" i="15"/>
  <c r="AF1653" i="15"/>
  <c r="AF1690" i="15"/>
  <c r="AF1727" i="15"/>
  <c r="AF1764" i="15"/>
  <c r="AF1801" i="15"/>
  <c r="AF1838" i="15"/>
  <c r="AF1875" i="15"/>
  <c r="AF1912" i="15"/>
  <c r="AF1949" i="15"/>
  <c r="AF1986" i="15"/>
  <c r="AF2023" i="15"/>
  <c r="AF2060" i="15"/>
  <c r="AF840" i="15"/>
  <c r="AF874" i="15"/>
  <c r="AF908" i="15"/>
  <c r="AF942" i="15"/>
  <c r="AF976" i="15"/>
  <c r="AF1010" i="15"/>
  <c r="AF1044" i="15"/>
  <c r="AF1078" i="15"/>
  <c r="AF1112" i="15"/>
  <c r="AF1146" i="15"/>
  <c r="AF1180" i="15"/>
  <c r="AF1214" i="15"/>
  <c r="AF445" i="15"/>
  <c r="AF478" i="15"/>
  <c r="AF511" i="15"/>
  <c r="AF544" i="15"/>
  <c r="AF577" i="15"/>
  <c r="AF610" i="15"/>
  <c r="AF643" i="15"/>
  <c r="AF676" i="15"/>
  <c r="AF709" i="15"/>
  <c r="AF742" i="15"/>
  <c r="AF775" i="15"/>
  <c r="AF808" i="15"/>
  <c r="AF14" i="15"/>
  <c r="AF50" i="15"/>
  <c r="AF86" i="15"/>
  <c r="AF122" i="15"/>
  <c r="AF158" i="15"/>
  <c r="AF194" i="15"/>
  <c r="AF230" i="15"/>
  <c r="AF266" i="15"/>
  <c r="AF302" i="15"/>
  <c r="AF338" i="15"/>
  <c r="AF374" i="15"/>
  <c r="AF410" i="15"/>
  <c r="AF2096" i="15"/>
  <c r="AF2131" i="15"/>
  <c r="AF1652" i="15"/>
  <c r="AF1689" i="15"/>
  <c r="AF1726" i="15"/>
  <c r="AF1763" i="15"/>
  <c r="AF1800" i="15"/>
  <c r="AF1837" i="15"/>
  <c r="AF1874" i="15"/>
  <c r="AF1911" i="15"/>
  <c r="AF1948" i="15"/>
  <c r="AF1985" i="15"/>
  <c r="AF2022" i="15"/>
  <c r="AF2059" i="15"/>
  <c r="AF13" i="15"/>
  <c r="AF49" i="15"/>
  <c r="AF85" i="15"/>
  <c r="AF121" i="15"/>
  <c r="AF157" i="15"/>
  <c r="AF193" i="15"/>
  <c r="AF229" i="15"/>
  <c r="AF265" i="15"/>
  <c r="AF301" i="15"/>
  <c r="AF337" i="15"/>
  <c r="AF373" i="15"/>
  <c r="AF409" i="15"/>
  <c r="AF2095" i="15"/>
  <c r="AF2130" i="15"/>
  <c r="AF1651" i="15"/>
  <c r="AF1688" i="15"/>
  <c r="AF1725" i="15"/>
  <c r="AF1762" i="15"/>
  <c r="AF1799" i="15"/>
  <c r="AF1836" i="15"/>
  <c r="AF1873" i="15"/>
  <c r="AF1910" i="15"/>
  <c r="AF1947" i="15"/>
  <c r="AF1984" i="15"/>
  <c r="AF2021" i="15"/>
  <c r="AF2058" i="15"/>
  <c r="AF839" i="15"/>
  <c r="AF873" i="15"/>
  <c r="AF907" i="15"/>
  <c r="AF941" i="15"/>
  <c r="AF975" i="15"/>
  <c r="AF1009" i="15"/>
  <c r="AF1043" i="15"/>
  <c r="AF1077" i="15"/>
  <c r="AF1111" i="15"/>
  <c r="AF1145" i="15"/>
  <c r="AF1179" i="15"/>
  <c r="AF1213" i="15"/>
  <c r="AF444" i="15"/>
  <c r="AF477" i="15"/>
  <c r="AF510" i="15"/>
  <c r="AF543" i="15"/>
  <c r="AF576" i="15"/>
  <c r="AF609" i="15"/>
  <c r="AF642" i="15"/>
  <c r="AF675" i="15"/>
  <c r="AF708" i="15"/>
  <c r="AF741" i="15"/>
  <c r="AF774" i="15"/>
  <c r="AF807" i="15"/>
  <c r="AF12" i="15"/>
  <c r="AF48" i="15"/>
  <c r="AF84" i="15"/>
  <c r="AF120" i="15"/>
  <c r="AF156" i="15"/>
  <c r="AF192" i="15"/>
  <c r="AF228" i="15"/>
  <c r="AF264" i="15"/>
  <c r="AF300" i="15"/>
  <c r="AF336" i="15"/>
  <c r="AF372" i="15"/>
  <c r="AF408" i="15"/>
  <c r="AF838" i="15"/>
  <c r="AF872" i="15"/>
  <c r="AF906" i="15"/>
  <c r="AF940" i="15"/>
  <c r="AF974" i="15"/>
  <c r="AF1008" i="15"/>
  <c r="AF1042" i="15"/>
  <c r="AF1076" i="15"/>
  <c r="AF1110" i="15"/>
  <c r="AF1144" i="15"/>
  <c r="AF1178" i="15"/>
  <c r="AF1212" i="15"/>
  <c r="AF443" i="15"/>
  <c r="AF476" i="15"/>
  <c r="AF509" i="15"/>
  <c r="AF542" i="15"/>
  <c r="AF575" i="15"/>
  <c r="AF608" i="15"/>
  <c r="AF641" i="15"/>
  <c r="AF674" i="15"/>
  <c r="AF707" i="15"/>
  <c r="AF740" i="15"/>
  <c r="AF773" i="15"/>
  <c r="AF806" i="15"/>
  <c r="AF11" i="15"/>
  <c r="AF47" i="15"/>
  <c r="AF83" i="15"/>
  <c r="AF119" i="15"/>
  <c r="AF155" i="15"/>
  <c r="AF191" i="15"/>
  <c r="AF227" i="15"/>
  <c r="AF263" i="15"/>
  <c r="AF299" i="15"/>
  <c r="AF335" i="15"/>
  <c r="AF371" i="15"/>
  <c r="AF407" i="15"/>
  <c r="AF2094" i="15"/>
  <c r="AF2129" i="15"/>
  <c r="AF837" i="15"/>
  <c r="AF871" i="15"/>
  <c r="AF905" i="15"/>
  <c r="AF939" i="15"/>
  <c r="AF973" i="15"/>
  <c r="AF1007" i="15"/>
  <c r="AF1041" i="15"/>
  <c r="AF1075" i="15"/>
  <c r="AF1109" i="15"/>
  <c r="AF1143" i="15"/>
  <c r="AF1177" i="15"/>
  <c r="AF1211" i="15"/>
  <c r="AF442" i="15"/>
  <c r="AF475" i="15"/>
  <c r="AF508" i="15"/>
  <c r="AF541" i="15"/>
  <c r="AF574" i="15"/>
  <c r="AF607" i="15"/>
  <c r="AF640" i="15"/>
  <c r="AF673" i="15"/>
  <c r="AF706" i="15"/>
  <c r="AF739" i="15"/>
  <c r="AF772" i="15"/>
  <c r="AF805" i="15"/>
  <c r="AF10" i="15"/>
  <c r="AF46" i="15"/>
  <c r="AF82" i="15"/>
  <c r="AF118" i="15"/>
  <c r="AF154" i="15"/>
  <c r="AF190" i="15"/>
  <c r="AF226" i="15"/>
  <c r="AF262" i="15"/>
  <c r="AF298" i="15"/>
  <c r="AF334" i="15"/>
  <c r="AF370" i="15"/>
  <c r="AF406" i="15"/>
  <c r="AF9" i="15"/>
  <c r="AF45" i="15"/>
  <c r="AF81" i="15"/>
  <c r="AF117" i="15"/>
  <c r="AF153" i="15"/>
  <c r="AF189" i="15"/>
  <c r="AF225" i="15"/>
  <c r="AF261" i="15"/>
  <c r="AF297" i="15"/>
  <c r="AF333" i="15"/>
  <c r="AF369" i="15"/>
  <c r="AF405" i="15"/>
  <c r="AF836" i="15"/>
  <c r="AF870" i="15"/>
  <c r="AF904" i="15"/>
  <c r="AF938" i="15"/>
  <c r="AF972" i="15"/>
  <c r="AF1006" i="15"/>
  <c r="AF1040" i="15"/>
  <c r="AF1074" i="15"/>
  <c r="AF1108" i="15"/>
  <c r="AF1142" i="15"/>
  <c r="AF1176" i="15"/>
  <c r="AF1210" i="15"/>
  <c r="AF441" i="15"/>
  <c r="AF474" i="15"/>
  <c r="AF507" i="15"/>
  <c r="AF540" i="15"/>
  <c r="AF573" i="15"/>
  <c r="AF606" i="15"/>
  <c r="AF639" i="15"/>
  <c r="AF672" i="15"/>
  <c r="AF705" i="15"/>
  <c r="AF738" i="15"/>
  <c r="AF771" i="15"/>
  <c r="AF804" i="15"/>
  <c r="AF8" i="15"/>
  <c r="AF44" i="15"/>
  <c r="AF80" i="15"/>
  <c r="AF116" i="15"/>
  <c r="AF152" i="15"/>
  <c r="AF188" i="15"/>
  <c r="AF224" i="15"/>
  <c r="AF260" i="15"/>
  <c r="AF296" i="15"/>
  <c r="AF332" i="15"/>
  <c r="AF368" i="15"/>
  <c r="AF404" i="15"/>
  <c r="AF2093" i="15"/>
  <c r="AF2128" i="15"/>
  <c r="AF1650" i="15"/>
  <c r="AF1687" i="15"/>
  <c r="AF1724" i="15"/>
  <c r="AF1761" i="15"/>
  <c r="AF1798" i="15"/>
  <c r="AF1835" i="15"/>
  <c r="AF1872" i="15"/>
  <c r="AF1909" i="15"/>
  <c r="AF1946" i="15"/>
  <c r="AF1983" i="15"/>
  <c r="AF2020" i="15"/>
  <c r="AF2057" i="15"/>
  <c r="AF835" i="15"/>
  <c r="AF869" i="15"/>
  <c r="AF903" i="15"/>
  <c r="AF937" i="15"/>
  <c r="AF971" i="15"/>
  <c r="AF1005" i="15"/>
  <c r="AF1039" i="15"/>
  <c r="AF1073" i="15"/>
  <c r="AF1107" i="15"/>
  <c r="AF1141" i="15"/>
  <c r="AF1175" i="15"/>
  <c r="AF1209" i="15"/>
  <c r="AF440" i="15"/>
  <c r="AF473" i="15"/>
  <c r="AF506" i="15"/>
  <c r="AF539" i="15"/>
  <c r="AF572" i="15"/>
  <c r="AF605" i="15"/>
  <c r="AF638" i="15"/>
  <c r="AF671" i="15"/>
  <c r="AF704" i="15"/>
  <c r="AF737" i="15"/>
  <c r="AF770" i="15"/>
  <c r="AF803" i="15"/>
  <c r="AF7" i="15"/>
  <c r="AF43" i="15"/>
  <c r="AF79" i="15"/>
  <c r="AF115" i="15"/>
  <c r="AF151" i="15"/>
  <c r="AF187" i="15"/>
  <c r="AF223" i="15"/>
  <c r="AF259" i="15"/>
  <c r="AF295" i="15"/>
  <c r="AF331" i="15"/>
  <c r="AF367" i="15"/>
  <c r="AF403" i="15"/>
  <c r="AF439" i="15"/>
  <c r="AF472" i="15"/>
  <c r="AF505" i="15"/>
  <c r="AF538" i="15"/>
  <c r="AF571" i="15"/>
  <c r="AF604" i="15"/>
  <c r="AF637" i="15"/>
  <c r="AF670" i="15"/>
  <c r="AF703" i="15"/>
  <c r="AF736" i="15"/>
  <c r="AF769" i="15"/>
  <c r="AF802" i="15"/>
  <c r="AF2092" i="15"/>
  <c r="AF2127" i="15"/>
  <c r="AF1649" i="15"/>
  <c r="AF1686" i="15"/>
  <c r="AF1723" i="15"/>
  <c r="AF1760" i="15"/>
  <c r="AF1797" i="15"/>
  <c r="AF1834" i="15"/>
  <c r="AF1871" i="15"/>
  <c r="AF1908" i="15"/>
  <c r="AF1945" i="15"/>
  <c r="AF1982" i="15"/>
  <c r="AF2019" i="15"/>
  <c r="AF2056" i="15"/>
  <c r="AF2091" i="15"/>
  <c r="AF2126" i="15"/>
  <c r="AF1648" i="15"/>
  <c r="AF1685" i="15"/>
  <c r="AF1722" i="15"/>
  <c r="AF1759" i="15"/>
  <c r="AF1796" i="15"/>
  <c r="AF1833" i="15"/>
  <c r="AF1870" i="15"/>
  <c r="AF1907" i="15"/>
  <c r="AF1944" i="15"/>
  <c r="AF1981" i="15"/>
  <c r="AF2018" i="15"/>
  <c r="AF2055" i="15"/>
  <c r="AF834" i="15"/>
  <c r="AF868" i="15"/>
  <c r="AF902" i="15"/>
  <c r="AF936" i="15"/>
  <c r="AF970" i="15"/>
  <c r="AF1004" i="15"/>
  <c r="AF1038" i="15"/>
  <c r="AF1072" i="15"/>
  <c r="AF1106" i="15"/>
  <c r="AF1140" i="15"/>
  <c r="AF1174" i="15"/>
  <c r="AF1208" i="15"/>
  <c r="AF438" i="15"/>
  <c r="AF471" i="15"/>
  <c r="AF504" i="15"/>
  <c r="AF537" i="15"/>
  <c r="AF570" i="15"/>
  <c r="AF603" i="15"/>
  <c r="AF636" i="15"/>
  <c r="AF669" i="15"/>
  <c r="AF702" i="15"/>
  <c r="AF735" i="15"/>
  <c r="AF768" i="15"/>
  <c r="AF801" i="15"/>
  <c r="AF6" i="15"/>
  <c r="AF42" i="15"/>
  <c r="AF78" i="15"/>
  <c r="AF114" i="15"/>
  <c r="AF150" i="15"/>
  <c r="AF186" i="15"/>
  <c r="AF222" i="15"/>
  <c r="AF258" i="15"/>
  <c r="AF294" i="15"/>
  <c r="AF330" i="15"/>
  <c r="AF366" i="15"/>
  <c r="AF402" i="15"/>
  <c r="AF2090" i="15"/>
  <c r="AF2125" i="15"/>
  <c r="AF1647" i="15"/>
  <c r="AF1684" i="15"/>
  <c r="AF1721" i="15"/>
  <c r="AF1758" i="15"/>
  <c r="AF1795" i="15"/>
  <c r="AF1832" i="15"/>
  <c r="AF1869" i="15"/>
  <c r="AF1906" i="15"/>
  <c r="AF1943" i="15"/>
  <c r="AF1980" i="15"/>
  <c r="AF2017" i="15"/>
  <c r="AF2054" i="15"/>
  <c r="AF833" i="15"/>
  <c r="AF867" i="15"/>
  <c r="AF901" i="15"/>
  <c r="AF935" i="15"/>
  <c r="AF969" i="15"/>
  <c r="AF1003" i="15"/>
  <c r="AF1037" i="15"/>
  <c r="AF1071" i="15"/>
  <c r="AF1105" i="15"/>
  <c r="AF1139" i="15"/>
  <c r="AF1173" i="15"/>
  <c r="AF1207" i="15"/>
  <c r="AF437" i="15"/>
  <c r="AF470" i="15"/>
  <c r="AF503" i="15"/>
  <c r="AF536" i="15"/>
  <c r="AF569" i="15"/>
  <c r="AF602" i="15"/>
  <c r="AF635" i="15"/>
  <c r="AF668" i="15"/>
  <c r="AF701" i="15"/>
  <c r="AF734" i="15"/>
  <c r="AF767" i="15"/>
  <c r="AF800" i="15"/>
  <c r="AF5" i="15"/>
  <c r="AF41" i="15"/>
  <c r="AF77" i="15"/>
  <c r="AF113" i="15"/>
  <c r="AF149" i="15"/>
  <c r="AF185" i="15"/>
  <c r="AF221" i="15"/>
  <c r="AF257" i="15"/>
  <c r="AF293" i="15"/>
  <c r="AF329" i="15"/>
  <c r="AF365" i="15"/>
  <c r="AF401" i="15"/>
  <c r="AF832" i="15"/>
  <c r="AF866" i="15"/>
  <c r="AF900" i="15"/>
  <c r="AF934" i="15"/>
  <c r="AF968" i="15"/>
  <c r="AF1002" i="15"/>
  <c r="AF1036" i="15"/>
  <c r="AF1070" i="15"/>
  <c r="AF1104" i="15"/>
  <c r="AF1138" i="15"/>
  <c r="AF1172" i="15"/>
  <c r="AF1206" i="15"/>
  <c r="AF436" i="15"/>
  <c r="AF469" i="15"/>
  <c r="AF502" i="15"/>
  <c r="AF535" i="15"/>
  <c r="AF568" i="15"/>
  <c r="AF601" i="15"/>
  <c r="AF634" i="15"/>
  <c r="AF667" i="15"/>
  <c r="AF700" i="15"/>
  <c r="AF733" i="15"/>
  <c r="AF766" i="15"/>
  <c r="AF799" i="15"/>
  <c r="AF4" i="15"/>
  <c r="AF40" i="15"/>
  <c r="AF76" i="15"/>
  <c r="AF112" i="15"/>
  <c r="AF148" i="15"/>
  <c r="AF184" i="15"/>
  <c r="AF220" i="15"/>
  <c r="AF256" i="15"/>
  <c r="AF292" i="15"/>
  <c r="AF328" i="15"/>
  <c r="AF364" i="15"/>
  <c r="AF400" i="15"/>
  <c r="AF831" i="15"/>
  <c r="AF865" i="15"/>
  <c r="AF899" i="15"/>
  <c r="AF933" i="15"/>
  <c r="AF967" i="15"/>
  <c r="AF1001" i="15"/>
  <c r="AF1035" i="15"/>
  <c r="AF1069" i="15"/>
  <c r="AF1103" i="15"/>
  <c r="AF1137" i="15"/>
  <c r="AF1171" i="15"/>
  <c r="AF1205" i="15"/>
  <c r="AF435" i="15"/>
  <c r="AF468" i="15"/>
  <c r="AF501" i="15"/>
  <c r="AF534" i="15"/>
  <c r="AF567" i="15"/>
  <c r="AF600" i="15"/>
  <c r="AF633" i="15"/>
  <c r="AF666" i="15"/>
  <c r="AF699" i="15"/>
  <c r="AF732" i="15"/>
  <c r="AF765" i="15"/>
  <c r="AF798" i="15"/>
  <c r="AF3" i="15"/>
  <c r="AF39" i="15"/>
  <c r="AF75" i="15"/>
  <c r="AF111" i="15"/>
  <c r="AF147" i="15"/>
  <c r="AF183" i="15"/>
  <c r="AF219" i="15"/>
  <c r="AF255" i="15"/>
  <c r="AF291" i="15"/>
  <c r="AF327" i="15"/>
  <c r="AF363" i="15"/>
  <c r="AF399" i="15"/>
  <c r="AF1646" i="15"/>
  <c r="AF1683" i="15"/>
  <c r="AF1720" i="15"/>
  <c r="AF1757" i="15"/>
  <c r="AF1794" i="15"/>
  <c r="AF1831" i="15"/>
  <c r="AF1868" i="15"/>
  <c r="AF1905" i="15"/>
  <c r="AF1942" i="15"/>
  <c r="AF1979" i="15"/>
  <c r="AF2016" i="15"/>
  <c r="AF2053" i="15"/>
  <c r="AF830" i="15"/>
  <c r="AF864" i="15"/>
  <c r="AF898" i="15"/>
  <c r="AF932" i="15"/>
  <c r="AF966" i="15"/>
  <c r="AF1000" i="15"/>
  <c r="AF1034" i="15"/>
  <c r="AF1068" i="15"/>
  <c r="AF1102" i="15"/>
  <c r="AF1136" i="15"/>
  <c r="AF1170" i="15"/>
  <c r="AF1204" i="15"/>
  <c r="AF434" i="15"/>
  <c r="AF467" i="15"/>
  <c r="AF500" i="15"/>
  <c r="AF533" i="15"/>
  <c r="AF566" i="15"/>
  <c r="AF599" i="15"/>
  <c r="AF632" i="15"/>
  <c r="AF665" i="15"/>
  <c r="AF698" i="15"/>
  <c r="AF731" i="15"/>
  <c r="AF764" i="15"/>
  <c r="AF797" i="15"/>
  <c r="AF2" i="15"/>
  <c r="AF38" i="15"/>
  <c r="AF74" i="15"/>
  <c r="AF110" i="15"/>
  <c r="AF146" i="15"/>
  <c r="AF182" i="15"/>
  <c r="AF218" i="15"/>
  <c r="AF254" i="15"/>
  <c r="AF290" i="15"/>
  <c r="AF326" i="15"/>
  <c r="AF362" i="15"/>
  <c r="AF398" i="15"/>
  <c r="AE37" i="15"/>
  <c r="AE73" i="15"/>
  <c r="AE109" i="15"/>
  <c r="AE145" i="15"/>
  <c r="AE181" i="15"/>
  <c r="AE217" i="15"/>
  <c r="AE253" i="15"/>
  <c r="AE289" i="15"/>
  <c r="AE325" i="15"/>
  <c r="AE361" i="15"/>
  <c r="AE397" i="15"/>
  <c r="AE433" i="15"/>
  <c r="AE2124" i="15"/>
  <c r="AE2159" i="15"/>
  <c r="AE1682" i="15"/>
  <c r="AE1719" i="15"/>
  <c r="AE1756" i="15"/>
  <c r="AE1793" i="15"/>
  <c r="AE1830" i="15"/>
  <c r="AE1867" i="15"/>
  <c r="AE1904" i="15"/>
  <c r="AE1941" i="15"/>
  <c r="AE1978" i="15"/>
  <c r="AE2015" i="15"/>
  <c r="AE2052" i="15"/>
  <c r="AE2089" i="15"/>
  <c r="AE863" i="15"/>
  <c r="AE897" i="15"/>
  <c r="AE931" i="15"/>
  <c r="AE965" i="15"/>
  <c r="AE999" i="15"/>
  <c r="AE1033" i="15"/>
  <c r="AE1067" i="15"/>
  <c r="AE1101" i="15"/>
  <c r="AE1135" i="15"/>
  <c r="AE1169" i="15"/>
  <c r="AE1203" i="15"/>
  <c r="AE1237" i="15"/>
  <c r="AE466" i="15"/>
  <c r="AE499" i="15"/>
  <c r="AE532" i="15"/>
  <c r="AE565" i="15"/>
  <c r="AE598" i="15"/>
  <c r="AE631" i="15"/>
  <c r="AE664" i="15"/>
  <c r="AE697" i="15"/>
  <c r="AE730" i="15"/>
  <c r="AE763" i="15"/>
  <c r="AE796" i="15"/>
  <c r="AE829" i="15"/>
  <c r="AE36" i="15"/>
  <c r="AE72" i="15"/>
  <c r="AE108" i="15"/>
  <c r="AE144" i="15"/>
  <c r="AE180" i="15"/>
  <c r="AE216" i="15"/>
  <c r="AE252" i="15"/>
  <c r="AE288" i="15"/>
  <c r="AE324" i="15"/>
  <c r="AE360" i="15"/>
  <c r="AE396" i="15"/>
  <c r="AE432" i="15"/>
  <c r="AE2123" i="15"/>
  <c r="AE2158" i="15"/>
  <c r="AE1681" i="15"/>
  <c r="AE1718" i="15"/>
  <c r="AE1755" i="15"/>
  <c r="AE1792" i="15"/>
  <c r="AE1829" i="15"/>
  <c r="AE1866" i="15"/>
  <c r="AE1903" i="15"/>
  <c r="AE1940" i="15"/>
  <c r="AE1977" i="15"/>
  <c r="AE2014" i="15"/>
  <c r="AE2051" i="15"/>
  <c r="AE2088" i="15"/>
  <c r="AE862" i="15"/>
  <c r="AE896" i="15"/>
  <c r="AE930" i="15"/>
  <c r="AE964" i="15"/>
  <c r="AE998" i="15"/>
  <c r="AE1032" i="15"/>
  <c r="AE1066" i="15"/>
  <c r="AE1100" i="15"/>
  <c r="AE1134" i="15"/>
  <c r="AE1168" i="15"/>
  <c r="AE1202" i="15"/>
  <c r="AE1236" i="15"/>
  <c r="AE465" i="15"/>
  <c r="AE498" i="15"/>
  <c r="AE531" i="15"/>
  <c r="AE564" i="15"/>
  <c r="AE597" i="15"/>
  <c r="AE630" i="15"/>
  <c r="AE663" i="15"/>
  <c r="AE696" i="15"/>
  <c r="AE729" i="15"/>
  <c r="AE762" i="15"/>
  <c r="AE795" i="15"/>
  <c r="AE828" i="15"/>
  <c r="AE35" i="15"/>
  <c r="AE71" i="15"/>
  <c r="AE107" i="15"/>
  <c r="AE143" i="15"/>
  <c r="AE179" i="15"/>
  <c r="AE215" i="15"/>
  <c r="AE251" i="15"/>
  <c r="AE287" i="15"/>
  <c r="AE323" i="15"/>
  <c r="AE359" i="15"/>
  <c r="AE395" i="15"/>
  <c r="AE431" i="15"/>
  <c r="AE2122" i="15"/>
  <c r="AE2157" i="15"/>
  <c r="AE1680" i="15"/>
  <c r="AE1717" i="15"/>
  <c r="AE1754" i="15"/>
  <c r="AE1791" i="15"/>
  <c r="AE1828" i="15"/>
  <c r="AE1865" i="15"/>
  <c r="AE1902" i="15"/>
  <c r="AE1939" i="15"/>
  <c r="AE1976" i="15"/>
  <c r="AE2013" i="15"/>
  <c r="AE2050" i="15"/>
  <c r="AE2087" i="15"/>
  <c r="AE861" i="15"/>
  <c r="AE895" i="15"/>
  <c r="AE929" i="15"/>
  <c r="AE963" i="15"/>
  <c r="AE997" i="15"/>
  <c r="AE1031" i="15"/>
  <c r="AE1065" i="15"/>
  <c r="AE1099" i="15"/>
  <c r="AE1133" i="15"/>
  <c r="AE1167" i="15"/>
  <c r="AE1201" i="15"/>
  <c r="AE1235" i="15"/>
  <c r="AE464" i="15"/>
  <c r="AE497" i="15"/>
  <c r="AE530" i="15"/>
  <c r="AE563" i="15"/>
  <c r="AE596" i="15"/>
  <c r="AE629" i="15"/>
  <c r="AE662" i="15"/>
  <c r="AE695" i="15"/>
  <c r="AE728" i="15"/>
  <c r="AE761" i="15"/>
  <c r="AE794" i="15"/>
  <c r="AE827" i="15"/>
  <c r="AE34" i="15"/>
  <c r="AE70" i="15"/>
  <c r="AE106" i="15"/>
  <c r="AE142" i="15"/>
  <c r="AE178" i="15"/>
  <c r="AE214" i="15"/>
  <c r="AE250" i="15"/>
  <c r="AE286" i="15"/>
  <c r="AE322" i="15"/>
  <c r="AE358" i="15"/>
  <c r="AE394" i="15"/>
  <c r="AE430" i="15"/>
  <c r="AE2121" i="15"/>
  <c r="AE2156" i="15"/>
  <c r="AE1679" i="15"/>
  <c r="AE1716" i="15"/>
  <c r="AE1753" i="15"/>
  <c r="AE1790" i="15"/>
  <c r="AE1827" i="15"/>
  <c r="AE1864" i="15"/>
  <c r="AE1901" i="15"/>
  <c r="AE1938" i="15"/>
  <c r="AE1975" i="15"/>
  <c r="AE2012" i="15"/>
  <c r="AE2049" i="15"/>
  <c r="AE2086" i="15"/>
  <c r="AE2120" i="15"/>
  <c r="AE2155" i="15"/>
  <c r="AE1678" i="15"/>
  <c r="AE1715" i="15"/>
  <c r="AE1752" i="15"/>
  <c r="AE1789" i="15"/>
  <c r="AE1826" i="15"/>
  <c r="AE1863" i="15"/>
  <c r="AE1900" i="15"/>
  <c r="AE1937" i="15"/>
  <c r="AE1974" i="15"/>
  <c r="AE2011" i="15"/>
  <c r="AE2048" i="15"/>
  <c r="AE2085" i="15"/>
  <c r="AE860" i="15"/>
  <c r="AE894" i="15"/>
  <c r="AE928" i="15"/>
  <c r="AE962" i="15"/>
  <c r="AE996" i="15"/>
  <c r="AE1030" i="15"/>
  <c r="AE1064" i="15"/>
  <c r="AE1098" i="15"/>
  <c r="AE1132" i="15"/>
  <c r="AE1166" i="15"/>
  <c r="AE1200" i="15"/>
  <c r="AE1234" i="15"/>
  <c r="AE2119" i="15"/>
  <c r="AE2154" i="15"/>
  <c r="AE1677" i="15"/>
  <c r="AE1714" i="15"/>
  <c r="AE1751" i="15"/>
  <c r="AE1788" i="15"/>
  <c r="AE1825" i="15"/>
  <c r="AE1862" i="15"/>
  <c r="AE1899" i="15"/>
  <c r="AE1936" i="15"/>
  <c r="AE1973" i="15"/>
  <c r="AE2010" i="15"/>
  <c r="AE2047" i="15"/>
  <c r="AE2084" i="15"/>
  <c r="AE859" i="15"/>
  <c r="AE893" i="15"/>
  <c r="AE927" i="15"/>
  <c r="AE961" i="15"/>
  <c r="AE995" i="15"/>
  <c r="AE1029" i="15"/>
  <c r="AE1063" i="15"/>
  <c r="AE1097" i="15"/>
  <c r="AE1131" i="15"/>
  <c r="AE1165" i="15"/>
  <c r="AE1199" i="15"/>
  <c r="AE1233" i="15"/>
  <c r="AE463" i="15"/>
  <c r="AE496" i="15"/>
  <c r="AE529" i="15"/>
  <c r="AE562" i="15"/>
  <c r="AE595" i="15"/>
  <c r="AE628" i="15"/>
  <c r="AE661" i="15"/>
  <c r="AE694" i="15"/>
  <c r="AE727" i="15"/>
  <c r="AE760" i="15"/>
  <c r="AE793" i="15"/>
  <c r="AE826" i="15"/>
  <c r="AE33" i="15"/>
  <c r="AE69" i="15"/>
  <c r="AE105" i="15"/>
  <c r="AE141" i="15"/>
  <c r="AE177" i="15"/>
  <c r="AE213" i="15"/>
  <c r="AE249" i="15"/>
  <c r="AE285" i="15"/>
  <c r="AE321" i="15"/>
  <c r="AE357" i="15"/>
  <c r="AE393" i="15"/>
  <c r="AE429" i="15"/>
  <c r="AE1676" i="15"/>
  <c r="AE1713" i="15"/>
  <c r="AE1750" i="15"/>
  <c r="AE1787" i="15"/>
  <c r="AE1824" i="15"/>
  <c r="AE1861" i="15"/>
  <c r="AE1898" i="15"/>
  <c r="AE1935" i="15"/>
  <c r="AE1972" i="15"/>
  <c r="AE2009" i="15"/>
  <c r="AE2046" i="15"/>
  <c r="AE2083" i="15"/>
  <c r="AE858" i="15"/>
  <c r="AE892" i="15"/>
  <c r="AE926" i="15"/>
  <c r="AE960" i="15"/>
  <c r="AE994" i="15"/>
  <c r="AE1028" i="15"/>
  <c r="AE1062" i="15"/>
  <c r="AE1096" i="15"/>
  <c r="AE1130" i="15"/>
  <c r="AE1164" i="15"/>
  <c r="AE1198" i="15"/>
  <c r="AE1232" i="15"/>
  <c r="AE462" i="15"/>
  <c r="AE495" i="15"/>
  <c r="AE528" i="15"/>
  <c r="AE561" i="15"/>
  <c r="AE594" i="15"/>
  <c r="AE627" i="15"/>
  <c r="AE660" i="15"/>
  <c r="AE693" i="15"/>
  <c r="AE726" i="15"/>
  <c r="AE759" i="15"/>
  <c r="AE792" i="15"/>
  <c r="AE825" i="15"/>
  <c r="AE32" i="15"/>
  <c r="AE68" i="15"/>
  <c r="AE104" i="15"/>
  <c r="AE140" i="15"/>
  <c r="AE176" i="15"/>
  <c r="AE212" i="15"/>
  <c r="AE248" i="15"/>
  <c r="AE284" i="15"/>
  <c r="AE320" i="15"/>
  <c r="AE356" i="15"/>
  <c r="AE392" i="15"/>
  <c r="AE428" i="15"/>
  <c r="AE2118" i="15"/>
  <c r="AE2153" i="15"/>
  <c r="AE1675" i="15"/>
  <c r="AE1712" i="15"/>
  <c r="AE1749" i="15"/>
  <c r="AE1786" i="15"/>
  <c r="AE1823" i="15"/>
  <c r="AE1860" i="15"/>
  <c r="AE1897" i="15"/>
  <c r="AE1934" i="15"/>
  <c r="AE1971" i="15"/>
  <c r="AE2008" i="15"/>
  <c r="AE2045" i="15"/>
  <c r="AE2082" i="15"/>
  <c r="AE857" i="15"/>
  <c r="AE891" i="15"/>
  <c r="AE925" i="15"/>
  <c r="AE959" i="15"/>
  <c r="AE993" i="15"/>
  <c r="AE1027" i="15"/>
  <c r="AE1061" i="15"/>
  <c r="AE1095" i="15"/>
  <c r="AE1129" i="15"/>
  <c r="AE1163" i="15"/>
  <c r="AE1197" i="15"/>
  <c r="AE1231" i="15"/>
  <c r="AE461" i="15"/>
  <c r="AE494" i="15"/>
  <c r="AE527" i="15"/>
  <c r="AE560" i="15"/>
  <c r="AE593" i="15"/>
  <c r="AE626" i="15"/>
  <c r="AE659" i="15"/>
  <c r="AE692" i="15"/>
  <c r="AE725" i="15"/>
  <c r="AE758" i="15"/>
  <c r="AE791" i="15"/>
  <c r="AE824" i="15"/>
  <c r="AE31" i="15"/>
  <c r="AE67" i="15"/>
  <c r="AE103" i="15"/>
  <c r="AE139" i="15"/>
  <c r="AE175" i="15"/>
  <c r="AE211" i="15"/>
  <c r="AE247" i="15"/>
  <c r="AE283" i="15"/>
  <c r="AE319" i="15"/>
  <c r="AE355" i="15"/>
  <c r="AE391" i="15"/>
  <c r="AE427" i="15"/>
  <c r="AE2117" i="15"/>
  <c r="AE2152" i="15"/>
  <c r="AE1674" i="15"/>
  <c r="AE1711" i="15"/>
  <c r="AE1748" i="15"/>
  <c r="AE1785" i="15"/>
  <c r="AE1822" i="15"/>
  <c r="AE1859" i="15"/>
  <c r="AE1896" i="15"/>
  <c r="AE1933" i="15"/>
  <c r="AE1970" i="15"/>
  <c r="AE2007" i="15"/>
  <c r="AE2044" i="15"/>
  <c r="AE2081" i="15"/>
  <c r="AE2116" i="15"/>
  <c r="AE2151" i="15"/>
  <c r="AE1673" i="15"/>
  <c r="AE1710" i="15"/>
  <c r="AE1747" i="15"/>
  <c r="AE1784" i="15"/>
  <c r="AE1821" i="15"/>
  <c r="AE1858" i="15"/>
  <c r="AE1895" i="15"/>
  <c r="AE1932" i="15"/>
  <c r="AE1969" i="15"/>
  <c r="AE2006" i="15"/>
  <c r="AE2043" i="15"/>
  <c r="AE2080" i="15"/>
  <c r="AE856" i="15"/>
  <c r="AE890" i="15"/>
  <c r="AE924" i="15"/>
  <c r="AE958" i="15"/>
  <c r="AE992" i="15"/>
  <c r="AE1026" i="15"/>
  <c r="AE1060" i="15"/>
  <c r="AE1094" i="15"/>
  <c r="AE1128" i="15"/>
  <c r="AE1162" i="15"/>
  <c r="AE1196" i="15"/>
  <c r="AE1230" i="15"/>
  <c r="AE30" i="15"/>
  <c r="AE66" i="15"/>
  <c r="AE102" i="15"/>
  <c r="AE138" i="15"/>
  <c r="AE174" i="15"/>
  <c r="AE210" i="15"/>
  <c r="AE246" i="15"/>
  <c r="AE282" i="15"/>
  <c r="AE318" i="15"/>
  <c r="AE354" i="15"/>
  <c r="AE390" i="15"/>
  <c r="AE426" i="15"/>
  <c r="AE2115" i="15"/>
  <c r="AE2150" i="15"/>
  <c r="AE1672" i="15"/>
  <c r="AE1709" i="15"/>
  <c r="AE1746" i="15"/>
  <c r="AE1783" i="15"/>
  <c r="AE1820" i="15"/>
  <c r="AE1857" i="15"/>
  <c r="AE1894" i="15"/>
  <c r="AE1931" i="15"/>
  <c r="AE1968" i="15"/>
  <c r="AE2005" i="15"/>
  <c r="AE2042" i="15"/>
  <c r="AE2079" i="15"/>
  <c r="AE460" i="15"/>
  <c r="AE493" i="15"/>
  <c r="AE526" i="15"/>
  <c r="AE559" i="15"/>
  <c r="AE592" i="15"/>
  <c r="AE625" i="15"/>
  <c r="AE658" i="15"/>
  <c r="AE691" i="15"/>
  <c r="AE724" i="15"/>
  <c r="AE757" i="15"/>
  <c r="AE790" i="15"/>
  <c r="AE823" i="15"/>
  <c r="AE29" i="15"/>
  <c r="AE65" i="15"/>
  <c r="AE101" i="15"/>
  <c r="AE137" i="15"/>
  <c r="AE173" i="15"/>
  <c r="AE209" i="15"/>
  <c r="AE245" i="15"/>
  <c r="AE281" i="15"/>
  <c r="AE317" i="15"/>
  <c r="AE353" i="15"/>
  <c r="AE389" i="15"/>
  <c r="AE425" i="15"/>
  <c r="AE2114" i="15"/>
  <c r="AE2149" i="15"/>
  <c r="AE1671" i="15"/>
  <c r="AE1708" i="15"/>
  <c r="AE1745" i="15"/>
  <c r="AE1782" i="15"/>
  <c r="AE1819" i="15"/>
  <c r="AE1856" i="15"/>
  <c r="AE1893" i="15"/>
  <c r="AE1930" i="15"/>
  <c r="AE1967" i="15"/>
  <c r="AE2004" i="15"/>
  <c r="AE2041" i="15"/>
  <c r="AE2078" i="15"/>
  <c r="AE2113" i="15"/>
  <c r="AE2148" i="15"/>
  <c r="AE1670" i="15"/>
  <c r="AE1707" i="15"/>
  <c r="AE1744" i="15"/>
  <c r="AE1781" i="15"/>
  <c r="AE1818" i="15"/>
  <c r="AE1855" i="15"/>
  <c r="AE1892" i="15"/>
  <c r="AE1929" i="15"/>
  <c r="AE1966" i="15"/>
  <c r="AE2003" i="15"/>
  <c r="AE2040" i="15"/>
  <c r="AE2077" i="15"/>
  <c r="AE1669" i="15"/>
  <c r="AE1706" i="15"/>
  <c r="AE1743" i="15"/>
  <c r="AE1780" i="15"/>
  <c r="AE1817" i="15"/>
  <c r="AE1854" i="15"/>
  <c r="AE1891" i="15"/>
  <c r="AE1928" i="15"/>
  <c r="AE1965" i="15"/>
  <c r="AE2002" i="15"/>
  <c r="AE2039" i="15"/>
  <c r="AE2076" i="15"/>
  <c r="AE855" i="15"/>
  <c r="AE889" i="15"/>
  <c r="AE923" i="15"/>
  <c r="AE957" i="15"/>
  <c r="AE991" i="15"/>
  <c r="AE1025" i="15"/>
  <c r="AE1059" i="15"/>
  <c r="AE1093" i="15"/>
  <c r="AE1127" i="15"/>
  <c r="AE1161" i="15"/>
  <c r="AE1195" i="15"/>
  <c r="AE1229" i="15"/>
  <c r="AE459" i="15"/>
  <c r="AE492" i="15"/>
  <c r="AE525" i="15"/>
  <c r="AE558" i="15"/>
  <c r="AE591" i="15"/>
  <c r="AE624" i="15"/>
  <c r="AE657" i="15"/>
  <c r="AE690" i="15"/>
  <c r="AE723" i="15"/>
  <c r="AE756" i="15"/>
  <c r="AE789" i="15"/>
  <c r="AE822" i="15"/>
  <c r="AE2112" i="15"/>
  <c r="AE2147" i="15"/>
  <c r="AE1668" i="15"/>
  <c r="AE1705" i="15"/>
  <c r="AE1742" i="15"/>
  <c r="AE1779" i="15"/>
  <c r="AE1816" i="15"/>
  <c r="AE1853" i="15"/>
  <c r="AE1890" i="15"/>
  <c r="AE1927" i="15"/>
  <c r="AE1964" i="15"/>
  <c r="AE2001" i="15"/>
  <c r="AE2038" i="15"/>
  <c r="AE2075" i="15"/>
  <c r="AE2111" i="15"/>
  <c r="AE2146" i="15"/>
  <c r="AE1667" i="15"/>
  <c r="AE1704" i="15"/>
  <c r="AE1741" i="15"/>
  <c r="AE1778" i="15"/>
  <c r="AE1815" i="15"/>
  <c r="AE1852" i="15"/>
  <c r="AE1889" i="15"/>
  <c r="AE1926" i="15"/>
  <c r="AE1963" i="15"/>
  <c r="AE2000" i="15"/>
  <c r="AE2037" i="15"/>
  <c r="AE2074" i="15"/>
  <c r="AE854" i="15"/>
  <c r="AE888" i="15"/>
  <c r="AE922" i="15"/>
  <c r="AE956" i="15"/>
  <c r="AE990" i="15"/>
  <c r="AE1024" i="15"/>
  <c r="AE1058" i="15"/>
  <c r="AE1092" i="15"/>
  <c r="AE1126" i="15"/>
  <c r="AE1160" i="15"/>
  <c r="AE1194" i="15"/>
  <c r="AE1228" i="15"/>
  <c r="AE2110" i="15"/>
  <c r="AE2145" i="15"/>
  <c r="AE1666" i="15"/>
  <c r="AE1703" i="15"/>
  <c r="AE1740" i="15"/>
  <c r="AE1777" i="15"/>
  <c r="AE1814" i="15"/>
  <c r="AE1851" i="15"/>
  <c r="AE1888" i="15"/>
  <c r="AE1925" i="15"/>
  <c r="AE1962" i="15"/>
  <c r="AE1999" i="15"/>
  <c r="AE2036" i="15"/>
  <c r="AE2073" i="15"/>
  <c r="AE2109" i="15"/>
  <c r="AE2144" i="15"/>
  <c r="AE1665" i="15"/>
  <c r="AE1702" i="15"/>
  <c r="AE1739" i="15"/>
  <c r="AE1776" i="15"/>
  <c r="AE1813" i="15"/>
  <c r="AE1850" i="15"/>
  <c r="AE1887" i="15"/>
  <c r="AE1924" i="15"/>
  <c r="AE1961" i="15"/>
  <c r="AE1998" i="15"/>
  <c r="AE2035" i="15"/>
  <c r="AE2072" i="15"/>
  <c r="AE853" i="15"/>
  <c r="AE887" i="15"/>
  <c r="AE921" i="15"/>
  <c r="AE955" i="15"/>
  <c r="AE989" i="15"/>
  <c r="AE1023" i="15"/>
  <c r="AE1057" i="15"/>
  <c r="AE1091" i="15"/>
  <c r="AE1125" i="15"/>
  <c r="AE1159" i="15"/>
  <c r="AE1193" i="15"/>
  <c r="AE1227" i="15"/>
  <c r="AE458" i="15"/>
  <c r="AE491" i="15"/>
  <c r="AE524" i="15"/>
  <c r="AE557" i="15"/>
  <c r="AE590" i="15"/>
  <c r="AE623" i="15"/>
  <c r="AE656" i="15"/>
  <c r="AE689" i="15"/>
  <c r="AE722" i="15"/>
  <c r="AE755" i="15"/>
  <c r="AE788" i="15"/>
  <c r="AE821" i="15"/>
  <c r="AE28" i="15"/>
  <c r="AE64" i="15"/>
  <c r="AE100" i="15"/>
  <c r="AE136" i="15"/>
  <c r="AE172" i="15"/>
  <c r="AE208" i="15"/>
  <c r="AE244" i="15"/>
  <c r="AE280" i="15"/>
  <c r="AE316" i="15"/>
  <c r="AE352" i="15"/>
  <c r="AE388" i="15"/>
  <c r="AE424" i="15"/>
  <c r="AE2108" i="15"/>
  <c r="AE2143" i="15"/>
  <c r="AE1664" i="15"/>
  <c r="AE1701" i="15"/>
  <c r="AE1738" i="15"/>
  <c r="AE1775" i="15"/>
  <c r="AE1812" i="15"/>
  <c r="AE1849" i="15"/>
  <c r="AE1886" i="15"/>
  <c r="AE1923" i="15"/>
  <c r="AE1960" i="15"/>
  <c r="AE1997" i="15"/>
  <c r="AE2034" i="15"/>
  <c r="AE2071" i="15"/>
  <c r="AE852" i="15"/>
  <c r="AE886" i="15"/>
  <c r="AE920" i="15"/>
  <c r="AE954" i="15"/>
  <c r="AE988" i="15"/>
  <c r="AE1022" i="15"/>
  <c r="AE1056" i="15"/>
  <c r="AE1090" i="15"/>
  <c r="AE1124" i="15"/>
  <c r="AE1158" i="15"/>
  <c r="AE1192" i="15"/>
  <c r="AE1226" i="15"/>
  <c r="AE457" i="15"/>
  <c r="AE490" i="15"/>
  <c r="AE523" i="15"/>
  <c r="AE556" i="15"/>
  <c r="AE589" i="15"/>
  <c r="AE622" i="15"/>
  <c r="AE655" i="15"/>
  <c r="AE688" i="15"/>
  <c r="AE721" i="15"/>
  <c r="AE754" i="15"/>
  <c r="AE787" i="15"/>
  <c r="AE820" i="15"/>
  <c r="AE27" i="15"/>
  <c r="AE63" i="15"/>
  <c r="AE99" i="15"/>
  <c r="AE135" i="15"/>
  <c r="AE171" i="15"/>
  <c r="AE207" i="15"/>
  <c r="AE243" i="15"/>
  <c r="AE279" i="15"/>
  <c r="AE315" i="15"/>
  <c r="AE351" i="15"/>
  <c r="AE387" i="15"/>
  <c r="AE423" i="15"/>
  <c r="AE851" i="15"/>
  <c r="AE885" i="15"/>
  <c r="AE919" i="15"/>
  <c r="AE953" i="15"/>
  <c r="AE987" i="15"/>
  <c r="AE1021" i="15"/>
  <c r="AE1055" i="15"/>
  <c r="AE1089" i="15"/>
  <c r="AE1123" i="15"/>
  <c r="AE1157" i="15"/>
  <c r="AE1191" i="15"/>
  <c r="AE1225" i="15"/>
  <c r="AE456" i="15"/>
  <c r="AE489" i="15"/>
  <c r="AE522" i="15"/>
  <c r="AE555" i="15"/>
  <c r="AE588" i="15"/>
  <c r="AE621" i="15"/>
  <c r="AE654" i="15"/>
  <c r="AE687" i="15"/>
  <c r="AE720" i="15"/>
  <c r="AE753" i="15"/>
  <c r="AE786" i="15"/>
  <c r="AE819" i="15"/>
  <c r="AE26" i="15"/>
  <c r="AE62" i="15"/>
  <c r="AE98" i="15"/>
  <c r="AE134" i="15"/>
  <c r="AE170" i="15"/>
  <c r="AE206" i="15"/>
  <c r="AE242" i="15"/>
  <c r="AE278" i="15"/>
  <c r="AE314" i="15"/>
  <c r="AE350" i="15"/>
  <c r="AE386" i="15"/>
  <c r="AE422" i="15"/>
  <c r="AE2107" i="15"/>
  <c r="AE2142" i="15"/>
  <c r="AE1663" i="15"/>
  <c r="AE1700" i="15"/>
  <c r="AE1737" i="15"/>
  <c r="AE1774" i="15"/>
  <c r="AE1811" i="15"/>
  <c r="AE1848" i="15"/>
  <c r="AE1885" i="15"/>
  <c r="AE1922" i="15"/>
  <c r="AE1959" i="15"/>
  <c r="AE1996" i="15"/>
  <c r="AE2033" i="15"/>
  <c r="AE2070" i="15"/>
  <c r="AE850" i="15"/>
  <c r="AE884" i="15"/>
  <c r="AE918" i="15"/>
  <c r="AE952" i="15"/>
  <c r="AE986" i="15"/>
  <c r="AE1020" i="15"/>
  <c r="AE1054" i="15"/>
  <c r="AE1088" i="15"/>
  <c r="AE1122" i="15"/>
  <c r="AE1156" i="15"/>
  <c r="AE1190" i="15"/>
  <c r="AE1224" i="15"/>
  <c r="AE455" i="15"/>
  <c r="AE488" i="15"/>
  <c r="AE521" i="15"/>
  <c r="AE554" i="15"/>
  <c r="AE587" i="15"/>
  <c r="AE620" i="15"/>
  <c r="AE653" i="15"/>
  <c r="AE686" i="15"/>
  <c r="AE719" i="15"/>
  <c r="AE752" i="15"/>
  <c r="AE785" i="15"/>
  <c r="AE818" i="15"/>
  <c r="AE25" i="15"/>
  <c r="AE61" i="15"/>
  <c r="AE97" i="15"/>
  <c r="AE133" i="15"/>
  <c r="AE169" i="15"/>
  <c r="AE205" i="15"/>
  <c r="AE241" i="15"/>
  <c r="AE277" i="15"/>
  <c r="AE313" i="15"/>
  <c r="AE349" i="15"/>
  <c r="AE385" i="15"/>
  <c r="AE421" i="15"/>
  <c r="AE2106" i="15"/>
  <c r="AE2141" i="15"/>
  <c r="AE1662" i="15"/>
  <c r="AE1699" i="15"/>
  <c r="AE1736" i="15"/>
  <c r="AE1773" i="15"/>
  <c r="AE1810" i="15"/>
  <c r="AE1847" i="15"/>
  <c r="AE1884" i="15"/>
  <c r="AE1921" i="15"/>
  <c r="AE1958" i="15"/>
  <c r="AE1995" i="15"/>
  <c r="AE2032" i="15"/>
  <c r="AE2069" i="15"/>
  <c r="AE849" i="15"/>
  <c r="AE883" i="15"/>
  <c r="AE917" i="15"/>
  <c r="AE951" i="15"/>
  <c r="AE985" i="15"/>
  <c r="AE1019" i="15"/>
  <c r="AE1053" i="15"/>
  <c r="AE1087" i="15"/>
  <c r="AE1121" i="15"/>
  <c r="AE1155" i="15"/>
  <c r="AE1189" i="15"/>
  <c r="AE1223" i="15"/>
  <c r="AE454" i="15"/>
  <c r="AE487" i="15"/>
  <c r="AE520" i="15"/>
  <c r="AE553" i="15"/>
  <c r="AE586" i="15"/>
  <c r="AE619" i="15"/>
  <c r="AE652" i="15"/>
  <c r="AE685" i="15"/>
  <c r="AE718" i="15"/>
  <c r="AE751" i="15"/>
  <c r="AE784" i="15"/>
  <c r="AE817" i="15"/>
  <c r="AE24" i="15"/>
  <c r="AE60" i="15"/>
  <c r="AE96" i="15"/>
  <c r="AE132" i="15"/>
  <c r="AE168" i="15"/>
  <c r="AE204" i="15"/>
  <c r="AE240" i="15"/>
  <c r="AE276" i="15"/>
  <c r="AE312" i="15"/>
  <c r="AE348" i="15"/>
  <c r="AE384" i="15"/>
  <c r="AE420" i="15"/>
  <c r="AE2105" i="15"/>
  <c r="AE2140" i="15"/>
  <c r="AE1661" i="15"/>
  <c r="AE1698" i="15"/>
  <c r="AE1735" i="15"/>
  <c r="AE1772" i="15"/>
  <c r="AE1809" i="15"/>
  <c r="AE1846" i="15"/>
  <c r="AE1883" i="15"/>
  <c r="AE1920" i="15"/>
  <c r="AE1957" i="15"/>
  <c r="AE1994" i="15"/>
  <c r="AE2031" i="15"/>
  <c r="AE2068" i="15"/>
  <c r="AE2104" i="15"/>
  <c r="AE2139" i="15"/>
  <c r="AE1660" i="15"/>
  <c r="AE1697" i="15"/>
  <c r="AE1734" i="15"/>
  <c r="AE1771" i="15"/>
  <c r="AE1808" i="15"/>
  <c r="AE1845" i="15"/>
  <c r="AE1882" i="15"/>
  <c r="AE1919" i="15"/>
  <c r="AE1956" i="15"/>
  <c r="AE1993" i="15"/>
  <c r="AE2030" i="15"/>
  <c r="AE2067" i="15"/>
  <c r="AE848" i="15"/>
  <c r="AE882" i="15"/>
  <c r="AE916" i="15"/>
  <c r="AE950" i="15"/>
  <c r="AE984" i="15"/>
  <c r="AE1018" i="15"/>
  <c r="AE1052" i="15"/>
  <c r="AE1086" i="15"/>
  <c r="AE1120" i="15"/>
  <c r="AE1154" i="15"/>
  <c r="AE1188" i="15"/>
  <c r="AE1222" i="15"/>
  <c r="AE453" i="15"/>
  <c r="AE486" i="15"/>
  <c r="AE519" i="15"/>
  <c r="AE552" i="15"/>
  <c r="AE585" i="15"/>
  <c r="AE618" i="15"/>
  <c r="AE651" i="15"/>
  <c r="AE684" i="15"/>
  <c r="AE717" i="15"/>
  <c r="AE750" i="15"/>
  <c r="AE783" i="15"/>
  <c r="AE816" i="15"/>
  <c r="AE23" i="15"/>
  <c r="AE59" i="15"/>
  <c r="AE95" i="15"/>
  <c r="AE131" i="15"/>
  <c r="AE167" i="15"/>
  <c r="AE203" i="15"/>
  <c r="AE239" i="15"/>
  <c r="AE275" i="15"/>
  <c r="AE311" i="15"/>
  <c r="AE347" i="15"/>
  <c r="AE383" i="15"/>
  <c r="AE419" i="15"/>
  <c r="AE2103" i="15"/>
  <c r="AE2138" i="15"/>
  <c r="AE1659" i="15"/>
  <c r="AE1696" i="15"/>
  <c r="AE1733" i="15"/>
  <c r="AE1770" i="15"/>
  <c r="AE1807" i="15"/>
  <c r="AE1844" i="15"/>
  <c r="AE1881" i="15"/>
  <c r="AE1918" i="15"/>
  <c r="AE1955" i="15"/>
  <c r="AE1992" i="15"/>
  <c r="AE2029" i="15"/>
  <c r="AE2066" i="15"/>
  <c r="AE847" i="15"/>
  <c r="AE881" i="15"/>
  <c r="AE915" i="15"/>
  <c r="AE949" i="15"/>
  <c r="AE983" i="15"/>
  <c r="AE1017" i="15"/>
  <c r="AE1051" i="15"/>
  <c r="AE1085" i="15"/>
  <c r="AE1119" i="15"/>
  <c r="AE1153" i="15"/>
  <c r="AE1187" i="15"/>
  <c r="AE1221" i="15"/>
  <c r="AE452" i="15"/>
  <c r="AE485" i="15"/>
  <c r="AE518" i="15"/>
  <c r="AE551" i="15"/>
  <c r="AE584" i="15"/>
  <c r="AE617" i="15"/>
  <c r="AE650" i="15"/>
  <c r="AE683" i="15"/>
  <c r="AE716" i="15"/>
  <c r="AE749" i="15"/>
  <c r="AE782" i="15"/>
  <c r="AE815" i="15"/>
  <c r="AE22" i="15"/>
  <c r="AE58" i="15"/>
  <c r="AE94" i="15"/>
  <c r="AE130" i="15"/>
  <c r="AE166" i="15"/>
  <c r="AE202" i="15"/>
  <c r="AE238" i="15"/>
  <c r="AE274" i="15"/>
  <c r="AE310" i="15"/>
  <c r="AE346" i="15"/>
  <c r="AE382" i="15"/>
  <c r="AE418" i="15"/>
  <c r="AE2102" i="15"/>
  <c r="AE2137" i="15"/>
  <c r="AE1658" i="15"/>
  <c r="AE1695" i="15"/>
  <c r="AE1732" i="15"/>
  <c r="AE1769" i="15"/>
  <c r="AE1806" i="15"/>
  <c r="AE1843" i="15"/>
  <c r="AE1880" i="15"/>
  <c r="AE1917" i="15"/>
  <c r="AE1954" i="15"/>
  <c r="AE1991" i="15"/>
  <c r="AE2028" i="15"/>
  <c r="AE2065" i="15"/>
  <c r="AE846" i="15"/>
  <c r="AE880" i="15"/>
  <c r="AE914" i="15"/>
  <c r="AE948" i="15"/>
  <c r="AE982" i="15"/>
  <c r="AE1016" i="15"/>
  <c r="AE1050" i="15"/>
  <c r="AE1084" i="15"/>
  <c r="AE1118" i="15"/>
  <c r="AE1152" i="15"/>
  <c r="AE1186" i="15"/>
  <c r="AE1220" i="15"/>
  <c r="AE451" i="15"/>
  <c r="AE484" i="15"/>
  <c r="AE517" i="15"/>
  <c r="AE550" i="15"/>
  <c r="AE583" i="15"/>
  <c r="AE616" i="15"/>
  <c r="AE649" i="15"/>
  <c r="AE682" i="15"/>
  <c r="AE715" i="15"/>
  <c r="AE748" i="15"/>
  <c r="AE781" i="15"/>
  <c r="AE814" i="15"/>
  <c r="AE21" i="15"/>
  <c r="AE57" i="15"/>
  <c r="AE93" i="15"/>
  <c r="AE129" i="15"/>
  <c r="AE165" i="15"/>
  <c r="AE201" i="15"/>
  <c r="AE237" i="15"/>
  <c r="AE273" i="15"/>
  <c r="AE309" i="15"/>
  <c r="AE345" i="15"/>
  <c r="AE381" i="15"/>
  <c r="AE417" i="15"/>
  <c r="AE2101" i="15"/>
  <c r="AE2136" i="15"/>
  <c r="AE1657" i="15"/>
  <c r="AE1694" i="15"/>
  <c r="AE1731" i="15"/>
  <c r="AE1768" i="15"/>
  <c r="AE1805" i="15"/>
  <c r="AE1842" i="15"/>
  <c r="AE1879" i="15"/>
  <c r="AE1916" i="15"/>
  <c r="AE1953" i="15"/>
  <c r="AE1990" i="15"/>
  <c r="AE2027" i="15"/>
  <c r="AE2064" i="15"/>
  <c r="AE845" i="15"/>
  <c r="AE879" i="15"/>
  <c r="AE913" i="15"/>
  <c r="AE947" i="15"/>
  <c r="AE981" i="15"/>
  <c r="AE1015" i="15"/>
  <c r="AE1049" i="15"/>
  <c r="AE1083" i="15"/>
  <c r="AE1117" i="15"/>
  <c r="AE1151" i="15"/>
  <c r="AE1185" i="15"/>
  <c r="AE1219" i="15"/>
  <c r="AE450" i="15"/>
  <c r="AE483" i="15"/>
  <c r="AE516" i="15"/>
  <c r="AE549" i="15"/>
  <c r="AE582" i="15"/>
  <c r="AE615" i="15"/>
  <c r="AE648" i="15"/>
  <c r="AE681" i="15"/>
  <c r="AE714" i="15"/>
  <c r="AE747" i="15"/>
  <c r="AE780" i="15"/>
  <c r="AE813" i="15"/>
  <c r="AE20" i="15"/>
  <c r="AE56" i="15"/>
  <c r="AE92" i="15"/>
  <c r="AE128" i="15"/>
  <c r="AE164" i="15"/>
  <c r="AE200" i="15"/>
  <c r="AE236" i="15"/>
  <c r="AE272" i="15"/>
  <c r="AE308" i="15"/>
  <c r="AE344" i="15"/>
  <c r="AE380" i="15"/>
  <c r="AE416" i="15"/>
  <c r="AE19" i="15"/>
  <c r="AE55" i="15"/>
  <c r="AE91" i="15"/>
  <c r="AE127" i="15"/>
  <c r="AE163" i="15"/>
  <c r="AE199" i="15"/>
  <c r="AE235" i="15"/>
  <c r="AE271" i="15"/>
  <c r="AE307" i="15"/>
  <c r="AE343" i="15"/>
  <c r="AE379" i="15"/>
  <c r="AE415" i="15"/>
  <c r="AE844" i="15"/>
  <c r="AE878" i="15"/>
  <c r="AE912" i="15"/>
  <c r="AE946" i="15"/>
  <c r="AE980" i="15"/>
  <c r="AE1014" i="15"/>
  <c r="AE1048" i="15"/>
  <c r="AE1082" i="15"/>
  <c r="AE1116" i="15"/>
  <c r="AE1150" i="15"/>
  <c r="AE1184" i="15"/>
  <c r="AE1218" i="15"/>
  <c r="AE449" i="15"/>
  <c r="AE482" i="15"/>
  <c r="AE515" i="15"/>
  <c r="AE548" i="15"/>
  <c r="AE581" i="15"/>
  <c r="AE614" i="15"/>
  <c r="AE647" i="15"/>
  <c r="AE680" i="15"/>
  <c r="AE713" i="15"/>
  <c r="AE746" i="15"/>
  <c r="AE779" i="15"/>
  <c r="AE812" i="15"/>
  <c r="AE18" i="15"/>
  <c r="AE54" i="15"/>
  <c r="AE90" i="15"/>
  <c r="AE126" i="15"/>
  <c r="AE162" i="15"/>
  <c r="AE198" i="15"/>
  <c r="AE234" i="15"/>
  <c r="AE270" i="15"/>
  <c r="AE306" i="15"/>
  <c r="AE342" i="15"/>
  <c r="AE378" i="15"/>
  <c r="AE414" i="15"/>
  <c r="AE2100" i="15"/>
  <c r="AE2135" i="15"/>
  <c r="AE1656" i="15"/>
  <c r="AE1693" i="15"/>
  <c r="AE1730" i="15"/>
  <c r="AE1767" i="15"/>
  <c r="AE1804" i="15"/>
  <c r="AE1841" i="15"/>
  <c r="AE1878" i="15"/>
  <c r="AE1915" i="15"/>
  <c r="AE1952" i="15"/>
  <c r="AE1989" i="15"/>
  <c r="AE2026" i="15"/>
  <c r="AE2063" i="15"/>
  <c r="AE843" i="15"/>
  <c r="AE877" i="15"/>
  <c r="AE911" i="15"/>
  <c r="AE945" i="15"/>
  <c r="AE979" i="15"/>
  <c r="AE1013" i="15"/>
  <c r="AE1047" i="15"/>
  <c r="AE1081" i="15"/>
  <c r="AE1115" i="15"/>
  <c r="AE1149" i="15"/>
  <c r="AE1183" i="15"/>
  <c r="AE1217" i="15"/>
  <c r="AE448" i="15"/>
  <c r="AE481" i="15"/>
  <c r="AE514" i="15"/>
  <c r="AE547" i="15"/>
  <c r="AE580" i="15"/>
  <c r="AE613" i="15"/>
  <c r="AE646" i="15"/>
  <c r="AE679" i="15"/>
  <c r="AE712" i="15"/>
  <c r="AE745" i="15"/>
  <c r="AE778" i="15"/>
  <c r="AE811" i="15"/>
  <c r="AE17" i="15"/>
  <c r="AE53" i="15"/>
  <c r="AE89" i="15"/>
  <c r="AE125" i="15"/>
  <c r="AE161" i="15"/>
  <c r="AE197" i="15"/>
  <c r="AE233" i="15"/>
  <c r="AE269" i="15"/>
  <c r="AE305" i="15"/>
  <c r="AE341" i="15"/>
  <c r="AE377" i="15"/>
  <c r="AE413" i="15"/>
  <c r="AE2099" i="15"/>
  <c r="AE2134" i="15"/>
  <c r="AE1655" i="15"/>
  <c r="AE1692" i="15"/>
  <c r="AE1729" i="15"/>
  <c r="AE1766" i="15"/>
  <c r="AE1803" i="15"/>
  <c r="AE1840" i="15"/>
  <c r="AE1877" i="15"/>
  <c r="AE1914" i="15"/>
  <c r="AE1951" i="15"/>
  <c r="AE1988" i="15"/>
  <c r="AE2025" i="15"/>
  <c r="AE2062" i="15"/>
  <c r="AE842" i="15"/>
  <c r="AE876" i="15"/>
  <c r="AE910" i="15"/>
  <c r="AE944" i="15"/>
  <c r="AE978" i="15"/>
  <c r="AE1012" i="15"/>
  <c r="AE1046" i="15"/>
  <c r="AE1080" i="15"/>
  <c r="AE1114" i="15"/>
  <c r="AE1148" i="15"/>
  <c r="AE1182" i="15"/>
  <c r="AE1216" i="15"/>
  <c r="AE447" i="15"/>
  <c r="AE480" i="15"/>
  <c r="AE513" i="15"/>
  <c r="AE546" i="15"/>
  <c r="AE579" i="15"/>
  <c r="AE612" i="15"/>
  <c r="AE645" i="15"/>
  <c r="AE678" i="15"/>
  <c r="AE711" i="15"/>
  <c r="AE744" i="15"/>
  <c r="AE777" i="15"/>
  <c r="AE810" i="15"/>
  <c r="AE16" i="15"/>
  <c r="AE52" i="15"/>
  <c r="AE88" i="15"/>
  <c r="AE124" i="15"/>
  <c r="AE160" i="15"/>
  <c r="AE196" i="15"/>
  <c r="AE232" i="15"/>
  <c r="AE268" i="15"/>
  <c r="AE304" i="15"/>
  <c r="AE340" i="15"/>
  <c r="AE376" i="15"/>
  <c r="AE412" i="15"/>
  <c r="AE2098" i="15"/>
  <c r="AE2133" i="15"/>
  <c r="AE1654" i="15"/>
  <c r="AE1691" i="15"/>
  <c r="AE1728" i="15"/>
  <c r="AE1765" i="15"/>
  <c r="AE1802" i="15"/>
  <c r="AE1839" i="15"/>
  <c r="AE1876" i="15"/>
  <c r="AE1913" i="15"/>
  <c r="AE1950" i="15"/>
  <c r="AE1987" i="15"/>
  <c r="AE2024" i="15"/>
  <c r="AE2061" i="15"/>
  <c r="AE841" i="15"/>
  <c r="AE875" i="15"/>
  <c r="AE909" i="15"/>
  <c r="AE943" i="15"/>
  <c r="AE977" i="15"/>
  <c r="AE1011" i="15"/>
  <c r="AE1045" i="15"/>
  <c r="AE1079" i="15"/>
  <c r="AE1113" i="15"/>
  <c r="AE1147" i="15"/>
  <c r="AE1181" i="15"/>
  <c r="AE1215" i="15"/>
  <c r="AE446" i="15"/>
  <c r="AE479" i="15"/>
  <c r="AE512" i="15"/>
  <c r="AE545" i="15"/>
  <c r="AE578" i="15"/>
  <c r="AE611" i="15"/>
  <c r="AE644" i="15"/>
  <c r="AE677" i="15"/>
  <c r="AE710" i="15"/>
  <c r="AE743" i="15"/>
  <c r="AE776" i="15"/>
  <c r="AE809" i="15"/>
  <c r="AE15" i="15"/>
  <c r="AE51" i="15"/>
  <c r="AE87" i="15"/>
  <c r="AE123" i="15"/>
  <c r="AE159" i="15"/>
  <c r="AE195" i="15"/>
  <c r="AE231" i="15"/>
  <c r="AE267" i="15"/>
  <c r="AE303" i="15"/>
  <c r="AE339" i="15"/>
  <c r="AE375" i="15"/>
  <c r="AE411" i="15"/>
  <c r="AE2097" i="15"/>
  <c r="AE2132" i="15"/>
  <c r="AE1653" i="15"/>
  <c r="AE1690" i="15"/>
  <c r="AE1727" i="15"/>
  <c r="AE1764" i="15"/>
  <c r="AE1801" i="15"/>
  <c r="AE1838" i="15"/>
  <c r="AE1875" i="15"/>
  <c r="AE1912" i="15"/>
  <c r="AE1949" i="15"/>
  <c r="AE1986" i="15"/>
  <c r="AE2023" i="15"/>
  <c r="AE2060" i="15"/>
  <c r="AE840" i="15"/>
  <c r="AE874" i="15"/>
  <c r="AE908" i="15"/>
  <c r="AE942" i="15"/>
  <c r="AE976" i="15"/>
  <c r="AE1010" i="15"/>
  <c r="AE1044" i="15"/>
  <c r="AE1078" i="15"/>
  <c r="AE1112" i="15"/>
  <c r="AE1146" i="15"/>
  <c r="AE1180" i="15"/>
  <c r="AE1214" i="15"/>
  <c r="AE445" i="15"/>
  <c r="AE478" i="15"/>
  <c r="AE511" i="15"/>
  <c r="AE544" i="15"/>
  <c r="AE577" i="15"/>
  <c r="AE610" i="15"/>
  <c r="AE643" i="15"/>
  <c r="AE676" i="15"/>
  <c r="AE709" i="15"/>
  <c r="AE742" i="15"/>
  <c r="AE775" i="15"/>
  <c r="AE808" i="15"/>
  <c r="AE14" i="15"/>
  <c r="AE50" i="15"/>
  <c r="AE86" i="15"/>
  <c r="AE122" i="15"/>
  <c r="AE158" i="15"/>
  <c r="AE194" i="15"/>
  <c r="AE230" i="15"/>
  <c r="AE266" i="15"/>
  <c r="AE302" i="15"/>
  <c r="AE338" i="15"/>
  <c r="AE374" i="15"/>
  <c r="AE410" i="15"/>
  <c r="AE2096" i="15"/>
  <c r="AE2131" i="15"/>
  <c r="AE1652" i="15"/>
  <c r="AE1689" i="15"/>
  <c r="AE1726" i="15"/>
  <c r="AE1763" i="15"/>
  <c r="AE1800" i="15"/>
  <c r="AE1837" i="15"/>
  <c r="AE1874" i="15"/>
  <c r="AE1911" i="15"/>
  <c r="AE1948" i="15"/>
  <c r="AE1985" i="15"/>
  <c r="AE2022" i="15"/>
  <c r="AE2059" i="15"/>
  <c r="AE13" i="15"/>
  <c r="AE49" i="15"/>
  <c r="AE85" i="15"/>
  <c r="AE121" i="15"/>
  <c r="AE157" i="15"/>
  <c r="AE193" i="15"/>
  <c r="AE229" i="15"/>
  <c r="AE265" i="15"/>
  <c r="AE301" i="15"/>
  <c r="AE337" i="15"/>
  <c r="AE373" i="15"/>
  <c r="AE409" i="15"/>
  <c r="AE2095" i="15"/>
  <c r="AE2130" i="15"/>
  <c r="AE1651" i="15"/>
  <c r="AE1688" i="15"/>
  <c r="AE1725" i="15"/>
  <c r="AE1762" i="15"/>
  <c r="AE1799" i="15"/>
  <c r="AE1836" i="15"/>
  <c r="AE1873" i="15"/>
  <c r="AE1910" i="15"/>
  <c r="AE1947" i="15"/>
  <c r="AE1984" i="15"/>
  <c r="AE2021" i="15"/>
  <c r="AE2058" i="15"/>
  <c r="AE839" i="15"/>
  <c r="AE873" i="15"/>
  <c r="AE907" i="15"/>
  <c r="AE941" i="15"/>
  <c r="AE975" i="15"/>
  <c r="AE1009" i="15"/>
  <c r="AE1043" i="15"/>
  <c r="AE1077" i="15"/>
  <c r="AE1111" i="15"/>
  <c r="AE1145" i="15"/>
  <c r="AE1179" i="15"/>
  <c r="AE1213" i="15"/>
  <c r="AE444" i="15"/>
  <c r="AE477" i="15"/>
  <c r="AE510" i="15"/>
  <c r="AE543" i="15"/>
  <c r="AE576" i="15"/>
  <c r="AE609" i="15"/>
  <c r="AE642" i="15"/>
  <c r="AE675" i="15"/>
  <c r="AE708" i="15"/>
  <c r="AE741" i="15"/>
  <c r="AE774" i="15"/>
  <c r="AE807" i="15"/>
  <c r="AE12" i="15"/>
  <c r="AE48" i="15"/>
  <c r="AE84" i="15"/>
  <c r="AE120" i="15"/>
  <c r="AE156" i="15"/>
  <c r="AE192" i="15"/>
  <c r="AE228" i="15"/>
  <c r="AE264" i="15"/>
  <c r="AE300" i="15"/>
  <c r="AE336" i="15"/>
  <c r="AE372" i="15"/>
  <c r="AE408" i="15"/>
  <c r="AE838" i="15"/>
  <c r="AE872" i="15"/>
  <c r="AE906" i="15"/>
  <c r="AE940" i="15"/>
  <c r="AE974" i="15"/>
  <c r="AE1008" i="15"/>
  <c r="AE1042" i="15"/>
  <c r="AE1076" i="15"/>
  <c r="AE1110" i="15"/>
  <c r="AE1144" i="15"/>
  <c r="AE1178" i="15"/>
  <c r="AE1212" i="15"/>
  <c r="AE443" i="15"/>
  <c r="AE476" i="15"/>
  <c r="AE509" i="15"/>
  <c r="AE542" i="15"/>
  <c r="AE575" i="15"/>
  <c r="AE608" i="15"/>
  <c r="AE641" i="15"/>
  <c r="AE674" i="15"/>
  <c r="AE707" i="15"/>
  <c r="AE740" i="15"/>
  <c r="AE773" i="15"/>
  <c r="AE806" i="15"/>
  <c r="AE11" i="15"/>
  <c r="AE47" i="15"/>
  <c r="AE83" i="15"/>
  <c r="AE119" i="15"/>
  <c r="AE155" i="15"/>
  <c r="AE191" i="15"/>
  <c r="AE227" i="15"/>
  <c r="AE263" i="15"/>
  <c r="AE299" i="15"/>
  <c r="AE335" i="15"/>
  <c r="AE371" i="15"/>
  <c r="AE407" i="15"/>
  <c r="AE2094" i="15"/>
  <c r="AE2129" i="15"/>
  <c r="AE837" i="15"/>
  <c r="AE871" i="15"/>
  <c r="AE905" i="15"/>
  <c r="AE939" i="15"/>
  <c r="AE973" i="15"/>
  <c r="AE1007" i="15"/>
  <c r="AE1041" i="15"/>
  <c r="AE1075" i="15"/>
  <c r="AE1109" i="15"/>
  <c r="AE1143" i="15"/>
  <c r="AE1177" i="15"/>
  <c r="AE1211" i="15"/>
  <c r="AE442" i="15"/>
  <c r="AE475" i="15"/>
  <c r="AE508" i="15"/>
  <c r="AE541" i="15"/>
  <c r="AE574" i="15"/>
  <c r="AE607" i="15"/>
  <c r="AE640" i="15"/>
  <c r="AE673" i="15"/>
  <c r="AE706" i="15"/>
  <c r="AE739" i="15"/>
  <c r="AE772" i="15"/>
  <c r="AE805" i="15"/>
  <c r="AE10" i="15"/>
  <c r="AE46" i="15"/>
  <c r="AE82" i="15"/>
  <c r="AE118" i="15"/>
  <c r="AE154" i="15"/>
  <c r="AE190" i="15"/>
  <c r="AE226" i="15"/>
  <c r="AE262" i="15"/>
  <c r="AE298" i="15"/>
  <c r="AE334" i="15"/>
  <c r="AE370" i="15"/>
  <c r="AE406" i="15"/>
  <c r="AE9" i="15"/>
  <c r="AE45" i="15"/>
  <c r="AE81" i="15"/>
  <c r="AE117" i="15"/>
  <c r="AE153" i="15"/>
  <c r="AE189" i="15"/>
  <c r="AE225" i="15"/>
  <c r="AE261" i="15"/>
  <c r="AE297" i="15"/>
  <c r="AE333" i="15"/>
  <c r="AE369" i="15"/>
  <c r="AE405" i="15"/>
  <c r="AE836" i="15"/>
  <c r="AE870" i="15"/>
  <c r="AE904" i="15"/>
  <c r="AE938" i="15"/>
  <c r="AE972" i="15"/>
  <c r="AE1006" i="15"/>
  <c r="AE1040" i="15"/>
  <c r="AE1074" i="15"/>
  <c r="AE1108" i="15"/>
  <c r="AE1142" i="15"/>
  <c r="AE1176" i="15"/>
  <c r="AE1210" i="15"/>
  <c r="AE441" i="15"/>
  <c r="AE474" i="15"/>
  <c r="AE507" i="15"/>
  <c r="AE540" i="15"/>
  <c r="AE573" i="15"/>
  <c r="AE606" i="15"/>
  <c r="AE639" i="15"/>
  <c r="AE672" i="15"/>
  <c r="AE705" i="15"/>
  <c r="AE738" i="15"/>
  <c r="AE771" i="15"/>
  <c r="AE804" i="15"/>
  <c r="AE8" i="15"/>
  <c r="AE44" i="15"/>
  <c r="AE80" i="15"/>
  <c r="AE116" i="15"/>
  <c r="AE152" i="15"/>
  <c r="AE188" i="15"/>
  <c r="AE224" i="15"/>
  <c r="AE260" i="15"/>
  <c r="AE296" i="15"/>
  <c r="AE332" i="15"/>
  <c r="AE368" i="15"/>
  <c r="AE404" i="15"/>
  <c r="AE2093" i="15"/>
  <c r="AE2128" i="15"/>
  <c r="AE1650" i="15"/>
  <c r="AE1687" i="15"/>
  <c r="AE1724" i="15"/>
  <c r="AE1761" i="15"/>
  <c r="AE1798" i="15"/>
  <c r="AE1835" i="15"/>
  <c r="AE1872" i="15"/>
  <c r="AE1909" i="15"/>
  <c r="AE1946" i="15"/>
  <c r="AE1983" i="15"/>
  <c r="AE2020" i="15"/>
  <c r="AE2057" i="15"/>
  <c r="AE835" i="15"/>
  <c r="AE869" i="15"/>
  <c r="AE903" i="15"/>
  <c r="AE937" i="15"/>
  <c r="AE971" i="15"/>
  <c r="AE1005" i="15"/>
  <c r="AE1039" i="15"/>
  <c r="AE1073" i="15"/>
  <c r="AE1107" i="15"/>
  <c r="AE1141" i="15"/>
  <c r="AE1175" i="15"/>
  <c r="AE1209" i="15"/>
  <c r="AE440" i="15"/>
  <c r="AE473" i="15"/>
  <c r="AE506" i="15"/>
  <c r="AE539" i="15"/>
  <c r="AE572" i="15"/>
  <c r="AE605" i="15"/>
  <c r="AE638" i="15"/>
  <c r="AE671" i="15"/>
  <c r="AE704" i="15"/>
  <c r="AE737" i="15"/>
  <c r="AE770" i="15"/>
  <c r="AE803" i="15"/>
  <c r="AE7" i="15"/>
  <c r="AE43" i="15"/>
  <c r="AE79" i="15"/>
  <c r="AE115" i="15"/>
  <c r="AE151" i="15"/>
  <c r="AE187" i="15"/>
  <c r="AE223" i="15"/>
  <c r="AE259" i="15"/>
  <c r="AE295" i="15"/>
  <c r="AE331" i="15"/>
  <c r="AE367" i="15"/>
  <c r="AE403" i="15"/>
  <c r="AE439" i="15"/>
  <c r="AE472" i="15"/>
  <c r="AE505" i="15"/>
  <c r="AE538" i="15"/>
  <c r="AE571" i="15"/>
  <c r="AE604" i="15"/>
  <c r="AE637" i="15"/>
  <c r="AE670" i="15"/>
  <c r="AE703" i="15"/>
  <c r="AE736" i="15"/>
  <c r="AE769" i="15"/>
  <c r="AE802" i="15"/>
  <c r="AE2092" i="15"/>
  <c r="AE2127" i="15"/>
  <c r="AE1649" i="15"/>
  <c r="AE1686" i="15"/>
  <c r="AE1723" i="15"/>
  <c r="AE1760" i="15"/>
  <c r="AE1797" i="15"/>
  <c r="AE1834" i="15"/>
  <c r="AE1871" i="15"/>
  <c r="AE1908" i="15"/>
  <c r="AE1945" i="15"/>
  <c r="AE1982" i="15"/>
  <c r="AE2019" i="15"/>
  <c r="AE2056" i="15"/>
  <c r="AE2091" i="15"/>
  <c r="AE2126" i="15"/>
  <c r="AE1648" i="15"/>
  <c r="AE1685" i="15"/>
  <c r="AE1722" i="15"/>
  <c r="AE1759" i="15"/>
  <c r="AE1796" i="15"/>
  <c r="AE1833" i="15"/>
  <c r="AE1870" i="15"/>
  <c r="AE1907" i="15"/>
  <c r="AE1944" i="15"/>
  <c r="AE1981" i="15"/>
  <c r="AE2018" i="15"/>
  <c r="AE2055" i="15"/>
  <c r="AE834" i="15"/>
  <c r="AE868" i="15"/>
  <c r="AE902" i="15"/>
  <c r="AE936" i="15"/>
  <c r="AE970" i="15"/>
  <c r="AE1004" i="15"/>
  <c r="AE1038" i="15"/>
  <c r="AE1072" i="15"/>
  <c r="AE1106" i="15"/>
  <c r="AE1140" i="15"/>
  <c r="AE1174" i="15"/>
  <c r="AE1208" i="15"/>
  <c r="AE438" i="15"/>
  <c r="AE471" i="15"/>
  <c r="AE504" i="15"/>
  <c r="AE537" i="15"/>
  <c r="AE570" i="15"/>
  <c r="AE603" i="15"/>
  <c r="AE636" i="15"/>
  <c r="AE669" i="15"/>
  <c r="AE702" i="15"/>
  <c r="AE735" i="15"/>
  <c r="AE768" i="15"/>
  <c r="AE801" i="15"/>
  <c r="AE6" i="15"/>
  <c r="AE42" i="15"/>
  <c r="AE78" i="15"/>
  <c r="AE114" i="15"/>
  <c r="AE150" i="15"/>
  <c r="AE186" i="15"/>
  <c r="AE222" i="15"/>
  <c r="AE258" i="15"/>
  <c r="AE294" i="15"/>
  <c r="AE330" i="15"/>
  <c r="AE366" i="15"/>
  <c r="AE402" i="15"/>
  <c r="AE2090" i="15"/>
  <c r="AE2125" i="15"/>
  <c r="AE1647" i="15"/>
  <c r="AE1684" i="15"/>
  <c r="AE1721" i="15"/>
  <c r="AE1758" i="15"/>
  <c r="AE1795" i="15"/>
  <c r="AE1832" i="15"/>
  <c r="AE1869" i="15"/>
  <c r="AE1906" i="15"/>
  <c r="AE1943" i="15"/>
  <c r="AE1980" i="15"/>
  <c r="AE2017" i="15"/>
  <c r="AE2054" i="15"/>
  <c r="AE833" i="15"/>
  <c r="AE867" i="15"/>
  <c r="AE901" i="15"/>
  <c r="AE935" i="15"/>
  <c r="AE969" i="15"/>
  <c r="AE1003" i="15"/>
  <c r="AE1037" i="15"/>
  <c r="AE1071" i="15"/>
  <c r="AE1105" i="15"/>
  <c r="AE1139" i="15"/>
  <c r="AE1173" i="15"/>
  <c r="AE1207" i="15"/>
  <c r="AE437" i="15"/>
  <c r="AE470" i="15"/>
  <c r="AE503" i="15"/>
  <c r="AE536" i="15"/>
  <c r="AE569" i="15"/>
  <c r="AE602" i="15"/>
  <c r="AE635" i="15"/>
  <c r="AE668" i="15"/>
  <c r="AE701" i="15"/>
  <c r="AE734" i="15"/>
  <c r="AE767" i="15"/>
  <c r="AE800" i="15"/>
  <c r="AE5" i="15"/>
  <c r="AE41" i="15"/>
  <c r="AE77" i="15"/>
  <c r="AE113" i="15"/>
  <c r="AE149" i="15"/>
  <c r="AE185" i="15"/>
  <c r="AE221" i="15"/>
  <c r="AE257" i="15"/>
  <c r="AE293" i="15"/>
  <c r="AE329" i="15"/>
  <c r="AE365" i="15"/>
  <c r="AE401" i="15"/>
  <c r="AE832" i="15"/>
  <c r="AE866" i="15"/>
  <c r="AE900" i="15"/>
  <c r="AE934" i="15"/>
  <c r="AE968" i="15"/>
  <c r="AE1002" i="15"/>
  <c r="AE1036" i="15"/>
  <c r="AE1070" i="15"/>
  <c r="AE1104" i="15"/>
  <c r="AE1138" i="15"/>
  <c r="AE1172" i="15"/>
  <c r="AE1206" i="15"/>
  <c r="AE436" i="15"/>
  <c r="AE469" i="15"/>
  <c r="AE502" i="15"/>
  <c r="AE535" i="15"/>
  <c r="AE568" i="15"/>
  <c r="AE601" i="15"/>
  <c r="AE634" i="15"/>
  <c r="AE667" i="15"/>
  <c r="AE700" i="15"/>
  <c r="AE733" i="15"/>
  <c r="AE766" i="15"/>
  <c r="AE799" i="15"/>
  <c r="AE4" i="15"/>
  <c r="AE40" i="15"/>
  <c r="AE76" i="15"/>
  <c r="AE112" i="15"/>
  <c r="AE148" i="15"/>
  <c r="AE184" i="15"/>
  <c r="AE220" i="15"/>
  <c r="AE256" i="15"/>
  <c r="AE292" i="15"/>
  <c r="AE328" i="15"/>
  <c r="AE364" i="15"/>
  <c r="AE400" i="15"/>
  <c r="AE831" i="15"/>
  <c r="AE865" i="15"/>
  <c r="AE899" i="15"/>
  <c r="AE933" i="15"/>
  <c r="AE967" i="15"/>
  <c r="AE1001" i="15"/>
  <c r="AE1035" i="15"/>
  <c r="AE1069" i="15"/>
  <c r="AE1103" i="15"/>
  <c r="AE1137" i="15"/>
  <c r="AE1171" i="15"/>
  <c r="AE1205" i="15"/>
  <c r="AE435" i="15"/>
  <c r="AE468" i="15"/>
  <c r="AE501" i="15"/>
  <c r="AE534" i="15"/>
  <c r="AE567" i="15"/>
  <c r="AE600" i="15"/>
  <c r="AE633" i="15"/>
  <c r="AE666" i="15"/>
  <c r="AE699" i="15"/>
  <c r="AE732" i="15"/>
  <c r="AE765" i="15"/>
  <c r="AE798" i="15"/>
  <c r="AE3" i="15"/>
  <c r="AE39" i="15"/>
  <c r="AE75" i="15"/>
  <c r="AE111" i="15"/>
  <c r="AE147" i="15"/>
  <c r="AE183" i="15"/>
  <c r="AE219" i="15"/>
  <c r="AE255" i="15"/>
  <c r="AE291" i="15"/>
  <c r="AE327" i="15"/>
  <c r="AE363" i="15"/>
  <c r="AE399" i="15"/>
  <c r="AE1646" i="15"/>
  <c r="AE1683" i="15"/>
  <c r="AE1720" i="15"/>
  <c r="AE1757" i="15"/>
  <c r="AE1794" i="15"/>
  <c r="AE1831" i="15"/>
  <c r="AE1868" i="15"/>
  <c r="AE1905" i="15"/>
  <c r="AE1942" i="15"/>
  <c r="AE1979" i="15"/>
  <c r="AE2016" i="15"/>
  <c r="AE2053" i="15"/>
  <c r="AE830" i="15"/>
  <c r="AE864" i="15"/>
  <c r="AE898" i="15"/>
  <c r="AE932" i="15"/>
  <c r="AE966" i="15"/>
  <c r="AE1000" i="15"/>
  <c r="AE1034" i="15"/>
  <c r="AE1068" i="15"/>
  <c r="AE1102" i="15"/>
  <c r="AE1136" i="15"/>
  <c r="AE1170" i="15"/>
  <c r="AE1204" i="15"/>
  <c r="AE434" i="15"/>
  <c r="AE467" i="15"/>
  <c r="AE500" i="15"/>
  <c r="AE533" i="15"/>
  <c r="AE566" i="15"/>
  <c r="AE599" i="15"/>
  <c r="AE632" i="15"/>
  <c r="AE665" i="15"/>
  <c r="AE698" i="15"/>
  <c r="AE731" i="15"/>
  <c r="AE764" i="15"/>
  <c r="AE797" i="15"/>
  <c r="AE2" i="15"/>
  <c r="AE38" i="15"/>
  <c r="AE74" i="15"/>
  <c r="AE110" i="15"/>
  <c r="AE146" i="15"/>
  <c r="AE182" i="15"/>
  <c r="AE218" i="15"/>
  <c r="AE254" i="15"/>
  <c r="AE290" i="15"/>
  <c r="AE326" i="15"/>
  <c r="AE362" i="15"/>
  <c r="AE398" i="15"/>
  <c r="N33" i="1" l="1"/>
  <c r="N28" i="1"/>
  <c r="N32" i="1"/>
  <c r="N29" i="1"/>
  <c r="N34" i="1"/>
  <c r="N30" i="1"/>
  <c r="N15" i="1"/>
  <c r="E86" i="1" s="1"/>
  <c r="F10" i="1"/>
  <c r="F64" i="1"/>
  <c r="F22" i="1" s="1"/>
  <c r="F13" i="1"/>
  <c r="F73" i="1"/>
  <c r="F25" i="1" s="1"/>
  <c r="E15" i="1"/>
  <c r="E75" i="1"/>
  <c r="E27" i="1" s="1"/>
  <c r="F14" i="1"/>
  <c r="F74" i="1"/>
  <c r="F26" i="1" s="1"/>
  <c r="F24" i="1"/>
  <c r="N16" i="1"/>
  <c r="E87" i="1" s="1"/>
  <c r="N12" i="1"/>
  <c r="E77" i="1" s="1"/>
  <c r="M29" i="1"/>
  <c r="M33" i="1"/>
  <c r="M34" i="1"/>
  <c r="M31" i="1"/>
  <c r="M30" i="1"/>
  <c r="M32" i="1"/>
  <c r="M28" i="1"/>
  <c r="N14" i="1"/>
  <c r="N11" i="1"/>
  <c r="E76" i="1" s="1"/>
  <c r="N13" i="1"/>
  <c r="L25" i="1"/>
  <c r="L26" i="1" s="1"/>
  <c r="M12" i="1"/>
  <c r="D77" i="1" s="1"/>
  <c r="M13" i="1"/>
  <c r="M11" i="1"/>
  <c r="D76" i="1" s="1"/>
  <c r="M16" i="1"/>
  <c r="D87" i="1" s="1"/>
  <c r="M15" i="1"/>
  <c r="D86" i="1" s="1"/>
  <c r="M17" i="1"/>
  <c r="D88" i="1" s="1"/>
  <c r="M14" i="1"/>
  <c r="L12" i="1"/>
  <c r="C77" i="1" s="1"/>
  <c r="L16" i="1"/>
  <c r="C87" i="1" s="1"/>
  <c r="L13" i="1"/>
  <c r="L17" i="1"/>
  <c r="C88" i="1" s="1"/>
  <c r="L11" i="1"/>
  <c r="C76" i="1" s="1"/>
  <c r="L15" i="1"/>
  <c r="C86" i="1" s="1"/>
  <c r="L14" i="1"/>
  <c r="AK359" i="14"/>
  <c r="AK247" i="14"/>
  <c r="AK135" i="14"/>
  <c r="AK23" i="14"/>
  <c r="AK343" i="14"/>
  <c r="AK231" i="14"/>
  <c r="AK119" i="14"/>
  <c r="AK7" i="14"/>
  <c r="AK439" i="14"/>
  <c r="AK327" i="14"/>
  <c r="AK215" i="14"/>
  <c r="AK103" i="14"/>
  <c r="AK423" i="14"/>
  <c r="AK311" i="14"/>
  <c r="AK199" i="14"/>
  <c r="AK87" i="14"/>
  <c r="AK407" i="14"/>
  <c r="AK295" i="14"/>
  <c r="AK183" i="14"/>
  <c r="AK71" i="14"/>
  <c r="AK391" i="14"/>
  <c r="AK279" i="14"/>
  <c r="AK167" i="14"/>
  <c r="AK55" i="14"/>
  <c r="AK375" i="14"/>
  <c r="AK263" i="14"/>
  <c r="AK151" i="14"/>
  <c r="AK39" i="14"/>
  <c r="R11" i="4"/>
  <c r="S11" i="4" s="1"/>
  <c r="U11" i="4" s="1"/>
  <c r="R17" i="4"/>
  <c r="S17" i="4" s="1"/>
  <c r="U17" i="4" s="1"/>
  <c r="R3" i="4"/>
  <c r="S3" i="4" s="1"/>
  <c r="U3" i="4" s="1"/>
  <c r="R20" i="4"/>
  <c r="S20" i="4" s="1"/>
  <c r="U20" i="4" s="1"/>
  <c r="R9" i="4"/>
  <c r="S9" i="4" s="1"/>
  <c r="T9" i="4" s="1"/>
  <c r="R23" i="4"/>
  <c r="S23" i="4" s="1"/>
  <c r="T23" i="4" s="1"/>
  <c r="R8" i="4"/>
  <c r="S8" i="4" s="1"/>
  <c r="U8" i="4" s="1"/>
  <c r="R5" i="4"/>
  <c r="S5" i="4" s="1"/>
  <c r="U5" i="4" s="1"/>
  <c r="R18" i="4"/>
  <c r="S18" i="4" s="1"/>
  <c r="U18" i="4" s="1"/>
  <c r="R24" i="4"/>
  <c r="S24" i="4" s="1"/>
  <c r="U24" i="4" s="1"/>
  <c r="R7" i="4"/>
  <c r="S7" i="4" s="1"/>
  <c r="U7" i="4" s="1"/>
  <c r="R12" i="4"/>
  <c r="S12" i="4" s="1"/>
  <c r="T12" i="4" s="1"/>
  <c r="R13" i="4"/>
  <c r="S13" i="4" s="1"/>
  <c r="U13" i="4" s="1"/>
  <c r="R19" i="4"/>
  <c r="S19" i="4" s="1"/>
  <c r="T19" i="4" s="1"/>
  <c r="R4" i="4"/>
  <c r="S4" i="4" s="1"/>
  <c r="U4" i="4" s="1"/>
  <c r="R15" i="4"/>
  <c r="S15" i="4" s="1"/>
  <c r="U15" i="4" s="1"/>
  <c r="R2" i="4"/>
  <c r="S2" i="4" s="1"/>
  <c r="U2" i="4" s="1"/>
  <c r="R21" i="4"/>
  <c r="S21" i="4" s="1"/>
  <c r="T21" i="4" s="1"/>
  <c r="R6" i="4"/>
  <c r="S6" i="4" s="1"/>
  <c r="T6" i="4" s="1"/>
  <c r="R14" i="4"/>
  <c r="S14" i="4" s="1"/>
  <c r="T14" i="4" s="1"/>
  <c r="R10" i="4"/>
  <c r="S10" i="4" s="1"/>
  <c r="T10" i="4" s="1"/>
  <c r="N22" i="4"/>
  <c r="P22" i="4" s="1"/>
  <c r="Q22" i="4" s="1"/>
  <c r="R22" i="4" s="1"/>
  <c r="S22" i="4" s="1"/>
  <c r="T16" i="4"/>
  <c r="U16" i="4"/>
  <c r="T7" i="4"/>
  <c r="AK420" i="14"/>
  <c r="AK340" i="14"/>
  <c r="AK260" i="14"/>
  <c r="AK180" i="14"/>
  <c r="AK100" i="14"/>
  <c r="AK20" i="14"/>
  <c r="AK4" i="14"/>
  <c r="AK436" i="14"/>
  <c r="AK388" i="14"/>
  <c r="AK372" i="14"/>
  <c r="AK356" i="14"/>
  <c r="AK308" i="14"/>
  <c r="AK292" i="14"/>
  <c r="AK276" i="14"/>
  <c r="AK228" i="14"/>
  <c r="AK212" i="14"/>
  <c r="AK196" i="14"/>
  <c r="AK148" i="14"/>
  <c r="AK132" i="14"/>
  <c r="AK116" i="14"/>
  <c r="AK68" i="14"/>
  <c r="AK52" i="14"/>
  <c r="AK36" i="14"/>
  <c r="AK438" i="14"/>
  <c r="AK422" i="14"/>
  <c r="AK406" i="14"/>
  <c r="AK390" i="14"/>
  <c r="AK374" i="14"/>
  <c r="AK358" i="14"/>
  <c r="AK342" i="14"/>
  <c r="AK326" i="14"/>
  <c r="AK310" i="14"/>
  <c r="AK294" i="14"/>
  <c r="AK278" i="14"/>
  <c r="AK262" i="14"/>
  <c r="AK246" i="14"/>
  <c r="AK230" i="14"/>
  <c r="AK214" i="14"/>
  <c r="AK198" i="14"/>
  <c r="AK182" i="14"/>
  <c r="AK166" i="14"/>
  <c r="AK150" i="14"/>
  <c r="AK134" i="14"/>
  <c r="AK118" i="14"/>
  <c r="AK102" i="14"/>
  <c r="AK86" i="14"/>
  <c r="AK70" i="14"/>
  <c r="AK54" i="14"/>
  <c r="AK38" i="14"/>
  <c r="AK22" i="14"/>
  <c r="AK6" i="14"/>
  <c r="AK437" i="14"/>
  <c r="AK421" i="14"/>
  <c r="AK405" i="14"/>
  <c r="AK389" i="14"/>
  <c r="AK357" i="14"/>
  <c r="AK341" i="14"/>
  <c r="AK277" i="14"/>
  <c r="AK197" i="14"/>
  <c r="AK117" i="14"/>
  <c r="AK37" i="14"/>
  <c r="AK5" i="14"/>
  <c r="AK451" i="14"/>
  <c r="AK435" i="14"/>
  <c r="AK419" i="14"/>
  <c r="AK403" i="14"/>
  <c r="AK387" i="14"/>
  <c r="AK371" i="14"/>
  <c r="AK355" i="14"/>
  <c r="AK339" i="14"/>
  <c r="AK323" i="14"/>
  <c r="AK307" i="14"/>
  <c r="AK291" i="14"/>
  <c r="AK275" i="14"/>
  <c r="AK259" i="14"/>
  <c r="AK243" i="14"/>
  <c r="AK227" i="14"/>
  <c r="AK211" i="14"/>
  <c r="AK195" i="14"/>
  <c r="AK179" i="14"/>
  <c r="AK163" i="14"/>
  <c r="AK147" i="14"/>
  <c r="AK131" i="14"/>
  <c r="AK115" i="14"/>
  <c r="AK99" i="14"/>
  <c r="AK83" i="14"/>
  <c r="AK67" i="14"/>
  <c r="AK51" i="14"/>
  <c r="AK35" i="14"/>
  <c r="AK19" i="14"/>
  <c r="AK3" i="14"/>
  <c r="AK84" i="14"/>
  <c r="AK450" i="14"/>
  <c r="AK434" i="14"/>
  <c r="AK418" i="14"/>
  <c r="AK402" i="14"/>
  <c r="AK386" i="14"/>
  <c r="AK370" i="14"/>
  <c r="AK354" i="14"/>
  <c r="AK338" i="14"/>
  <c r="AK322" i="14"/>
  <c r="AK306" i="14"/>
  <c r="AK290" i="14"/>
  <c r="AK274" i="14"/>
  <c r="AK258" i="14"/>
  <c r="AK242" i="14"/>
  <c r="AK226" i="14"/>
  <c r="AK210" i="14"/>
  <c r="AK194" i="14"/>
  <c r="AK178" i="14"/>
  <c r="AK162" i="14"/>
  <c r="AK146" i="14"/>
  <c r="AK130" i="14"/>
  <c r="AK449" i="14"/>
  <c r="AK433" i="14"/>
  <c r="AK417" i="14"/>
  <c r="AK401" i="14"/>
  <c r="AK385" i="14"/>
  <c r="AK369" i="14"/>
  <c r="AK353" i="14"/>
  <c r="AK337" i="14"/>
  <c r="AK321" i="14"/>
  <c r="AK305" i="14"/>
  <c r="AK289" i="14"/>
  <c r="AK273" i="14"/>
  <c r="AK257" i="14"/>
  <c r="AK241" i="14"/>
  <c r="AK225" i="14"/>
  <c r="AK209" i="14"/>
  <c r="AK193" i="14"/>
  <c r="AK177" i="14"/>
  <c r="AK161" i="14"/>
  <c r="AK145" i="14"/>
  <c r="AK129" i="14"/>
  <c r="AK113" i="14"/>
  <c r="AK97" i="14"/>
  <c r="AK81" i="14"/>
  <c r="AK65" i="14"/>
  <c r="AK49" i="14"/>
  <c r="AK33" i="14"/>
  <c r="AK17" i="14"/>
  <c r="AK324" i="14"/>
  <c r="AK448" i="14"/>
  <c r="AK432" i="14"/>
  <c r="AK416" i="14"/>
  <c r="AK400" i="14"/>
  <c r="AK384" i="14"/>
  <c r="AK368" i="14"/>
  <c r="AK352" i="14"/>
  <c r="AK336" i="14"/>
  <c r="AK320" i="14"/>
  <c r="AK304" i="14"/>
  <c r="AK288" i="14"/>
  <c r="AK272" i="14"/>
  <c r="AK256" i="14"/>
  <c r="AK240" i="14"/>
  <c r="AK224" i="14"/>
  <c r="AK208" i="14"/>
  <c r="AK192" i="14"/>
  <c r="AK176" i="14"/>
  <c r="AK160" i="14"/>
  <c r="AK144" i="14"/>
  <c r="AK128" i="14"/>
  <c r="AK112" i="14"/>
  <c r="AK96" i="14"/>
  <c r="AK80" i="14"/>
  <c r="AK64" i="14"/>
  <c r="AK48" i="14"/>
  <c r="AK32" i="14"/>
  <c r="AK16" i="14"/>
  <c r="AK447" i="14"/>
  <c r="AK431" i="14"/>
  <c r="AK415" i="14"/>
  <c r="AK399" i="14"/>
  <c r="AK383" i="14"/>
  <c r="AK367" i="14"/>
  <c r="AK351" i="14"/>
  <c r="AK335" i="14"/>
  <c r="AK319" i="14"/>
  <c r="AK303" i="14"/>
  <c r="AK287" i="14"/>
  <c r="AK271" i="14"/>
  <c r="AK255" i="14"/>
  <c r="AK239" i="14"/>
  <c r="AK223" i="14"/>
  <c r="AK207" i="14"/>
  <c r="AK191" i="14"/>
  <c r="AK175" i="14"/>
  <c r="AK159" i="14"/>
  <c r="AK143" i="14"/>
  <c r="AK127" i="14"/>
  <c r="AK111" i="14"/>
  <c r="AK95" i="14"/>
  <c r="AK404" i="14"/>
  <c r="AK446" i="14"/>
  <c r="AK430" i="14"/>
  <c r="AK414" i="14"/>
  <c r="AK398" i="14"/>
  <c r="AK382" i="14"/>
  <c r="AK366" i="14"/>
  <c r="AK350" i="14"/>
  <c r="AK445" i="14"/>
  <c r="AK429" i="14"/>
  <c r="AK413" i="14"/>
  <c r="AK397" i="14"/>
  <c r="AK381" i="14"/>
  <c r="AK444" i="14"/>
  <c r="AK428" i="14"/>
  <c r="AK412" i="14"/>
  <c r="AK396" i="14"/>
  <c r="AK380" i="14"/>
  <c r="AK364" i="14"/>
  <c r="AK348" i="14"/>
  <c r="AK332" i="14"/>
  <c r="AK316" i="14"/>
  <c r="AK300" i="14"/>
  <c r="AK284" i="14"/>
  <c r="AK268" i="14"/>
  <c r="AK252" i="14"/>
  <c r="AK236" i="14"/>
  <c r="AK220" i="14"/>
  <c r="AK204" i="14"/>
  <c r="AK188" i="14"/>
  <c r="AK172" i="14"/>
  <c r="AK156" i="14"/>
  <c r="AK140" i="14"/>
  <c r="AK124" i="14"/>
  <c r="AK108" i="14"/>
  <c r="AK92" i="14"/>
  <c r="AK76" i="14"/>
  <c r="AK60" i="14"/>
  <c r="AK44" i="14"/>
  <c r="AK28" i="14"/>
  <c r="AK12" i="14"/>
  <c r="AK164" i="14"/>
  <c r="AK443" i="14"/>
  <c r="AK427" i="14"/>
  <c r="AK411" i="14"/>
  <c r="AK395" i="14"/>
  <c r="AK379" i="14"/>
  <c r="AK363" i="14"/>
  <c r="AK347" i="14"/>
  <c r="AK331" i="14"/>
  <c r="AK315" i="14"/>
  <c r="AK299" i="14"/>
  <c r="AK283" i="14"/>
  <c r="AK267" i="14"/>
  <c r="AK251" i="14"/>
  <c r="AK235" i="14"/>
  <c r="AK219" i="14"/>
  <c r="AK203" i="14"/>
  <c r="AK187" i="14"/>
  <c r="AK171" i="14"/>
  <c r="AK155" i="14"/>
  <c r="AK139" i="14"/>
  <c r="AK123" i="14"/>
  <c r="AK107" i="14"/>
  <c r="AK91" i="14"/>
  <c r="AK75" i="14"/>
  <c r="AK59" i="14"/>
  <c r="AK43" i="14"/>
  <c r="AK27" i="14"/>
  <c r="AK11" i="14"/>
  <c r="AK442" i="14"/>
  <c r="AK426" i="14"/>
  <c r="AK410" i="14"/>
  <c r="AK394" i="14"/>
  <c r="AK378" i="14"/>
  <c r="AK362" i="14"/>
  <c r="AK346" i="14"/>
  <c r="AK330" i="14"/>
  <c r="AK314" i="14"/>
  <c r="AK298" i="14"/>
  <c r="AK282" i="14"/>
  <c r="AK266" i="14"/>
  <c r="AK250" i="14"/>
  <c r="AK234" i="14"/>
  <c r="AK218" i="14"/>
  <c r="AK202" i="14"/>
  <c r="AK186" i="14"/>
  <c r="AK170" i="14"/>
  <c r="AK154" i="14"/>
  <c r="AK138" i="14"/>
  <c r="AK122" i="14"/>
  <c r="AK106" i="14"/>
  <c r="AK90" i="14"/>
  <c r="AK74" i="14"/>
  <c r="AK42" i="14"/>
  <c r="AK26" i="14"/>
  <c r="AK10" i="14"/>
  <c r="AK441" i="14"/>
  <c r="AK425" i="14"/>
  <c r="AK409" i="14"/>
  <c r="AK393" i="14"/>
  <c r="AK377" i="14"/>
  <c r="AK361" i="14"/>
  <c r="AK345" i="14"/>
  <c r="AK329" i="14"/>
  <c r="AK297" i="14"/>
  <c r="AK281" i="14"/>
  <c r="AK265" i="14"/>
  <c r="AK249" i="14"/>
  <c r="AK217" i="14"/>
  <c r="AK201" i="14"/>
  <c r="AK185" i="14"/>
  <c r="AK169" i="14"/>
  <c r="AK137" i="14"/>
  <c r="AK121" i="14"/>
  <c r="AK105" i="14"/>
  <c r="AK89" i="14"/>
  <c r="AK57" i="14"/>
  <c r="AK41" i="14"/>
  <c r="AK25" i="14"/>
  <c r="AK244" i="14"/>
  <c r="AK440" i="14"/>
  <c r="AK424" i="14"/>
  <c r="AK408" i="14"/>
  <c r="AK392" i="14"/>
  <c r="AK376" i="14"/>
  <c r="AK360" i="14"/>
  <c r="AK344" i="14"/>
  <c r="AK328" i="14"/>
  <c r="AK312" i="14"/>
  <c r="AK296" i="14"/>
  <c r="AK280" i="14"/>
  <c r="AK264" i="14"/>
  <c r="AK248" i="14"/>
  <c r="AK232" i="14"/>
  <c r="AK216" i="14"/>
  <c r="AK200" i="14"/>
  <c r="AK184" i="14"/>
  <c r="AK168" i="14"/>
  <c r="AK152" i="14"/>
  <c r="AK136" i="14"/>
  <c r="AK120" i="14"/>
  <c r="AK104" i="14"/>
  <c r="AK88" i="14"/>
  <c r="AK72" i="14"/>
  <c r="AK56" i="14"/>
  <c r="AK40" i="14"/>
  <c r="AK24" i="14"/>
  <c r="AK8" i="14"/>
  <c r="BE8" i="14"/>
  <c r="BE24" i="14"/>
  <c r="BE40" i="14"/>
  <c r="BE56" i="14"/>
  <c r="BE72" i="14"/>
  <c r="BE88" i="14"/>
  <c r="AK58" i="14"/>
  <c r="BE9" i="14"/>
  <c r="BE25" i="14"/>
  <c r="BE41" i="14"/>
  <c r="BE57" i="14"/>
  <c r="BE73" i="14"/>
  <c r="BE89" i="14"/>
  <c r="BE10" i="14"/>
  <c r="BE26" i="14"/>
  <c r="BE42" i="14"/>
  <c r="BE58" i="14"/>
  <c r="BE74" i="14"/>
  <c r="BE90" i="14"/>
  <c r="BE11" i="14"/>
  <c r="BE27" i="14"/>
  <c r="BE43" i="14"/>
  <c r="BE59" i="14"/>
  <c r="BE75" i="14"/>
  <c r="BE91" i="14"/>
  <c r="AK233" i="14"/>
  <c r="AK73" i="14"/>
  <c r="AK9" i="14"/>
  <c r="AK313" i="14"/>
  <c r="AK153" i="14"/>
  <c r="AK373" i="14"/>
  <c r="AK325" i="14"/>
  <c r="AK309" i="14"/>
  <c r="AK293" i="14"/>
  <c r="AK261" i="14"/>
  <c r="AK245" i="14"/>
  <c r="AK229" i="14"/>
  <c r="AK213" i="14"/>
  <c r="AK181" i="14"/>
  <c r="AK165" i="14"/>
  <c r="AK149" i="14"/>
  <c r="AK133" i="14"/>
  <c r="AK101" i="14"/>
  <c r="AK85" i="14"/>
  <c r="AK69" i="14"/>
  <c r="AK53" i="14"/>
  <c r="AK21" i="14"/>
  <c r="BE14" i="14"/>
  <c r="BE30" i="14"/>
  <c r="BE46" i="14"/>
  <c r="BE62" i="14"/>
  <c r="BE78" i="14"/>
  <c r="BE15" i="14"/>
  <c r="BE31" i="14"/>
  <c r="BE47" i="14"/>
  <c r="BE63" i="14"/>
  <c r="BE79" i="14"/>
  <c r="BE16" i="14"/>
  <c r="BE32" i="14"/>
  <c r="BE48" i="14"/>
  <c r="BE64" i="14"/>
  <c r="BE80" i="14"/>
  <c r="AK114" i="14"/>
  <c r="AK98" i="14"/>
  <c r="AK82" i="14"/>
  <c r="AK66" i="14"/>
  <c r="AK50" i="14"/>
  <c r="AK34" i="14"/>
  <c r="AK18" i="14"/>
  <c r="AK2" i="14"/>
  <c r="BE17" i="14"/>
  <c r="BE33" i="14"/>
  <c r="BE49" i="14"/>
  <c r="BE65" i="14"/>
  <c r="BE81" i="14"/>
  <c r="BE2" i="14"/>
  <c r="BE18" i="14"/>
  <c r="BE34" i="14"/>
  <c r="BE50" i="14"/>
  <c r="BE66" i="14"/>
  <c r="BE82" i="14"/>
  <c r="BE3" i="14"/>
  <c r="BE19" i="14"/>
  <c r="BE35" i="14"/>
  <c r="BE51" i="14"/>
  <c r="BE67" i="14"/>
  <c r="BE83" i="14"/>
  <c r="AK79" i="14"/>
  <c r="AK63" i="14"/>
  <c r="AK47" i="14"/>
  <c r="AK31" i="14"/>
  <c r="AK15" i="14"/>
  <c r="BE4" i="14"/>
  <c r="BE20" i="14"/>
  <c r="BE36" i="14"/>
  <c r="BE52" i="14"/>
  <c r="BE68" i="14"/>
  <c r="BE84" i="14"/>
  <c r="AK334" i="14"/>
  <c r="AK318" i="14"/>
  <c r="AK302" i="14"/>
  <c r="AK286" i="14"/>
  <c r="AK270" i="14"/>
  <c r="AK254" i="14"/>
  <c r="AK238" i="14"/>
  <c r="AK222" i="14"/>
  <c r="AK206" i="14"/>
  <c r="AK190" i="14"/>
  <c r="AK174" i="14"/>
  <c r="AK158" i="14"/>
  <c r="AK142" i="14"/>
  <c r="AK126" i="14"/>
  <c r="AK110" i="14"/>
  <c r="AK94" i="14"/>
  <c r="AK78" i="14"/>
  <c r="AK62" i="14"/>
  <c r="AK46" i="14"/>
  <c r="AK30" i="14"/>
  <c r="AK14" i="14"/>
  <c r="BE5" i="14"/>
  <c r="BE21" i="14"/>
  <c r="BE37" i="14"/>
  <c r="BE53" i="14"/>
  <c r="BE69" i="14"/>
  <c r="BE85" i="14"/>
  <c r="AK365" i="14"/>
  <c r="AK349" i="14"/>
  <c r="AK333" i="14"/>
  <c r="AK317" i="14"/>
  <c r="AK301" i="14"/>
  <c r="AK285" i="14"/>
  <c r="AK269" i="14"/>
  <c r="AK253" i="14"/>
  <c r="AK237" i="14"/>
  <c r="AK221" i="14"/>
  <c r="AK205" i="14"/>
  <c r="AK189" i="14"/>
  <c r="AK173" i="14"/>
  <c r="AK157" i="14"/>
  <c r="AK141" i="14"/>
  <c r="AK125" i="14"/>
  <c r="AK109" i="14"/>
  <c r="AK93" i="14"/>
  <c r="AK77" i="14"/>
  <c r="AK61" i="14"/>
  <c r="AK45" i="14"/>
  <c r="AK29" i="14"/>
  <c r="AK13" i="14"/>
  <c r="BE6" i="14"/>
  <c r="BE22" i="14"/>
  <c r="BE38" i="14"/>
  <c r="BE54" i="14"/>
  <c r="BE70" i="14"/>
  <c r="BE86" i="14"/>
  <c r="BE7" i="14"/>
  <c r="BE23" i="14"/>
  <c r="BE39" i="14"/>
  <c r="BE55" i="14"/>
  <c r="BE71" i="14"/>
  <c r="BE87" i="14"/>
  <c r="J15" i="24"/>
  <c r="J17" i="24" s="1"/>
  <c r="J18" i="24" s="1"/>
  <c r="AH450" i="14"/>
  <c r="AH353" i="14"/>
  <c r="AH248" i="14"/>
  <c r="AH247" i="14"/>
  <c r="AH109" i="14"/>
  <c r="AH449" i="14"/>
  <c r="AH209" i="14"/>
  <c r="AH447" i="14"/>
  <c r="AH173" i="14"/>
  <c r="AH414" i="14"/>
  <c r="AH167" i="14"/>
  <c r="AH410" i="14"/>
  <c r="AH129" i="14"/>
  <c r="AH398" i="14"/>
  <c r="AH127" i="14"/>
  <c r="AH369" i="14"/>
  <c r="AH87" i="14"/>
  <c r="AH349" i="14"/>
  <c r="AH50" i="14"/>
  <c r="AH336" i="14"/>
  <c r="AH49" i="14"/>
  <c r="AH330" i="14"/>
  <c r="AH47" i="14"/>
  <c r="AH293" i="14"/>
  <c r="AH8" i="14"/>
  <c r="AH290" i="14"/>
  <c r="AH287" i="14"/>
  <c r="AH250" i="14"/>
  <c r="AH397" i="14"/>
  <c r="AH125" i="14"/>
  <c r="AH365" i="14"/>
  <c r="AH241" i="14"/>
  <c r="AH96" i="14"/>
  <c r="AH354" i="14"/>
  <c r="AH240" i="14"/>
  <c r="AH93" i="14"/>
  <c r="AH239" i="14"/>
  <c r="AH205" i="14"/>
  <c r="AH448" i="14"/>
  <c r="AH335" i="14"/>
  <c r="AH189" i="14"/>
  <c r="AH48" i="14"/>
  <c r="AH176" i="14"/>
  <c r="AH445" i="14"/>
  <c r="AH296" i="14"/>
  <c r="AH175" i="14"/>
  <c r="AH16" i="14"/>
  <c r="AH429" i="14"/>
  <c r="AH295" i="14"/>
  <c r="AH174" i="14"/>
  <c r="AH13" i="14"/>
  <c r="AH400" i="14"/>
  <c r="AH399" i="14"/>
  <c r="AH269" i="14"/>
  <c r="AH128" i="14"/>
  <c r="AH434" i="14"/>
  <c r="AH385" i="14"/>
  <c r="AH334" i="14"/>
  <c r="AH289" i="14"/>
  <c r="AH238" i="14"/>
  <c r="AH170" i="14"/>
  <c r="AH95" i="14"/>
  <c r="AH45" i="14"/>
  <c r="AH433" i="14"/>
  <c r="AH383" i="14"/>
  <c r="AH333" i="14"/>
  <c r="AH288" i="14"/>
  <c r="AH237" i="14"/>
  <c r="AH168" i="14"/>
  <c r="AH94" i="14"/>
  <c r="AH29" i="14"/>
  <c r="AH381" i="14"/>
  <c r="AH221" i="14"/>
  <c r="AH416" i="14"/>
  <c r="AH376" i="14"/>
  <c r="AH328" i="14"/>
  <c r="AH285" i="14"/>
  <c r="AH216" i="14"/>
  <c r="AH161" i="14"/>
  <c r="AH90" i="14"/>
  <c r="AH15" i="14"/>
  <c r="AH415" i="14"/>
  <c r="AH375" i="14"/>
  <c r="AH327" i="14"/>
  <c r="AH273" i="14"/>
  <c r="AH215" i="14"/>
  <c r="AH160" i="14"/>
  <c r="AH88" i="14"/>
  <c r="AH14" i="14"/>
  <c r="AH373" i="14"/>
  <c r="AH321" i="14"/>
  <c r="AH213" i="14"/>
  <c r="AH159" i="14"/>
  <c r="AH413" i="14"/>
  <c r="AH370" i="14"/>
  <c r="AH320" i="14"/>
  <c r="AH256" i="14"/>
  <c r="AH210" i="14"/>
  <c r="AH158" i="14"/>
  <c r="AH81" i="14"/>
  <c r="AH10" i="14"/>
  <c r="AH319" i="14"/>
  <c r="AH255" i="14"/>
  <c r="AH157" i="14"/>
  <c r="AH80" i="14"/>
  <c r="AH408" i="14"/>
  <c r="AH368" i="14"/>
  <c r="AH318" i="14"/>
  <c r="AH254" i="14"/>
  <c r="AH208" i="14"/>
  <c r="AH141" i="14"/>
  <c r="AH79" i="14"/>
  <c r="AH7" i="14"/>
  <c r="AH407" i="14"/>
  <c r="AH367" i="14"/>
  <c r="AH317" i="14"/>
  <c r="AH253" i="14"/>
  <c r="AH207" i="14"/>
  <c r="AH130" i="14"/>
  <c r="AH78" i="14"/>
  <c r="AH401" i="14"/>
  <c r="AH305" i="14"/>
  <c r="AH77" i="14"/>
  <c r="AH386" i="14"/>
  <c r="AH301" i="14"/>
  <c r="AH61" i="14"/>
  <c r="AH444" i="14"/>
  <c r="AH428" i="14"/>
  <c r="AH412" i="14"/>
  <c r="AH396" i="14"/>
  <c r="AH380" i="14"/>
  <c r="AH364" i="14"/>
  <c r="AH348" i="14"/>
  <c r="AH332" i="14"/>
  <c r="AH316" i="14"/>
  <c r="AH300" i="14"/>
  <c r="AH284" i="14"/>
  <c r="AH268" i="14"/>
  <c r="AH252" i="14"/>
  <c r="AH236" i="14"/>
  <c r="AH220" i="14"/>
  <c r="AH204" i="14"/>
  <c r="AH188" i="14"/>
  <c r="AH172" i="14"/>
  <c r="AH156" i="14"/>
  <c r="AH140" i="14"/>
  <c r="AH124" i="14"/>
  <c r="AH108" i="14"/>
  <c r="AH92" i="14"/>
  <c r="AH76" i="14"/>
  <c r="AH60" i="14"/>
  <c r="AH44" i="14"/>
  <c r="AH28" i="14"/>
  <c r="AH12" i="14"/>
  <c r="AH443" i="14"/>
  <c r="AH427" i="14"/>
  <c r="AH411" i="14"/>
  <c r="AH395" i="14"/>
  <c r="AH379" i="14"/>
  <c r="AH363" i="14"/>
  <c r="AH347" i="14"/>
  <c r="AH331" i="14"/>
  <c r="AH315" i="14"/>
  <c r="AH299" i="14"/>
  <c r="AH283" i="14"/>
  <c r="AH267" i="14"/>
  <c r="AH251" i="14"/>
  <c r="AH235" i="14"/>
  <c r="AH219" i="14"/>
  <c r="AH203" i="14"/>
  <c r="AH187" i="14"/>
  <c r="AH171" i="14"/>
  <c r="AH155" i="14"/>
  <c r="AH139" i="14"/>
  <c r="AH123" i="14"/>
  <c r="AH107" i="14"/>
  <c r="AH91" i="14"/>
  <c r="AH75" i="14"/>
  <c r="AH59" i="14"/>
  <c r="AH43" i="14"/>
  <c r="AH27" i="14"/>
  <c r="AH11" i="14"/>
  <c r="AH442" i="14"/>
  <c r="AH426" i="14"/>
  <c r="AH394" i="14"/>
  <c r="AH378" i="14"/>
  <c r="AH362" i="14"/>
  <c r="AH346" i="14"/>
  <c r="AH314" i="14"/>
  <c r="AH298" i="14"/>
  <c r="AH282" i="14"/>
  <c r="AH266" i="14"/>
  <c r="AH234" i="14"/>
  <c r="AH218" i="14"/>
  <c r="AH202" i="14"/>
  <c r="AH186" i="14"/>
  <c r="AH154" i="14"/>
  <c r="AH138" i="14"/>
  <c r="AH122" i="14"/>
  <c r="AH106" i="14"/>
  <c r="AH74" i="14"/>
  <c r="AH58" i="14"/>
  <c r="AH42" i="14"/>
  <c r="AH26" i="14"/>
  <c r="AH441" i="14"/>
  <c r="AH425" i="14"/>
  <c r="AH409" i="14"/>
  <c r="AH393" i="14"/>
  <c r="AH377" i="14"/>
  <c r="AH361" i="14"/>
  <c r="AH345" i="14"/>
  <c r="AH329" i="14"/>
  <c r="AH313" i="14"/>
  <c r="AH297" i="14"/>
  <c r="AH281" i="14"/>
  <c r="AH265" i="14"/>
  <c r="AH249" i="14"/>
  <c r="AH233" i="14"/>
  <c r="AH217" i="14"/>
  <c r="AH201" i="14"/>
  <c r="AH185" i="14"/>
  <c r="AH169" i="14"/>
  <c r="AH153" i="14"/>
  <c r="AH137" i="14"/>
  <c r="AH121" i="14"/>
  <c r="AH105" i="14"/>
  <c r="AH89" i="14"/>
  <c r="AH73" i="14"/>
  <c r="AH57" i="14"/>
  <c r="AH41" i="14"/>
  <c r="AH25" i="14"/>
  <c r="AH9" i="14"/>
  <c r="AH440" i="14"/>
  <c r="AH424" i="14"/>
  <c r="AH392" i="14"/>
  <c r="AH360" i="14"/>
  <c r="AH344" i="14"/>
  <c r="AH312" i="14"/>
  <c r="AH280" i="14"/>
  <c r="AH264" i="14"/>
  <c r="AH232" i="14"/>
  <c r="AH200" i="14"/>
  <c r="AH184" i="14"/>
  <c r="AH152" i="14"/>
  <c r="AH136" i="14"/>
  <c r="AH120" i="14"/>
  <c r="AH104" i="14"/>
  <c r="AH72" i="14"/>
  <c r="AH56" i="14"/>
  <c r="AH40" i="14"/>
  <c r="AH24" i="14"/>
  <c r="AH439" i="14"/>
  <c r="AH423" i="14"/>
  <c r="AH391" i="14"/>
  <c r="AH359" i="14"/>
  <c r="AH343" i="14"/>
  <c r="AH311" i="14"/>
  <c r="AH279" i="14"/>
  <c r="AH263" i="14"/>
  <c r="AH231" i="14"/>
  <c r="AH199" i="14"/>
  <c r="AH183" i="14"/>
  <c r="AH151" i="14"/>
  <c r="AH135" i="14"/>
  <c r="AH119" i="14"/>
  <c r="AH103" i="14"/>
  <c r="AH71" i="14"/>
  <c r="AH55" i="14"/>
  <c r="AH39" i="14"/>
  <c r="AH23" i="14"/>
  <c r="AH438" i="14"/>
  <c r="AH422" i="14"/>
  <c r="AH406" i="14"/>
  <c r="AH390" i="14"/>
  <c r="AH374" i="14"/>
  <c r="AH358" i="14"/>
  <c r="AH342" i="14"/>
  <c r="AH326" i="14"/>
  <c r="AH310" i="14"/>
  <c r="AH294" i="14"/>
  <c r="AH278" i="14"/>
  <c r="AH262" i="14"/>
  <c r="AH246" i="14"/>
  <c r="AH230" i="14"/>
  <c r="AH214" i="14"/>
  <c r="AH198" i="14"/>
  <c r="AH182" i="14"/>
  <c r="AH166" i="14"/>
  <c r="AH150" i="14"/>
  <c r="AH134" i="14"/>
  <c r="AH118" i="14"/>
  <c r="AH102" i="14"/>
  <c r="AH86" i="14"/>
  <c r="AH70" i="14"/>
  <c r="AH54" i="14"/>
  <c r="AH38" i="14"/>
  <c r="AH22" i="14"/>
  <c r="AH6" i="14"/>
  <c r="AH437" i="14"/>
  <c r="AH421" i="14"/>
  <c r="AH405" i="14"/>
  <c r="AH389" i="14"/>
  <c r="AH357" i="14"/>
  <c r="AH341" i="14"/>
  <c r="AH325" i="14"/>
  <c r="AH309" i="14"/>
  <c r="AH277" i="14"/>
  <c r="AH261" i="14"/>
  <c r="AH245" i="14"/>
  <c r="AH229" i="14"/>
  <c r="AH197" i="14"/>
  <c r="AH181" i="14"/>
  <c r="AH165" i="14"/>
  <c r="AH149" i="14"/>
  <c r="AH133" i="14"/>
  <c r="AH117" i="14"/>
  <c r="AH101" i="14"/>
  <c r="AH85" i="14"/>
  <c r="AH69" i="14"/>
  <c r="AH53" i="14"/>
  <c r="AH37" i="14"/>
  <c r="AH21" i="14"/>
  <c r="AH5" i="14"/>
  <c r="AH436" i="14"/>
  <c r="AH420" i="14"/>
  <c r="AH404" i="14"/>
  <c r="AH388" i="14"/>
  <c r="AH372" i="14"/>
  <c r="AH356" i="14"/>
  <c r="AH340" i="14"/>
  <c r="AH324" i="14"/>
  <c r="AH308" i="14"/>
  <c r="AH292" i="14"/>
  <c r="AH276" i="14"/>
  <c r="AH260" i="14"/>
  <c r="AH244" i="14"/>
  <c r="AH228" i="14"/>
  <c r="AH212" i="14"/>
  <c r="AH196" i="14"/>
  <c r="AH180" i="14"/>
  <c r="AH164" i="14"/>
  <c r="AH148" i="14"/>
  <c r="AH132" i="14"/>
  <c r="AH116" i="14"/>
  <c r="AH100" i="14"/>
  <c r="AH84" i="14"/>
  <c r="AH68" i="14"/>
  <c r="AH52" i="14"/>
  <c r="AH36" i="14"/>
  <c r="AH20" i="14"/>
  <c r="AH4" i="14"/>
  <c r="AH451" i="14"/>
  <c r="AH435" i="14"/>
  <c r="AH419" i="14"/>
  <c r="AH403" i="14"/>
  <c r="AH387" i="14"/>
  <c r="AH371" i="14"/>
  <c r="AH355" i="14"/>
  <c r="AH339" i="14"/>
  <c r="AH323" i="14"/>
  <c r="AH307" i="14"/>
  <c r="AH291" i="14"/>
  <c r="AH275" i="14"/>
  <c r="AH259" i="14"/>
  <c r="AH243" i="14"/>
  <c r="AH227" i="14"/>
  <c r="AH211" i="14"/>
  <c r="AH195" i="14"/>
  <c r="AH179" i="14"/>
  <c r="AH163" i="14"/>
  <c r="AH147" i="14"/>
  <c r="AH131" i="14"/>
  <c r="AH115" i="14"/>
  <c r="AH99" i="14"/>
  <c r="AH83" i="14"/>
  <c r="AH67" i="14"/>
  <c r="AH51" i="14"/>
  <c r="AH35" i="14"/>
  <c r="AH19" i="14"/>
  <c r="AH3" i="14"/>
  <c r="AH418" i="14"/>
  <c r="AH402" i="14"/>
  <c r="AH338" i="14"/>
  <c r="AH322" i="14"/>
  <c r="AH306" i="14"/>
  <c r="AH274" i="14"/>
  <c r="AH258" i="14"/>
  <c r="AH242" i="14"/>
  <c r="AH226" i="14"/>
  <c r="AH194" i="14"/>
  <c r="AH178" i="14"/>
  <c r="AH162" i="14"/>
  <c r="AH146" i="14"/>
  <c r="AH114" i="14"/>
  <c r="AH98" i="14"/>
  <c r="AH82" i="14"/>
  <c r="AH66" i="14"/>
  <c r="AH34" i="14"/>
  <c r="AH18" i="14"/>
  <c r="AH2" i="14"/>
  <c r="AH417" i="14"/>
  <c r="AH337" i="14"/>
  <c r="AH257" i="14"/>
  <c r="AH225" i="14"/>
  <c r="AH193" i="14"/>
  <c r="AH177" i="14"/>
  <c r="AH145" i="14"/>
  <c r="AH113" i="14"/>
  <c r="AH97" i="14"/>
  <c r="AH65" i="14"/>
  <c r="AH33" i="14"/>
  <c r="AH17" i="14"/>
  <c r="AH432" i="14"/>
  <c r="AH384" i="14"/>
  <c r="AH352" i="14"/>
  <c r="AH304" i="14"/>
  <c r="AH272" i="14"/>
  <c r="AH224" i="14"/>
  <c r="AH192" i="14"/>
  <c r="AH144" i="14"/>
  <c r="AH112" i="14"/>
  <c r="AH64" i="14"/>
  <c r="AH32" i="14"/>
  <c r="AH431" i="14"/>
  <c r="AH351" i="14"/>
  <c r="AH303" i="14"/>
  <c r="AH271" i="14"/>
  <c r="AH223" i="14"/>
  <c r="AH191" i="14"/>
  <c r="AH143" i="14"/>
  <c r="AH111" i="14"/>
  <c r="AH63" i="14"/>
  <c r="AH31" i="14"/>
  <c r="AH446" i="14"/>
  <c r="AH430" i="14"/>
  <c r="AH382" i="14"/>
  <c r="AH366" i="14"/>
  <c r="AH350" i="14"/>
  <c r="AH302" i="14"/>
  <c r="AH286" i="14"/>
  <c r="AH270" i="14"/>
  <c r="AH222" i="14"/>
  <c r="AH206" i="14"/>
  <c r="AH190" i="14"/>
  <c r="AH142" i="14"/>
  <c r="AH126" i="14"/>
  <c r="AH110" i="14"/>
  <c r="AH62" i="14"/>
  <c r="AH46" i="14"/>
  <c r="AH30" i="14"/>
  <c r="E13" i="1" l="1"/>
  <c r="F16" i="1"/>
  <c r="F19" i="1" s="1"/>
  <c r="E73" i="1"/>
  <c r="E25" i="1" s="1"/>
  <c r="E83" i="1"/>
  <c r="E82" i="1"/>
  <c r="E85" i="1"/>
  <c r="E84" i="1"/>
  <c r="E81" i="1"/>
  <c r="C80" i="1"/>
  <c r="C78" i="1"/>
  <c r="C79" i="1"/>
  <c r="D83" i="1"/>
  <c r="D85" i="1"/>
  <c r="D84" i="1"/>
  <c r="D82" i="1"/>
  <c r="D81" i="1"/>
  <c r="D80" i="1"/>
  <c r="D79" i="1"/>
  <c r="D78" i="1"/>
  <c r="C83" i="1"/>
  <c r="C84" i="1"/>
  <c r="C85" i="1"/>
  <c r="C82" i="1"/>
  <c r="C81" i="1"/>
  <c r="E79" i="1"/>
  <c r="E78" i="1"/>
  <c r="E80" i="1"/>
  <c r="F18" i="1"/>
  <c r="F5" i="1"/>
  <c r="C13" i="1"/>
  <c r="C73" i="1"/>
  <c r="C25" i="1" s="1"/>
  <c r="C9" i="1"/>
  <c r="C63" i="1"/>
  <c r="C21" i="1" s="1"/>
  <c r="E9" i="1"/>
  <c r="E63" i="1"/>
  <c r="E21" i="1" s="1"/>
  <c r="C15" i="1"/>
  <c r="C75" i="1"/>
  <c r="C27" i="1" s="1"/>
  <c r="E12" i="1"/>
  <c r="E70" i="1"/>
  <c r="E69" i="1"/>
  <c r="E72" i="1"/>
  <c r="E71" i="1"/>
  <c r="E68" i="1"/>
  <c r="C12" i="1"/>
  <c r="C70" i="1"/>
  <c r="C71" i="1"/>
  <c r="C69" i="1"/>
  <c r="C72" i="1"/>
  <c r="C68" i="1"/>
  <c r="C14" i="1"/>
  <c r="C74" i="1"/>
  <c r="C26" i="1" s="1"/>
  <c r="C10" i="1"/>
  <c r="C64" i="1"/>
  <c r="C22" i="1" s="1"/>
  <c r="D12" i="1"/>
  <c r="D70" i="1"/>
  <c r="D69" i="1"/>
  <c r="D71" i="1"/>
  <c r="D72" i="1"/>
  <c r="D68" i="1"/>
  <c r="D15" i="1"/>
  <c r="D75" i="1"/>
  <c r="D27" i="1" s="1"/>
  <c r="D13" i="1"/>
  <c r="D73" i="1"/>
  <c r="D25" i="1" s="1"/>
  <c r="D14" i="1"/>
  <c r="D74" i="1"/>
  <c r="D26" i="1" s="1"/>
  <c r="E11" i="1"/>
  <c r="E67" i="1"/>
  <c r="E66" i="1"/>
  <c r="E65" i="1"/>
  <c r="D9" i="1"/>
  <c r="D63" i="1"/>
  <c r="D21" i="1" s="1"/>
  <c r="E10" i="1"/>
  <c r="E64" i="1"/>
  <c r="E22" i="1" s="1"/>
  <c r="C11" i="1"/>
  <c r="C67" i="1"/>
  <c r="C66" i="1"/>
  <c r="C65" i="1"/>
  <c r="D11" i="1"/>
  <c r="D66" i="1"/>
  <c r="D65" i="1"/>
  <c r="D67" i="1"/>
  <c r="E14" i="1"/>
  <c r="E74" i="1"/>
  <c r="E26" i="1" s="1"/>
  <c r="D10" i="1"/>
  <c r="D64" i="1"/>
  <c r="D22" i="1" s="1"/>
  <c r="F17" i="1"/>
  <c r="D1" i="45" s="1"/>
  <c r="D6" i="45" s="1"/>
  <c r="D8" i="45" s="1"/>
  <c r="L29" i="1"/>
  <c r="L33" i="1"/>
  <c r="L30" i="1"/>
  <c r="L34" i="1"/>
  <c r="L31" i="1"/>
  <c r="L28" i="1"/>
  <c r="L32" i="1"/>
  <c r="T17" i="4"/>
  <c r="V24" i="4"/>
  <c r="V13" i="4"/>
  <c r="V7" i="4"/>
  <c r="V16" i="4"/>
  <c r="V18" i="4"/>
  <c r="V5" i="4"/>
  <c r="V8" i="4"/>
  <c r="V20" i="4"/>
  <c r="V2" i="4"/>
  <c r="V3" i="4"/>
  <c r="V15" i="4"/>
  <c r="V17" i="4"/>
  <c r="V4" i="4"/>
  <c r="V11" i="4"/>
  <c r="T4" i="4"/>
  <c r="T8" i="4"/>
  <c r="T20" i="4"/>
  <c r="T3" i="4"/>
  <c r="T24" i="4"/>
  <c r="T2" i="4"/>
  <c r="T18" i="4"/>
  <c r="T13" i="4"/>
  <c r="T5" i="4"/>
  <c r="U10" i="4"/>
  <c r="U19" i="4"/>
  <c r="U14" i="4"/>
  <c r="U23" i="4"/>
  <c r="U6" i="4"/>
  <c r="U12" i="4"/>
  <c r="U9" i="4"/>
  <c r="T11" i="4"/>
  <c r="U21" i="4"/>
  <c r="T15" i="4"/>
  <c r="T22" i="4"/>
  <c r="U22" i="4"/>
  <c r="BI6" i="14"/>
  <c r="BI4" i="14"/>
  <c r="AM420" i="14"/>
  <c r="AL420" i="14"/>
  <c r="AM253" i="14"/>
  <c r="AL253" i="14"/>
  <c r="AM231" i="14"/>
  <c r="AL231" i="14"/>
  <c r="AL327" i="14"/>
  <c r="AM327" i="14"/>
  <c r="AM257" i="14"/>
  <c r="AL257" i="14"/>
  <c r="AM184" i="14"/>
  <c r="AL184" i="14"/>
  <c r="AM124" i="14"/>
  <c r="AL124" i="14"/>
  <c r="AM248" i="14"/>
  <c r="AL248" i="14"/>
  <c r="AM30" i="14"/>
  <c r="AL30" i="14"/>
  <c r="AM446" i="14"/>
  <c r="AL446" i="14"/>
  <c r="AM224" i="14"/>
  <c r="AL224" i="14"/>
  <c r="AM337" i="14"/>
  <c r="AL337" i="14"/>
  <c r="AM274" i="14"/>
  <c r="AL274" i="14"/>
  <c r="AM163" i="14"/>
  <c r="AL163" i="14"/>
  <c r="AM419" i="14"/>
  <c r="AL419" i="14"/>
  <c r="AM212" i="14"/>
  <c r="AL212" i="14"/>
  <c r="AM21" i="14"/>
  <c r="AL21" i="14"/>
  <c r="AM309" i="14"/>
  <c r="AL309" i="14"/>
  <c r="AM134" i="14"/>
  <c r="AL134" i="14"/>
  <c r="AM390" i="14"/>
  <c r="AL390" i="14"/>
  <c r="AM279" i="14"/>
  <c r="AL279" i="14"/>
  <c r="AM200" i="14"/>
  <c r="AL200" i="14"/>
  <c r="AM105" i="14"/>
  <c r="AL105" i="14"/>
  <c r="AM361" i="14"/>
  <c r="AL361" i="14"/>
  <c r="AM218" i="14"/>
  <c r="AL218" i="14"/>
  <c r="AL75" i="14"/>
  <c r="AM75" i="14"/>
  <c r="AL331" i="14"/>
  <c r="AM331" i="14"/>
  <c r="AM140" i="14"/>
  <c r="AL140" i="14"/>
  <c r="AM396" i="14"/>
  <c r="AL396" i="14"/>
  <c r="AL407" i="14"/>
  <c r="AM407" i="14"/>
  <c r="AM210" i="14"/>
  <c r="AL210" i="14"/>
  <c r="AL415" i="14"/>
  <c r="AM415" i="14"/>
  <c r="AM333" i="14"/>
  <c r="AL333" i="14"/>
  <c r="AM174" i="14"/>
  <c r="AL174" i="14"/>
  <c r="AM354" i="14"/>
  <c r="AL354" i="14"/>
  <c r="AM349" i="14"/>
  <c r="AL349" i="14"/>
  <c r="AM353" i="14"/>
  <c r="AL353" i="14"/>
  <c r="AM366" i="14"/>
  <c r="AL366" i="14"/>
  <c r="AM313" i="14"/>
  <c r="AL313" i="14"/>
  <c r="AL10" i="14"/>
  <c r="AM10" i="14"/>
  <c r="AM225" i="14"/>
  <c r="AL225" i="14"/>
  <c r="AL186" i="14"/>
  <c r="AM186" i="14"/>
  <c r="AM93" i="14"/>
  <c r="AL93" i="14"/>
  <c r="AM5" i="14"/>
  <c r="AL5" i="14"/>
  <c r="AM240" i="14"/>
  <c r="AL240" i="14"/>
  <c r="AM179" i="14"/>
  <c r="AL179" i="14"/>
  <c r="AM377" i="14"/>
  <c r="AL377" i="14"/>
  <c r="AM15" i="14"/>
  <c r="AL15" i="14"/>
  <c r="AM451" i="14"/>
  <c r="AL451" i="14"/>
  <c r="AM244" i="14"/>
  <c r="AL244" i="14"/>
  <c r="AM53" i="14"/>
  <c r="AL53" i="14"/>
  <c r="AM341" i="14"/>
  <c r="AL341" i="14"/>
  <c r="AM166" i="14"/>
  <c r="AL166" i="14"/>
  <c r="AM422" i="14"/>
  <c r="AL422" i="14"/>
  <c r="AL343" i="14"/>
  <c r="AM343" i="14"/>
  <c r="AM264" i="14"/>
  <c r="AL264" i="14"/>
  <c r="AM137" i="14"/>
  <c r="AL137" i="14"/>
  <c r="AM393" i="14"/>
  <c r="AL393" i="14"/>
  <c r="AL266" i="14"/>
  <c r="AM266" i="14"/>
  <c r="AL107" i="14"/>
  <c r="AM107" i="14"/>
  <c r="AL363" i="14"/>
  <c r="AM363" i="14"/>
  <c r="AM172" i="14"/>
  <c r="AL172" i="14"/>
  <c r="AM428" i="14"/>
  <c r="AL428" i="14"/>
  <c r="AM79" i="14"/>
  <c r="AL79" i="14"/>
  <c r="AM320" i="14"/>
  <c r="AL320" i="14"/>
  <c r="AL90" i="14"/>
  <c r="AM90" i="14"/>
  <c r="AM433" i="14"/>
  <c r="AL433" i="14"/>
  <c r="AM429" i="14"/>
  <c r="AL429" i="14"/>
  <c r="AM241" i="14"/>
  <c r="AL241" i="14"/>
  <c r="AM369" i="14"/>
  <c r="AL369" i="14"/>
  <c r="AM118" i="14"/>
  <c r="AL118" i="14"/>
  <c r="AL367" i="14"/>
  <c r="AM367" i="14"/>
  <c r="AM306" i="14"/>
  <c r="AL306" i="14"/>
  <c r="AM150" i="14"/>
  <c r="AL150" i="14"/>
  <c r="AM412" i="14"/>
  <c r="AL412" i="14"/>
  <c r="AM87" i="14"/>
  <c r="AL87" i="14"/>
  <c r="AM211" i="14"/>
  <c r="AL211" i="14"/>
  <c r="AM69" i="14"/>
  <c r="AL69" i="14"/>
  <c r="AM357" i="14"/>
  <c r="AL357" i="14"/>
  <c r="AM182" i="14"/>
  <c r="AL182" i="14"/>
  <c r="AM438" i="14"/>
  <c r="AL438" i="14"/>
  <c r="AL359" i="14"/>
  <c r="AM359" i="14"/>
  <c r="AM280" i="14"/>
  <c r="AL280" i="14"/>
  <c r="AM153" i="14"/>
  <c r="AL153" i="14"/>
  <c r="AM409" i="14"/>
  <c r="AL409" i="14"/>
  <c r="AM282" i="14"/>
  <c r="AL282" i="14"/>
  <c r="AL123" i="14"/>
  <c r="AM123" i="14"/>
  <c r="AL379" i="14"/>
  <c r="AM379" i="14"/>
  <c r="AM188" i="14"/>
  <c r="AL188" i="14"/>
  <c r="AM444" i="14"/>
  <c r="AL444" i="14"/>
  <c r="AM141" i="14"/>
  <c r="AL141" i="14"/>
  <c r="AM370" i="14"/>
  <c r="AL370" i="14"/>
  <c r="AM161" i="14"/>
  <c r="AL161" i="14"/>
  <c r="AM45" i="14"/>
  <c r="AL45" i="14"/>
  <c r="AM16" i="14"/>
  <c r="AL16" i="14"/>
  <c r="AM365" i="14"/>
  <c r="AL365" i="14"/>
  <c r="AM127" i="14"/>
  <c r="AL127" i="14"/>
  <c r="AM342" i="14"/>
  <c r="AL342" i="14"/>
  <c r="AM239" i="14"/>
  <c r="AL239" i="14"/>
  <c r="AM436" i="14"/>
  <c r="AL436" i="14"/>
  <c r="AM364" i="14"/>
  <c r="AL364" i="14"/>
  <c r="AM374" i="14"/>
  <c r="AL374" i="14"/>
  <c r="AM158" i="14"/>
  <c r="AL158" i="14"/>
  <c r="AM435" i="14"/>
  <c r="AL435" i="14"/>
  <c r="AM121" i="14"/>
  <c r="AL121" i="14"/>
  <c r="AM295" i="14"/>
  <c r="AL295" i="14"/>
  <c r="AM304" i="14"/>
  <c r="AL304" i="14"/>
  <c r="AM260" i="14"/>
  <c r="AL260" i="14"/>
  <c r="AM126" i="14"/>
  <c r="AL126" i="14"/>
  <c r="AM143" i="14"/>
  <c r="AL143" i="14"/>
  <c r="AL384" i="14"/>
  <c r="AM384" i="14"/>
  <c r="AM34" i="14"/>
  <c r="AL34" i="14"/>
  <c r="AM402" i="14"/>
  <c r="AL402" i="14"/>
  <c r="AM227" i="14"/>
  <c r="AL227" i="14"/>
  <c r="AM20" i="14"/>
  <c r="AL20" i="14"/>
  <c r="AM276" i="14"/>
  <c r="AL276" i="14"/>
  <c r="AM85" i="14"/>
  <c r="AL85" i="14"/>
  <c r="AM389" i="14"/>
  <c r="AL389" i="14"/>
  <c r="AM198" i="14"/>
  <c r="AL198" i="14"/>
  <c r="AM23" i="14"/>
  <c r="AL23" i="14"/>
  <c r="AL391" i="14"/>
  <c r="AM391" i="14"/>
  <c r="AL312" i="14"/>
  <c r="AM312" i="14"/>
  <c r="AM169" i="14"/>
  <c r="AL169" i="14"/>
  <c r="AM425" i="14"/>
  <c r="AL425" i="14"/>
  <c r="AL298" i="14"/>
  <c r="AM298" i="14"/>
  <c r="AL139" i="14"/>
  <c r="AM139" i="14"/>
  <c r="AL395" i="14"/>
  <c r="AM395" i="14"/>
  <c r="AM204" i="14"/>
  <c r="AL204" i="14"/>
  <c r="AM61" i="14"/>
  <c r="AL61" i="14"/>
  <c r="AM208" i="14"/>
  <c r="AL208" i="14"/>
  <c r="AM413" i="14"/>
  <c r="AL413" i="14"/>
  <c r="AM216" i="14"/>
  <c r="AL216" i="14"/>
  <c r="AM95" i="14"/>
  <c r="AL95" i="14"/>
  <c r="AM175" i="14"/>
  <c r="AL175" i="14"/>
  <c r="AM125" i="14"/>
  <c r="AL125" i="14"/>
  <c r="AM398" i="14"/>
  <c r="AL398" i="14"/>
  <c r="AM371" i="14"/>
  <c r="AL371" i="14"/>
  <c r="AM348" i="14"/>
  <c r="AL348" i="14"/>
  <c r="AM180" i="14"/>
  <c r="AL180" i="14"/>
  <c r="AL43" i="14"/>
  <c r="AM43" i="14"/>
  <c r="AM247" i="14"/>
  <c r="AL247" i="14"/>
  <c r="AM430" i="14"/>
  <c r="AL430" i="14"/>
  <c r="AM263" i="14"/>
  <c r="AL263" i="14"/>
  <c r="AL59" i="14"/>
  <c r="AM59" i="14"/>
  <c r="AM272" i="14"/>
  <c r="AL272" i="14"/>
  <c r="AM232" i="14"/>
  <c r="AL232" i="14"/>
  <c r="AM256" i="14"/>
  <c r="AL256" i="14"/>
  <c r="AM62" i="14"/>
  <c r="AL62" i="14"/>
  <c r="AM111" i="14"/>
  <c r="AL111" i="14"/>
  <c r="AM4" i="14"/>
  <c r="AL4" i="14"/>
  <c r="AM142" i="14"/>
  <c r="AL142" i="14"/>
  <c r="AM191" i="14"/>
  <c r="AL191" i="14"/>
  <c r="AL432" i="14"/>
  <c r="AM432" i="14"/>
  <c r="AM66" i="14"/>
  <c r="AL66" i="14"/>
  <c r="AM418" i="14"/>
  <c r="AL418" i="14"/>
  <c r="AM243" i="14"/>
  <c r="AL243" i="14"/>
  <c r="AM36" i="14"/>
  <c r="AL36" i="14"/>
  <c r="AM292" i="14"/>
  <c r="AL292" i="14"/>
  <c r="AM101" i="14"/>
  <c r="AL101" i="14"/>
  <c r="AM405" i="14"/>
  <c r="AL405" i="14"/>
  <c r="AM214" i="14"/>
  <c r="AL214" i="14"/>
  <c r="AM39" i="14"/>
  <c r="AL39" i="14"/>
  <c r="AL423" i="14"/>
  <c r="AM423" i="14"/>
  <c r="AM344" i="14"/>
  <c r="AL344" i="14"/>
  <c r="AM185" i="14"/>
  <c r="AL185" i="14"/>
  <c r="AM441" i="14"/>
  <c r="AL441" i="14"/>
  <c r="AL314" i="14"/>
  <c r="AM314" i="14"/>
  <c r="AL155" i="14"/>
  <c r="AM155" i="14"/>
  <c r="AL411" i="14"/>
  <c r="AM411" i="14"/>
  <c r="AM220" i="14"/>
  <c r="AL220" i="14"/>
  <c r="AM301" i="14"/>
  <c r="AL301" i="14"/>
  <c r="AM254" i="14"/>
  <c r="AL254" i="14"/>
  <c r="AM159" i="14"/>
  <c r="AL159" i="14"/>
  <c r="AM285" i="14"/>
  <c r="AL285" i="14"/>
  <c r="AL170" i="14"/>
  <c r="AM170" i="14"/>
  <c r="AM296" i="14"/>
  <c r="AL296" i="14"/>
  <c r="AM397" i="14"/>
  <c r="AL397" i="14"/>
  <c r="AM129" i="14"/>
  <c r="AL129" i="14"/>
  <c r="AM164" i="14"/>
  <c r="AL164" i="14"/>
  <c r="AM154" i="14"/>
  <c r="AL154" i="14"/>
  <c r="AM109" i="14"/>
  <c r="AL109" i="14"/>
  <c r="AM358" i="14"/>
  <c r="AL358" i="14"/>
  <c r="AL400" i="14"/>
  <c r="AM400" i="14"/>
  <c r="AM192" i="14"/>
  <c r="AL192" i="14"/>
  <c r="AL202" i="14"/>
  <c r="AM202" i="14"/>
  <c r="AM450" i="14"/>
  <c r="AL450" i="14"/>
  <c r="AM2" i="14"/>
  <c r="AL2" i="14"/>
  <c r="AM18" i="14"/>
  <c r="AL18" i="14"/>
  <c r="AM259" i="14"/>
  <c r="AL259" i="14"/>
  <c r="AM52" i="14"/>
  <c r="AL52" i="14"/>
  <c r="AM308" i="14"/>
  <c r="AL308" i="14"/>
  <c r="AM117" i="14"/>
  <c r="AL117" i="14"/>
  <c r="AM421" i="14"/>
  <c r="AL421" i="14"/>
  <c r="AM230" i="14"/>
  <c r="AL230" i="14"/>
  <c r="AM55" i="14"/>
  <c r="AL55" i="14"/>
  <c r="AL439" i="14"/>
  <c r="AM439" i="14"/>
  <c r="AM360" i="14"/>
  <c r="AL360" i="14"/>
  <c r="AM201" i="14"/>
  <c r="AL201" i="14"/>
  <c r="AL26" i="14"/>
  <c r="AM26" i="14"/>
  <c r="AM346" i="14"/>
  <c r="AL346" i="14"/>
  <c r="AL171" i="14"/>
  <c r="AM171" i="14"/>
  <c r="AL427" i="14"/>
  <c r="AM427" i="14"/>
  <c r="AM236" i="14"/>
  <c r="AL236" i="14"/>
  <c r="AM386" i="14"/>
  <c r="AL386" i="14"/>
  <c r="AM318" i="14"/>
  <c r="AL318" i="14"/>
  <c r="AM213" i="14"/>
  <c r="AL213" i="14"/>
  <c r="AM328" i="14"/>
  <c r="AL328" i="14"/>
  <c r="AM238" i="14"/>
  <c r="AL238" i="14"/>
  <c r="AM445" i="14"/>
  <c r="AL445" i="14"/>
  <c r="AM250" i="14"/>
  <c r="AL250" i="14"/>
  <c r="AL410" i="14"/>
  <c r="AM410" i="14"/>
  <c r="AM226" i="14"/>
  <c r="AL226" i="14"/>
  <c r="AL283" i="14"/>
  <c r="AM283" i="14"/>
  <c r="AM382" i="14"/>
  <c r="AL382" i="14"/>
  <c r="AM102" i="14"/>
  <c r="AL102" i="14"/>
  <c r="AM237" i="14"/>
  <c r="AL237" i="14"/>
  <c r="AM277" i="14"/>
  <c r="AL277" i="14"/>
  <c r="AM288" i="14"/>
  <c r="AL288" i="14"/>
  <c r="AM311" i="14"/>
  <c r="AL311" i="14"/>
  <c r="AL383" i="14"/>
  <c r="AM383" i="14"/>
  <c r="AM322" i="14"/>
  <c r="AL322" i="14"/>
  <c r="AM271" i="14"/>
  <c r="AL271" i="14"/>
  <c r="AM324" i="14"/>
  <c r="AL324" i="14"/>
  <c r="AM246" i="14"/>
  <c r="AL246" i="14"/>
  <c r="AM71" i="14"/>
  <c r="AL71" i="14"/>
  <c r="AM24" i="14"/>
  <c r="AL24" i="14"/>
  <c r="AM392" i="14"/>
  <c r="AL392" i="14"/>
  <c r="AM217" i="14"/>
  <c r="AL217" i="14"/>
  <c r="AL42" i="14"/>
  <c r="AM42" i="14"/>
  <c r="AL362" i="14"/>
  <c r="AM362" i="14"/>
  <c r="AL187" i="14"/>
  <c r="AM187" i="14"/>
  <c r="AL443" i="14"/>
  <c r="AM443" i="14"/>
  <c r="AM252" i="14"/>
  <c r="AL252" i="14"/>
  <c r="AM77" i="14"/>
  <c r="AL77" i="14"/>
  <c r="AL368" i="14"/>
  <c r="AM368" i="14"/>
  <c r="AM321" i="14"/>
  <c r="AL321" i="14"/>
  <c r="AM376" i="14"/>
  <c r="AL376" i="14"/>
  <c r="AM289" i="14"/>
  <c r="AL289" i="14"/>
  <c r="AM176" i="14"/>
  <c r="AL176" i="14"/>
  <c r="AM287" i="14"/>
  <c r="AL287" i="14"/>
  <c r="AM167" i="14"/>
  <c r="AL167" i="14"/>
  <c r="AM199" i="14"/>
  <c r="AL199" i="14"/>
  <c r="AL399" i="14"/>
  <c r="AM399" i="14"/>
  <c r="AM144" i="14"/>
  <c r="AL144" i="14"/>
  <c r="AM329" i="14"/>
  <c r="AL329" i="14"/>
  <c r="AM336" i="14"/>
  <c r="AL336" i="14"/>
  <c r="AM403" i="14"/>
  <c r="AL403" i="14"/>
  <c r="AL315" i="14"/>
  <c r="AM315" i="14"/>
  <c r="AM417" i="14"/>
  <c r="AL417" i="14"/>
  <c r="AM325" i="14"/>
  <c r="AL325" i="14"/>
  <c r="AL91" i="14"/>
  <c r="AM91" i="14"/>
  <c r="AM96" i="14"/>
  <c r="AL96" i="14"/>
  <c r="AM63" i="14"/>
  <c r="AL63" i="14"/>
  <c r="AM110" i="14"/>
  <c r="AL110" i="14"/>
  <c r="AM190" i="14"/>
  <c r="AL190" i="14"/>
  <c r="AM3" i="14"/>
  <c r="AL3" i="14"/>
  <c r="AM33" i="14"/>
  <c r="AL33" i="14"/>
  <c r="AM68" i="14"/>
  <c r="AL68" i="14"/>
  <c r="AM303" i="14"/>
  <c r="AL303" i="14"/>
  <c r="AM65" i="14"/>
  <c r="AL65" i="14"/>
  <c r="AM114" i="14"/>
  <c r="AL114" i="14"/>
  <c r="AM35" i="14"/>
  <c r="AL35" i="14"/>
  <c r="AM291" i="14"/>
  <c r="AL291" i="14"/>
  <c r="AM84" i="14"/>
  <c r="AL84" i="14"/>
  <c r="AM340" i="14"/>
  <c r="AL340" i="14"/>
  <c r="AM149" i="14"/>
  <c r="AL149" i="14"/>
  <c r="AM6" i="14"/>
  <c r="AL6" i="14"/>
  <c r="AM262" i="14"/>
  <c r="AL262" i="14"/>
  <c r="AM103" i="14"/>
  <c r="AL103" i="14"/>
  <c r="AM40" i="14"/>
  <c r="AL40" i="14"/>
  <c r="AM424" i="14"/>
  <c r="AL424" i="14"/>
  <c r="AM233" i="14"/>
  <c r="AL233" i="14"/>
  <c r="AL58" i="14"/>
  <c r="AM58" i="14"/>
  <c r="AM378" i="14"/>
  <c r="AL378" i="14"/>
  <c r="AL203" i="14"/>
  <c r="AM203" i="14"/>
  <c r="AM12" i="14"/>
  <c r="AL12" i="14"/>
  <c r="AM268" i="14"/>
  <c r="AL268" i="14"/>
  <c r="AM305" i="14"/>
  <c r="AL305" i="14"/>
  <c r="AL408" i="14"/>
  <c r="AM408" i="14"/>
  <c r="AM373" i="14"/>
  <c r="AL373" i="14"/>
  <c r="AL416" i="14"/>
  <c r="AM416" i="14"/>
  <c r="AM334" i="14"/>
  <c r="AL334" i="14"/>
  <c r="AM48" i="14"/>
  <c r="AL48" i="14"/>
  <c r="AM290" i="14"/>
  <c r="AL290" i="14"/>
  <c r="AM414" i="14"/>
  <c r="AL414" i="14"/>
  <c r="AM115" i="14"/>
  <c r="AL115" i="14"/>
  <c r="AM57" i="14"/>
  <c r="AL57" i="14"/>
  <c r="AM168" i="14"/>
  <c r="AL168" i="14"/>
  <c r="AM261" i="14"/>
  <c r="AL261" i="14"/>
  <c r="AM108" i="14"/>
  <c r="AL108" i="14"/>
  <c r="AM196" i="14"/>
  <c r="AL196" i="14"/>
  <c r="AL375" i="14"/>
  <c r="AM375" i="14"/>
  <c r="AM228" i="14"/>
  <c r="AL228" i="14"/>
  <c r="AM156" i="14"/>
  <c r="AL156" i="14"/>
  <c r="AM437" i="14"/>
  <c r="AL437" i="14"/>
  <c r="AM270" i="14"/>
  <c r="AL270" i="14"/>
  <c r="AL351" i="14"/>
  <c r="AM351" i="14"/>
  <c r="AM97" i="14"/>
  <c r="AL97" i="14"/>
  <c r="AM146" i="14"/>
  <c r="AL146" i="14"/>
  <c r="AM51" i="14"/>
  <c r="AL51" i="14"/>
  <c r="AM307" i="14"/>
  <c r="AL307" i="14"/>
  <c r="AM100" i="14"/>
  <c r="AL100" i="14"/>
  <c r="AM356" i="14"/>
  <c r="AL356" i="14"/>
  <c r="AM165" i="14"/>
  <c r="AL165" i="14"/>
  <c r="AM22" i="14"/>
  <c r="AL22" i="14"/>
  <c r="AM278" i="14"/>
  <c r="AL278" i="14"/>
  <c r="AM119" i="14"/>
  <c r="AL119" i="14"/>
  <c r="AM56" i="14"/>
  <c r="AL56" i="14"/>
  <c r="AL440" i="14"/>
  <c r="AM440" i="14"/>
  <c r="AM249" i="14"/>
  <c r="AL249" i="14"/>
  <c r="AL74" i="14"/>
  <c r="AM74" i="14"/>
  <c r="AL394" i="14"/>
  <c r="AM394" i="14"/>
  <c r="AL219" i="14"/>
  <c r="AM219" i="14"/>
  <c r="AM28" i="14"/>
  <c r="AL28" i="14"/>
  <c r="AM284" i="14"/>
  <c r="AL284" i="14"/>
  <c r="AM401" i="14"/>
  <c r="AL401" i="14"/>
  <c r="AM80" i="14"/>
  <c r="AL80" i="14"/>
  <c r="AM14" i="14"/>
  <c r="AL14" i="14"/>
  <c r="AM221" i="14"/>
  <c r="AL221" i="14"/>
  <c r="AM385" i="14"/>
  <c r="AL385" i="14"/>
  <c r="AM189" i="14"/>
  <c r="AL189" i="14"/>
  <c r="AM8" i="14"/>
  <c r="AL8" i="14"/>
  <c r="AM173" i="14"/>
  <c r="AL173" i="14"/>
  <c r="AM193" i="14"/>
  <c r="AL193" i="14"/>
  <c r="AM136" i="14"/>
  <c r="AL136" i="14"/>
  <c r="AM273" i="14"/>
  <c r="AL273" i="14"/>
  <c r="AM242" i="14"/>
  <c r="AL242" i="14"/>
  <c r="AM152" i="14"/>
  <c r="AL152" i="14"/>
  <c r="AM81" i="14"/>
  <c r="AL81" i="14"/>
  <c r="AM147" i="14"/>
  <c r="AL147" i="14"/>
  <c r="AM89" i="14"/>
  <c r="AL89" i="14"/>
  <c r="AM13" i="14"/>
  <c r="AL13" i="14"/>
  <c r="AM46" i="14"/>
  <c r="AL46" i="14"/>
  <c r="AM37" i="14"/>
  <c r="AL37" i="14"/>
  <c r="AL347" i="14"/>
  <c r="AM347" i="14"/>
  <c r="AM195" i="14"/>
  <c r="AL195" i="14"/>
  <c r="AM223" i="14"/>
  <c r="AL223" i="14"/>
  <c r="AM206" i="14"/>
  <c r="AL206" i="14"/>
  <c r="AM19" i="14"/>
  <c r="AL19" i="14"/>
  <c r="AM133" i="14"/>
  <c r="AL133" i="14"/>
  <c r="AM222" i="14"/>
  <c r="AL222" i="14"/>
  <c r="AM286" i="14"/>
  <c r="AL286" i="14"/>
  <c r="AL431" i="14"/>
  <c r="AM431" i="14"/>
  <c r="AM113" i="14"/>
  <c r="AL113" i="14"/>
  <c r="AM162" i="14"/>
  <c r="AL162" i="14"/>
  <c r="AM67" i="14"/>
  <c r="AL67" i="14"/>
  <c r="AM323" i="14"/>
  <c r="AL323" i="14"/>
  <c r="AM116" i="14"/>
  <c r="AL116" i="14"/>
  <c r="AM372" i="14"/>
  <c r="AL372" i="14"/>
  <c r="AM181" i="14"/>
  <c r="AL181" i="14"/>
  <c r="AM38" i="14"/>
  <c r="AL38" i="14"/>
  <c r="AM294" i="14"/>
  <c r="AL294" i="14"/>
  <c r="AM135" i="14"/>
  <c r="AL135" i="14"/>
  <c r="AM72" i="14"/>
  <c r="AL72" i="14"/>
  <c r="AM9" i="14"/>
  <c r="AL9" i="14"/>
  <c r="AM265" i="14"/>
  <c r="AL265" i="14"/>
  <c r="AL106" i="14"/>
  <c r="AM106" i="14"/>
  <c r="AL426" i="14"/>
  <c r="AM426" i="14"/>
  <c r="AL235" i="14"/>
  <c r="AM235" i="14"/>
  <c r="AM44" i="14"/>
  <c r="AL44" i="14"/>
  <c r="AM300" i="14"/>
  <c r="AL300" i="14"/>
  <c r="AM78" i="14"/>
  <c r="AL78" i="14"/>
  <c r="AM157" i="14"/>
  <c r="AL157" i="14"/>
  <c r="AM88" i="14"/>
  <c r="AL88" i="14"/>
  <c r="AM381" i="14"/>
  <c r="AL381" i="14"/>
  <c r="AM434" i="14"/>
  <c r="AL434" i="14"/>
  <c r="AL335" i="14"/>
  <c r="AM335" i="14"/>
  <c r="AM293" i="14"/>
  <c r="AL293" i="14"/>
  <c r="AL447" i="14"/>
  <c r="AM447" i="14"/>
  <c r="AM112" i="14"/>
  <c r="AL112" i="14"/>
  <c r="AM86" i="14"/>
  <c r="AL86" i="14"/>
  <c r="AL27" i="14"/>
  <c r="AM27" i="14"/>
  <c r="AM49" i="14"/>
  <c r="AL49" i="14"/>
  <c r="AM387" i="14"/>
  <c r="AL387" i="14"/>
  <c r="AL299" i="14"/>
  <c r="AM299" i="14"/>
  <c r="AM345" i="14"/>
  <c r="AL345" i="14"/>
  <c r="AM50" i="14"/>
  <c r="AL50" i="14"/>
  <c r="AM406" i="14"/>
  <c r="AL406" i="14"/>
  <c r="AM7" i="14"/>
  <c r="AL7" i="14"/>
  <c r="AL352" i="14"/>
  <c r="AM352" i="14"/>
  <c r="AM17" i="14"/>
  <c r="AL17" i="14"/>
  <c r="AM275" i="14"/>
  <c r="AL275" i="14"/>
  <c r="AM32" i="14"/>
  <c r="AL32" i="14"/>
  <c r="AM178" i="14"/>
  <c r="AL178" i="14"/>
  <c r="AM83" i="14"/>
  <c r="AL83" i="14"/>
  <c r="AM339" i="14"/>
  <c r="AL339" i="14"/>
  <c r="AM132" i="14"/>
  <c r="AL132" i="14"/>
  <c r="AM388" i="14"/>
  <c r="AL388" i="14"/>
  <c r="AM197" i="14"/>
  <c r="AL197" i="14"/>
  <c r="AM54" i="14"/>
  <c r="AL54" i="14"/>
  <c r="AM310" i="14"/>
  <c r="AL310" i="14"/>
  <c r="AM151" i="14"/>
  <c r="AL151" i="14"/>
  <c r="AM104" i="14"/>
  <c r="AL104" i="14"/>
  <c r="AM25" i="14"/>
  <c r="AL25" i="14"/>
  <c r="AM281" i="14"/>
  <c r="AL281" i="14"/>
  <c r="AL122" i="14"/>
  <c r="AM122" i="14"/>
  <c r="AL442" i="14"/>
  <c r="AM442" i="14"/>
  <c r="AL251" i="14"/>
  <c r="AM251" i="14"/>
  <c r="AM60" i="14"/>
  <c r="AL60" i="14"/>
  <c r="AM316" i="14"/>
  <c r="AL316" i="14"/>
  <c r="AM130" i="14"/>
  <c r="AL130" i="14"/>
  <c r="AM255" i="14"/>
  <c r="AL255" i="14"/>
  <c r="AM160" i="14"/>
  <c r="AL160" i="14"/>
  <c r="AM29" i="14"/>
  <c r="AL29" i="14"/>
  <c r="AM128" i="14"/>
  <c r="AL128" i="14"/>
  <c r="AL448" i="14"/>
  <c r="AM448" i="14"/>
  <c r="AM47" i="14"/>
  <c r="AL47" i="14"/>
  <c r="AM209" i="14"/>
  <c r="AL209" i="14"/>
  <c r="AM245" i="14"/>
  <c r="AL245" i="14"/>
  <c r="AM92" i="14"/>
  <c r="AL92" i="14"/>
  <c r="AM131" i="14"/>
  <c r="AL131" i="14"/>
  <c r="AM73" i="14"/>
  <c r="AL73" i="14"/>
  <c r="AM317" i="14"/>
  <c r="AL317" i="14"/>
  <c r="AM258" i="14"/>
  <c r="AL258" i="14"/>
  <c r="AM380" i="14"/>
  <c r="AL380" i="14"/>
  <c r="AM31" i="14"/>
  <c r="AL31" i="14"/>
  <c r="AL234" i="14"/>
  <c r="AM234" i="14"/>
  <c r="AM338" i="14"/>
  <c r="AL338" i="14"/>
  <c r="AM82" i="14"/>
  <c r="AL82" i="14"/>
  <c r="AM98" i="14"/>
  <c r="AL98" i="14"/>
  <c r="AM302" i="14"/>
  <c r="AL302" i="14"/>
  <c r="AM145" i="14"/>
  <c r="AL145" i="14"/>
  <c r="AM350" i="14"/>
  <c r="AL350" i="14"/>
  <c r="AM64" i="14"/>
  <c r="AL64" i="14"/>
  <c r="AM177" i="14"/>
  <c r="AL177" i="14"/>
  <c r="AM194" i="14"/>
  <c r="AL194" i="14"/>
  <c r="AM99" i="14"/>
  <c r="AL99" i="14"/>
  <c r="AM355" i="14"/>
  <c r="AL355" i="14"/>
  <c r="AM148" i="14"/>
  <c r="AL148" i="14"/>
  <c r="AM404" i="14"/>
  <c r="AL404" i="14"/>
  <c r="AM229" i="14"/>
  <c r="AL229" i="14"/>
  <c r="AM70" i="14"/>
  <c r="AL70" i="14"/>
  <c r="AM326" i="14"/>
  <c r="AL326" i="14"/>
  <c r="AM183" i="14"/>
  <c r="AL183" i="14"/>
  <c r="AM120" i="14"/>
  <c r="AL120" i="14"/>
  <c r="AM41" i="14"/>
  <c r="AL41" i="14"/>
  <c r="AM297" i="14"/>
  <c r="AL297" i="14"/>
  <c r="AL138" i="14"/>
  <c r="AM138" i="14"/>
  <c r="AL11" i="14"/>
  <c r="AM11" i="14"/>
  <c r="AL267" i="14"/>
  <c r="AM267" i="14"/>
  <c r="AM76" i="14"/>
  <c r="AL76" i="14"/>
  <c r="AM332" i="14"/>
  <c r="AL332" i="14"/>
  <c r="AM207" i="14"/>
  <c r="AL207" i="14"/>
  <c r="AL319" i="14"/>
  <c r="AM319" i="14"/>
  <c r="AM215" i="14"/>
  <c r="AL215" i="14"/>
  <c r="AM94" i="14"/>
  <c r="AL94" i="14"/>
  <c r="AM269" i="14"/>
  <c r="AL269" i="14"/>
  <c r="AM205" i="14"/>
  <c r="AL205" i="14"/>
  <c r="AL330" i="14"/>
  <c r="AM330" i="14"/>
  <c r="AM449" i="14"/>
  <c r="AL449" i="14"/>
  <c r="J20" i="24"/>
  <c r="J21" i="24" s="1"/>
  <c r="J23" i="24" s="1"/>
  <c r="J25" i="24" s="1"/>
  <c r="J27" i="24" s="1"/>
  <c r="C5" i="1" l="1"/>
  <c r="C24" i="1"/>
  <c r="C6" i="1"/>
  <c r="C7" i="1"/>
  <c r="D10" i="45"/>
  <c r="D11" i="45" s="1"/>
  <c r="D5" i="1"/>
  <c r="D7" i="1" s="1"/>
  <c r="E24" i="1"/>
  <c r="F6" i="1"/>
  <c r="F7" i="1"/>
  <c r="E16" i="1"/>
  <c r="E19" i="1" s="1"/>
  <c r="E5" i="1"/>
  <c r="D24" i="1"/>
  <c r="C16" i="1"/>
  <c r="C19" i="1" s="1"/>
  <c r="V9" i="4"/>
  <c r="V12" i="4"/>
  <c r="V6" i="4"/>
  <c r="V23" i="4"/>
  <c r="V14" i="4"/>
  <c r="V19" i="4"/>
  <c r="V10" i="4"/>
  <c r="V22" i="4"/>
  <c r="V21" i="4"/>
  <c r="J34" i="24"/>
  <c r="J32" i="24"/>
  <c r="J33" i="24" s="1"/>
  <c r="J29" i="24"/>
  <c r="J30" i="24" s="1"/>
  <c r="J38" i="24"/>
  <c r="J39" i="24" s="1"/>
  <c r="J36" i="24"/>
  <c r="J37" i="24" s="1"/>
  <c r="E8" i="1" l="1"/>
  <c r="E7" i="1"/>
  <c r="C8" i="1"/>
  <c r="D6" i="1"/>
  <c r="E6" i="1"/>
  <c r="D8" i="1"/>
  <c r="E17" i="1"/>
  <c r="E1" i="45" s="1"/>
  <c r="E6" i="45" s="1"/>
  <c r="E8" i="45" s="1"/>
  <c r="E18" i="1"/>
  <c r="E20" i="1"/>
  <c r="D16" i="1"/>
  <c r="D19" i="1" s="1"/>
  <c r="C18" i="1"/>
  <c r="C17" i="1"/>
  <c r="G1" i="45" s="1"/>
  <c r="G6" i="45" s="1"/>
  <c r="G8" i="45" s="1"/>
  <c r="G10" i="45" s="1"/>
  <c r="J40" i="24"/>
  <c r="J41" i="24"/>
  <c r="E10" i="45" l="1"/>
  <c r="E11" i="45" s="1"/>
  <c r="G12" i="45"/>
  <c r="C20" i="1"/>
  <c r="D20" i="1"/>
  <c r="D18" i="1"/>
  <c r="D17" i="1"/>
  <c r="F1" i="45" s="1"/>
  <c r="F6" i="45" s="1"/>
  <c r="F8" i="45" s="1"/>
  <c r="F10" i="45" s="1"/>
  <c r="F11" i="45" s="1"/>
  <c r="G11" i="45" s="1"/>
  <c r="G13" i="45" l="1"/>
  <c r="H8" i="45"/>
  <c r="G14" i="45"/>
  <c r="G16" i="45"/>
  <c r="G15" i="4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tc={D04A50F4-7FCA-46DD-AC8D-53308FCB3E06}</author>
    <author>tc={49D29FC5-A412-4F69-AAEE-F7708E4BDABD}</author>
  </authors>
  <commentList>
    <comment ref="I25" authorId="0" shapeId="0" xr:uid="{D04A50F4-7FCA-46DD-AC8D-53308FCB3E06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Официальная статистика за 5 лет</t>
      </text>
    </comment>
    <comment ref="I26" authorId="1" shapeId="0" xr:uid="{49D29FC5-A412-4F69-AAEE-F7708E4BDABD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Официальная статистика за 5 лет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<sst xmlns="http://schemas.openxmlformats.org/spreadsheetml/2006/main" count="6461" uniqueCount="1068">
  <si>
    <t>Hyundai</t>
  </si>
  <si>
    <t>Chevrolet</t>
  </si>
  <si>
    <t>Toyota</t>
  </si>
  <si>
    <t>Chery</t>
  </si>
  <si>
    <t>JAC</t>
  </si>
  <si>
    <t>Lexus</t>
  </si>
  <si>
    <t>Haval</t>
  </si>
  <si>
    <t>Exeed</t>
  </si>
  <si>
    <t>BMW</t>
  </si>
  <si>
    <t>Mitsubishi</t>
  </si>
  <si>
    <t>MG 6</t>
  </si>
  <si>
    <t>MG Cyberster</t>
  </si>
  <si>
    <t>MG One</t>
  </si>
  <si>
    <t>MG ZS</t>
  </si>
  <si>
    <t>Марка</t>
  </si>
  <si>
    <t>Kia</t>
  </si>
  <si>
    <t>г. Алматы</t>
  </si>
  <si>
    <t>Jetour</t>
  </si>
  <si>
    <t>Geely</t>
  </si>
  <si>
    <t>Lada</t>
  </si>
  <si>
    <t>Tank</t>
  </si>
  <si>
    <t>Volkswagen</t>
  </si>
  <si>
    <t>Nissan</t>
  </si>
  <si>
    <t>Renault</t>
  </si>
  <si>
    <t>Модель</t>
  </si>
  <si>
    <t>Chevrolet Cobalt</t>
  </si>
  <si>
    <t>Chevrolet Nexia</t>
  </si>
  <si>
    <t>Hyundai Accent</t>
  </si>
  <si>
    <t>Toyota Camry</t>
  </si>
  <si>
    <t>Kia Rio</t>
  </si>
  <si>
    <t>Hyundai Creta</t>
  </si>
  <si>
    <t>Toyota RAV4</t>
  </si>
  <si>
    <t>Lada Vesta</t>
  </si>
  <si>
    <t>Volkswagen Polo</t>
  </si>
  <si>
    <t>Infiniti</t>
  </si>
  <si>
    <t>Land Rover</t>
  </si>
  <si>
    <t>Cadillac</t>
  </si>
  <si>
    <t>Porsche</t>
  </si>
  <si>
    <t>Audi</t>
  </si>
  <si>
    <t>Volvo</t>
  </si>
  <si>
    <t>Mini</t>
  </si>
  <si>
    <t>Lexus RX</t>
  </si>
  <si>
    <t>BMW X7</t>
  </si>
  <si>
    <t>BMW X5</t>
  </si>
  <si>
    <t>Lexus ES</t>
  </si>
  <si>
    <t>Lexus LX</t>
  </si>
  <si>
    <t>Lexus NX</t>
  </si>
  <si>
    <t>Hyundai Tucson</t>
  </si>
  <si>
    <t>Kia Sportage</t>
  </si>
  <si>
    <t>Hyundai Santa Fe</t>
  </si>
  <si>
    <t>Chevrolet Onix</t>
  </si>
  <si>
    <t>-</t>
  </si>
  <si>
    <t>Hyundai Avante</t>
  </si>
  <si>
    <t>Hyundai Sonata</t>
  </si>
  <si>
    <t>Hyundai Bayon</t>
  </si>
  <si>
    <t>Chery Tiggo 7</t>
  </si>
  <si>
    <t>JAC J7 (Binyue)</t>
  </si>
  <si>
    <t>Chery Tiggo 2</t>
  </si>
  <si>
    <t>ChangAn CS55</t>
  </si>
  <si>
    <t>Kia Cerato</t>
  </si>
  <si>
    <t>Kia Sorento</t>
  </si>
  <si>
    <t>Kia Ceed</t>
  </si>
  <si>
    <t>Hyundai i20</t>
  </si>
  <si>
    <t>Haval M6</t>
  </si>
  <si>
    <t>Chery Tiggo 4</t>
  </si>
  <si>
    <t>Jetour X70</t>
  </si>
  <si>
    <t>Haval H6</t>
  </si>
  <si>
    <t>Kia K5</t>
  </si>
  <si>
    <t>Hyundai i30</t>
  </si>
  <si>
    <t>Chevrolet Lacetti</t>
  </si>
  <si>
    <t>Chery Tiggo 8</t>
  </si>
  <si>
    <t>Haval Jolion</t>
  </si>
  <si>
    <t>Hyundai Palisade</t>
  </si>
  <si>
    <t>Kia Seltos</t>
  </si>
  <si>
    <t>Toyota Land Cruiser Prado</t>
  </si>
  <si>
    <t>Toyota Land Cruiser</t>
  </si>
  <si>
    <t>ChangAn UNI-K</t>
  </si>
  <si>
    <t>Geely Coolray</t>
  </si>
  <si>
    <t>Lada Granta</t>
  </si>
  <si>
    <t>Subaru Forester</t>
  </si>
  <si>
    <t>Toyota Corolla</t>
  </si>
  <si>
    <t>Haval Dargo</t>
  </si>
  <si>
    <t>JAC T6</t>
  </si>
  <si>
    <t>Chevrolet Tracker</t>
  </si>
  <si>
    <t>Jetour X90</t>
  </si>
  <si>
    <t>Chevrolet Spark</t>
  </si>
  <si>
    <t>OMODA C5</t>
  </si>
  <si>
    <t>Kia Sedona</t>
  </si>
  <si>
    <t>Chevrolet Damas</t>
  </si>
  <si>
    <t>ChangAn CS35</t>
  </si>
  <si>
    <t>Lada Largus</t>
  </si>
  <si>
    <t>Toyota Hilux</t>
  </si>
  <si>
    <t>Kia Soul</t>
  </si>
  <si>
    <t>Chevrolet Equinox</t>
  </si>
  <si>
    <t>Lada Niva 2121</t>
  </si>
  <si>
    <t>УАЗ 452</t>
  </si>
  <si>
    <t>Hyundai Staria</t>
  </si>
  <si>
    <t>Lada Niva 2131 (4x4)</t>
  </si>
  <si>
    <t>JAC S5 (Eagle)</t>
  </si>
  <si>
    <t>JAC Sunray</t>
  </si>
  <si>
    <t>Haval F7</t>
  </si>
  <si>
    <t>Renault Duster</t>
  </si>
  <si>
    <t>Nissan X-Trail</t>
  </si>
  <si>
    <t>Nissan Dualis</t>
  </si>
  <si>
    <t>Nissan Terrano</t>
  </si>
  <si>
    <t>Volkswagen Tiguan</t>
  </si>
  <si>
    <t>Mitsubishi Outlander</t>
  </si>
  <si>
    <t>Renault Arkana</t>
  </si>
  <si>
    <t>JAC Refine S3</t>
  </si>
  <si>
    <t>Renault Logan</t>
  </si>
  <si>
    <t>Renault Sandero</t>
  </si>
  <si>
    <t>Renault Captur</t>
  </si>
  <si>
    <t>УАЗ Patriot</t>
  </si>
  <si>
    <t>Chevrolet Malibu</t>
  </si>
  <si>
    <t>Ravon Nexia R3</t>
  </si>
  <si>
    <t>Ravon R4</t>
  </si>
  <si>
    <t>Chevrolet Niva</t>
  </si>
  <si>
    <t>Hyundai H350</t>
  </si>
  <si>
    <t>Lada XRAY</t>
  </si>
  <si>
    <t>Skoda Octavia</t>
  </si>
  <si>
    <t>Toyota Highlander</t>
  </si>
  <si>
    <t>Mazda CX-5</t>
  </si>
  <si>
    <t>УАЗ Hunter</t>
  </si>
  <si>
    <t>Итого</t>
  </si>
  <si>
    <t>ChangAn</t>
  </si>
  <si>
    <t>Subaru</t>
  </si>
  <si>
    <t>OMODA</t>
  </si>
  <si>
    <t>GAC</t>
  </si>
  <si>
    <t>Mercedes-Benz</t>
  </si>
  <si>
    <t>FAW</t>
  </si>
  <si>
    <t>DongFeng</t>
  </si>
  <si>
    <t>HongQi</t>
  </si>
  <si>
    <t>Great Wall</t>
  </si>
  <si>
    <t>Foton</t>
  </si>
  <si>
    <t>Jaguar</t>
  </si>
  <si>
    <t>Остальные</t>
  </si>
  <si>
    <t>УАЗ</t>
  </si>
  <si>
    <t>Daewoo</t>
  </si>
  <si>
    <t>Genesis</t>
  </si>
  <si>
    <t>Mazda</t>
  </si>
  <si>
    <t>Isuzu</t>
  </si>
  <si>
    <t>Skoda</t>
  </si>
  <si>
    <t>Ravon</t>
  </si>
  <si>
    <t>Suzuki</t>
  </si>
  <si>
    <t>Lifan</t>
  </si>
  <si>
    <t>Ankai</t>
  </si>
  <si>
    <t>Peugeot</t>
  </si>
  <si>
    <t>Ford</t>
  </si>
  <si>
    <t>Rolls-Royce</t>
  </si>
  <si>
    <t>Год продаж</t>
  </si>
  <si>
    <t>Кол-во проданных</t>
  </si>
  <si>
    <t>Год</t>
  </si>
  <si>
    <t>янв.-фев. 2024</t>
  </si>
  <si>
    <t>Дата</t>
  </si>
  <si>
    <t>Количество, шт.</t>
  </si>
  <si>
    <t>Общий итог</t>
  </si>
  <si>
    <t>2019</t>
  </si>
  <si>
    <t>2020</t>
  </si>
  <si>
    <t>2021</t>
  </si>
  <si>
    <t>2023</t>
  </si>
  <si>
    <t>2024</t>
  </si>
  <si>
    <t>Rows</t>
  </si>
  <si>
    <t>Корея</t>
  </si>
  <si>
    <t>Страна</t>
  </si>
  <si>
    <t>Китай</t>
  </si>
  <si>
    <t>Чехия</t>
  </si>
  <si>
    <t>Франция</t>
  </si>
  <si>
    <t>Германия</t>
  </si>
  <si>
    <t>Япония</t>
  </si>
  <si>
    <t>Россия</t>
  </si>
  <si>
    <t>Швеция</t>
  </si>
  <si>
    <t>Узбекистан</t>
  </si>
  <si>
    <t>Великобритания</t>
  </si>
  <si>
    <t>США</t>
  </si>
  <si>
    <t>Car Model</t>
  </si>
  <si>
    <t>Transmission</t>
  </si>
  <si>
    <t>Economy</t>
  </si>
  <si>
    <t>Luxury</t>
  </si>
  <si>
    <t>Business</t>
  </si>
  <si>
    <t>Позиционирование</t>
  </si>
  <si>
    <t>Год основания</t>
  </si>
  <si>
    <t>Есть ли производство</t>
  </si>
  <si>
    <t>Нет</t>
  </si>
  <si>
    <t>Крупноузловая</t>
  </si>
  <si>
    <t>Сборка в Казахстане</t>
  </si>
  <si>
    <t>Fuel Type</t>
  </si>
  <si>
    <t>Size</t>
  </si>
  <si>
    <t>Мин. (USD)</t>
  </si>
  <si>
    <t>Макс. (USD)</t>
  </si>
  <si>
    <t>Тип</t>
  </si>
  <si>
    <t>Средняя цена (USD)</t>
  </si>
  <si>
    <t>Трансмиссия</t>
  </si>
  <si>
    <t>Топливо</t>
  </si>
  <si>
    <t>Класс</t>
  </si>
  <si>
    <t>Размер</t>
  </si>
  <si>
    <t>Мощность л.с.</t>
  </si>
  <si>
    <t>Расход топлива (km/L)</t>
  </si>
  <si>
    <t>Хэтчбэк</t>
  </si>
  <si>
    <t>Пикап</t>
  </si>
  <si>
    <t>Седан</t>
  </si>
  <si>
    <t>Минивэн</t>
  </si>
  <si>
    <t>Универсал</t>
  </si>
  <si>
    <t>Внедорожник</t>
  </si>
  <si>
    <t>Кроссовер</t>
  </si>
  <si>
    <t>АКПП</t>
  </si>
  <si>
    <t>МКПП</t>
  </si>
  <si>
    <t>МКПП, АКПП</t>
  </si>
  <si>
    <t>Дизель</t>
  </si>
  <si>
    <t>Бензин</t>
  </si>
  <si>
    <t>Бензин, Дизель</t>
  </si>
  <si>
    <t>Бензин, Дизель, Гибрид</t>
  </si>
  <si>
    <t>Бензин, Гибрид</t>
  </si>
  <si>
    <t>Комфорт</t>
  </si>
  <si>
    <t>Эконом</t>
  </si>
  <si>
    <t>Люкс</t>
  </si>
  <si>
    <t>Большой</t>
  </si>
  <si>
    <t>Маленький</t>
  </si>
  <si>
    <t>Средний</t>
  </si>
  <si>
    <t>.</t>
  </si>
  <si>
    <t>до 100 л.с.</t>
  </si>
  <si>
    <t>от 100 до 150 л.с.</t>
  </si>
  <si>
    <t>от 150 до 250 л.с.</t>
  </si>
  <si>
    <t>от 250 л.с.</t>
  </si>
  <si>
    <t>до 10K$</t>
  </si>
  <si>
    <t>от 10К до 15K$</t>
  </si>
  <si>
    <t>от 15К до 20K$</t>
  </si>
  <si>
    <t>от 20К до 25K$</t>
  </si>
  <si>
    <t>от 25K$</t>
  </si>
  <si>
    <t>Цена</t>
  </si>
  <si>
    <t>Годы (Дата)</t>
  </si>
  <si>
    <t>2022</t>
  </si>
  <si>
    <t>Сборка в КЗ</t>
  </si>
  <si>
    <t>Model Name</t>
  </si>
  <si>
    <t>Car Type</t>
  </si>
  <si>
    <t>Car Class</t>
  </si>
  <si>
    <t>HP</t>
  </si>
  <si>
    <t>Fuel Use (km/L)</t>
  </si>
  <si>
    <t>First Mfg.</t>
  </si>
  <si>
    <t>Main Factory</t>
  </si>
  <si>
    <t>MG HS</t>
  </si>
  <si>
    <t>MG ZS EV</t>
  </si>
  <si>
    <t>MG EHS</t>
  </si>
  <si>
    <t>MG Marvel R Electric</t>
  </si>
  <si>
    <t>MG Extender</t>
  </si>
  <si>
    <t>MG Astor</t>
  </si>
  <si>
    <t>MG Hector</t>
  </si>
  <si>
    <t>MG Comet EV</t>
  </si>
  <si>
    <t>MG Gloster</t>
  </si>
  <si>
    <t>MG Hector Plus</t>
  </si>
  <si>
    <t>MG GT</t>
  </si>
  <si>
    <t>MG RX5</t>
  </si>
  <si>
    <t>MG RX8</t>
  </si>
  <si>
    <t>MG 3</t>
  </si>
  <si>
    <t>MG 4 EV</t>
  </si>
  <si>
    <t>MG 5 EV</t>
  </si>
  <si>
    <t>Родстер</t>
  </si>
  <si>
    <t>Лифтбэк</t>
  </si>
  <si>
    <t>Мини</t>
  </si>
  <si>
    <t>до 10 л/км</t>
  </si>
  <si>
    <t>от 10 до 15 л/км</t>
  </si>
  <si>
    <t>от 15 л/км</t>
  </si>
  <si>
    <t>Мин. ₸</t>
  </si>
  <si>
    <t>Макс. ₸</t>
  </si>
  <si>
    <t>Перевод в USD из ₸</t>
  </si>
  <si>
    <t>Разница с  глобальными ценами</t>
  </si>
  <si>
    <t>Средняя цена ₸</t>
  </si>
  <si>
    <t>Средняя разница</t>
  </si>
  <si>
    <t>Медиана</t>
  </si>
  <si>
    <t>Средняя цена млн. ₸</t>
  </si>
  <si>
    <t>Мин. млн. ₸</t>
  </si>
  <si>
    <t>Макс. млн. ₸</t>
  </si>
  <si>
    <t xml:space="preserve">до 10 млн. ₸ </t>
  </si>
  <si>
    <t xml:space="preserve">от 10 до 15 млн. ₸ </t>
  </si>
  <si>
    <t xml:space="preserve">от 15 до 20 млн. ₸ </t>
  </si>
  <si>
    <t xml:space="preserve">от 20 до 40 млн. ₸ </t>
  </si>
  <si>
    <t xml:space="preserve">от 40 млн. ₸ </t>
  </si>
  <si>
    <t>Сумма проданных в млн. USD (local)</t>
  </si>
  <si>
    <t>Сумма проданных в млн. USD (global)</t>
  </si>
  <si>
    <t>Сумма проданных в  млрд. ₸</t>
  </si>
  <si>
    <t>Объем рынка млрд. ₸</t>
  </si>
  <si>
    <t>Объем рынка в млн. USD (local)</t>
  </si>
  <si>
    <t>Объем рынка в млн. USD (global)</t>
  </si>
  <si>
    <t>Виды и категории транспортных средств</t>
  </si>
  <si>
    <t>Базовая ставка утильсбора</t>
  </si>
  <si>
    <t>Коэффициенты, применяемые к базовой ставке утильсбора</t>
  </si>
  <si>
    <t>Сумма утильсбора в тенге</t>
  </si>
  <si>
    <t>От 1 001 см³ до 2 000 см³</t>
  </si>
  <si>
    <t>50 МРП</t>
  </si>
  <si>
    <t>От 2 001 см³ до 3 000 см³</t>
  </si>
  <si>
    <t>3.5</t>
  </si>
  <si>
    <t>Предположим, нам удалось купить бу авто за 8,000$;</t>
  </si>
  <si>
    <t>Доставка будет стоить еще 2,500$;</t>
  </si>
  <si>
    <t>Таможенный сбор составить около 50 долларов или 20 000 тенге;</t>
  </si>
  <si>
    <t>Итог: 10 550 $. От этой суммы считается пошлина;</t>
  </si>
  <si>
    <t>Растаможка Camry старше 7 лет обойдется в 15 % (это около 2,000$) от таможенной цены, включающей в себя цифру, прописанную в инвойсе, стоимость доставки и таможенный сбор;</t>
  </si>
  <si>
    <t>Оплата НДС (12 % от таможенной стоимости + пошлины, то есть около 1,500$ за Camry);</t>
  </si>
  <si>
    <t>Утильсбор (за двигатель объёмом от 2 001 до 3 000 куб. см: 500 МРП — около 3200 долларов);</t>
  </si>
  <si>
    <t>Сбор за первичную регистрацию (за легковые, старше трёх лет: 500 МРП — около 3200 долларов). Это говорит о том, что выгоднее всего везти бу авто из США не старше 3 лет;</t>
  </si>
  <si>
    <t>Получение свидетельства о безопасности конструкции ТС и оборудование его кнопкой ЭВАК (EVAC) в аттестованном установочном центре ( около 600 долларов).</t>
  </si>
  <si>
    <t>МРП 3 450 тенге</t>
  </si>
  <si>
    <t>НДС по ставке 12%</t>
  </si>
  <si>
    <t>таможенная пошлина в размере 15%</t>
  </si>
  <si>
    <t>Пример расчета:</t>
  </si>
  <si>
    <t>таможенный сбор (6+ МРП) 30 тысяч тенге</t>
  </si>
  <si>
    <t>Категория и год выпуска</t>
  </si>
  <si>
    <t>Ставки (МРП)</t>
  </si>
  <si>
    <t>Сумма сбора в 2024 году (тг)</t>
  </si>
  <si>
    <t>Электромобили (М1), за исключением гибридов:</t>
  </si>
  <si>
    <t>0.25</t>
  </si>
  <si>
    <t>До 2 лет, включая год выпуска (2024–2023)</t>
  </si>
  <si>
    <t>Легковые авто (М1), за исключением электромобилей:</t>
  </si>
  <si>
    <t>Сумма утильсбора в тенге (мой расчет)</t>
  </si>
  <si>
    <t>Доставка в USD</t>
  </si>
  <si>
    <t>Пошлина в %</t>
  </si>
  <si>
    <t>НДС в %</t>
  </si>
  <si>
    <t>Надбавка на гарантийный ремонт</t>
  </si>
  <si>
    <t>Наценка дистрибьютора</t>
  </si>
  <si>
    <t>Разница в цене от первоначальной</t>
  </si>
  <si>
    <t>Курс Юаня к USD</t>
  </si>
  <si>
    <t>Цена авто в автосалоне в USD</t>
  </si>
  <si>
    <t>Наценка дилера, в %</t>
  </si>
  <si>
    <t>Наценка дилера, в USD</t>
  </si>
  <si>
    <t>Наценка дистрибьютора, в USD</t>
  </si>
  <si>
    <t>Китайская пошлина на вывоз авто, в %</t>
  </si>
  <si>
    <t>Наименование</t>
  </si>
  <si>
    <t>Значение</t>
  </si>
  <si>
    <t>Надбавка на гарантийный ремонт, в USD</t>
  </si>
  <si>
    <t>Китайская пошлина на вывоз авто, в KZT</t>
  </si>
  <si>
    <t>Цена авто с доставкой в KZT</t>
  </si>
  <si>
    <t>Доставка в KZT</t>
  </si>
  <si>
    <t>Курс KZT</t>
  </si>
  <si>
    <t>Таможенный сбор, KZT</t>
  </si>
  <si>
    <t>Цена авто с таможенным сбором, KZT</t>
  </si>
  <si>
    <t>Пошлина, KZT</t>
  </si>
  <si>
    <t>Цена авто в Китае в KZT</t>
  </si>
  <si>
    <t>Цена авто в Китае в USD</t>
  </si>
  <si>
    <t>НДС в KZT</t>
  </si>
  <si>
    <t>Цена авто после уплаты НДС, KZT</t>
  </si>
  <si>
    <t>Утильсбор, KZT</t>
  </si>
  <si>
    <t>Цена авто после уплаты утильсбора, KZT</t>
  </si>
  <si>
    <t>Сбор за первичную регистрацию, KZT</t>
  </si>
  <si>
    <t>Цена авто после первиной регистрации, KZT</t>
  </si>
  <si>
    <t>Свидетельство о безопасности и ЭВАК, KZT</t>
  </si>
  <si>
    <t>Итоговая цена авто в Казахстане, KZT</t>
  </si>
  <si>
    <t>Надбавка на гарантийный ремонт, в KZT</t>
  </si>
  <si>
    <t>Наценка дистрибьютора, в KZT</t>
  </si>
  <si>
    <t>Цена авто для дилера, KZT</t>
  </si>
  <si>
    <t>Наценка дилера, в KZT</t>
  </si>
  <si>
    <t>Цена авто в автосалоне в KZT</t>
  </si>
  <si>
    <t>Цена авто после уплаты пошлины, KZT</t>
  </si>
  <si>
    <t>Стоимость авто после таможни Китая, KZT</t>
  </si>
  <si>
    <t>Курс KZT к USD</t>
  </si>
  <si>
    <t>Удорожание на</t>
  </si>
  <si>
    <t>Скидка для дистрибьютора от производителя</t>
  </si>
  <si>
    <t>Стоимость авто в Китае с учетом скидки, USD</t>
  </si>
  <si>
    <t>Стоимость авто в Китае с учетом скидки, KZT</t>
  </si>
  <si>
    <t>Wholesale Price in China, USD</t>
  </si>
  <si>
    <r>
      <t xml:space="preserve"> </t>
    </r>
    <r>
      <rPr>
        <sz val="11"/>
        <color theme="1"/>
        <rFont val="Calibri"/>
        <family val="2"/>
        <charset val="204"/>
        <scheme val="minor"/>
      </rPr>
      <t xml:space="preserve">Wholesale </t>
    </r>
    <r>
      <rPr>
        <sz val="11"/>
        <color theme="1"/>
        <rFont val="Calibri"/>
        <family val="2"/>
        <scheme val="minor"/>
      </rPr>
      <t>Average price in China, CNY</t>
    </r>
  </si>
  <si>
    <t>Wholesale Max. Price in China, CNY</t>
  </si>
  <si>
    <t>Wholesale Min. Price in China, CNY</t>
  </si>
  <si>
    <t>Стоимость авто в Казахстане для дилера, KZT</t>
  </si>
  <si>
    <t>Стоимость авто в Казахстане для потребителя, KZT</t>
  </si>
  <si>
    <t>Стоимость авто в Казахстане для дилера, USD</t>
  </si>
  <si>
    <t>Стоимость авто в Казахстане для потребителя, USD</t>
  </si>
  <si>
    <t>Стоимость авто в России для потребителя, руб.</t>
  </si>
  <si>
    <t>MG 7</t>
  </si>
  <si>
    <t>MG 5</t>
  </si>
  <si>
    <t>Стоимость авто в России для потребителя, USD</t>
  </si>
  <si>
    <t>Индия</t>
  </si>
  <si>
    <t>Тайланд</t>
  </si>
  <si>
    <t>(Все)</t>
  </si>
  <si>
    <t>х</t>
  </si>
  <si>
    <t>Стоимость модели 1, 2, 3, n</t>
  </si>
  <si>
    <t>+</t>
  </si>
  <si>
    <t>Маржа для модели 1, 2, 3, n</t>
  </si>
  <si>
    <t>Себестоимость модели 1, 2, 3, n для дистрибьютора</t>
  </si>
  <si>
    <t>Общий объем продаж модели 1, 2, 3, n</t>
  </si>
  <si>
    <t>Объем продаж модели 1, 2, 3, n через оффлайн каналы продаж</t>
  </si>
  <si>
    <t>Объем продаж модели 1, 2, 3, n через онлайн каналы продаж</t>
  </si>
  <si>
    <t>Объем продаж модели 1, 2, 3, n через Автомобильные выставки</t>
  </si>
  <si>
    <t>Объем продаж модели 1, 2, 3, n через Автосалоны субдилеров</t>
  </si>
  <si>
    <t>Выручка от обучения и сертификации персонала СЦ дилеров</t>
  </si>
  <si>
    <t>Объем продаж модели 1, 2, 3, n через Собственные автосалоны</t>
  </si>
  <si>
    <t>Объем продаж автомобилей в Автосалонах субдилеров</t>
  </si>
  <si>
    <t>Доля продаж наших  автомобилей модели 1, 2, 3, n в Автосалонах субдилеров</t>
  </si>
  <si>
    <t>Входящие лиды</t>
  </si>
  <si>
    <t>Конверсия в продажи</t>
  </si>
  <si>
    <t>Объем продаж модели 1, 2, 3, n через Агрегаторы объявлений</t>
  </si>
  <si>
    <t>Объем продаж автомобилей на Автомобильных выставках</t>
  </si>
  <si>
    <t>Доля продаж наших  автомобилей модели 1, 2, 3, n на Автомобильных выставках</t>
  </si>
  <si>
    <t>Выручка от продаж запасных частей</t>
  </si>
  <si>
    <t>Финансовый результат от собственных дилеских центров</t>
  </si>
  <si>
    <t>Количество проданных запасных частей</t>
  </si>
  <si>
    <t>Средний чек SKU</t>
  </si>
  <si>
    <t>Количество обученных и сертифицированных механиков</t>
  </si>
  <si>
    <t>Стоимость услуги</t>
  </si>
  <si>
    <t>Количество дилерских центров</t>
  </si>
  <si>
    <t>Средний финансовый результат от деятельности</t>
  </si>
  <si>
    <t>Объем продаж автомобилей через Агрегаторы объявлений</t>
  </si>
  <si>
    <t>Доля продаж наших  автомобилей модели 1, 2, 3, n через Агрегаторы объявлений</t>
  </si>
  <si>
    <t>Выручка от продажи всех автомобилей = Выручка от продажи автомобилей модели 1 + Выручка от продажи автомобилей модели 2 + … + Выручка от продажи автомобилей модели n</t>
  </si>
  <si>
    <t>Общепроизводственные расходы</t>
  </si>
  <si>
    <t>Административные расходы</t>
  </si>
  <si>
    <t>Коммерческие расходы</t>
  </si>
  <si>
    <t>Доходы дилерских центров</t>
  </si>
  <si>
    <t>Расходы дилерских центров</t>
  </si>
  <si>
    <t>REVENUES</t>
  </si>
  <si>
    <t>COSTS</t>
  </si>
  <si>
    <t>PROFIT</t>
  </si>
  <si>
    <t>Объем продаж автомобилей через Блогеров-селлеров</t>
  </si>
  <si>
    <t>Объем продаж модели 1, 2, 3, n через Блогеров-селлеров</t>
  </si>
  <si>
    <t>Доля продаж наших  автомобилей модели 1, 2, 3, n через Блогеров-селлеров</t>
  </si>
  <si>
    <t>Объем продаж модели 1, 2, 3, n через Автомобильные рынки</t>
  </si>
  <si>
    <t>Объем продаж автомобилей на Автомобильных рынках</t>
  </si>
  <si>
    <t>Доля продаж наших  автомобилей модели 1, 2, 3, n на Автомобильных рынках</t>
  </si>
  <si>
    <t>Микроавтобус</t>
  </si>
  <si>
    <t>г. Астана</t>
  </si>
  <si>
    <t>г. Шымкент</t>
  </si>
  <si>
    <t>Численность на начало 2022г.</t>
  </si>
  <si>
    <t>Численность на начало 2023г.</t>
  </si>
  <si>
    <t xml:space="preserve">Республика Казахстан </t>
  </si>
  <si>
    <t>Область Абай</t>
  </si>
  <si>
    <t>Акмолинская</t>
  </si>
  <si>
    <t>Актюбинская</t>
  </si>
  <si>
    <t>Алматинская</t>
  </si>
  <si>
    <t>Атырауская</t>
  </si>
  <si>
    <t>Западно-Казахстанская</t>
  </si>
  <si>
    <t>Жамбылская</t>
  </si>
  <si>
    <t>Область Жетісу</t>
  </si>
  <si>
    <t>Карагандинская</t>
  </si>
  <si>
    <t>Костанайская</t>
  </si>
  <si>
    <t>Кызылординская</t>
  </si>
  <si>
    <t>Мангистауская</t>
  </si>
  <si>
    <t>Павлодарская</t>
  </si>
  <si>
    <t>Северо-Казахстанская</t>
  </si>
  <si>
    <t>Туркестанская</t>
  </si>
  <si>
    <t>Область Ұлытау</t>
  </si>
  <si>
    <t>Восточно-Казахстанская</t>
  </si>
  <si>
    <t>Уровень инфляции</t>
  </si>
  <si>
    <t>Безработица</t>
  </si>
  <si>
    <t>CAGR</t>
  </si>
  <si>
    <t>Население, млн. чел.</t>
  </si>
  <si>
    <t>Государственный долг, в млрд.USD</t>
  </si>
  <si>
    <t>ВВП, в млрд.USD</t>
  </si>
  <si>
    <t>ВВП на душу населения, в USD</t>
  </si>
  <si>
    <t>ВВП на душу населения по ППС, в USD</t>
  </si>
  <si>
    <t>ВВП по ППС, в млрд.USD</t>
  </si>
  <si>
    <t>Государственный долг, в % от ВВП</t>
  </si>
  <si>
    <t>Средняя зарплата, в USD</t>
  </si>
  <si>
    <t>Сальдо миграции населения, чел.</t>
  </si>
  <si>
    <t>Численность на начало 2021г.</t>
  </si>
  <si>
    <t>Численность на начало 2020г.</t>
  </si>
  <si>
    <t>Численность на начало 2019г.</t>
  </si>
  <si>
    <t>Республика Казахстан</t>
  </si>
  <si>
    <t>kolesa.kz</t>
  </si>
  <si>
    <t>Всего объявлений о продаже легковых автомобилей</t>
  </si>
  <si>
    <t>Из них о продаже новых</t>
  </si>
  <si>
    <t>Год выпуска 2024</t>
  </si>
  <si>
    <t>Год выпуска 2023</t>
  </si>
  <si>
    <t>Год выпуска 2022</t>
  </si>
  <si>
    <t>Год выпуска 2021</t>
  </si>
  <si>
    <t>Год выпуска 2016-2020</t>
  </si>
  <si>
    <t>Год выпуска 2011-2015</t>
  </si>
  <si>
    <t>Год выпуска 2006-2010</t>
  </si>
  <si>
    <t>Год выпуска 2001-2005</t>
  </si>
  <si>
    <t>Год выпуска до 2001</t>
  </si>
  <si>
    <t>Количество</t>
  </si>
  <si>
    <t>Доля</t>
  </si>
  <si>
    <t>Механика</t>
  </si>
  <si>
    <t>Автомат</t>
  </si>
  <si>
    <t>Газ-Бензин</t>
  </si>
  <si>
    <t>Гибрид</t>
  </si>
  <si>
    <t>Электричество</t>
  </si>
  <si>
    <t>Кабриолет</t>
  </si>
  <si>
    <t>Передний привод</t>
  </si>
  <si>
    <t>Полный привод</t>
  </si>
  <si>
    <t>Задний привод</t>
  </si>
  <si>
    <t>От дилеров</t>
  </si>
  <si>
    <t>Новая от дилеров</t>
  </si>
  <si>
    <t>Объем двигателя до 1,5 л.</t>
  </si>
  <si>
    <t>Объем двигателя от 1,5 до 2,5 л.</t>
  </si>
  <si>
    <t>Объем двигателя от 2,5 до 4 л.</t>
  </si>
  <si>
    <t>Объем двигателя от 4 л.</t>
  </si>
  <si>
    <t xml:space="preserve">Южная Корея </t>
  </si>
  <si>
    <t>Год выпуска 2021-2024</t>
  </si>
  <si>
    <t>Одобрение типа транспортного средства для дилеров китайского автопрома – это документ, который содержит исчерпывающие технические данные на партию автомобилей, планируемых к перевозке из КНР в РФ или страны Таможенного союза. Стоит отметить, что если из Китая планируется перевозить не партию, а лишь несколько автомобилей, то в этом случае нужно будет оформить только СБКТС</t>
  </si>
  <si>
    <t>Стоимость, USD</t>
  </si>
  <si>
    <t>Получение WMI</t>
  </si>
  <si>
    <t>Получение ISO</t>
  </si>
  <si>
    <t>Этап 1 Предварительная подготовка документов</t>
  </si>
  <si>
    <t>Этап 2 Подача заявки н ОТТС</t>
  </si>
  <si>
    <t>от 15 дней</t>
  </si>
  <si>
    <t>от 50  дней</t>
  </si>
  <si>
    <t>от 7 дней</t>
  </si>
  <si>
    <t>1 день</t>
  </si>
  <si>
    <t>Рассмотрение заяки</t>
  </si>
  <si>
    <t>15 дней</t>
  </si>
  <si>
    <t>Проверочные процедуры</t>
  </si>
  <si>
    <t>Сертификационные проверки</t>
  </si>
  <si>
    <t xml:space="preserve"> от 10 дней</t>
  </si>
  <si>
    <t>Подготовка и оформление документа о соответствии автомобиля нормативам</t>
  </si>
  <si>
    <t>от 10 дней</t>
  </si>
  <si>
    <t>Сроки</t>
  </si>
  <si>
    <t>Подготовка зявки на свидетельство</t>
  </si>
  <si>
    <t>от 65 дней</t>
  </si>
  <si>
    <t>Регистрация и получение документа об одобрении</t>
  </si>
  <si>
    <t>Расходы на "сопровождение" документов</t>
  </si>
  <si>
    <t>Абай</t>
  </si>
  <si>
    <t>Жетісу</t>
  </si>
  <si>
    <t>Южно-Казахстанская</t>
  </si>
  <si>
    <t>Ұлытау</t>
  </si>
  <si>
    <t>Дипломатические номера</t>
  </si>
  <si>
    <t>Не указан регион</t>
  </si>
  <si>
    <t>Наличие легковых автомобилей</t>
  </si>
  <si>
    <t>тыс. единиц</t>
  </si>
  <si>
    <t>г.Астана</t>
  </si>
  <si>
    <t xml:space="preserve">г.Алматы  </t>
  </si>
  <si>
    <t>г.Шымкент</t>
  </si>
  <si>
    <t>Наличие легковых автомобилей у индивидуальных владельцев</t>
  </si>
  <si>
    <t>Обеспеченность населения легковыми автомобилями в личной собственности</t>
  </si>
  <si>
    <t>единиц на 100 человек постоянного населения</t>
  </si>
  <si>
    <t>По принадлежности</t>
  </si>
  <si>
    <t>Обеспеченность населения легковыми автомобилями в личной собственности на 100 человек населения</t>
  </si>
  <si>
    <t>физическим лицам</t>
  </si>
  <si>
    <t>юридическим лицам</t>
  </si>
  <si>
    <t>легковые автомобили</t>
  </si>
  <si>
    <t>Доля рынка ТОП-5 брендов</t>
  </si>
  <si>
    <t>Доля рынка ТОП-10 брендов</t>
  </si>
  <si>
    <t>Доля рынка ТОП-5 моделей</t>
  </si>
  <si>
    <t>Доля рынка ТОП-10 моделей</t>
  </si>
  <si>
    <t>Доля рынка ТОП-15 моделей</t>
  </si>
  <si>
    <t>Обеспеченность населения автомобилем, шт. на 100 человек</t>
  </si>
  <si>
    <t>Доля регистраций легковых авто юр. лицами, %</t>
  </si>
  <si>
    <t>Доля автомобилей принадлежащих юр. лицам, %</t>
  </si>
  <si>
    <t>Темп прироста количества легковых автомобилей по отношению к предыдущему периоду, %</t>
  </si>
  <si>
    <t>Номинальный прирост количества легковых автомобилей период к периоду, шт.</t>
  </si>
  <si>
    <t>Количество легковых автомобилей всего в Казахстане,  шт.</t>
  </si>
  <si>
    <t>Количество регистраций легковых авто юр. лицами, шт.</t>
  </si>
  <si>
    <t>Всего регистраций легковых автомобилей за период, шт.</t>
  </si>
  <si>
    <t>Средний курс KZT к USD за год</t>
  </si>
  <si>
    <t>Экспорт, млн. USD</t>
  </si>
  <si>
    <t>Импорт, млн. USD</t>
  </si>
  <si>
    <t>Соотношение импорта и экспорта</t>
  </si>
  <si>
    <t>Количество регистраций легковых с двигателем до 1500 куб. см, шт.</t>
  </si>
  <si>
    <t>Количество регистраций легковых с двигателем от 1500 до 2000 куб. см</t>
  </si>
  <si>
    <t>Количество регистраций легковых с двигателем от 2500 до 4000 куб. см</t>
  </si>
  <si>
    <t>Количество регистраций легковых с двигателем от 2000 до 2500 куб. см</t>
  </si>
  <si>
    <t>Количество регистраций легковых электромобилей</t>
  </si>
  <si>
    <t>Количество регистраций легковых автомобилей с двигателем свыше 4000 куб.см</t>
  </si>
  <si>
    <t>Количество регистраций легковых автомобилей не старше 3 лет</t>
  </si>
  <si>
    <t>Количество регистраций легковых автомобилей возрастом более 3 лет, но не более 7 лет</t>
  </si>
  <si>
    <t>Количество регистраций легковых автомобилей возрастом  более 7 лет, но не более 10 лет</t>
  </si>
  <si>
    <t>Количество регистраций легковых автомобилей возрастом более 10 лет</t>
  </si>
  <si>
    <t>Количество регистраций легковых автомобилей возрастом  более 20 лет</t>
  </si>
  <si>
    <t xml:space="preserve">Количество регистраций легковых автомобилей с бензиновым двигателем </t>
  </si>
  <si>
    <t>Количество регистраций легковых автомобилей с дизельным двигателем</t>
  </si>
  <si>
    <t xml:space="preserve">Количество регистраций легковых автомобилей с газовым двигателем </t>
  </si>
  <si>
    <t>Количество регистраций легковых автомобилей со смешанным топливом</t>
  </si>
  <si>
    <t>Количество легковых с двигателем до 1500 куб. см, шт.</t>
  </si>
  <si>
    <t>Количество легковых с двигателем от 1500 до 2000 куб. см</t>
  </si>
  <si>
    <t>Количество легковых с двигателем от 2000 до 2500 куб. см</t>
  </si>
  <si>
    <t>Количество легковых с двигателем от 2500 до 4000 куб. см</t>
  </si>
  <si>
    <t>Количество легковых автомобилей с двигателем свыше 4000 куб.см</t>
  </si>
  <si>
    <t xml:space="preserve">Количество легковых автомобилей с бензиновым двигателем </t>
  </si>
  <si>
    <t>Количество легковых автомобилей с дизельным двигателем</t>
  </si>
  <si>
    <t xml:space="preserve">Количество легковых автомобилей с газовым двигателем </t>
  </si>
  <si>
    <t>Количество легковых автомобилей со смешанным топливом</t>
  </si>
  <si>
    <t>Количество легковых электромобилей</t>
  </si>
  <si>
    <t>Количество легковых автомобилей не старше 3 лет</t>
  </si>
  <si>
    <t>Количество легковых автомобилей возрастом более 3 лет, но не более 7 лет</t>
  </si>
  <si>
    <t>Количество легковых автомобилей возрастом  более 7 лет, но не более 10 лет</t>
  </si>
  <si>
    <t>Количество легковых автомобилей возрастом более 10 лет</t>
  </si>
  <si>
    <t>Доля регистраций легковых с двигателем от 1500 до 2000 куб. см</t>
  </si>
  <si>
    <t>Доля регистраций легковых с двигателем от 2000 до 2500 куб. см</t>
  </si>
  <si>
    <t>Доля регистраций легковых с двигателем от 2500 до 4000 куб. см</t>
  </si>
  <si>
    <t>Доля регистраций легковых автомобилей с двигателем свыше 4000 куб.см</t>
  </si>
  <si>
    <t xml:space="preserve">Доля регистраций легковых автомобилей с бензиновым двигателем </t>
  </si>
  <si>
    <t>Доля регистраций легковых автомобилей с дизельным двигателем</t>
  </si>
  <si>
    <t xml:space="preserve">Доля регистраций легковых автомобилей с газовым двигателем </t>
  </si>
  <si>
    <t>Доля регистраций легковых автомобилей со смешанным топливом</t>
  </si>
  <si>
    <t>Доля регистраций легковых электромобилей</t>
  </si>
  <si>
    <t>Доля регистраций легковых автомобилей не старше 3 лет</t>
  </si>
  <si>
    <t>Доля регистраций легковых автомобилей возрастом более 3 лет, но не более 7 лет</t>
  </si>
  <si>
    <t>Доля регистраций легковых автомобилей возрастом  более 7 лет, но не более 10 лет</t>
  </si>
  <si>
    <t>Доля регистраций легковых автомобилей возрастом более 10 лет</t>
  </si>
  <si>
    <t>Доля регистраций легковых автомобилей возрастом  более 20 лет</t>
  </si>
  <si>
    <t>Доля регистраций легковых с двигателем до 1500 куб. см, %</t>
  </si>
  <si>
    <t>Отношение купленных новых легковых автомобилей к зарегистрированным легковавтомобилям не старше  лет</t>
  </si>
  <si>
    <t>Доля легковых с двигателем от 1500 до 2000 куб. см</t>
  </si>
  <si>
    <t>Доля легковых с двигателем от 2000 до 2500 куб. см</t>
  </si>
  <si>
    <t>Доля легковых с двигателем от 2500 до 4000 куб. см</t>
  </si>
  <si>
    <t>Доля легковых автомобилей с двигателем свыше 4000 куб.см</t>
  </si>
  <si>
    <t xml:space="preserve">Доля легковых автомобилей с бензиновым двигателем </t>
  </si>
  <si>
    <t>Доля легковых автомобилей с дизельным двигателем</t>
  </si>
  <si>
    <t xml:space="preserve">Доля легковых автомобилей с газовым двигателем </t>
  </si>
  <si>
    <t>Доля легковых автомобилей со смешанным топливом</t>
  </si>
  <si>
    <t>Доля легковых электромобилей</t>
  </si>
  <si>
    <t>Доля легковых автомобилей не старше 3 лет</t>
  </si>
  <si>
    <t>Доля легковых автомобилей возрастом более 3 лет, но не более 7 лет</t>
  </si>
  <si>
    <t>Доля легковых автомобилей возрастом  более 7 лет, но не более 10 лет</t>
  </si>
  <si>
    <t>Доля легковых автомобилей возрастом более 10 лет</t>
  </si>
  <si>
    <t>Доля легковых с двигателем до 1500 куб. см, %</t>
  </si>
  <si>
    <t>Общий автопарк легковых автомобилей Казахстана</t>
  </si>
  <si>
    <t>Ключевая ставка</t>
  </si>
  <si>
    <t>Вклады физических лиц в банках, в млн. тенге</t>
  </si>
  <si>
    <t>Количество выданных автокредитов, шт.</t>
  </si>
  <si>
    <t>Средняя сумма автокредита, в млн. KZD</t>
  </si>
  <si>
    <t>Средний курс доллара, руб./$</t>
  </si>
  <si>
    <t>Статистика ПРИБЛИЗИТЕЛЬНАЯ по России, для контекста</t>
  </si>
  <si>
    <t>Объем автокредитов, руб.</t>
  </si>
  <si>
    <t>Объем автокредитов, $</t>
  </si>
  <si>
    <t>Средний размер автокредита, руб.</t>
  </si>
  <si>
    <t>Сумма выданных автокредитов, в млрд. KZD</t>
  </si>
  <si>
    <t>Сумма выданных автокредитов, в млрд. USD</t>
  </si>
  <si>
    <t>Средняя стоимость купленного автомобиля, в млн. KZD</t>
  </si>
  <si>
    <t>Темп прироста средней стоимости автомобиля купленного в Казахстане, %</t>
  </si>
  <si>
    <t>Доля регистраций проведенных не в результате купли-продажи, а в результате реального (не фиктивного) дарения, %</t>
  </si>
  <si>
    <t>Расчетное количество регистраций легковых автомобилей за период, шт.</t>
  </si>
  <si>
    <t>Расчетный объем рынка, в млрд. KZD</t>
  </si>
  <si>
    <t>Доля рынка новых легковых автомобилей в общем объеме продаж, %</t>
  </si>
  <si>
    <t>Доля автомобилей приобретаемых в кредит, %</t>
  </si>
  <si>
    <t>Импорт легковых автомобилей за период, шт.</t>
  </si>
  <si>
    <t>Сумма импорта, в млрд. USD</t>
  </si>
  <si>
    <t>Импорт легковых автомобилей за янв.-фев. периода, шт.</t>
  </si>
  <si>
    <t>Импорт легковых автомобилей за янв.-фев. периода, в млн. USD</t>
  </si>
  <si>
    <t>Темп прироста количества импорта легковых автомобилей, %</t>
  </si>
  <si>
    <t>Темп прироста объема импорта легковых автомобилей, %</t>
  </si>
  <si>
    <t xml:space="preserve"> N/A</t>
  </si>
  <si>
    <t>Сумма по полю Кол-во проданных</t>
  </si>
  <si>
    <t xml:space="preserve">Количество всех проданных </t>
  </si>
  <si>
    <t>Количество в разрезе моделей</t>
  </si>
  <si>
    <t>Разница</t>
  </si>
  <si>
    <t>Объем рынка общий млрд. ₸</t>
  </si>
  <si>
    <t>Объем рынка общий в млн. USD (local)</t>
  </si>
  <si>
    <t>Объем рынка дополнительный млрд. ₸</t>
  </si>
  <si>
    <t>Объем рынка дополнительный в млн. USD (local)</t>
  </si>
  <si>
    <t>Месяцы (Дата)</t>
  </si>
  <si>
    <t>(несколько элементов)</t>
  </si>
  <si>
    <t>янв.-фев. 2023</t>
  </si>
  <si>
    <t>Темп прироста продаж новых легковых автомобилей по отношению к аналогичному предыдущему периоду, %</t>
  </si>
  <si>
    <t>Поизводство легковых автомобилей в Казахстане, шт.</t>
  </si>
  <si>
    <t>Темп прироста производства легковых автомобилей, %</t>
  </si>
  <si>
    <t>Объем всего рынка, кредитование, импорт, производство</t>
  </si>
  <si>
    <t>Электромобиль</t>
  </si>
  <si>
    <t>Место в мировом рейтинге по выручке, по всем видам авто</t>
  </si>
  <si>
    <t>Выручка по категории Маленькие автомобили, млн. USD</t>
  </si>
  <si>
    <t>Выручка по категории Средние автомобили, млн. USD</t>
  </si>
  <si>
    <t>Выручка по категории Спортивные автомобили, млн. USD</t>
  </si>
  <si>
    <t>Выручка по категории Внедорожники, млн. USD</t>
  </si>
  <si>
    <t>Выручка по категории Пикапы, млн. USD</t>
  </si>
  <si>
    <t>Доля выручки по категории Маленькие автомобили, %</t>
  </si>
  <si>
    <t>Доля выручки по категории Средние автомобили, %</t>
  </si>
  <si>
    <t>Доля выручки по категории Спортивные автомобили, %</t>
  </si>
  <si>
    <t>Доля выручки по категории Внедорожники, %</t>
  </si>
  <si>
    <t>Доля выручки по категории Пикапы, %</t>
  </si>
  <si>
    <t>Продажи по категории Маленькие автомобили, тыс. шт.</t>
  </si>
  <si>
    <t>Продажи по категории Средние автомобили, тыс. шт.</t>
  </si>
  <si>
    <t>Продажи по категории Спортивные автомобили, тыс. шт.</t>
  </si>
  <si>
    <t>Продажи по категории Внедорожники, тыс. шт.</t>
  </si>
  <si>
    <t>Продажи по категории Пикапы, тыс. шт.</t>
  </si>
  <si>
    <t>Доля продаж по категории Маленькие автомобили, %</t>
  </si>
  <si>
    <t>Доля продаж по категории Средние автомобили, %</t>
  </si>
  <si>
    <t>Доля продаж по категории Спортивные автомобили, %</t>
  </si>
  <si>
    <t>Доля продаж по категории Внедорожники, %</t>
  </si>
  <si>
    <t>Доля продаж по категории Пикапы, %</t>
  </si>
  <si>
    <t>Выручка общая, млн. USD</t>
  </si>
  <si>
    <t>Продажи общие, тыс. шт.</t>
  </si>
  <si>
    <t>Место в мировом рейтинге по выручке, по категории Маленькие автомобили</t>
  </si>
  <si>
    <t>Место в мировом рейтинге по выручке, по категории Средние автомобили</t>
  </si>
  <si>
    <t>Место в мировом рейтинге по выручке, по категории Спортивные автомобили</t>
  </si>
  <si>
    <t>Место в мировом рейтинге по выручке, по категории Внедорожники</t>
  </si>
  <si>
    <t>Место в мировом рейтинге по выручке, по категории Пикапы</t>
  </si>
  <si>
    <t>32/60</t>
  </si>
  <si>
    <t>31/60</t>
  </si>
  <si>
    <t>29/60</t>
  </si>
  <si>
    <t>25/60</t>
  </si>
  <si>
    <t>34/56</t>
  </si>
  <si>
    <t>35/56</t>
  </si>
  <si>
    <t>31/56</t>
  </si>
  <si>
    <t>27/46</t>
  </si>
  <si>
    <t>28/46</t>
  </si>
  <si>
    <t>41/102</t>
  </si>
  <si>
    <t>49/102</t>
  </si>
  <si>
    <t>55/102</t>
  </si>
  <si>
    <t>52/102</t>
  </si>
  <si>
    <t>17/18</t>
  </si>
  <si>
    <t>45/134</t>
  </si>
  <si>
    <t>47/134</t>
  </si>
  <si>
    <t>50/134</t>
  </si>
  <si>
    <t>53/134</t>
  </si>
  <si>
    <t>52/134</t>
  </si>
  <si>
    <t>Темп прироста выручки, %</t>
  </si>
  <si>
    <t>Темп прироста продаж, %</t>
  </si>
  <si>
    <t>Бренд и его репутация</t>
  </si>
  <si>
    <t>Безопасность</t>
  </si>
  <si>
    <t>Весовой коэффициент</t>
  </si>
  <si>
    <t>Критерий оценки</t>
  </si>
  <si>
    <t>Сервис и поддержка, локализация производства</t>
  </si>
  <si>
    <t>Страна изготовитель</t>
  </si>
  <si>
    <t>Внешняя и внутренняя эстетика</t>
  </si>
  <si>
    <t>Описание</t>
  </si>
  <si>
    <t>Общий комфорт</t>
  </si>
  <si>
    <t xml:space="preserve">Качество </t>
  </si>
  <si>
    <t>уровень использованных материалов, качество окраски и сборки, износостойкость узлов и деталей и т.д.</t>
  </si>
  <si>
    <t xml:space="preserve">Пространство </t>
  </si>
  <si>
    <t>Динамические характеристики автомобиля</t>
  </si>
  <si>
    <t xml:space="preserve"> ускорение, торможение, плавность переключения передач и т.д.</t>
  </si>
  <si>
    <t>дизайн экстерьера и интерьера</t>
  </si>
  <si>
    <t>наличие систем безопасности (ABS, TRC и т.д.), количество подушек безопасности, наличие данных по краш-тестам и полученные баллы</t>
  </si>
  <si>
    <t>чем дешевле - всегда лучше (кроме класса premium - Bugatti Venom etc.)</t>
  </si>
  <si>
    <t>личный опыт и отзывы о бренде, оценка лидеров мнений, экспертов и специалистов, репутация</t>
  </si>
  <si>
    <t>наличие и бесперебойное снабжение запасными частями, максимальное количество доступных сервисных центров, наличие локализованного производства (как меньший шанс остаться без зап. частей)</t>
  </si>
  <si>
    <t>стереотипы о связи качества продукта со страной-изготовителем</t>
  </si>
  <si>
    <t>Шкала оценки</t>
  </si>
  <si>
    <t>Оцениваемый автомобиль сравним по цене с аналогом (+-10 %)</t>
  </si>
  <si>
    <t>Оцениваемый автомобиль существенно (на 20 и более %) дороже аналога</t>
  </si>
  <si>
    <t>Оцениваемый автомобиль существенно (на 10-20%) дешевле аналога</t>
  </si>
  <si>
    <t>Оцениваемый автомобиль существенно (20% и более) дешевле аналога</t>
  </si>
  <si>
    <t>Плохо, 1 балл</t>
  </si>
  <si>
    <t>Удовлетворительно, 2 балла</t>
  </si>
  <si>
    <t>Хорошо, 3 балла</t>
  </si>
  <si>
    <t>Отлично, 4 балла</t>
  </si>
  <si>
    <t>Страна изготовитель является признанным мировым лидером и имеет давнюю репутацию в сфере автомобилестроения (Германия, Япония и т.д.)</t>
  </si>
  <si>
    <t>Бренд не присутствовал ранее на рынке, не знаком потребителю</t>
  </si>
  <si>
    <t>Бренд присутствует на рынке несколько лет и представлен одной-двумя моделями</t>
  </si>
  <si>
    <t>Бренд присутствует на рынке много лет и представлен множеством моделей</t>
  </si>
  <si>
    <t>Бренд является признанным мировым лидером и имеет давнюю репутацию в сфере автомобилестроения (БМВ, Мерседес, Тойота и т.д.)</t>
  </si>
  <si>
    <t>Оцениваемый автомобиль не имеет сервисных центров (механики нехотя берутся за такие авто), запасные части нужно заказывать и он не локализован в Казахстане</t>
  </si>
  <si>
    <t>Оцениваемый автомобиль имеет авторизованные сервисные центры, запасные части в наличии и он не локализован</t>
  </si>
  <si>
    <t>Оцениваемый автомобиль имеет неавторизованные сервисные центры, запасные части можно найти в наличии и он не локализован</t>
  </si>
  <si>
    <t>Оцениваемый автомобиль имеет авторизованные сервисные центры, запасные части в наличии и он локализован в Казахстане</t>
  </si>
  <si>
    <t>Оцениваемый автомобиль не имеет систем пассивной безопасности, не имеет или имеет недостаточное количество подушек безопасности, не прошел краш-тест или прошел с плохими оценками</t>
  </si>
  <si>
    <t>Оцениваемый автомобиль не имеет базовые для своего класса системы пассивной безопасности, имеет достаточное количество подушек безопасности, не прошел краш-тест, или прошел с неплохими оценками</t>
  </si>
  <si>
    <t>Оцениваемый автомобиль не имеет базовые для своего класса системы пассивной безопасности, имеет достаточное количество подушек безопасности, прошел краш-тест с неплохими оценками</t>
  </si>
  <si>
    <t>Оцениваемый автомобиль не имеет дополнительные системы пассивной безопасности, имеет максимальное количество подушек безопасности, прошел краш-тест с хорошими оценками</t>
  </si>
  <si>
    <t>мягкость и устойчивое поведение на дороге, шумоизоляция, наличие развлекательных систем и качество климат контроля и т.д.</t>
  </si>
  <si>
    <t>Оцениваемый автомобиль предоставляет уровень общего комфорта существенно ниже своих прямых конкурентов</t>
  </si>
  <si>
    <t>Оцениваемый автомобиль предоставляет сравнимый уровень общего комфорта со своими прямыми конкурентами</t>
  </si>
  <si>
    <t>Оцениваемый автомобиль предоставляет уровень общего комфорта превосходящий по части параметров своих прямых конкурентов</t>
  </si>
  <si>
    <t>Оцениваемый автомобиль предоставляет уровень общего комфорта существенно выше в большинстве параметров чем свои прямые конкуренты</t>
  </si>
  <si>
    <t>Оцениваемый автомобиль имеет явно некачественно изготовленные узлы, агрегаты, детали и элементы, количество их также существенно превышает такое у прямых конкурентов</t>
  </si>
  <si>
    <t>Оцениваемый автомобиль имеет сравнимые по качеству характеристики с аналогичными автомобилями</t>
  </si>
  <si>
    <t>от 1 до 4 баллов, где плохо - 1 балл, отлично - 4 балла</t>
  </si>
  <si>
    <t>Оцениваемый автомобиль имеет преимущества в качестве исполнения части  деталей, узлов, агрегатов и элементов в сравнении с аналогичными автомобилями</t>
  </si>
  <si>
    <t>Оцениваемый автомобиль имеет значительные преимущества в качестве исполнения большинства  деталей, узлов, агрегатов и элементов в сравнении с аналогичными автомобилями</t>
  </si>
  <si>
    <t>качество организации пространства, объем пространства в салоне и в багажнике</t>
  </si>
  <si>
    <t>Оцениваемый автомобиль имеет существенно меньше пространства, или оно существенно хуже организовано в сравнении с аналогами</t>
  </si>
  <si>
    <t xml:space="preserve">Оцениваемый автомобиль имеет сравнимые с аналогичными автомобилями пространственные характеристики </t>
  </si>
  <si>
    <t>Страна-изготовитель не имеет брендов на рынке Казахстана</t>
  </si>
  <si>
    <t>Страна-изготовитель присутствует на рынке несколько лет и представлена одним брендом</t>
  </si>
  <si>
    <t>Страна-изготовитель присутствует на рынке много лет и представлена множеством брендов</t>
  </si>
  <si>
    <t>Оцениваемый автомобиль имеет больше пространства в сравнении с аналогичными</t>
  </si>
  <si>
    <t>Оцениваемый автомобиль имеет существенно худшие эстетические свойства, чем аналогичные автомобили</t>
  </si>
  <si>
    <t>Оцениваемый автомобиль имеет существенные преимущества в эстетических свойствах в сравнении с аналогичными автомобилями</t>
  </si>
  <si>
    <t>Оцениваемый автомобиль имеет частичные преимущества в эстетических свойствах в сравнении с аналогичными автомобилями</t>
  </si>
  <si>
    <t>Оцениваемый автомобиль имеет сравнимые эстетические свойства с аналогичными автомобилями</t>
  </si>
  <si>
    <t>Оцениваемый автомобиль имеет существенно больше пространства в сравнении с аналогичными автомобилями</t>
  </si>
  <si>
    <t>Оцениваемый автомобиль имеет сравнимые характеристики с аналогичными автомобилями</t>
  </si>
  <si>
    <t>Оцениваемый автомобиль имеет частичные преимущества в характеристиках в сравнении с аналогичными автомобилями</t>
  </si>
  <si>
    <t>Оцениваемый автомобиль имеет существенные преимущества в характеристиках в сравнении с аналогичными автомобилями</t>
  </si>
  <si>
    <t>Оцениваемый автомобиль имеет существенно худшие характеристики, чем аналогичные автомобили</t>
  </si>
  <si>
    <t>Седан, Хетчбэк</t>
  </si>
  <si>
    <t>Логистика</t>
  </si>
  <si>
    <t>Таможенные платежи и сборы на ввоз авто</t>
  </si>
  <si>
    <t>Персонал</t>
  </si>
  <si>
    <t>Стоянка</t>
  </si>
  <si>
    <t>Аренда офисов</t>
  </si>
  <si>
    <t>Налоги</t>
  </si>
  <si>
    <t>Накладные расходы</t>
  </si>
  <si>
    <t>Представительские расходы</t>
  </si>
  <si>
    <t>Рекламные бюджеты</t>
  </si>
  <si>
    <t>Бюджеты на ивенты</t>
  </si>
  <si>
    <t>Капитальные вложения</t>
  </si>
  <si>
    <t>Затраты на постройку дилерских центров</t>
  </si>
  <si>
    <t>Затраты на сертификацию автомобилей</t>
  </si>
  <si>
    <t>Затраты на оборудование и инвентарь</t>
  </si>
  <si>
    <t>Прочие капвложения</t>
  </si>
  <si>
    <t>Стоимость авто в Казахстане для дистрибьютора, KZT</t>
  </si>
  <si>
    <t>Значения</t>
  </si>
  <si>
    <t>Кол-во</t>
  </si>
  <si>
    <t>Цена (млн. тенге)</t>
  </si>
  <si>
    <t>Двигатель</t>
  </si>
  <si>
    <t>Привод</t>
  </si>
  <si>
    <t>Коробка передач</t>
  </si>
  <si>
    <t>1.5 л, 106 л.с.</t>
  </si>
  <si>
    <t>Передний</t>
  </si>
  <si>
    <t>6-ступенчатая автоматическая</t>
  </si>
  <si>
    <t>1.5 л, 105 л.с.</t>
  </si>
  <si>
    <t>1.5 л, 4 цилиндра, 164 л.с.</t>
  </si>
  <si>
    <t>7-ступенчатая автоматическая</t>
  </si>
  <si>
    <t>1.6 л, 106 л.с.</t>
  </si>
  <si>
    <t>5-ступенчатая механическая</t>
  </si>
  <si>
    <t>1.5 л, 4 цилиндра, 185 л.с.</t>
  </si>
  <si>
    <t>1.6 л, 4 цилиндра, 123 л.с.</t>
  </si>
  <si>
    <t>Вариатор (CVT)</t>
  </si>
  <si>
    <t>2.5 л, 4 цилиндра, 191 л.с.</t>
  </si>
  <si>
    <t>8-ступенчатая автоматическая</t>
  </si>
  <si>
    <t>1.5 л, 4 цилиндра, 114 л.с.</t>
  </si>
  <si>
    <t>2.0 л, 4 цилиндра, 150 л.с.</t>
  </si>
  <si>
    <t>1.6 л, 4 цилиндра, 180 л.с.</t>
  </si>
  <si>
    <t>2.5 л, 4 цилиндра, 203 л.с.</t>
  </si>
  <si>
    <t>1.8 л, 4 цилиндра, 139 л.с.</t>
  </si>
  <si>
    <t>1.5 л, 4 цилиндра, 169 л.с.</t>
  </si>
  <si>
    <t>SAM по сегменту, 
шт в год:</t>
  </si>
  <si>
    <t>Кол. продаж новых автомобилей (TAM), шт.</t>
  </si>
  <si>
    <t>Объем рынка новых автомобилей (TAM), в млрд. ₸</t>
  </si>
  <si>
    <t>Объем рынка новых автомобилей (TAM), в млрд. USD</t>
  </si>
  <si>
    <t>Объем сегмента, в млрд. ₸</t>
  </si>
  <si>
    <t>Прирост количества</t>
  </si>
  <si>
    <t>Прирост объема</t>
  </si>
  <si>
    <t>Сегмент 3: Средние внедорожники комфорт класса, до 20 млн. тенге</t>
  </si>
  <si>
    <t>Сегмент 2: Средние седаны комфорт класса, до 20 млн. тенге</t>
  </si>
  <si>
    <t>Сегмент 7: Средние пикапы комфорт класса, до 30 млн. тенге</t>
  </si>
  <si>
    <t>Сегмент 5: Средние хэтчбэки комфорт класса, до 15 млн. тенге</t>
  </si>
  <si>
    <t>Сегмент 4: Большие внедорожники люкс класса, от 20 млн. тенге</t>
  </si>
  <si>
    <t>Сегмент 1: Маленькие седаны эконом класса, до 15 млн. тенге</t>
  </si>
  <si>
    <t>Общее количество по SAM, шт.</t>
  </si>
  <si>
    <t>Общий объем по SAM, млрд. KZD</t>
  </si>
  <si>
    <t>Объем по сегменту 1: Маленькие седаны эконом класса, до 15 млн. тенге</t>
  </si>
  <si>
    <t>Объем по сегменту 2: Средние седаны комфорт класса, до 20 млн. тенге</t>
  </si>
  <si>
    <t>Объем по сегменту 3: Средние внедорожники комфорт класса, до 20 млн. тенге</t>
  </si>
  <si>
    <t>Объем по сегменту 4: Большие внедорожники люкс класса, от 20 млн. тенге</t>
  </si>
  <si>
    <t>Объем по сегменту 5: Средние хэтчбэки комфорт класса, до 15 млн. тенге</t>
  </si>
  <si>
    <t>Объем по сегменту 6: Средние кроссоверы комфорт класса, до 15 млн. тенге</t>
  </si>
  <si>
    <t>Объем по сегменту 7: Средние пикапы комфорт класса, до 30 млн. тенге</t>
  </si>
  <si>
    <t>Общий объем по SAM, млрд. USD</t>
  </si>
  <si>
    <t>Доля SAM от TAM по количеству, %</t>
  </si>
  <si>
    <t>Доля SAM от TAM по объему, %</t>
  </si>
  <si>
    <t>Количество регистраций легкового транспорта (PAM)</t>
  </si>
  <si>
    <t>Пример оценивания модели по бенчмарку</t>
  </si>
  <si>
    <t>Характеристики</t>
  </si>
  <si>
    <t>Общий балл с учетом весов</t>
  </si>
  <si>
    <t>Балл до взвешивания</t>
  </si>
  <si>
    <t>Балл после взвешивания</t>
  </si>
  <si>
    <t>Матрица оценки вероятной доли рынка</t>
  </si>
  <si>
    <t>Вероятная доля рынка модели, в % от сегмента</t>
  </si>
  <si>
    <t>Общий балл от 1,01 до 1,5</t>
  </si>
  <si>
    <t>Общий балл от 1,51 до 2,0</t>
  </si>
  <si>
    <t>Общий балл от 0,51 до 1,0</t>
  </si>
  <si>
    <t>Общий балл от 0,01 до 0,5</t>
  </si>
  <si>
    <t>Общий балл от 2,01 до 2,5</t>
  </si>
  <si>
    <t>Общий балл от 2,51 до 3,0</t>
  </si>
  <si>
    <t>Общий балл от 3,01 до 3,5</t>
  </si>
  <si>
    <t>Общий балл от 3,51 до 4,0</t>
  </si>
  <si>
    <t>Темп прироста количества по SAM, %</t>
  </si>
  <si>
    <t>Темп прироста объема по SAM, %</t>
  </si>
  <si>
    <t>Общее количество по SOM, шт.</t>
  </si>
  <si>
    <t>Темп прироста количества по SOM, %</t>
  </si>
  <si>
    <t>Общий объем по SOM, млрд. KZD</t>
  </si>
  <si>
    <t>Общий объем по SOM, млрд. USD</t>
  </si>
  <si>
    <t>Темп прироста объема по SOM, %</t>
  </si>
  <si>
    <t>Оценка размеров сегмента продукции MG (SAM), ретроспектива</t>
  </si>
  <si>
    <t>Рынок новых автомобилей (TAM), ретроспектива</t>
  </si>
  <si>
    <t>Показатель</t>
  </si>
  <si>
    <t>Рост потреб. цен на автомобили</t>
  </si>
  <si>
    <t>Динамика TAM</t>
  </si>
  <si>
    <t>Динамика SAM</t>
  </si>
  <si>
    <t>Сценарий</t>
  </si>
  <si>
    <t>Консервативный</t>
  </si>
  <si>
    <t>Темп прироста TAM на прогнозный период, % в год</t>
  </si>
  <si>
    <t>Темп инфляции цен на авто на прогнозный период, % в год</t>
  </si>
  <si>
    <t>Количество по сегменту 1: Маленькие седаны эконом класса, до 15 млн. тенге</t>
  </si>
  <si>
    <t>Количество по сегменту 2: Средние седаны комфорт класса, до 20 млн. тенге</t>
  </si>
  <si>
    <t>Количество по сегменту 3: Средние внедорожники комфорт класса, до 20 млн. тенге</t>
  </si>
  <si>
    <t>Количество по сегменту 4: Большие внедорожники люкс класса, от 20 млн. тенге</t>
  </si>
  <si>
    <t>Количество по сегменту 5: Средние хэтчбэки комфорт класса, до 15 млн. тенге</t>
  </si>
  <si>
    <t>Количество по сегменту 6: Средние кроссоверы комфорт класса, до 15 млн. тенге</t>
  </si>
  <si>
    <t>Количество по сегменту 7: Средние пикапы комфорт класса, до 30 млн. тенге</t>
  </si>
  <si>
    <t>CAGR доли сегмента 1 в SAM по количеству</t>
  </si>
  <si>
    <t>CAGR доли сегмента 2 в SAM по количеству</t>
  </si>
  <si>
    <t>CAGR доли сегмента 3 в SAM по количеству</t>
  </si>
  <si>
    <t>CAGR доли сегмента 4 в SAM по количеству</t>
  </si>
  <si>
    <t>CAGR доли сегмента 5 в SAM по количеству</t>
  </si>
  <si>
    <t>CAGR доли сегмента 6 в SAM по количеству</t>
  </si>
  <si>
    <t>CAGR доли сегмента 7 в SAM по количеству</t>
  </si>
  <si>
    <t>CAGR доли сегмента 1 в SAM по объему</t>
  </si>
  <si>
    <t>CAGR доли сегмента 2 в SAM по объему</t>
  </si>
  <si>
    <t>CAGR доли сегмента 3 в SAM по объему</t>
  </si>
  <si>
    <t>CAGR доли сегмента 4 в SAM по объему</t>
  </si>
  <si>
    <t>CAGR доли сегмента 5 в SAM по объему</t>
  </si>
  <si>
    <t>CAGR доли сегмента 6 в SAM по объему</t>
  </si>
  <si>
    <t>CAGR доли сегмента 7 в SAM по объему</t>
  </si>
  <si>
    <t>CAGR доли SAM в TAM по количеству</t>
  </si>
  <si>
    <t>CAGR доли SAM в TAM по объему</t>
  </si>
  <si>
    <t>Небольшой прирост согласно сценарию</t>
  </si>
  <si>
    <t>Прогнозная доля в SAM по сегменту 1: Маленькие седаны эконом класса, до 15 млн. тенге</t>
  </si>
  <si>
    <t>Прогнозная доля в SAM по сегменту 2: Средние седаны комфорт класса, до 20 млн. тенге</t>
  </si>
  <si>
    <t>Прогнозная доля в SAM по сегменту 3: Средние внедорожники комфорт класса, до 20 млн. тенге</t>
  </si>
  <si>
    <t>Прогнозная доля в SAM по сегменту 4: Большие внедорожники люкс класса, от 20 млн. тенге</t>
  </si>
  <si>
    <t>Прогнозная доля в SAM по сегменту 5: Средние хэтчбэки комфорт класса, до 15 млн. тенге</t>
  </si>
  <si>
    <t>Прогнозная доля в SAM по сегменту 6: Средние кроссоверы комфорт класса, до 15 млн. тенге</t>
  </si>
  <si>
    <t>Прогнозная доля в SAM по сегменту 7: Средние пикапы комфорт класса, до 30 млн. тенге</t>
  </si>
  <si>
    <t>Согласно динамике доли сегментов SAM в общем SAM</t>
  </si>
  <si>
    <t>Допущения про прогнозу SAM &amp; TAM</t>
  </si>
  <si>
    <t>Прогноз SOM</t>
  </si>
  <si>
    <t>Прогноз TAM, SAM</t>
  </si>
  <si>
    <t>Темп прироста курса KZT к USD, % в год</t>
  </si>
  <si>
    <t>Пронгозный курс доллара к тенге</t>
  </si>
  <si>
    <t>Описание присвоенного характеристике значения</t>
  </si>
  <si>
    <t>Бэнчмарк по оценке ценообразующих характеристик автомобиля</t>
  </si>
  <si>
    <t>Grand Total</t>
  </si>
  <si>
    <t>(Multiple Items)</t>
  </si>
  <si>
    <t>6-ти ступенчатая, механическая</t>
  </si>
  <si>
    <t>Полный</t>
  </si>
  <si>
    <t>2 л, 4 цилиндра, 177 л.с.</t>
  </si>
  <si>
    <t>2.7 л, 4 цилиндра, 166 л.с.</t>
  </si>
  <si>
    <t>Сегмент 6: Средние кроссоверы комфорт класса, до 15 млн. Тенге</t>
  </si>
  <si>
    <t>6-ти ступенчатая, автоматическая</t>
  </si>
  <si>
    <t>1.5 л, 4 цилиндра, 143 л.с.</t>
  </si>
  <si>
    <t>1.5 л, 3 цилиндра, 150 л.с.</t>
  </si>
  <si>
    <t>1.5 л, 4 цилиндра, 147 л.с.</t>
  </si>
  <si>
    <t>1.5 л, 4 цилиндра, 150 л.с.</t>
  </si>
  <si>
    <t>7-ступенчатая автоматическая (робот)</t>
  </si>
  <si>
    <t>1.6 л, 4 цилиндра, 128 л.с</t>
  </si>
  <si>
    <t>1.5 л, 4 цилиндра, 110 л.с</t>
  </si>
  <si>
    <t>1.6 л, 4 цилиндра, 123 л.с</t>
  </si>
  <si>
    <t>2.0 л, 4 цилиндра, 161 л.с</t>
  </si>
  <si>
    <t>1.5 л, 4 цилиндра, 258 л.с</t>
  </si>
  <si>
    <t>10-ступенчатая автоматическая</t>
  </si>
  <si>
    <t>2.0 л, 4 цилиндра, 220 л.с</t>
  </si>
  <si>
    <t>3.4 л, 6 цилиндра, 299 л.с</t>
  </si>
  <si>
    <t>2.2 л, 4 цилиндра, 200 л.с</t>
  </si>
  <si>
    <t>3.5 л, 6 цилиндра, 299 л.с</t>
  </si>
  <si>
    <t>1.5 л, 4 цилиндра, 171 л.с.</t>
  </si>
  <si>
    <t>1.5 л, 4 цилиндра, 162 л.с.</t>
  </si>
  <si>
    <t>7-ступенчатая
робот</t>
  </si>
  <si>
    <t>1.5 л, 4 цилиндра, 110 л.с.</t>
  </si>
  <si>
    <t>5-ступенчатая автоматическая</t>
  </si>
  <si>
    <t>1.5 л, 4 цилиндра, 106 л.с.</t>
  </si>
  <si>
    <t>7-ступенчатая робот</t>
  </si>
  <si>
    <t>2.0 л, 4 цилиндра, 150 л.с</t>
  </si>
  <si>
    <t>6-ступенчатая механика</t>
  </si>
  <si>
    <t>1.6 л, 4 цилиндра, 235 л.с</t>
  </si>
  <si>
    <t>1.5 л, 4 цилиндра, 147 л.с</t>
  </si>
  <si>
    <t>8-ступенчатая вариатор</t>
  </si>
  <si>
    <t>2.0 л, 4 цилиндра, 169 л.с.</t>
  </si>
  <si>
    <t>2.0 л, 4 цилиндра, 192 л.с</t>
  </si>
  <si>
    <t>1.5 л, 4 цилиндра, 315л.с</t>
  </si>
  <si>
    <t>5-ступенчатая механика</t>
  </si>
  <si>
    <t>1.5 л, 4 цилиндра, 156 л.с.</t>
  </si>
  <si>
    <t>6-ступенчатая робот</t>
  </si>
  <si>
    <t>1.5 л, 4 цилиндра, 173 л.с.</t>
  </si>
  <si>
    <t>1.6 л, 4 цилиндра, 117 л.с.</t>
  </si>
  <si>
    <t>1.5 л, 4 цилиндра, 158 л.с</t>
  </si>
  <si>
    <t>1-ступенчатая автоматическая</t>
  </si>
  <si>
    <t>6-ступенчатая механическая</t>
  </si>
  <si>
    <t>1.5 л, 4 цилиндра, 141 л.с</t>
  </si>
  <si>
    <t>2 л, 4 цилиндра, 168 л.с</t>
  </si>
  <si>
    <t>Сегмент 5: Средние хэтчбэки комфорт класса, до 15 млн. Тенге</t>
  </si>
  <si>
    <t>Оцениваемый автомобиль имеет ограниченное число сервисных центров (механики нехотя берутся за такие авто), запасные части нужно заказывать или их наличие варьируется в зависимости от региона, не локализован в Казахстане</t>
  </si>
  <si>
    <t>Сегмент 3: Средние внедорожники комфорт класса, до 20 млн. Тенге</t>
  </si>
  <si>
    <t>Оцениваемый автомобиль (на 10-20%) дешевле аналога</t>
  </si>
  <si>
    <t>Количество моделей в сегменте</t>
  </si>
  <si>
    <t>Сегмент</t>
  </si>
  <si>
    <t>SAM по сегменту, шт. в год</t>
  </si>
  <si>
    <t>Общий балл</t>
  </si>
  <si>
    <t>Модели MG</t>
  </si>
  <si>
    <t>Доля рынка по сегменту</t>
  </si>
  <si>
    <t>Динамика достижения плановой доли рынка с течением времени</t>
  </si>
  <si>
    <t>Прогнозная доля всех моделей GM в сегменте 1: Маленькие седаны эконом класса, до 15 млн. тенге</t>
  </si>
  <si>
    <t>Прогнозная доля всех моделей GM в сегменте 2: Средние седаны комфорт класса, до 20 млн. тенге</t>
  </si>
  <si>
    <t>Прогнозная доля всех моделей GM в сегменте 3: Средние внедорожники комфорт класса, до 20 млн. тенге</t>
  </si>
  <si>
    <t>Прогнозная доля всех моделей GM в сегменте 4: Большие внедорожники люкс класса, от 20 млн. тенге</t>
  </si>
  <si>
    <t>Прогнозная доля всех моделей GM в сегменте 5: Средние хэтчбэки комфорт класса, до 15 млн. тенге</t>
  </si>
  <si>
    <t>Прогнозная доля всех моделей GM в сегменте 6: Средние кроссоверы комфорт класса, до 15 млн. тенге</t>
  </si>
  <si>
    <t>Прогнозная доля всех моделей GM в сегменте 7: Средние пикапы комфорт класса, до 30 млн. тенге</t>
  </si>
  <si>
    <t>Прогнозная выручка от продаж модели MG 5. Сегмент 1, млн. KZD</t>
  </si>
  <si>
    <t>Прогнозная выручка от продаж модели MG 6. Сегмент 2, млн. KZD</t>
  </si>
  <si>
    <t>Прогнозная выручка от продаж модели MG RX5. Сегмент 3, млн. KZD</t>
  </si>
  <si>
    <t>Прогнозная выручка от продаж модели MG HS. Сегмент 3, млн. KZD</t>
  </si>
  <si>
    <t>Прогнозная выручка от продаж модели MG ZS. Сегмент 3, млн. KZD</t>
  </si>
  <si>
    <t>Прогнозная выручка от продаж модели MG Gloster. Сегмент 4, млн. KZD</t>
  </si>
  <si>
    <t>Прогнозная выручка от продаж модели MG EHS. Сегмент 4, млн. KZD</t>
  </si>
  <si>
    <t>Прогнозная выручка от продаж модели MG Hector Plus. Сегмент 4, млн. KZD</t>
  </si>
  <si>
    <t>Прогнозная выручка от продаж модели MG RX8. Сегмент 4, млн. KZD</t>
  </si>
  <si>
    <t>Прогнозная выручка от продаж модели MG Hector. Сегмент 4, млн. KZD</t>
  </si>
  <si>
    <t>Прогнозная выручка от продаж модели MG 6. Сегмент 5, млн. KZD</t>
  </si>
  <si>
    <t>Прогнозная выручка от продаж модели MG One. Сегмент 6, млн. KZD</t>
  </si>
  <si>
    <t>Прогнозная выручка от продаж модели MG Extender. Сегмент 7, млн. KZD</t>
  </si>
  <si>
    <t>Прогнозная стоимость MG 5. Сегмент 1, млн. KZD</t>
  </si>
  <si>
    <t>Прогнозная стоимость MG 6. Сегмент 2, млн. KZD</t>
  </si>
  <si>
    <t>Прогнозная стоимость MG RX5. Сегмент 3, млн. KZD</t>
  </si>
  <si>
    <t>Прогнозная стоимость MG HS. Сегмент 3, млн. KZD</t>
  </si>
  <si>
    <t>Прогнозная стоимость MG Astor. Сегмент 3, млн. KZD</t>
  </si>
  <si>
    <t>Прогнозная стоимость MG ZS. Сегмент 3, млн. KZD</t>
  </si>
  <si>
    <t>Прогнозная стоимость MG Gloster. Сегмент 4, млн. KZD</t>
  </si>
  <si>
    <t>Прогнозная стоимость MG EHS. Сегмент 4, млн. KZD</t>
  </si>
  <si>
    <t>Прогнозная стоимость MG Hector Plus. Сегмент 4, млн. KZD</t>
  </si>
  <si>
    <t>Прогнозная стоимость MG RX8. Сегмент 4, млн. KZD</t>
  </si>
  <si>
    <t>Прогнозная стоимость MG Hector. Сегмент 4, млн. KZD</t>
  </si>
  <si>
    <t>Прогнозная стоимость MG 6. Сегмент 5, млн. KZD</t>
  </si>
  <si>
    <t>Прогнозная стоимость MG One. Сегмент 6, млн. KZD</t>
  </si>
  <si>
    <t>Прогнозная стоимость MG Extender. Сегмент 7, млн. KZD</t>
  </si>
  <si>
    <t>Прогнозный объем по сегменту 1: Маленькие седаны эконом класса, до 15 млн. тенге, в млрд. KZT</t>
  </si>
  <si>
    <t>Прогнозный объем по сегменту 2: Средние седаны комфорт класса, до 20 млн. тенге, в млрд. KZT</t>
  </si>
  <si>
    <t>Прогнозный объем по сегменту 3: Средние внедорожники комфорт класса, до 20 млн. тенге, в млрд. KZT</t>
  </si>
  <si>
    <t>Прогнозный объем по сегменту 4: Большие внедорожники люкс класса, от 20 млн. тенге, в млрд. KZT</t>
  </si>
  <si>
    <t>Прогнозный объем по сегменту 5: Средние хэтчбэки комфорт класса, до 15 млн. тенге, в млрд. KZT</t>
  </si>
  <si>
    <t>Прогнозный объем по сегменту 6: Средние кроссоверы комфорт класса, до 15 млн. тенге, в млрд. KZT</t>
  </si>
  <si>
    <t>Прогнозный объем по сегменту 7: Средние пикапы комфорт класса, до 30 млн. тенге, в млрд. KZT</t>
  </si>
  <si>
    <t>Прогнозное количество по сегменту 1: Маленькие седаны эконом класса, до 15 млн. тенге, шт.</t>
  </si>
  <si>
    <t>Прогнозное количество по сегменту 2: Средние седаны комфорт класса, до 20 млн. тенге, шт.</t>
  </si>
  <si>
    <t>Прогнозное количество по сегменту 3: Средние внедорожники комфорт класса, до 20 млн. тенге, шт.</t>
  </si>
  <si>
    <t>Прогнозное количество по сегменту 4: Большие внедорожники люкс класса, от 20 млн. тенге, шт.</t>
  </si>
  <si>
    <t>Прогнозное количество по сегменту 5: Средние хэтчбэки комфорт класса, до 15 млн. тенге, шт.</t>
  </si>
  <si>
    <t>Прогнозное количество по сегменту 6: Средние кроссоверы комфорт класса, до 15 млн. тенге, шт.</t>
  </si>
  <si>
    <t>Прогнозное количество по сегменту 7: Средние пикапы комфорт класса, до 30 млн. тенге, шт.</t>
  </si>
  <si>
    <t>Прогнозная доля модели MG 5 в сегменте 1</t>
  </si>
  <si>
    <t>Прогнозная доля модели MG 6 в сегменте 2</t>
  </si>
  <si>
    <t>Прогнозная доля модели MG RX5 в сегменте 3</t>
  </si>
  <si>
    <t>Прогнозная доля модели MG HS в сегменте 3</t>
  </si>
  <si>
    <t>Прогнозная доля модели MG ZS в сегменте 3</t>
  </si>
  <si>
    <t>Прогнозная доля модели MG Gloster в сегменте 4</t>
  </si>
  <si>
    <t>Прогнозная доля модели MG EHS в сегменте 4</t>
  </si>
  <si>
    <t>Прогнозная доля модели MG Hector Plus в сегменте 4</t>
  </si>
  <si>
    <t>Прогнозная доля модели MG RX8 в сегменте 4</t>
  </si>
  <si>
    <t>Прогнозная доля модели MG Hector в сегменте 4</t>
  </si>
  <si>
    <t>Прогнозная доля модели MG 6 в сегменте 5</t>
  </si>
  <si>
    <t>Прогнозная доля модели MG One в сегменте 6</t>
  </si>
  <si>
    <t>Прогнозная доля модели MG Extender в сегменте 7</t>
  </si>
  <si>
    <t>Прогнозная доля рынка по количеству SOM от SAM, %</t>
  </si>
  <si>
    <t>Прогнозная доля рынка по объему SOM от SAM, %</t>
  </si>
  <si>
    <t>Прогнозная доля рынка по объему SOM от TAM, %</t>
  </si>
  <si>
    <t>Прогнозная доля рынка по количеству SOM от TAM, %</t>
  </si>
  <si>
    <t>Прогнозное количество продаж модели MG 5 в сегменте 1, шт.</t>
  </si>
  <si>
    <t>Прогнозное количество продаж модели MG 6 в сегменте 2, шт.</t>
  </si>
  <si>
    <t>Прогнозное количество продаж модели MG RX5 в сегменте 3, шт.</t>
  </si>
  <si>
    <t>Прогнозное количество продаж модели MG HS в сегменте 3, шт.</t>
  </si>
  <si>
    <t>Прогнозное количество продаж модели MG ZS в сегменте 3, шт.</t>
  </si>
  <si>
    <t>Прогнозное количество продаж модели MG Gloster в сегменте 4, шт.</t>
  </si>
  <si>
    <t>Прогнозное количество продаж модели MG EHS в сегменте 4, шт.</t>
  </si>
  <si>
    <t>Прогнозное количество продаж модели MG Hector Plus в сегменте 4, шт.</t>
  </si>
  <si>
    <t>Прогнозное количество продаж модели MG RX8 в сегменте 4, шт.</t>
  </si>
  <si>
    <t>Прогнозное количество продаж модели MG Hector в сегменте 4, шт.</t>
  </si>
  <si>
    <t>Прогнозное количество продаж модели MG 6 в сегменте 5, шт.</t>
  </si>
  <si>
    <t>Прогнозное количество продаж модели MG One в сегменте 6, шт.</t>
  </si>
  <si>
    <t>Прогнозное количество продаж модели MG Extender в сегменте 7, шт.</t>
  </si>
  <si>
    <t>Стоянка на 500 машин</t>
  </si>
  <si>
    <t>В год</t>
  </si>
  <si>
    <t>Инвестиции</t>
  </si>
  <si>
    <t>ОТТС на 14 моделей</t>
  </si>
  <si>
    <t>Офис в Алмате</t>
  </si>
  <si>
    <t>В месяц</t>
  </si>
  <si>
    <t>За единицу</t>
  </si>
  <si>
    <t>За все</t>
  </si>
  <si>
    <t>Кол.</t>
  </si>
  <si>
    <t>Два дилерских центра</t>
  </si>
  <si>
    <t>Из них заемные средства</t>
  </si>
  <si>
    <t>Проценты по кредиту</t>
  </si>
  <si>
    <t>Оборудование, ремонт, инвентарь</t>
  </si>
  <si>
    <t>Затраты</t>
  </si>
  <si>
    <t>Ставка дисконтирования</t>
  </si>
  <si>
    <t>Приведенный (дисконтированный) денежный поток по проекту</t>
  </si>
  <si>
    <t>Денежный поток по проекту</t>
  </si>
  <si>
    <t>База</t>
  </si>
  <si>
    <t>Кумулятивный приведенный чистый денежный поток по проекту</t>
  </si>
  <si>
    <t>Расходы</t>
  </si>
  <si>
    <t>Внутренняя норма доходности (IRR), %</t>
  </si>
  <si>
    <t>Индекс рентабельности инвестиций (PI)</t>
  </si>
  <si>
    <t>Срок окупаемости инвестиций (PP), лет</t>
  </si>
  <si>
    <t>Чистая приведенная стоимость (NPV)</t>
  </si>
  <si>
    <t>Номер периода</t>
  </si>
  <si>
    <t>Объем продаж, млн. USD</t>
  </si>
  <si>
    <t>Наименование периода</t>
  </si>
  <si>
    <t>% маржи дистрибьютора</t>
  </si>
  <si>
    <t>% маржи дилера</t>
  </si>
  <si>
    <t>Выручка дистрибьютора, млн. USD</t>
  </si>
  <si>
    <t>Коэффициент окупаемости инвестиций (ROI)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</si>
</sst>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0.0%"/>
    <numFmt numFmtId="165" formatCode="_-* #,##0_-;\-* #,##0_-;_-* &quot;-&quot;??_-;_-@_-"/>
    <numFmt numFmtId="166" formatCode="_-* #,##0.0_-;\-* #,##0.0_-;_-* &quot;-&quot;??_-;_-@_-"/>
    <numFmt numFmtId="167" formatCode="#,##0.0"/>
    <numFmt numFmtId="168" formatCode="#,##0.000"/>
    <numFmt numFmtId="169" formatCode="0.0"/>
    <numFmt numFmtId="170" formatCode="_-* #,##0.0\ _₽_-;\-* #,##0.0\ _₽_-;_-* &quot;-&quot;?\ _₽_-;_-@_-"/>
  </numFmts>
  <fonts count="3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b/>
      <sz val="20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</font>
    <font>
      <b/>
      <sz val="8"/>
      <color theme="1"/>
      <name val="Calibri"/>
      <family val="2"/>
      <charset val="204"/>
    </font>
    <font>
      <sz val="10"/>
      <name val="Arial"/>
      <family val="2"/>
      <charset val="204"/>
    </font>
    <font>
      <sz val="8"/>
      <name val="Roboto"/>
      <charset val="204"/>
    </font>
    <font>
      <b/>
      <sz val="8"/>
      <color theme="1"/>
      <name val="Roboto"/>
      <charset val="204"/>
    </font>
    <font>
      <sz val="8"/>
      <color theme="1"/>
      <name val="Roboto"/>
      <charset val="204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name val="Arial"/>
      <family val="2"/>
      <charset val="204"/>
    </font>
    <font>
      <sz val="10"/>
      <color rgb="FF000000"/>
      <name val="Arial"/>
      <family val="2"/>
      <charset val="204"/>
    </font>
    <font>
      <i/>
      <sz val="10"/>
      <color theme="1"/>
      <name val="Arial"/>
      <family val="2"/>
      <charset val="204"/>
    </font>
    <font>
      <i/>
      <vertAlign val="superscript"/>
      <sz val="10"/>
      <name val="Arial"/>
      <family val="2"/>
      <charset val="204"/>
    </font>
    <font>
      <sz val="11"/>
      <color theme="1"/>
      <name val="Roboto"/>
      <charset val="204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charset val="204"/>
      <scheme val="minor"/>
    </font>
    <font>
      <sz val="11"/>
      <color rgb="FF333333"/>
      <name val="Arial"/>
      <family val="2"/>
      <charset val="204"/>
    </font>
    <font>
      <sz val="9"/>
      <color rgb="FF00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14999847407452621"/>
      <name val="Calibri"/>
      <family val="2"/>
      <charset val="204"/>
      <scheme val="minor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  <charset val="204"/>
    </font>
    <font>
      <b/>
      <sz val="10"/>
      <color theme="1"/>
      <name val="Calibri"/>
      <family val="2"/>
      <charset val="204"/>
    </font>
    <font>
      <sz val="10"/>
      <color rgb="FF000000"/>
      <name val="Calibri"/>
      <family val="2"/>
      <charset val="204"/>
    </font>
    <font>
      <b/>
      <sz val="18"/>
      <color theme="1"/>
      <name val="Calibri"/>
      <family val="2"/>
      <charset val="204"/>
    </font>
    <font>
      <sz val="11"/>
      <color rgb="FF000000"/>
      <name val="Calibri"/>
      <family val="2"/>
      <charset val="204"/>
      <scheme val="minor"/>
    </font>
    <font>
      <sz val="8"/>
      <color rgb="FF000000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5" fillId="0" borderId="0"/>
    <xf numFmtId="0" fontId="10" fillId="0" borderId="0"/>
    <xf numFmtId="0" fontId="10" fillId="0" borderId="0"/>
  </cellStyleXfs>
  <cellXfs count="308">
    <xf numFmtId="0" fontId="0" fillId="0" borderId="0" xfId="0"/>
    <xf numFmtId="0" fontId="0" fillId="0" borderId="0" xfId="0" applyAlignment="1">
      <alignment wrapText="1"/>
    </xf>
    <xf numFmtId="9" fontId="0" fillId="0" borderId="0" xfId="2" applyFont="1"/>
    <xf numFmtId="164" fontId="0" fillId="0" borderId="0" xfId="2" applyNumberFormat="1" applyFont="1"/>
    <xf numFmtId="165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2" fillId="0" borderId="0" xfId="3"/>
    <xf numFmtId="3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center" vertical="center" wrapText="1"/>
    </xf>
    <xf numFmtId="9" fontId="0" fillId="0" borderId="0" xfId="0" applyNumberFormat="1"/>
    <xf numFmtId="49" fontId="0" fillId="0" borderId="0" xfId="0" applyNumberFormat="1" applyAlignment="1">
      <alignment horizontal="center" vertical="center" wrapText="1"/>
    </xf>
    <xf numFmtId="49" fontId="0" fillId="0" borderId="0" xfId="0" applyNumberFormat="1"/>
    <xf numFmtId="1" fontId="0" fillId="0" borderId="0" xfId="0" applyNumberFormat="1" applyAlignment="1">
      <alignment horizontal="center" vertical="center" wrapText="1"/>
    </xf>
    <xf numFmtId="1" fontId="0" fillId="0" borderId="0" xfId="0" applyNumberFormat="1"/>
    <xf numFmtId="43" fontId="0" fillId="0" borderId="0" xfId="1" applyFont="1"/>
    <xf numFmtId="166" fontId="0" fillId="0" borderId="0" xfId="1" applyNumberFormat="1" applyFont="1"/>
    <xf numFmtId="43" fontId="0" fillId="0" borderId="0" xfId="1" applyFont="1" applyAlignment="1">
      <alignment horizontal="center" vertical="center" wrapText="1"/>
    </xf>
    <xf numFmtId="166" fontId="0" fillId="0" borderId="0" xfId="1" applyNumberFormat="1" applyFont="1" applyAlignment="1">
      <alignment horizontal="center" vertical="center" wrapText="1"/>
    </xf>
    <xf numFmtId="165" fontId="0" fillId="0" borderId="0" xfId="1" applyNumberFormat="1" applyFont="1" applyAlignment="1">
      <alignment horizontal="center" vertical="center" wrapText="1"/>
    </xf>
    <xf numFmtId="0" fontId="0" fillId="3" borderId="0" xfId="0" applyFill="1"/>
    <xf numFmtId="0" fontId="0" fillId="0" borderId="3" xfId="0" applyBorder="1"/>
    <xf numFmtId="0" fontId="0" fillId="0" borderId="4" xfId="0" applyBorder="1"/>
    <xf numFmtId="14" fontId="0" fillId="3" borderId="0" xfId="0" applyNumberFormat="1" applyFill="1"/>
    <xf numFmtId="14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4" fontId="0" fillId="0" borderId="7" xfId="0" applyNumberFormat="1" applyBorder="1"/>
    <xf numFmtId="0" fontId="0" fillId="0" borderId="8" xfId="0" applyBorder="1"/>
    <xf numFmtId="2" fontId="0" fillId="0" borderId="0" xfId="0" applyNumberFormat="1" applyAlignment="1">
      <alignment horizontal="center" vertical="center"/>
    </xf>
    <xf numFmtId="49" fontId="0" fillId="0" borderId="0" xfId="1" applyNumberFormat="1" applyFont="1" applyAlignment="1">
      <alignment horizontal="center" vertical="center" wrapText="1"/>
    </xf>
    <xf numFmtId="9" fontId="0" fillId="0" borderId="0" xfId="2" applyFont="1" applyAlignment="1">
      <alignment horizontal="center" vertical="center" wrapText="1"/>
    </xf>
    <xf numFmtId="166" fontId="0" fillId="0" borderId="0" xfId="0" applyNumberFormat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3" fillId="0" borderId="0" xfId="0" applyFont="1"/>
    <xf numFmtId="0" fontId="0" fillId="0" borderId="1" xfId="0" applyBorder="1" applyAlignment="1">
      <alignment wrapText="1"/>
    </xf>
    <xf numFmtId="165" fontId="0" fillId="0" borderId="1" xfId="1" applyNumberFormat="1" applyFont="1" applyBorder="1" applyAlignment="1">
      <alignment horizontal="center" vertical="center"/>
    </xf>
    <xf numFmtId="165" fontId="0" fillId="0" borderId="1" xfId="1" applyNumberFormat="1" applyFont="1" applyBorder="1"/>
    <xf numFmtId="0" fontId="0" fillId="0" borderId="1" xfId="0" applyBorder="1" applyAlignment="1">
      <alignment vertical="center" wrapText="1"/>
    </xf>
    <xf numFmtId="43" fontId="0" fillId="0" borderId="1" xfId="1" applyFont="1" applyBorder="1" applyAlignment="1">
      <alignment vertical="center" wrapText="1"/>
    </xf>
    <xf numFmtId="0" fontId="0" fillId="0" borderId="1" xfId="0" applyBorder="1" applyAlignment="1">
      <alignment vertical="center"/>
    </xf>
    <xf numFmtId="43" fontId="0" fillId="0" borderId="1" xfId="1" applyFont="1" applyBorder="1" applyAlignment="1">
      <alignment vertical="center"/>
    </xf>
    <xf numFmtId="9" fontId="0" fillId="0" borderId="1" xfId="1" applyNumberFormat="1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9" fontId="0" fillId="0" borderId="1" xfId="2" applyFont="1" applyBorder="1" applyAlignment="1">
      <alignment horizontal="center" vertical="center"/>
    </xf>
    <xf numFmtId="0" fontId="0" fillId="0" borderId="0" xfId="0" applyAlignment="1">
      <alignment horizontal="center" wrapText="1"/>
    </xf>
    <xf numFmtId="9" fontId="0" fillId="0" borderId="1" xfId="1" applyNumberFormat="1" applyFont="1" applyBorder="1" applyAlignment="1">
      <alignment vertical="center"/>
    </xf>
    <xf numFmtId="0" fontId="0" fillId="0" borderId="1" xfId="0" applyBorder="1"/>
    <xf numFmtId="49" fontId="0" fillId="0" borderId="1" xfId="1" applyNumberFormat="1" applyFont="1" applyBorder="1" applyAlignment="1">
      <alignment horizontal="center" vertical="center" wrapText="1"/>
    </xf>
    <xf numFmtId="164" fontId="0" fillId="0" borderId="1" xfId="2" applyNumberFormat="1" applyFont="1" applyBorder="1" applyAlignment="1">
      <alignment horizontal="center" vertical="center"/>
    </xf>
    <xf numFmtId="9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3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5" fillId="0" borderId="0" xfId="4"/>
    <xf numFmtId="3" fontId="5" fillId="0" borderId="0" xfId="4" applyNumberFormat="1"/>
    <xf numFmtId="0" fontId="6" fillId="0" borderId="0" xfId="4" applyFont="1"/>
    <xf numFmtId="43" fontId="0" fillId="0" borderId="1" xfId="1" applyFont="1" applyBorder="1" applyAlignment="1">
      <alignment horizontal="center" vertical="center"/>
    </xf>
    <xf numFmtId="166" fontId="0" fillId="0" borderId="1" xfId="1" applyNumberFormat="1" applyFont="1" applyBorder="1" applyAlignment="1">
      <alignment horizontal="center" vertical="center"/>
    </xf>
    <xf numFmtId="164" fontId="0" fillId="0" borderId="1" xfId="2" applyNumberFormat="1" applyFont="1" applyBorder="1"/>
    <xf numFmtId="0" fontId="9" fillId="0" borderId="0" xfId="4" applyFont="1" applyAlignment="1">
      <alignment wrapText="1"/>
    </xf>
    <xf numFmtId="165" fontId="0" fillId="0" borderId="1" xfId="1" applyNumberFormat="1" applyFont="1" applyFill="1" applyBorder="1"/>
    <xf numFmtId="164" fontId="0" fillId="0" borderId="1" xfId="2" applyNumberFormat="1" applyFont="1" applyFill="1" applyBorder="1"/>
    <xf numFmtId="0" fontId="0" fillId="0" borderId="0" xfId="0" applyAlignment="1">
      <alignment vertical="top" wrapText="1"/>
    </xf>
    <xf numFmtId="0" fontId="0" fillId="0" borderId="0" xfId="0" applyAlignment="1">
      <alignment horizontal="right"/>
    </xf>
    <xf numFmtId="0" fontId="0" fillId="0" borderId="0" xfId="0" applyAlignment="1">
      <alignment horizontal="right" vertical="center" wrapText="1"/>
    </xf>
    <xf numFmtId="43" fontId="0" fillId="0" borderId="0" xfId="1" applyFont="1" applyAlignment="1">
      <alignment vertical="center" wrapText="1"/>
    </xf>
    <xf numFmtId="0" fontId="3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horizontal="right" vertical="center" wrapText="1"/>
    </xf>
    <xf numFmtId="43" fontId="0" fillId="0" borderId="15" xfId="1" applyFont="1" applyBorder="1" applyAlignment="1">
      <alignment horizontal="center" vertical="center" wrapText="1"/>
    </xf>
    <xf numFmtId="0" fontId="10" fillId="0" borderId="0" xfId="4" applyFont="1"/>
    <xf numFmtId="0" fontId="13" fillId="0" borderId="0" xfId="0" applyFont="1"/>
    <xf numFmtId="0" fontId="10" fillId="0" borderId="2" xfId="4" applyFont="1" applyBorder="1"/>
    <xf numFmtId="0" fontId="10" fillId="0" borderId="2" xfId="4" applyFont="1" applyBorder="1" applyAlignment="1">
      <alignment horizontal="right"/>
    </xf>
    <xf numFmtId="0" fontId="10" fillId="0" borderId="1" xfId="4" applyFont="1" applyBorder="1" applyAlignment="1">
      <alignment horizontal="center" vertical="top" wrapText="1"/>
    </xf>
    <xf numFmtId="0" fontId="10" fillId="0" borderId="1" xfId="4" applyFont="1" applyBorder="1" applyAlignment="1">
      <alignment horizontal="center" vertical="center" wrapText="1"/>
    </xf>
    <xf numFmtId="0" fontId="16" fillId="0" borderId="15" xfId="4" applyFont="1" applyBorder="1" applyAlignment="1">
      <alignment wrapText="1"/>
    </xf>
    <xf numFmtId="167" fontId="10" fillId="7" borderId="15" xfId="4" applyNumberFormat="1" applyFont="1" applyFill="1" applyBorder="1" applyAlignment="1">
      <alignment horizontal="right"/>
    </xf>
    <xf numFmtId="167" fontId="10" fillId="0" borderId="15" xfId="4" applyNumberFormat="1" applyFont="1" applyBorder="1" applyAlignment="1">
      <alignment horizontal="right" wrapText="1"/>
    </xf>
    <xf numFmtId="3" fontId="17" fillId="0" borderId="0" xfId="4" applyNumberFormat="1" applyFont="1" applyAlignment="1">
      <alignment horizontal="right" wrapText="1"/>
    </xf>
    <xf numFmtId="0" fontId="10" fillId="0" borderId="1" xfId="4" applyFont="1" applyBorder="1" applyAlignment="1">
      <alignment wrapText="1"/>
    </xf>
    <xf numFmtId="167" fontId="10" fillId="0" borderId="1" xfId="4" applyNumberFormat="1" applyFont="1" applyBorder="1" applyAlignment="1">
      <alignment horizontal="right" wrapText="1"/>
    </xf>
    <xf numFmtId="0" fontId="10" fillId="0" borderId="1" xfId="4" applyFont="1" applyBorder="1" applyAlignment="1">
      <alignment horizontal="right" wrapText="1"/>
    </xf>
    <xf numFmtId="167" fontId="10" fillId="0" borderId="9" xfId="4" applyNumberFormat="1" applyFont="1" applyBorder="1" applyAlignment="1">
      <alignment horizontal="right" wrapText="1"/>
    </xf>
    <xf numFmtId="0" fontId="19" fillId="0" borderId="0" xfId="4" applyFont="1"/>
    <xf numFmtId="0" fontId="18" fillId="0" borderId="0" xfId="4" applyFont="1" applyAlignment="1">
      <alignment horizontal="left" vertical="top" wrapText="1"/>
    </xf>
    <xf numFmtId="0" fontId="10" fillId="0" borderId="9" xfId="4" applyFont="1" applyBorder="1" applyAlignment="1">
      <alignment horizontal="center" vertical="center" wrapText="1"/>
    </xf>
    <xf numFmtId="168" fontId="10" fillId="7" borderId="15" xfId="4" applyNumberFormat="1" applyFont="1" applyFill="1" applyBorder="1" applyAlignment="1">
      <alignment horizontal="right"/>
    </xf>
    <xf numFmtId="3" fontId="15" fillId="0" borderId="0" xfId="4" applyNumberFormat="1" applyFont="1" applyAlignment="1">
      <alignment horizontal="right" wrapText="1"/>
    </xf>
    <xf numFmtId="167" fontId="10" fillId="7" borderId="1" xfId="4" applyNumberFormat="1" applyFont="1" applyFill="1" applyBorder="1" applyAlignment="1">
      <alignment horizontal="right"/>
    </xf>
    <xf numFmtId="0" fontId="10" fillId="0" borderId="1" xfId="4" applyFont="1" applyBorder="1" applyAlignment="1">
      <alignment horizontal="center" vertical="center"/>
    </xf>
    <xf numFmtId="169" fontId="10" fillId="0" borderId="15" xfId="4" applyNumberFormat="1" applyFont="1" applyBorder="1"/>
    <xf numFmtId="169" fontId="10" fillId="0" borderId="15" xfId="4" applyNumberFormat="1" applyFont="1" applyBorder="1" applyAlignment="1">
      <alignment horizontal="right" wrapText="1"/>
    </xf>
    <xf numFmtId="169" fontId="10" fillId="0" borderId="1" xfId="4" applyNumberFormat="1" applyFont="1" applyBorder="1" applyAlignment="1">
      <alignment horizontal="right" wrapText="1"/>
    </xf>
    <xf numFmtId="0" fontId="10" fillId="0" borderId="15" xfId="4" applyFont="1" applyBorder="1" applyAlignment="1">
      <alignment horizontal="right" wrapText="1"/>
    </xf>
    <xf numFmtId="169" fontId="10" fillId="0" borderId="15" xfId="4" applyNumberFormat="1" applyFont="1" applyBorder="1" applyAlignment="1">
      <alignment horizontal="right"/>
    </xf>
    <xf numFmtId="0" fontId="10" fillId="0" borderId="1" xfId="4" applyFont="1" applyBorder="1"/>
    <xf numFmtId="17" fontId="10" fillId="0" borderId="1" xfId="4" applyNumberFormat="1" applyFont="1" applyBorder="1"/>
    <xf numFmtId="0" fontId="14" fillId="0" borderId="1" xfId="0" applyFont="1" applyBorder="1" applyAlignment="1">
      <alignment horizontal="left" wrapText="1"/>
    </xf>
    <xf numFmtId="43" fontId="10" fillId="0" borderId="1" xfId="1" applyFont="1" applyBorder="1"/>
    <xf numFmtId="0" fontId="15" fillId="0" borderId="1" xfId="0" applyFont="1" applyBorder="1" applyAlignment="1">
      <alignment horizontal="left" wrapText="1"/>
    </xf>
    <xf numFmtId="0" fontId="15" fillId="0" borderId="1" xfId="0" applyFont="1" applyBorder="1"/>
    <xf numFmtId="0" fontId="13" fillId="0" borderId="0" xfId="0" applyFont="1" applyAlignment="1">
      <alignment horizontal="right"/>
    </xf>
    <xf numFmtId="0" fontId="13" fillId="0" borderId="1" xfId="0" applyFont="1" applyBorder="1" applyAlignment="1">
      <alignment horizontal="center" vertical="center" wrapText="1"/>
    </xf>
    <xf numFmtId="0" fontId="20" fillId="0" borderId="0" xfId="0" applyFont="1"/>
    <xf numFmtId="3" fontId="20" fillId="0" borderId="0" xfId="0" applyNumberFormat="1" applyFont="1"/>
    <xf numFmtId="165" fontId="0" fillId="0" borderId="1" xfId="1" applyNumberFormat="1" applyFont="1" applyBorder="1" applyAlignment="1">
      <alignment vertical="center"/>
    </xf>
    <xf numFmtId="9" fontId="0" fillId="0" borderId="1" xfId="2" applyFont="1" applyBorder="1" applyAlignment="1">
      <alignment vertical="center"/>
    </xf>
    <xf numFmtId="166" fontId="0" fillId="0" borderId="1" xfId="1" applyNumberFormat="1" applyFont="1" applyBorder="1" applyAlignment="1">
      <alignment vertical="center"/>
    </xf>
    <xf numFmtId="0" fontId="21" fillId="8" borderId="16" xfId="0" applyFont="1" applyFill="1" applyBorder="1"/>
    <xf numFmtId="166" fontId="0" fillId="0" borderId="1" xfId="1" applyNumberFormat="1" applyFont="1" applyBorder="1"/>
    <xf numFmtId="164" fontId="0" fillId="0" borderId="1" xfId="2" applyNumberFormat="1" applyFont="1" applyBorder="1" applyAlignment="1">
      <alignment vertical="center"/>
    </xf>
    <xf numFmtId="165" fontId="0" fillId="0" borderId="15" xfId="1" applyNumberFormat="1" applyFont="1" applyBorder="1" applyAlignment="1">
      <alignment vertical="center"/>
    </xf>
    <xf numFmtId="17" fontId="0" fillId="0" borderId="1" xfId="0" applyNumberFormat="1" applyBorder="1" applyAlignment="1">
      <alignment horizontal="center" vertical="center" wrapText="1"/>
    </xf>
    <xf numFmtId="170" fontId="0" fillId="0" borderId="0" xfId="0" applyNumberFormat="1" applyAlignment="1">
      <alignment horizontal="center" vertical="center" wrapText="1"/>
    </xf>
    <xf numFmtId="165" fontId="22" fillId="0" borderId="1" xfId="1" applyNumberFormat="1" applyFont="1" applyBorder="1" applyAlignment="1">
      <alignment horizontal="right"/>
    </xf>
    <xf numFmtId="17" fontId="0" fillId="6" borderId="1" xfId="0" applyNumberFormat="1" applyFill="1" applyBorder="1" applyAlignment="1">
      <alignment horizontal="center" vertical="center" wrapText="1"/>
    </xf>
    <xf numFmtId="165" fontId="0" fillId="6" borderId="1" xfId="1" applyNumberFormat="1" applyFont="1" applyFill="1" applyBorder="1" applyAlignment="1">
      <alignment vertical="center"/>
    </xf>
    <xf numFmtId="165" fontId="0" fillId="6" borderId="1" xfId="1" applyNumberFormat="1" applyFont="1" applyFill="1" applyBorder="1"/>
    <xf numFmtId="164" fontId="0" fillId="6" borderId="1" xfId="2" applyNumberFormat="1" applyFont="1" applyFill="1" applyBorder="1" applyAlignment="1">
      <alignment vertical="center"/>
    </xf>
    <xf numFmtId="0" fontId="0" fillId="9" borderId="1" xfId="0" applyFill="1" applyBorder="1" applyAlignment="1">
      <alignment vertical="center" wrapText="1"/>
    </xf>
    <xf numFmtId="165" fontId="0" fillId="9" borderId="1" xfId="1" applyNumberFormat="1" applyFont="1" applyFill="1" applyBorder="1"/>
    <xf numFmtId="165" fontId="23" fillId="10" borderId="1" xfId="1" applyNumberFormat="1" applyFont="1" applyFill="1" applyBorder="1"/>
    <xf numFmtId="3" fontId="0" fillId="0" borderId="0" xfId="0" applyNumberFormat="1" applyAlignment="1">
      <alignment vertical="center"/>
    </xf>
    <xf numFmtId="10" fontId="0" fillId="0" borderId="1" xfId="2" applyNumberFormat="1" applyFont="1" applyBorder="1" applyAlignment="1">
      <alignment horizontal="center" vertical="center"/>
    </xf>
    <xf numFmtId="164" fontId="0" fillId="0" borderId="0" xfId="0" applyNumberFormat="1" applyAlignment="1">
      <alignment vertical="center"/>
    </xf>
    <xf numFmtId="164" fontId="0" fillId="9" borderId="1" xfId="2" applyNumberFormat="1" applyFont="1" applyFill="1" applyBorder="1" applyAlignment="1">
      <alignment horizontal="center" vertical="center"/>
    </xf>
    <xf numFmtId="0" fontId="25" fillId="0" borderId="0" xfId="0" applyFont="1"/>
    <xf numFmtId="169" fontId="0" fillId="0" borderId="1" xfId="0" applyNumberFormat="1" applyBorder="1"/>
    <xf numFmtId="0" fontId="26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/>
    </xf>
    <xf numFmtId="165" fontId="26" fillId="0" borderId="1" xfId="1" applyNumberFormat="1" applyFont="1" applyBorder="1" applyAlignment="1">
      <alignment horizontal="center" vertical="center"/>
    </xf>
    <xf numFmtId="165" fontId="26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wrapText="1"/>
    </xf>
    <xf numFmtId="0" fontId="0" fillId="0" borderId="1" xfId="0" applyBorder="1" applyAlignment="1">
      <alignment horizontal="left" vertical="center" wrapText="1"/>
    </xf>
    <xf numFmtId="3" fontId="21" fillId="8" borderId="16" xfId="0" applyNumberFormat="1" applyFont="1" applyFill="1" applyBorder="1"/>
    <xf numFmtId="0" fontId="5" fillId="8" borderId="16" xfId="0" applyFont="1" applyFill="1" applyBorder="1"/>
    <xf numFmtId="3" fontId="5" fillId="8" borderId="16" xfId="0" applyNumberFormat="1" applyFont="1" applyFill="1" applyBorder="1"/>
    <xf numFmtId="4" fontId="21" fillId="8" borderId="16" xfId="0" applyNumberFormat="1" applyFont="1" applyFill="1" applyBorder="1"/>
    <xf numFmtId="0" fontId="3" fillId="0" borderId="1" xfId="0" applyFont="1" applyBorder="1" applyAlignment="1">
      <alignment vertical="center" wrapText="1"/>
    </xf>
    <xf numFmtId="165" fontId="3" fillId="0" borderId="1" xfId="1" applyNumberFormat="1" applyFont="1" applyFill="1" applyBorder="1" applyAlignment="1">
      <alignment vertical="center"/>
    </xf>
    <xf numFmtId="165" fontId="27" fillId="0" borderId="1" xfId="1" applyNumberFormat="1" applyFont="1" applyBorder="1" applyAlignment="1">
      <alignment horizontal="center" vertical="center"/>
    </xf>
    <xf numFmtId="169" fontId="0" fillId="0" borderId="1" xfId="0" applyNumberFormat="1" applyBorder="1" applyAlignment="1">
      <alignment vertical="center"/>
    </xf>
    <xf numFmtId="165" fontId="3" fillId="0" borderId="1" xfId="1" applyNumberFormat="1" applyFont="1" applyBorder="1" applyAlignment="1">
      <alignment vertical="center"/>
    </xf>
    <xf numFmtId="165" fontId="28" fillId="0" borderId="1" xfId="1" applyNumberFormat="1" applyFont="1" applyBorder="1" applyAlignment="1">
      <alignment horizontal="center" vertical="center"/>
    </xf>
    <xf numFmtId="43" fontId="3" fillId="0" borderId="1" xfId="1" applyFont="1" applyBorder="1" applyAlignment="1">
      <alignment horizontal="right" vertical="center"/>
    </xf>
    <xf numFmtId="43" fontId="3" fillId="0" borderId="1" xfId="1" applyFont="1" applyBorder="1" applyAlignment="1">
      <alignment vertical="center"/>
    </xf>
    <xf numFmtId="43" fontId="0" fillId="0" borderId="1" xfId="1" applyFont="1" applyFill="1" applyBorder="1" applyAlignment="1">
      <alignment vertical="center"/>
    </xf>
    <xf numFmtId="2" fontId="0" fillId="0" borderId="0" xfId="1" applyNumberFormat="1" applyFont="1" applyAlignment="1">
      <alignment vertical="center"/>
    </xf>
    <xf numFmtId="9" fontId="0" fillId="0" borderId="1" xfId="2" applyFont="1" applyFill="1" applyBorder="1" applyAlignment="1">
      <alignment horizontal="center" vertical="center"/>
    </xf>
    <xf numFmtId="49" fontId="0" fillId="0" borderId="1" xfId="1" applyNumberFormat="1" applyFont="1" applyBorder="1" applyAlignment="1">
      <alignment horizontal="center" vertical="center"/>
    </xf>
    <xf numFmtId="0" fontId="0" fillId="0" borderId="1" xfId="1" applyNumberFormat="1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3" fillId="0" borderId="0" xfId="1" applyNumberFormat="1" applyFont="1"/>
    <xf numFmtId="0" fontId="0" fillId="9" borderId="0" xfId="0" applyFill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29" fillId="0" borderId="1" xfId="0" applyFont="1" applyBorder="1" applyAlignment="1">
      <alignment horizontal="center" vertical="center" wrapText="1"/>
    </xf>
    <xf numFmtId="0" fontId="29" fillId="0" borderId="1" xfId="0" applyFont="1" applyBorder="1" applyAlignment="1">
      <alignment horizontal="left" vertical="center" wrapText="1"/>
    </xf>
    <xf numFmtId="0" fontId="0" fillId="0" borderId="0" xfId="0" pivotButton="1" applyAlignment="1">
      <alignment wrapText="1"/>
    </xf>
    <xf numFmtId="166" fontId="0" fillId="0" borderId="0" xfId="0" applyNumberFormat="1" applyAlignment="1">
      <alignment wrapText="1"/>
    </xf>
    <xf numFmtId="10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  <xf numFmtId="165" fontId="0" fillId="2" borderId="0" xfId="1" applyNumberFormat="1" applyFont="1" applyFill="1" applyAlignment="1">
      <alignment horizontal="center" vertical="center"/>
    </xf>
    <xf numFmtId="0" fontId="0" fillId="2" borderId="0" xfId="0" applyFill="1" applyAlignment="1">
      <alignment horizontal="right" vertical="center" wrapText="1"/>
    </xf>
    <xf numFmtId="170" fontId="0" fillId="0" borderId="0" xfId="0" applyNumberFormat="1"/>
    <xf numFmtId="167" fontId="0" fillId="0" borderId="0" xfId="0" applyNumberFormat="1" applyAlignment="1">
      <alignment wrapText="1"/>
    </xf>
    <xf numFmtId="0" fontId="29" fillId="4" borderId="1" xfId="0" applyFont="1" applyFill="1" applyBorder="1" applyAlignment="1">
      <alignment horizontal="left" vertical="center" wrapText="1"/>
    </xf>
    <xf numFmtId="0" fontId="29" fillId="4" borderId="1" xfId="0" applyFont="1" applyFill="1" applyBorder="1" applyAlignment="1">
      <alignment horizontal="center" vertical="center" wrapText="1"/>
    </xf>
    <xf numFmtId="2" fontId="29" fillId="4" borderId="1" xfId="0" applyNumberFormat="1" applyFont="1" applyFill="1" applyBorder="1" applyAlignment="1">
      <alignment horizontal="center" vertical="center" wrapText="1"/>
    </xf>
    <xf numFmtId="2" fontId="29" fillId="0" borderId="1" xfId="0" applyNumberFormat="1" applyFont="1" applyBorder="1" applyAlignment="1">
      <alignment horizontal="center" vertical="center" wrapText="1"/>
    </xf>
    <xf numFmtId="169" fontId="29" fillId="4" borderId="1" xfId="0" applyNumberFormat="1" applyFont="1" applyFill="1" applyBorder="1" applyAlignment="1">
      <alignment horizontal="center" vertical="center" wrapText="1"/>
    </xf>
    <xf numFmtId="9" fontId="3" fillId="0" borderId="1" xfId="2" applyFont="1" applyBorder="1" applyAlignment="1">
      <alignment horizontal="center" vertical="center"/>
    </xf>
    <xf numFmtId="167" fontId="0" fillId="0" borderId="1" xfId="0" applyNumberFormat="1" applyBorder="1" applyAlignment="1">
      <alignment horizontal="right" vertical="center" wrapText="1"/>
    </xf>
    <xf numFmtId="167" fontId="3" fillId="0" borderId="1" xfId="0" applyNumberFormat="1" applyFont="1" applyBorder="1" applyAlignment="1">
      <alignment horizontal="right" vertical="center" wrapText="1"/>
    </xf>
    <xf numFmtId="165" fontId="0" fillId="0" borderId="1" xfId="1" applyNumberFormat="1" applyFont="1" applyBorder="1" applyAlignment="1">
      <alignment horizontal="right" vertical="center" wrapText="1"/>
    </xf>
    <xf numFmtId="165" fontId="3" fillId="0" borderId="1" xfId="1" applyNumberFormat="1" applyFont="1" applyBorder="1" applyAlignment="1">
      <alignment horizontal="right" vertical="center" wrapText="1"/>
    </xf>
    <xf numFmtId="165" fontId="3" fillId="0" borderId="1" xfId="1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left" vertical="center" wrapText="1"/>
    </xf>
    <xf numFmtId="0" fontId="22" fillId="0" borderId="1" xfId="4" applyFont="1" applyBorder="1" applyAlignment="1">
      <alignment wrapText="1"/>
    </xf>
    <xf numFmtId="0" fontId="30" fillId="0" borderId="1" xfId="4" applyFont="1" applyBorder="1" applyAlignment="1">
      <alignment horizontal="center" vertical="center" wrapText="1"/>
    </xf>
    <xf numFmtId="0" fontId="31" fillId="0" borderId="1" xfId="4" applyFont="1" applyBorder="1"/>
    <xf numFmtId="3" fontId="22" fillId="0" borderId="1" xfId="4" applyNumberFormat="1" applyFont="1" applyBorder="1"/>
    <xf numFmtId="3" fontId="32" fillId="0" borderId="1" xfId="4" applyNumberFormat="1" applyFont="1" applyBorder="1"/>
    <xf numFmtId="0" fontId="30" fillId="0" borderId="1" xfId="4" applyFont="1" applyBorder="1"/>
    <xf numFmtId="0" fontId="6" fillId="0" borderId="0" xfId="0" applyFont="1"/>
    <xf numFmtId="0" fontId="6" fillId="0" borderId="1" xfId="0" applyFont="1" applyBorder="1" applyAlignment="1">
      <alignment horizontal="center" vertical="center" wrapText="1"/>
    </xf>
    <xf numFmtId="2" fontId="6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/>
    </xf>
    <xf numFmtId="10" fontId="6" fillId="0" borderId="1" xfId="2" applyNumberFormat="1" applyFont="1" applyBorder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0" fontId="12" fillId="0" borderId="1" xfId="0" applyFont="1" applyBorder="1" applyAlignment="1">
      <alignment horizontal="left" wrapText="1"/>
    </xf>
    <xf numFmtId="3" fontId="11" fillId="0" borderId="1" xfId="0" applyNumberFormat="1" applyFont="1" applyBorder="1" applyAlignment="1">
      <alignment horizontal="right" wrapText="1"/>
    </xf>
    <xf numFmtId="169" fontId="11" fillId="0" borderId="1" xfId="0" applyNumberFormat="1" applyFont="1" applyBorder="1" applyAlignment="1">
      <alignment horizontal="right"/>
    </xf>
    <xf numFmtId="0" fontId="13" fillId="0" borderId="1" xfId="0" applyFont="1" applyBorder="1" applyAlignment="1">
      <alignment horizontal="left" wrapText="1"/>
    </xf>
    <xf numFmtId="0" fontId="13" fillId="0" borderId="1" xfId="0" applyFont="1" applyBorder="1"/>
    <xf numFmtId="164" fontId="0" fillId="0" borderId="1" xfId="2" applyNumberFormat="1" applyFont="1" applyBorder="1" applyAlignment="1">
      <alignment horizontal="center" vertical="center" wrapText="1"/>
    </xf>
    <xf numFmtId="10" fontId="0" fillId="0" borderId="1" xfId="2" applyNumberFormat="1" applyFont="1" applyBorder="1" applyAlignment="1">
      <alignment horizontal="center" vertical="center" wrapText="1"/>
    </xf>
    <xf numFmtId="164" fontId="3" fillId="0" borderId="1" xfId="2" applyNumberFormat="1" applyFont="1" applyBorder="1" applyAlignment="1">
      <alignment horizontal="right" vertical="center" wrapText="1"/>
    </xf>
    <xf numFmtId="164" fontId="3" fillId="0" borderId="1" xfId="2" applyNumberFormat="1" applyFont="1" applyBorder="1" applyAlignment="1">
      <alignment horizontal="right" vertical="center"/>
    </xf>
    <xf numFmtId="0" fontId="8" fillId="0" borderId="1" xfId="0" applyFont="1" applyBorder="1" applyAlignment="1">
      <alignment horizontal="center" vertical="center" wrapText="1"/>
    </xf>
    <xf numFmtId="0" fontId="34" fillId="0" borderId="0" xfId="0" applyFont="1"/>
    <xf numFmtId="0" fontId="34" fillId="0" borderId="1" xfId="0" applyFont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4" fillId="0" borderId="18" xfId="0" applyFont="1" applyBorder="1" applyAlignment="1">
      <alignment horizontal="left" vertical="center" wrapText="1"/>
    </xf>
    <xf numFmtId="0" fontId="35" fillId="0" borderId="18" xfId="0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center" wrapText="1"/>
    </xf>
    <xf numFmtId="2" fontId="34" fillId="0" borderId="18" xfId="0" applyNumberFormat="1" applyFont="1" applyBorder="1" applyAlignment="1">
      <alignment horizontal="center" vertical="center"/>
    </xf>
    <xf numFmtId="0" fontId="34" fillId="4" borderId="18" xfId="0" applyFont="1" applyFill="1" applyBorder="1" applyAlignment="1">
      <alignment horizontal="center" vertical="center" wrapText="1"/>
    </xf>
    <xf numFmtId="0" fontId="29" fillId="7" borderId="1" xfId="0" applyFont="1" applyFill="1" applyBorder="1" applyAlignment="1">
      <alignment horizontal="center" vertical="center" wrapText="1"/>
    </xf>
    <xf numFmtId="165" fontId="0" fillId="0" borderId="0" xfId="1" applyNumberFormat="1" applyFont="1" applyFill="1"/>
    <xf numFmtId="0" fontId="5" fillId="4" borderId="18" xfId="0" applyFont="1" applyFill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34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2" fontId="34" fillId="0" borderId="0" xfId="0" applyNumberFormat="1" applyFont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/>
    <xf numFmtId="0" fontId="0" fillId="0" borderId="1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9" fontId="0" fillId="0" borderId="0" xfId="2" applyFont="1" applyFill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0" fontId="0" fillId="0" borderId="15" xfId="2" applyNumberFormat="1" applyFont="1" applyBorder="1" applyAlignment="1">
      <alignment horizontal="center" vertical="center" wrapText="1"/>
    </xf>
    <xf numFmtId="10" fontId="21" fillId="4" borderId="14" xfId="2" applyNumberFormat="1" applyFont="1" applyFill="1" applyBorder="1" applyAlignment="1">
      <alignment horizontal="center" vertical="center"/>
    </xf>
    <xf numFmtId="10" fontId="0" fillId="0" borderId="0" xfId="2" applyNumberFormat="1" applyFont="1"/>
    <xf numFmtId="2" fontId="0" fillId="0" borderId="14" xfId="0" applyNumberFormat="1" applyBorder="1" applyAlignment="1">
      <alignment horizontal="center" vertical="center"/>
    </xf>
    <xf numFmtId="169" fontId="0" fillId="0" borderId="14" xfId="0" applyNumberFormat="1" applyBorder="1" applyAlignment="1">
      <alignment horizontal="center" vertical="center"/>
    </xf>
    <xf numFmtId="10" fontId="21" fillId="4" borderId="22" xfId="0" applyNumberFormat="1" applyFont="1" applyFill="1" applyBorder="1" applyAlignment="1">
      <alignment horizontal="center" vertical="center"/>
    </xf>
    <xf numFmtId="10" fontId="21" fillId="4" borderId="1" xfId="0" applyNumberFormat="1" applyFont="1" applyFill="1" applyBorder="1" applyAlignment="1">
      <alignment horizontal="center" vertical="center"/>
    </xf>
    <xf numFmtId="165" fontId="3" fillId="0" borderId="1" xfId="1" applyNumberFormat="1" applyFont="1" applyFill="1" applyBorder="1" applyAlignment="1">
      <alignment horizontal="right" vertical="center"/>
    </xf>
    <xf numFmtId="164" fontId="3" fillId="0" borderId="1" xfId="2" applyNumberFormat="1" applyFont="1" applyFill="1" applyBorder="1" applyAlignment="1">
      <alignment horizontal="right" vertical="center"/>
    </xf>
    <xf numFmtId="9" fontId="3" fillId="0" borderId="1" xfId="2" applyFont="1" applyFill="1" applyBorder="1" applyAlignment="1">
      <alignment horizontal="center" vertical="center"/>
    </xf>
    <xf numFmtId="165" fontId="0" fillId="0" borderId="1" xfId="1" applyNumberFormat="1" applyFont="1" applyFill="1" applyBorder="1" applyAlignment="1">
      <alignment horizontal="right" vertical="center" wrapText="1"/>
    </xf>
    <xf numFmtId="165" fontId="3" fillId="0" borderId="1" xfId="1" applyNumberFormat="1" applyFont="1" applyFill="1" applyBorder="1" applyAlignment="1">
      <alignment horizontal="right" vertical="center" wrapText="1"/>
    </xf>
    <xf numFmtId="164" fontId="3" fillId="0" borderId="1" xfId="2" applyNumberFormat="1" applyFont="1" applyFill="1" applyBorder="1" applyAlignment="1">
      <alignment horizontal="right" vertical="center" wrapText="1"/>
    </xf>
    <xf numFmtId="9" fontId="0" fillId="0" borderId="1" xfId="2" applyFont="1" applyFill="1" applyBorder="1" applyAlignment="1">
      <alignment horizontal="center" vertical="center" wrapText="1"/>
    </xf>
    <xf numFmtId="10" fontId="0" fillId="0" borderId="1" xfId="2" applyNumberFormat="1" applyFont="1" applyFill="1" applyBorder="1" applyAlignment="1">
      <alignment horizontal="center" vertical="center" wrapText="1"/>
    </xf>
    <xf numFmtId="165" fontId="3" fillId="0" borderId="1" xfId="0" applyNumberFormat="1" applyFont="1" applyBorder="1" applyAlignment="1">
      <alignment horizontal="center" vertical="center"/>
    </xf>
    <xf numFmtId="43" fontId="3" fillId="0" borderId="1" xfId="0" applyNumberFormat="1" applyFont="1" applyBorder="1" applyAlignment="1">
      <alignment horizontal="center" vertical="center"/>
    </xf>
    <xf numFmtId="164" fontId="0" fillId="0" borderId="1" xfId="2" applyNumberFormat="1" applyFont="1" applyFill="1" applyBorder="1" applyAlignment="1">
      <alignment horizontal="center" vertical="center" wrapText="1"/>
    </xf>
    <xf numFmtId="43" fontId="0" fillId="0" borderId="1" xfId="1" applyFont="1" applyFill="1" applyBorder="1" applyAlignment="1">
      <alignment horizontal="center" vertical="center" wrapText="1"/>
    </xf>
    <xf numFmtId="165" fontId="0" fillId="0" borderId="1" xfId="1" applyNumberFormat="1" applyFont="1" applyFill="1" applyBorder="1" applyAlignment="1">
      <alignment horizontal="center" vertical="center" wrapText="1"/>
    </xf>
    <xf numFmtId="2" fontId="0" fillId="0" borderId="1" xfId="0" applyNumberFormat="1" applyBorder="1"/>
    <xf numFmtId="9" fontId="0" fillId="0" borderId="1" xfId="0" applyNumberFormat="1" applyBorder="1"/>
    <xf numFmtId="165" fontId="0" fillId="0" borderId="1" xfId="0" applyNumberFormat="1" applyBorder="1"/>
    <xf numFmtId="4" fontId="3" fillId="0" borderId="1" xfId="0" applyNumberFormat="1" applyFont="1" applyBorder="1" applyAlignment="1">
      <alignment horizontal="right" vertical="center" wrapText="1"/>
    </xf>
    <xf numFmtId="9" fontId="0" fillId="0" borderId="1" xfId="2" applyFont="1" applyBorder="1"/>
    <xf numFmtId="0" fontId="24" fillId="0" borderId="1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0" fillId="0" borderId="9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1" xfId="0" applyBorder="1" applyAlignment="1">
      <alignment horizontal="right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6" fillId="11" borderId="20" xfId="0" applyFont="1" applyFill="1" applyBorder="1" applyAlignment="1">
      <alignment horizontal="center"/>
    </xf>
    <xf numFmtId="0" fontId="36" fillId="11" borderId="0" xfId="0" applyFont="1" applyFill="1" applyAlignment="1">
      <alignment horizontal="center"/>
    </xf>
    <xf numFmtId="0" fontId="34" fillId="0" borderId="14" xfId="0" applyFont="1" applyBorder="1" applyAlignment="1">
      <alignment horizontal="center" vertical="center" wrapText="1"/>
    </xf>
    <xf numFmtId="0" fontId="34" fillId="0" borderId="17" xfId="0" applyFont="1" applyBorder="1" applyAlignment="1">
      <alignment horizontal="center" vertical="center" wrapText="1"/>
    </xf>
    <xf numFmtId="0" fontId="34" fillId="0" borderId="13" xfId="0" applyFont="1" applyBorder="1" applyAlignment="1">
      <alignment horizontal="center" vertical="center" wrapText="1"/>
    </xf>
    <xf numFmtId="0" fontId="34" fillId="0" borderId="19" xfId="0" applyFont="1" applyBorder="1" applyAlignment="1">
      <alignment horizontal="center" vertical="center" wrapText="1"/>
    </xf>
    <xf numFmtId="0" fontId="34" fillId="0" borderId="15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24" fillId="0" borderId="9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33" fillId="0" borderId="1" xfId="0" applyFont="1" applyBorder="1" applyAlignment="1">
      <alignment horizontal="center"/>
    </xf>
    <xf numFmtId="0" fontId="6" fillId="0" borderId="14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33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43" fontId="0" fillId="0" borderId="14" xfId="1" applyFont="1" applyBorder="1" applyAlignment="1">
      <alignment horizontal="center" vertical="center" wrapText="1"/>
    </xf>
    <xf numFmtId="43" fontId="0" fillId="0" borderId="13" xfId="1" applyFont="1" applyBorder="1" applyAlignment="1">
      <alignment horizontal="center" vertical="center" wrapText="1"/>
    </xf>
    <xf numFmtId="43" fontId="0" fillId="0" borderId="15" xfId="1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top" wrapText="1"/>
    </xf>
    <xf numFmtId="0" fontId="10" fillId="0" borderId="2" xfId="4" applyFont="1" applyBorder="1" applyAlignment="1">
      <alignment horizontal="right"/>
    </xf>
    <xf numFmtId="0" fontId="13" fillId="0" borderId="1" xfId="0" applyFont="1" applyBorder="1" applyAlignment="1">
      <alignment horizontal="center" vertical="center" wrapText="1"/>
    </xf>
    <xf numFmtId="0" fontId="16" fillId="0" borderId="0" xfId="4" applyFont="1" applyAlignment="1">
      <alignment horizontal="center"/>
    </xf>
    <xf numFmtId="0" fontId="18" fillId="0" borderId="12" xfId="4" applyFont="1" applyBorder="1" applyAlignment="1">
      <alignment horizontal="left" vertical="top" wrapText="1"/>
    </xf>
    <xf numFmtId="0" fontId="16" fillId="0" borderId="0" xfId="4" applyFont="1" applyAlignment="1">
      <alignment horizont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9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2" fontId="0" fillId="0" borderId="13" xfId="0" applyNumberFormat="1" applyFill="1" applyBorder="1"/>
  </cellXfs>
  <cellStyles count="7">
    <cellStyle name="Гиперссылка" xfId="3" builtinId="8"/>
    <cellStyle name="Обычный" xfId="0" builtinId="0"/>
    <cellStyle name="Обычный 2" xfId="4" xr:uid="{CBA817CF-B9FD-40FC-A030-8E35211C3EB5}"/>
    <cellStyle name="Обычный 2 2" xfId="5" xr:uid="{65F72875-3A6C-4C1D-9A26-AEB3797146C9}"/>
    <cellStyle name="Обычный 7" xfId="6" xr:uid="{26850E9C-54BD-4D30-BD28-5437D3AF9F19}"/>
    <cellStyle name="Процентный" xfId="2" builtinId="5"/>
    <cellStyle name="Финансовый" xfId="1" builtinId="3"/>
  </cellStyles>
  <dxfs count="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5" formatCode="_-* #,##0_-;\-* #,##0_-;_-* &quot;-&quot;??_-;_-@_-"/>
    </dxf>
    <dxf>
      <font>
        <b/>
        <charset val="204"/>
      </font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font>
        <b/>
        <charset val="204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numFmt numFmtId="14" formatCode="0.00%"/>
      <fill>
        <patternFill patternType="solid">
          <fgColor indexed="64"/>
          <bgColor theme="9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</font>
      <numFmt numFmtId="14" formatCode="0.00%"/>
      <fill>
        <patternFill patternType="solid">
          <fgColor indexed="64"/>
          <bgColor theme="9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</font>
      <numFmt numFmtId="14" formatCode="0.00%"/>
      <fill>
        <patternFill patternType="solid">
          <fgColor indexed="64"/>
          <bgColor theme="9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</font>
      <numFmt numFmtId="14" formatCode="0.00%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numFmt numFmtId="169" formatCode="0.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</font>
      <numFmt numFmtId="14" formatCode="0.00%"/>
      <fill>
        <patternFill patternType="solid">
          <fgColor indexed="64"/>
          <bgColor theme="9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67" formatCode="#,##0.0"/>
    </dxf>
    <dxf>
      <numFmt numFmtId="14" formatCode="0.00%"/>
    </dxf>
    <dxf>
      <numFmt numFmtId="3" formatCode="#,##0"/>
    </dxf>
    <dxf>
      <alignment wrapText="1"/>
    </dxf>
    <dxf>
      <numFmt numFmtId="14" formatCode="0.00%"/>
    </dxf>
    <dxf>
      <numFmt numFmtId="167" formatCode="#,##0.0"/>
    </dxf>
    <dxf>
      <numFmt numFmtId="3" formatCode="#,##0"/>
    </dxf>
    <dxf>
      <numFmt numFmtId="14" formatCode="0.00%"/>
    </dxf>
    <dxf>
      <numFmt numFmtId="3" formatCode="#,##0"/>
    </dxf>
    <dxf>
      <alignment wrapText="1"/>
    </dxf>
    <dxf>
      <numFmt numFmtId="3" formatCode="#,##0"/>
    </dxf>
    <dxf>
      <alignment wrapText="1"/>
    </dxf>
    <dxf>
      <numFmt numFmtId="3" formatCode="#,##0"/>
    </dxf>
    <dxf>
      <alignment wrapText="1"/>
    </dxf>
    <dxf>
      <numFmt numFmtId="3" formatCode="#,##0"/>
    </dxf>
    <dxf>
      <alignment wrapText="1"/>
    </dxf>
    <dxf>
      <numFmt numFmtId="167" formatCode="#,##0.0"/>
    </dxf>
    <dxf>
      <numFmt numFmtId="14" formatCode="0.00%"/>
    </dxf>
    <dxf>
      <numFmt numFmtId="167" formatCode="#,##0.0"/>
    </dxf>
    <dxf>
      <numFmt numFmtId="14" formatCode="0.00%"/>
    </dxf>
    <dxf>
      <numFmt numFmtId="3" formatCode="#,##0"/>
    </dxf>
    <dxf>
      <alignment wrapText="1"/>
    </dxf>
    <dxf>
      <numFmt numFmtId="14" formatCode="0.00%"/>
    </dxf>
    <dxf>
      <numFmt numFmtId="167" formatCode="#,##0.0"/>
    </dxf>
    <dxf>
      <numFmt numFmtId="167" formatCode="#,##0.0"/>
    </dxf>
    <dxf>
      <numFmt numFmtId="14" formatCode="0.00%"/>
    </dxf>
    <dxf>
      <numFmt numFmtId="3" formatCode="#,##0"/>
    </dxf>
    <dxf>
      <alignment wrapText="1"/>
    </dxf>
    <dxf>
      <numFmt numFmtId="14" formatCode="0.00%"/>
    </dxf>
    <dxf>
      <numFmt numFmtId="167" formatCode="#,##0.0"/>
    </dxf>
    <dxf>
      <numFmt numFmtId="14" formatCode="0.00%"/>
    </dxf>
    <dxf>
      <numFmt numFmtId="3" formatCode="#,##0"/>
    </dxf>
    <dxf>
      <alignment wrapText="1"/>
    </dxf>
    <dxf>
      <numFmt numFmtId="3" formatCode="#,##0"/>
    </dxf>
    <dxf>
      <alignment wrapText="1"/>
    </dxf>
    <dxf>
      <numFmt numFmtId="3" formatCode="#,##0"/>
    </dxf>
    <dxf>
      <alignment wrapText="1"/>
    </dxf>
    <dxf>
      <numFmt numFmtId="14" formatCode="0.00%"/>
    </dxf>
    <dxf>
      <numFmt numFmtId="167" formatCode="#,##0.0"/>
    </dxf>
    <dxf>
      <numFmt numFmtId="14" formatCode="0.00%"/>
    </dxf>
    <dxf>
      <numFmt numFmtId="3" formatCode="#,##0"/>
    </dxf>
    <dxf>
      <alignment wrapText="1"/>
    </dxf>
    <dxf>
      <numFmt numFmtId="14" formatCode="0.00%"/>
    </dxf>
    <dxf>
      <numFmt numFmtId="167" formatCode="#,##0.0"/>
    </dxf>
    <dxf>
      <numFmt numFmtId="14" formatCode="0.00%"/>
    </dxf>
    <dxf>
      <numFmt numFmtId="3" formatCode="#,##0"/>
    </dxf>
    <dxf>
      <alignment wrapText="1"/>
    </dxf>
    <dxf>
      <numFmt numFmtId="3" formatCode="#,##0"/>
    </dxf>
    <dxf>
      <alignment wrapText="1"/>
    </dxf>
    <dxf>
      <numFmt numFmtId="3" formatCode="#,##0"/>
    </dxf>
    <dxf>
      <alignment wrapText="1"/>
    </dxf>
    <dxf>
      <numFmt numFmtId="166" formatCode="_-* #,##0.0_-;\-* #,##0.0_-;_-* &quot;-&quot;??_-;_-@_-"/>
    </dxf>
    <dxf>
      <numFmt numFmtId="166" formatCode="_-* #,##0.0_-;\-* #,##0.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6" formatCode="_-* #,##0.0_-;\-* #,##0.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_-* #,##0_-;\-* #,##0_-;_-* &quot;-&quot;??_-;_-@_-"/>
    </dxf>
    <dxf>
      <numFmt numFmtId="1" formatCode="0"/>
    </dxf>
    <dxf>
      <numFmt numFmtId="1" formatCode="0"/>
    </dxf>
    <dxf>
      <numFmt numFmtId="0" formatCode="General"/>
    </dxf>
    <dxf>
      <alignment horizontal="center" vertical="center" textRotation="0" wrapText="1" indent="0" justifyLastLine="0" shrinkToFit="0" readingOrder="0"/>
    </dxf>
    <dxf>
      <numFmt numFmtId="13" formatCode="0%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30" formatCode="@"/>
    </dxf>
    <dxf>
      <numFmt numFmtId="30" formatCode="@"/>
    </dxf>
    <dxf>
      <numFmt numFmtId="30" formatCode="@"/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769620</xdr:colOff>
      <xdr:row>51</xdr:row>
      <xdr:rowOff>22860</xdr:rowOff>
    </xdr:from>
    <xdr:to>
      <xdr:col>22</xdr:col>
      <xdr:colOff>172004</xdr:colOff>
      <xdr:row>83</xdr:row>
      <xdr:rowOff>46890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B4D4B2F-95AE-28EC-AB59-7EF2E90DE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22080" y="12092940"/>
          <a:ext cx="10809524" cy="58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533400</xdr:colOff>
      <xdr:row>1</xdr:row>
      <xdr:rowOff>22860</xdr:rowOff>
    </xdr:from>
    <xdr:to>
      <xdr:col>20</xdr:col>
      <xdr:colOff>122730</xdr:colOff>
      <xdr:row>18</xdr:row>
      <xdr:rowOff>122313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3B0A122-4CFC-2BB3-F47D-C538F7F29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87840" y="205740"/>
          <a:ext cx="9342930" cy="45342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510540</xdr:colOff>
      <xdr:row>9</xdr:row>
      <xdr:rowOff>129540</xdr:rowOff>
    </xdr:from>
    <xdr:to>
      <xdr:col>25</xdr:col>
      <xdr:colOff>328617</xdr:colOff>
      <xdr:row>34</xdr:row>
      <xdr:rowOff>114337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12001F8-D7ED-173F-3D8C-0D937B74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7660" y="3482340"/>
          <a:ext cx="6912297" cy="5204497"/>
        </a:xfrm>
        <a:prstGeom prst="rect">
          <a:avLst/>
        </a:prstGeom>
      </xdr:spPr>
    </xdr:pic>
    <xdr:clientData/>
  </xdr:twoCellAnchor>
  <xdr:twoCellAnchor editAs="oneCell">
    <xdr:from>
      <xdr:col>14</xdr:col>
      <xdr:colOff>891540</xdr:colOff>
      <xdr:row>38</xdr:row>
      <xdr:rowOff>30480</xdr:rowOff>
    </xdr:from>
    <xdr:to>
      <xdr:col>32</xdr:col>
      <xdr:colOff>557216</xdr:colOff>
      <xdr:row>47</xdr:row>
      <xdr:rowOff>152553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DCC5D16-BD4D-1332-5297-7EA3AC4B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38660" y="9334500"/>
          <a:ext cx="11027096" cy="17679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</xdr:row>
      <xdr:rowOff>0</xdr:rowOff>
    </xdr:from>
    <xdr:to>
      <xdr:col>13</xdr:col>
      <xdr:colOff>662941</xdr:colOff>
      <xdr:row>42</xdr:row>
      <xdr:rowOff>53307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5F838CB-755D-D1BD-1F9D-29A28A2AE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280160"/>
          <a:ext cx="10523220" cy="407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</xdr:row>
      <xdr:rowOff>0</xdr:rowOff>
    </xdr:from>
    <xdr:to>
      <xdr:col>14</xdr:col>
      <xdr:colOff>106681</xdr:colOff>
      <xdr:row>65</xdr:row>
      <xdr:rowOff>159317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1A3DD7D-FE20-A41E-6802-3277596E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5669280"/>
          <a:ext cx="10744200" cy="399979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67</xdr:row>
      <xdr:rowOff>83820</xdr:rowOff>
    </xdr:from>
    <xdr:to>
      <xdr:col>14</xdr:col>
      <xdr:colOff>95561</xdr:colOff>
      <xdr:row>102</xdr:row>
      <xdr:rowOff>69297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3B47058-A3B8-31A7-0605-B053D9BB6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0080" y="9959340"/>
          <a:ext cx="10702601" cy="638627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0</xdr:rowOff>
    </xdr:from>
    <xdr:to>
      <xdr:col>14</xdr:col>
      <xdr:colOff>114301</xdr:colOff>
      <xdr:row>120</xdr:row>
      <xdr:rowOff>117800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3DF197A-B4CA-CD95-1D29-8916A83A2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6824960"/>
          <a:ext cx="10751820" cy="2861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</xdr:colOff>
      <xdr:row>121</xdr:row>
      <xdr:rowOff>131535</xdr:rowOff>
    </xdr:from>
    <xdr:to>
      <xdr:col>12</xdr:col>
      <xdr:colOff>220980</xdr:colOff>
      <xdr:row>151</xdr:row>
      <xdr:rowOff>76799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478A937D-6B89-EABD-1BEB-879A770FB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5340" y="19882575"/>
          <a:ext cx="8923020" cy="5431664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137161</xdr:colOff>
      <xdr:row>152</xdr:row>
      <xdr:rowOff>129540</xdr:rowOff>
    </xdr:from>
    <xdr:to>
      <xdr:col>15</xdr:col>
      <xdr:colOff>159349</xdr:colOff>
      <xdr:row>175</xdr:row>
      <xdr:rowOff>137668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740A4ED-8C6D-25C2-2554-5F796F43E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6761" y="25549860"/>
          <a:ext cx="11657928" cy="4214368"/>
        </a:xfrm>
        <a:prstGeom prst="rect">
          <a:avLst/>
        </a:prstGeom>
      </xdr:spPr>
    </xdr:pic>
    <xdr:clientData/>
  </xdr:twoCellAnchor>
  <xdr:twoCellAnchor editAs="oneCell">
    <xdr:from>
      <xdr:col>1</xdr:col>
      <xdr:colOff>388620</xdr:colOff>
      <xdr:row>177</xdr:row>
      <xdr:rowOff>0</xdr:rowOff>
    </xdr:from>
    <xdr:to>
      <xdr:col>14</xdr:col>
      <xdr:colOff>540361</xdr:colOff>
      <xdr:row>199</xdr:row>
      <xdr:rowOff>175812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EECD7424-4E35-E674-141A-96CC5CF28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8220" y="29992320"/>
          <a:ext cx="10789261" cy="41991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96646</xdr:rowOff>
    </xdr:from>
    <xdr:to>
      <xdr:col>12</xdr:col>
      <xdr:colOff>365760</xdr:colOff>
      <xdr:row>236</xdr:row>
      <xdr:rowOff>23370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5DDEAF3B-259A-4B00-10A4-43672A16E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34112326"/>
          <a:ext cx="8663940" cy="669328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mmar Muhammad" id="{E4125E83-76CE-46CE-903B-11605365AA45}" userId="575d1c280a64bea5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mar Muhammad" refreshedDate="45419.853787499997" createdVersion="8" refreshedVersion="8" minRefreshableVersion="3" recordCount="2158" xr:uid="{4832BA49-5336-4B29-958B-D8913F3A4AD7}">
  <cacheSource type="worksheet">
    <worksheetSource name="Таблица1_113"/>
  </cacheSource>
  <cacheFields count="10">
    <cacheField name="Марка" numFmtId="0">
      <sharedItems count="50">
        <s v="УАЗ"/>
        <s v="Остальные"/>
        <s v="Volvo"/>
        <s v="Volkswagen"/>
        <s v="Toyota"/>
        <s v="Subaru"/>
        <s v="Skoda"/>
        <s v="Rolls-Royce"/>
        <s v="Renault"/>
        <s v="Ravon"/>
        <s v="Porsche"/>
        <s v="Peugeot"/>
        <s v="Nissan"/>
        <s v="Mitsubishi"/>
        <s v="Mini"/>
        <s v="Mercedes-Benz"/>
        <s v="Mazda"/>
        <s v="Lifan"/>
        <s v="Lexus"/>
        <s v="Land Rover"/>
        <s v="Lada"/>
        <s v="Kia"/>
        <s v="Jaguar"/>
        <s v="JAC"/>
        <s v="Isuzu"/>
        <s v="Infiniti"/>
        <s v="Hyundai"/>
        <s v="Foton"/>
        <s v="Ford"/>
        <s v="DongFeng"/>
        <s v="Daewoo"/>
        <s v="Chevrolet"/>
        <s v="Cadillac"/>
        <s v="BMW"/>
        <s v="Audi"/>
        <s v="Ankai"/>
        <s v="Suzuki"/>
        <s v="Genesis"/>
        <s v="Haval"/>
        <s v="FAW"/>
        <s v="Chery"/>
        <s v="Geely"/>
        <s v="ChangAn"/>
        <s v="Tank"/>
        <s v="OMODA"/>
        <s v="Jetour"/>
        <s v="HongQi"/>
        <s v="Great Wall"/>
        <s v="GAC"/>
        <s v="Exeed"/>
      </sharedItems>
    </cacheField>
    <cacheField name="Страна" numFmtId="0">
      <sharedItems count="12">
        <s v="Россия"/>
        <s v="-"/>
        <s v="Швеция"/>
        <s v="Германия"/>
        <s v="Япония"/>
        <s v="Чехия"/>
        <s v="Великобритания"/>
        <s v="Франция"/>
        <s v="Узбекистан"/>
        <s v="Китай"/>
        <s v="Корея"/>
        <s v="США"/>
      </sharedItems>
    </cacheField>
    <cacheField name="Позиционирование" numFmtId="0">
      <sharedItems count="4">
        <s v="Economy"/>
        <s v="-"/>
        <s v="Business"/>
        <s v="Luxury"/>
      </sharedItems>
    </cacheField>
    <cacheField name="Год основания" numFmtId="0">
      <sharedItems containsMixedTypes="1" containsNumber="1" containsInteger="1" minValue="1810" maxValue="2022"/>
    </cacheField>
    <cacheField name="Сборка в Казахстане" numFmtId="0">
      <sharedItems count="3">
        <s v="Нет"/>
        <s v="-"/>
        <s v="Крупноузловая"/>
      </sharedItems>
    </cacheField>
    <cacheField name="Дата" numFmtId="14">
      <sharedItems containsSemiMixedTypes="0" containsNonDate="0" containsDate="1" containsString="0" minDate="2019-01-01T00:00:00" maxDate="2024-02-02T00:00:00" count="62"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  <d v="2024-01-01T00:00:00"/>
        <d v="2024-02-01T00:00:00"/>
      </sharedItems>
      <fieldGroup par="9"/>
    </cacheField>
    <cacheField name="Количество, шт." numFmtId="0">
      <sharedItems containsSemiMixedTypes="0" containsString="0" containsNumber="1" containsInteger="1" minValue="0" maxValue="5789"/>
    </cacheField>
    <cacheField name="Месяцы (Дата)" numFmtId="0" databaseField="0">
      <fieldGroup base="5">
        <rangePr groupBy="months" startDate="2019-01-01T00:00:00" endDate="2024-02-02T00:00:00"/>
        <groupItems count="14">
          <s v="&lt;01.01.2019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2.02.2024"/>
        </groupItems>
      </fieldGroup>
    </cacheField>
    <cacheField name="Кварталы (Дата)" numFmtId="0" databaseField="0">
      <fieldGroup base="5">
        <rangePr groupBy="quarters" startDate="2019-01-01T00:00:00" endDate="2024-02-02T00:00:00"/>
        <groupItems count="6">
          <s v="&lt;01.01.2019"/>
          <s v="Кв-л1"/>
          <s v="Кв-л2"/>
          <s v="Кв-л3"/>
          <s v="Кв-л4"/>
          <s v="&gt;02.02.2024"/>
        </groupItems>
      </fieldGroup>
    </cacheField>
    <cacheField name="Годы (Дата)" numFmtId="0" databaseField="0">
      <fieldGroup base="5">
        <rangePr groupBy="years" startDate="2019-01-01T00:00:00" endDate="2024-02-02T00:00:00"/>
        <groupItems count="8">
          <s v="&lt;01.01.2019"/>
          <s v="2019"/>
          <s v="2020"/>
          <s v="2021"/>
          <s v="2022"/>
          <s v="2023"/>
          <s v="2024"/>
          <s v="&gt;02.02.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mar Muhammad" refreshedDate="45424.977743518517" createdVersion="8" refreshedVersion="8" minRefreshableVersion="3" recordCount="450" xr:uid="{D6D08F51-113E-47D8-B74F-7370ACC0DB27}">
  <cacheSource type="worksheet">
    <worksheetSource name="Таблица15"/>
  </cacheSource>
  <cacheFields count="26">
    <cacheField name="Марка" numFmtId="0">
      <sharedItems count="23">
        <s v="BMW"/>
        <s v="ChangAn"/>
        <s v="Chery"/>
        <s v="Chevrolet"/>
        <s v="Geely"/>
        <s v="Haval"/>
        <s v="Hyundai"/>
        <s v="JAC"/>
        <s v="Jetour"/>
        <s v="Kia"/>
        <s v="Lada"/>
        <s v="Lexus"/>
        <s v="Mazda"/>
        <s v="Mitsubishi"/>
        <s v="Nissan"/>
        <s v="OMODA"/>
        <s v="Ravon"/>
        <s v="Renault"/>
        <s v="Skoda"/>
        <s v="Subaru"/>
        <s v="Toyota"/>
        <s v="Volkswagen"/>
        <s v="УАЗ"/>
      </sharedItems>
    </cacheField>
    <cacheField name="Модель" numFmtId="0">
      <sharedItems count="90">
        <s v="BMW X5"/>
        <s v="BMW X7"/>
        <s v="ChangAn CS35"/>
        <s v="ChangAn CS55"/>
        <s v="ChangAn UNI-K"/>
        <s v="Chery Tiggo 2"/>
        <s v="Chery Tiggo 4"/>
        <s v="Chery Tiggo 7"/>
        <s v="Chery Tiggo 8"/>
        <s v="Chevrolet Cobalt"/>
        <s v="Chevrolet Damas"/>
        <s v="Chevrolet Equinox"/>
        <s v="Chevrolet Lacetti"/>
        <s v="Chevrolet Malibu"/>
        <s v="Chevrolet Nexia"/>
        <s v="Chevrolet Niva"/>
        <s v="Chevrolet Onix"/>
        <s v="Chevrolet Spark"/>
        <s v="Chevrolet Tracker"/>
        <s v="Geely Coolray"/>
        <s v="Haval Dargo"/>
        <s v="Haval F7"/>
        <s v="Haval H6"/>
        <s v="Haval Jolion"/>
        <s v="Haval M6"/>
        <s v="Hyundai Accent"/>
        <s v="Hyundai Avante"/>
        <s v="Hyundai Bayon"/>
        <s v="Hyundai Creta"/>
        <s v="Hyundai H350"/>
        <s v="Hyundai i20"/>
        <s v="Hyundai i30"/>
        <s v="Hyundai Palisade"/>
        <s v="Hyundai Santa Fe"/>
        <s v="Hyundai Sonata"/>
        <s v="Hyundai Staria"/>
        <s v="Hyundai Tucson"/>
        <s v="JAC J7 (Binyue)"/>
        <s v="JAC Refine S3"/>
        <s v="JAC S5 (Eagle)"/>
        <s v="JAC Sunray"/>
        <s v="JAC T6"/>
        <s v="Jetour X70"/>
        <s v="Jetour X90"/>
        <s v="Kia Ceed"/>
        <s v="Kia Cerato"/>
        <s v="Kia K5"/>
        <s v="Kia Rio"/>
        <s v="Kia Sedona"/>
        <s v="Kia Seltos"/>
        <s v="Kia Sorento"/>
        <s v="Kia Soul"/>
        <s v="Kia Sportage"/>
        <s v="Lada Granta"/>
        <s v="Lada Largus"/>
        <s v="Lada Niva 2121"/>
        <s v="Lada Niva 2131 (4x4)"/>
        <s v="Lada Vesta"/>
        <s v="Lada XRAY"/>
        <s v="Lexus ES"/>
        <s v="Lexus LX"/>
        <s v="Lexus NX"/>
        <s v="Lexus RX"/>
        <s v="Mazda CX-5"/>
        <s v="Mitsubishi Outlander"/>
        <s v="Nissan Dualis"/>
        <s v="Nissan Terrano"/>
        <s v="Nissan X-Trail"/>
        <s v="OMODA C5"/>
        <s v="Ravon Nexia R3"/>
        <s v="Ravon R4"/>
        <s v="Renault Arkana"/>
        <s v="Renault Captur"/>
        <s v="Renault Duster"/>
        <s v="Renault Logan"/>
        <s v="Renault Sandero"/>
        <s v="Skoda Octavia"/>
        <s v="Subaru Forester"/>
        <s v="Toyota Camry"/>
        <s v="Toyota Corolla"/>
        <s v="Toyota Highlander"/>
        <s v="Toyota Hilux"/>
        <s v="Toyota Land Cruiser"/>
        <s v="Toyota Land Cruiser Prado"/>
        <s v="Toyota RAV4"/>
        <s v="Volkswagen Polo"/>
        <s v="Volkswagen Tiguan"/>
        <s v="УАЗ 452"/>
        <s v="УАЗ Hunter"/>
        <s v="УАЗ Patriot"/>
      </sharedItems>
    </cacheField>
    <cacheField name="Тип" numFmtId="0">
      <sharedItems count="8">
        <s v="Внедорожник"/>
        <s v="Седан"/>
        <s v="Минивэн"/>
        <s v="Хэтчбэк"/>
        <s v="Кроссовер"/>
        <s v="Микроавтобус"/>
        <s v="Пикап"/>
        <s v="Универсал"/>
      </sharedItems>
    </cacheField>
    <cacheField name="Средняя цена (USD)" numFmtId="1">
      <sharedItems containsSemiMixedTypes="0" containsString="0" containsNumber="1" containsInteger="1" minValue="8000" maxValue="90000" count="22">
        <n v="65000"/>
        <n v="77000"/>
        <n v="15000"/>
        <n v="18000"/>
        <n v="22000"/>
        <n v="13000"/>
        <n v="12000"/>
        <n v="10000"/>
        <n v="25000"/>
        <n v="20000"/>
        <n v="16000"/>
        <n v="14000"/>
        <n v="35000"/>
        <n v="28000"/>
        <n v="30000"/>
        <n v="23000"/>
        <n v="8000"/>
        <n v="45000"/>
        <n v="90000"/>
        <n v="40000"/>
        <n v="50000"/>
        <n v="9000"/>
      </sharedItems>
      <fieldGroup par="21"/>
    </cacheField>
    <cacheField name="Мин. (USD)" numFmtId="1">
      <sharedItems containsSemiMixedTypes="0" containsString="0" containsNumber="1" containsInteger="1" minValue="7000" maxValue="80000"/>
    </cacheField>
    <cacheField name="Макс. (USD)" numFmtId="165">
      <sharedItems containsSemiMixedTypes="0" containsString="0" containsNumber="1" containsInteger="1" minValue="10000" maxValue="110000"/>
    </cacheField>
    <cacheField name="Трансмиссия" numFmtId="0">
      <sharedItems count="3">
        <s v="АКПП"/>
        <s v="МКПП, АКПП"/>
        <s v="МКПП"/>
      </sharedItems>
    </cacheField>
    <cacheField name="Топливо" numFmtId="0">
      <sharedItems count="5">
        <s v="Бензин, Дизель, Гибрид"/>
        <s v="Бензин"/>
        <s v="Дизель"/>
        <s v="Бензин, Гибрид"/>
        <s v="Бензин, Дизель"/>
      </sharedItems>
    </cacheField>
    <cacheField name="Класс" numFmtId="0">
      <sharedItems count="3">
        <s v="Люкс"/>
        <s v="Эконом"/>
        <s v="Комфорт"/>
      </sharedItems>
    </cacheField>
    <cacheField name="Размер" numFmtId="0">
      <sharedItems count="3">
        <s v="Средний"/>
        <s v="Большой"/>
        <s v="Маленький"/>
      </sharedItems>
    </cacheField>
    <cacheField name="Мощность л.с." numFmtId="0">
      <sharedItems containsSemiMixedTypes="0" containsString="0" containsNumber="1" containsInteger="1" minValue="80" maxValue="409" count="27">
        <n v="335"/>
        <n v="375"/>
        <n v="120"/>
        <n v="150"/>
        <n v="170"/>
        <n v="100"/>
        <n v="105"/>
        <n v="80"/>
        <n v="110"/>
        <n v="160"/>
        <n v="90"/>
        <n v="135"/>
        <n v="155"/>
        <n v="125"/>
        <n v="115"/>
        <n v="290"/>
        <n v="230"/>
        <n v="180"/>
        <n v="200"/>
        <n v="190"/>
        <n v="130"/>
        <n v="300"/>
        <n v="409"/>
        <n v="275"/>
        <n v="350"/>
        <n v="187"/>
        <n v="95"/>
      </sharedItems>
      <fieldGroup par="20"/>
    </cacheField>
    <cacheField name="Расход топлива (km/L)" numFmtId="0">
      <sharedItems containsSemiMixedTypes="0" containsString="0" containsNumber="1" minValue="8" maxValue="18" count="20">
        <n v="9.5"/>
        <n v="8.5"/>
        <n v="15"/>
        <n v="13.5"/>
        <n v="12.5"/>
        <n v="16"/>
        <n v="16.5"/>
        <n v="18"/>
        <n v="13"/>
        <n v="17.5"/>
        <n v="14"/>
        <n v="12"/>
        <n v="14.5"/>
        <n v="15.5"/>
        <n v="10"/>
        <n v="11"/>
        <n v="11.5"/>
        <n v="10.5"/>
        <n v="8"/>
        <n v="17"/>
      </sharedItems>
      <fieldGroup par="22"/>
    </cacheField>
    <cacheField name="Год продаж" numFmtId="0">
      <sharedItems containsSemiMixedTypes="0" containsString="0" containsNumber="1" containsInteger="1" minValue="2019" maxValue="2023" count="5">
        <n v="2023"/>
        <n v="2022"/>
        <n v="2021"/>
        <n v="2020"/>
        <n v="2019"/>
      </sharedItems>
    </cacheField>
    <cacheField name="Кол-во проданных" numFmtId="0">
      <sharedItems containsSemiMixedTypes="0" containsString="0" containsNumber="1" containsInteger="1" minValue="0" maxValue="30439"/>
    </cacheField>
    <cacheField name="Средняя цена млн. ₸" numFmtId="166">
      <sharedItems containsSemiMixedTypes="0" containsString="0" containsNumber="1" minValue="4.72" maxValue="85.37" count="87">
        <n v="51.353291499999997"/>
        <n v="77.650000000000006"/>
        <n v="9.49"/>
        <n v="10.59"/>
        <n v="13.94"/>
        <n v="7.24"/>
        <n v="9.7949999999999999"/>
        <n v="12.095000000000001"/>
        <n v="14.25"/>
        <n v="7.09"/>
        <n v="4.72"/>
        <n v="13.994999999999999"/>
        <n v="7.64"/>
        <n v="16.420000000000002"/>
        <n v="6.1150000000000002"/>
        <n v="7.59"/>
        <n v="8.2899999999999991"/>
        <n v="5.6050000000000004"/>
        <n v="9.14"/>
        <n v="12.865"/>
        <n v="15.94"/>
        <n v="11.170999999999999"/>
        <n v="11.14"/>
        <n v="9.99"/>
        <n v="8.69"/>
        <n v="10.445"/>
        <n v="11"/>
        <n v="9.7899999999999991"/>
        <n v="11.09"/>
        <n v="18.600000000000001"/>
        <n v="8.5399999999999991"/>
        <n v="11.54"/>
        <n v="29.74"/>
        <n v="23.19"/>
        <n v="14.39"/>
        <n v="23.94"/>
        <n v="15.64"/>
        <n v="5.69"/>
        <n v="8.0399999999999991"/>
        <n v="15.074999999999999"/>
        <n v="14.04"/>
        <n v="9.69"/>
        <n v="12.89"/>
        <n v="11.49"/>
        <n v="12.59"/>
        <n v="16.29"/>
        <n v="8.59"/>
        <n v="23.99"/>
        <n v="12.39"/>
        <n v="18.59"/>
        <n v="12.24"/>
        <n v="16.940000000000001"/>
        <n v="5.9850000000000003"/>
        <n v="6.8819999999999997"/>
        <n v="6.5"/>
        <n v="7.83"/>
        <n v="7.44"/>
        <n v="6.95"/>
        <n v="32.731499999999997"/>
        <n v="85.37"/>
        <n v="33.674999999999997"/>
        <n v="39.965000000000003"/>
        <n v="17.646999999999998"/>
        <n v="18.574999999999999"/>
        <n v="16.858000000000001"/>
        <n v="11.93"/>
        <n v="19.512499999999999"/>
        <n v="6.38"/>
        <n v="7"/>
        <n v="10.99"/>
        <n v="9"/>
        <n v="9.1935000000000002"/>
        <n v="8.5"/>
        <n v="14.8"/>
        <n v="20.844999999999999"/>
        <n v="17.745000000000001"/>
        <n v="13.325200000000001"/>
        <n v="35.844999999999999"/>
        <n v="25.4"/>
        <n v="55.13"/>
        <n v="25.72"/>
        <n v="21.844999999999999"/>
        <n v="7.9074999999999998"/>
        <n v="18.869"/>
        <n v="12"/>
        <n v="10"/>
        <n v="9.77"/>
      </sharedItems>
      <fieldGroup par="23"/>
    </cacheField>
    <cacheField name="Мин. млн. ₸" numFmtId="43">
      <sharedItems containsSemiMixedTypes="0" containsString="0" containsNumber="1" minValue="4.3499999999999996" maxValue="75.94"/>
    </cacheField>
    <cacheField name="Макс. млн. ₸" numFmtId="43">
      <sharedItems containsSemiMixedTypes="0" containsString="0" containsNumber="1" minValue="5.09" maxValue="94.8"/>
    </cacheField>
    <cacheField name="Сумма проданных в млн. USD (global)" numFmtId="43">
      <sharedItems containsSemiMixedTypes="0" containsString="0" containsNumber="1" minValue="0" maxValue="365.26799999999997"/>
    </cacheField>
    <cacheField name="Сумма проданных в млн. USD (local)" numFmtId="166">
      <sharedItems containsSemiMixedTypes="0" containsString="0" containsNumber="1" minValue="0" maxValue="512.74318181818182"/>
    </cacheField>
    <cacheField name="Сумма проданных в  млрд. ₸" numFmtId="166">
      <sharedItems containsSemiMixedTypes="0" containsString="0" containsNumber="1" minValue="0" maxValue="225.607"/>
    </cacheField>
    <cacheField name="Мощность л.с.2" numFmtId="0" databaseField="0">
      <fieldGroup base="10">
        <discretePr count="27">
          <x v="0"/>
          <x v="0"/>
          <x v="2"/>
          <x v="2"/>
          <x v="1"/>
          <x v="3"/>
          <x v="2"/>
          <x v="3"/>
          <x v="2"/>
          <x v="1"/>
          <x v="3"/>
          <x v="2"/>
          <x v="1"/>
          <x v="2"/>
          <x v="2"/>
          <x v="0"/>
          <x v="1"/>
          <x v="1"/>
          <x v="1"/>
          <x v="1"/>
          <x v="2"/>
          <x v="0"/>
          <x v="0"/>
          <x v="0"/>
          <x v="0"/>
          <x v="1"/>
          <x v="3"/>
        </discretePr>
        <groupItems count="4">
          <s v="Группа1"/>
          <s v="Группа2"/>
          <s v="Группа3"/>
          <s v="Группа4"/>
        </groupItems>
      </fieldGroup>
    </cacheField>
    <cacheField name="Средняя цена (USD)2" numFmtId="0" databaseField="0">
      <fieldGroup base="3">
        <discretePr count="22">
          <x v="2"/>
          <x v="2"/>
          <x v="1"/>
          <x v="4"/>
          <x v="3"/>
          <x v="1"/>
          <x v="1"/>
          <x v="0"/>
          <x v="3"/>
          <x v="4"/>
          <x v="4"/>
          <x v="1"/>
          <x v="2"/>
          <x v="2"/>
          <x v="2"/>
          <x v="3"/>
          <x v="0"/>
          <x v="2"/>
          <x v="2"/>
          <x v="2"/>
          <x v="2"/>
          <x v="0"/>
        </discretePr>
        <groupItems count="5">
          <s v="Группа1"/>
          <s v="Группа2"/>
          <s v="Группа4"/>
          <s v="Группа3"/>
          <s v="Группа5"/>
        </groupItems>
      </fieldGroup>
    </cacheField>
    <cacheField name="Расход топлива (km/L)2" numFmtId="0" databaseField="0">
      <fieldGroup base="11">
        <discretePr count="20">
          <x v="0"/>
          <x v="0"/>
          <x v="2"/>
          <x v="1"/>
          <x v="1"/>
          <x v="2"/>
          <x v="2"/>
          <x v="2"/>
          <x v="1"/>
          <x v="2"/>
          <x v="1"/>
          <x v="1"/>
          <x v="1"/>
          <x v="2"/>
          <x v="0"/>
          <x v="1"/>
          <x v="1"/>
          <x v="1"/>
          <x v="0"/>
          <x v="2"/>
        </discretePr>
        <groupItems count="3">
          <s v="Группа1"/>
          <s v="Группа2"/>
          <s v="Группа3"/>
        </groupItems>
      </fieldGroup>
    </cacheField>
    <cacheField name="Средняя цена млн. ₸2" numFmtId="0" databaseField="0">
      <fieldGroup base="14">
        <discretePr count="87">
          <x v="4"/>
          <x v="4"/>
          <x v="0"/>
          <x v="1"/>
          <x v="1"/>
          <x v="0"/>
          <x v="0"/>
          <x v="1"/>
          <x v="1"/>
          <x v="0"/>
          <x v="0"/>
          <x v="1"/>
          <x v="0"/>
          <x v="2"/>
          <x v="0"/>
          <x v="0"/>
          <x v="0"/>
          <x v="0"/>
          <x v="0"/>
          <x v="1"/>
          <x v="2"/>
          <x v="1"/>
          <x v="1"/>
          <x v="0"/>
          <x v="0"/>
          <x v="1"/>
          <x v="1"/>
          <x v="0"/>
          <x v="1"/>
          <x v="2"/>
          <x v="0"/>
          <x v="1"/>
          <x v="3"/>
          <x v="3"/>
          <x v="1"/>
          <x v="3"/>
          <x v="2"/>
          <x v="0"/>
          <x v="0"/>
          <x v="2"/>
          <x v="1"/>
          <x v="0"/>
          <x v="1"/>
          <x v="1"/>
          <x v="1"/>
          <x v="2"/>
          <x v="0"/>
          <x v="3"/>
          <x v="1"/>
          <x v="2"/>
          <x v="1"/>
          <x v="2"/>
          <x v="0"/>
          <x v="0"/>
          <x v="0"/>
          <x v="0"/>
          <x v="0"/>
          <x v="0"/>
          <x v="3"/>
          <x v="4"/>
          <x v="3"/>
          <x v="4"/>
          <x v="2"/>
          <x v="2"/>
          <x v="2"/>
          <x v="1"/>
          <x v="2"/>
          <x v="0"/>
          <x v="0"/>
          <x v="1"/>
          <x v="0"/>
          <x v="0"/>
          <x v="0"/>
          <x v="1"/>
          <x v="2"/>
          <x v="2"/>
          <x v="1"/>
          <x v="3"/>
          <x v="3"/>
          <x v="4"/>
          <x v="3"/>
          <x v="3"/>
          <x v="0"/>
          <x v="2"/>
          <x v="1"/>
          <x v="1"/>
          <x v="0"/>
        </discretePr>
        <groupItems count="5">
          <s v="Группа1"/>
          <s v="Группа2"/>
          <s v="Группа3"/>
          <s v="Группа4"/>
          <s v="Группа5"/>
        </groupItems>
      </fieldGroup>
    </cacheField>
    <cacheField name="Объем продаж" numFmtId="0" formula="('Кол-во проданных'*'Средняя цена млн. ₸')" databaseField="0"/>
    <cacheField name="Объем продаж модели, млн. ₸" numFmtId="0" formula="('Кол-во проданных'*'Средняя цена млн. ₸')/2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8">
  <r>
    <x v="0"/>
    <x v="0"/>
    <x v="0"/>
    <n v="1941"/>
    <x v="0"/>
    <x v="0"/>
    <n v="101"/>
  </r>
  <r>
    <x v="1"/>
    <x v="1"/>
    <x v="1"/>
    <s v="-"/>
    <x v="1"/>
    <x v="0"/>
    <n v="0"/>
  </r>
  <r>
    <x v="2"/>
    <x v="2"/>
    <x v="2"/>
    <n v="1927"/>
    <x v="0"/>
    <x v="0"/>
    <n v="17"/>
  </r>
  <r>
    <x v="3"/>
    <x v="3"/>
    <x v="2"/>
    <n v="1937"/>
    <x v="0"/>
    <x v="0"/>
    <n v="189"/>
  </r>
  <r>
    <x v="4"/>
    <x v="4"/>
    <x v="2"/>
    <n v="1937"/>
    <x v="0"/>
    <x v="0"/>
    <n v="954"/>
  </r>
  <r>
    <x v="5"/>
    <x v="4"/>
    <x v="2"/>
    <n v="1953"/>
    <x v="0"/>
    <x v="0"/>
    <n v="35"/>
  </r>
  <r>
    <x v="6"/>
    <x v="5"/>
    <x v="2"/>
    <n v="1895"/>
    <x v="2"/>
    <x v="0"/>
    <n v="57"/>
  </r>
  <r>
    <x v="7"/>
    <x v="6"/>
    <x v="3"/>
    <n v="1904"/>
    <x v="0"/>
    <x v="0"/>
    <n v="0"/>
  </r>
  <r>
    <x v="8"/>
    <x v="7"/>
    <x v="0"/>
    <n v="1899"/>
    <x v="2"/>
    <x v="0"/>
    <n v="151"/>
  </r>
  <r>
    <x v="9"/>
    <x v="8"/>
    <x v="0"/>
    <n v="2015"/>
    <x v="2"/>
    <x v="0"/>
    <n v="0"/>
  </r>
  <r>
    <x v="10"/>
    <x v="3"/>
    <x v="3"/>
    <n v="1931"/>
    <x v="0"/>
    <x v="0"/>
    <n v="9"/>
  </r>
  <r>
    <x v="11"/>
    <x v="7"/>
    <x v="0"/>
    <n v="1810"/>
    <x v="0"/>
    <x v="0"/>
    <n v="13"/>
  </r>
  <r>
    <x v="12"/>
    <x v="4"/>
    <x v="2"/>
    <n v="1933"/>
    <x v="0"/>
    <x v="0"/>
    <n v="159"/>
  </r>
  <r>
    <x v="13"/>
    <x v="4"/>
    <x v="2"/>
    <n v="1870"/>
    <x v="0"/>
    <x v="0"/>
    <n v="42"/>
  </r>
  <r>
    <x v="14"/>
    <x v="6"/>
    <x v="3"/>
    <n v="1959"/>
    <x v="0"/>
    <x v="0"/>
    <n v="1"/>
  </r>
  <r>
    <x v="15"/>
    <x v="3"/>
    <x v="3"/>
    <n v="1926"/>
    <x v="0"/>
    <x v="0"/>
    <n v="43"/>
  </r>
  <r>
    <x v="16"/>
    <x v="4"/>
    <x v="2"/>
    <n v="1920"/>
    <x v="0"/>
    <x v="0"/>
    <n v="15"/>
  </r>
  <r>
    <x v="17"/>
    <x v="9"/>
    <x v="0"/>
    <n v="1992"/>
    <x v="0"/>
    <x v="0"/>
    <n v="50"/>
  </r>
  <r>
    <x v="18"/>
    <x v="4"/>
    <x v="3"/>
    <n v="1989"/>
    <x v="0"/>
    <x v="0"/>
    <n v="110"/>
  </r>
  <r>
    <x v="19"/>
    <x v="6"/>
    <x v="3"/>
    <n v="1948"/>
    <x v="0"/>
    <x v="0"/>
    <n v="18"/>
  </r>
  <r>
    <x v="20"/>
    <x v="0"/>
    <x v="0"/>
    <n v="1970"/>
    <x v="2"/>
    <x v="0"/>
    <n v="993"/>
  </r>
  <r>
    <x v="21"/>
    <x v="10"/>
    <x v="0"/>
    <n v="1944"/>
    <x v="2"/>
    <x v="0"/>
    <n v="341"/>
  </r>
  <r>
    <x v="22"/>
    <x v="6"/>
    <x v="3"/>
    <n v="1922"/>
    <x v="0"/>
    <x v="0"/>
    <n v="21"/>
  </r>
  <r>
    <x v="23"/>
    <x v="9"/>
    <x v="0"/>
    <n v="1964"/>
    <x v="2"/>
    <x v="0"/>
    <n v="34"/>
  </r>
  <r>
    <x v="24"/>
    <x v="4"/>
    <x v="2"/>
    <n v="1916"/>
    <x v="0"/>
    <x v="0"/>
    <n v="14"/>
  </r>
  <r>
    <x v="25"/>
    <x v="4"/>
    <x v="3"/>
    <n v="1989"/>
    <x v="0"/>
    <x v="0"/>
    <n v="27"/>
  </r>
  <r>
    <x v="26"/>
    <x v="10"/>
    <x v="0"/>
    <n v="1967"/>
    <x v="2"/>
    <x v="0"/>
    <n v="798"/>
  </r>
  <r>
    <x v="27"/>
    <x v="9"/>
    <x v="0"/>
    <n v="1996"/>
    <x v="0"/>
    <x v="0"/>
    <n v="1"/>
  </r>
  <r>
    <x v="28"/>
    <x v="11"/>
    <x v="0"/>
    <n v="1903"/>
    <x v="0"/>
    <x v="0"/>
    <n v="6"/>
  </r>
  <r>
    <x v="29"/>
    <x v="9"/>
    <x v="0"/>
    <n v="1969"/>
    <x v="0"/>
    <x v="0"/>
    <n v="22"/>
  </r>
  <r>
    <x v="30"/>
    <x v="10"/>
    <x v="0"/>
    <n v="1967"/>
    <x v="0"/>
    <x v="0"/>
    <n v="17"/>
  </r>
  <r>
    <x v="31"/>
    <x v="11"/>
    <x v="0"/>
    <n v="1911"/>
    <x v="2"/>
    <x v="0"/>
    <n v="71"/>
  </r>
  <r>
    <x v="32"/>
    <x v="11"/>
    <x v="3"/>
    <n v="1902"/>
    <x v="0"/>
    <x v="0"/>
    <n v="5"/>
  </r>
  <r>
    <x v="33"/>
    <x v="3"/>
    <x v="3"/>
    <n v="1916"/>
    <x v="0"/>
    <x v="0"/>
    <n v="43"/>
  </r>
  <r>
    <x v="34"/>
    <x v="3"/>
    <x v="3"/>
    <n v="1932"/>
    <x v="0"/>
    <x v="0"/>
    <n v="6"/>
  </r>
  <r>
    <x v="35"/>
    <x v="9"/>
    <x v="0"/>
    <n v="1997"/>
    <x v="0"/>
    <x v="0"/>
    <n v="0"/>
  </r>
  <r>
    <x v="0"/>
    <x v="0"/>
    <x v="0"/>
    <n v="1941"/>
    <x v="0"/>
    <x v="1"/>
    <n v="108"/>
  </r>
  <r>
    <x v="1"/>
    <x v="1"/>
    <x v="1"/>
    <s v="-"/>
    <x v="1"/>
    <x v="1"/>
    <n v="0"/>
  </r>
  <r>
    <x v="2"/>
    <x v="2"/>
    <x v="2"/>
    <n v="1927"/>
    <x v="0"/>
    <x v="1"/>
    <n v="1"/>
  </r>
  <r>
    <x v="3"/>
    <x v="3"/>
    <x v="2"/>
    <n v="1937"/>
    <x v="0"/>
    <x v="1"/>
    <n v="154"/>
  </r>
  <r>
    <x v="4"/>
    <x v="4"/>
    <x v="2"/>
    <n v="1937"/>
    <x v="0"/>
    <x v="1"/>
    <n v="818"/>
  </r>
  <r>
    <x v="5"/>
    <x v="4"/>
    <x v="2"/>
    <n v="1953"/>
    <x v="0"/>
    <x v="1"/>
    <n v="30"/>
  </r>
  <r>
    <x v="6"/>
    <x v="5"/>
    <x v="2"/>
    <n v="1895"/>
    <x v="2"/>
    <x v="1"/>
    <n v="54"/>
  </r>
  <r>
    <x v="7"/>
    <x v="6"/>
    <x v="3"/>
    <n v="1904"/>
    <x v="0"/>
    <x v="1"/>
    <n v="0"/>
  </r>
  <r>
    <x v="8"/>
    <x v="7"/>
    <x v="0"/>
    <n v="1899"/>
    <x v="2"/>
    <x v="1"/>
    <n v="170"/>
  </r>
  <r>
    <x v="9"/>
    <x v="8"/>
    <x v="0"/>
    <n v="2015"/>
    <x v="2"/>
    <x v="1"/>
    <n v="0"/>
  </r>
  <r>
    <x v="10"/>
    <x v="3"/>
    <x v="3"/>
    <n v="1931"/>
    <x v="0"/>
    <x v="1"/>
    <n v="8"/>
  </r>
  <r>
    <x v="11"/>
    <x v="7"/>
    <x v="0"/>
    <n v="1810"/>
    <x v="0"/>
    <x v="1"/>
    <n v="14"/>
  </r>
  <r>
    <x v="12"/>
    <x v="4"/>
    <x v="2"/>
    <n v="1933"/>
    <x v="0"/>
    <x v="1"/>
    <n v="141"/>
  </r>
  <r>
    <x v="13"/>
    <x v="4"/>
    <x v="2"/>
    <n v="1870"/>
    <x v="0"/>
    <x v="1"/>
    <n v="54"/>
  </r>
  <r>
    <x v="14"/>
    <x v="6"/>
    <x v="3"/>
    <n v="1959"/>
    <x v="0"/>
    <x v="1"/>
    <n v="7"/>
  </r>
  <r>
    <x v="15"/>
    <x v="3"/>
    <x v="3"/>
    <n v="1926"/>
    <x v="0"/>
    <x v="1"/>
    <n v="11"/>
  </r>
  <r>
    <x v="16"/>
    <x v="4"/>
    <x v="2"/>
    <n v="1920"/>
    <x v="0"/>
    <x v="1"/>
    <n v="25"/>
  </r>
  <r>
    <x v="17"/>
    <x v="9"/>
    <x v="0"/>
    <n v="1992"/>
    <x v="0"/>
    <x v="1"/>
    <n v="26"/>
  </r>
  <r>
    <x v="18"/>
    <x v="4"/>
    <x v="3"/>
    <n v="1989"/>
    <x v="0"/>
    <x v="1"/>
    <n v="133"/>
  </r>
  <r>
    <x v="19"/>
    <x v="6"/>
    <x v="3"/>
    <n v="1948"/>
    <x v="0"/>
    <x v="1"/>
    <n v="0"/>
  </r>
  <r>
    <x v="20"/>
    <x v="0"/>
    <x v="0"/>
    <n v="1970"/>
    <x v="2"/>
    <x v="1"/>
    <n v="1243"/>
  </r>
  <r>
    <x v="21"/>
    <x v="10"/>
    <x v="0"/>
    <n v="1944"/>
    <x v="2"/>
    <x v="1"/>
    <n v="303"/>
  </r>
  <r>
    <x v="22"/>
    <x v="6"/>
    <x v="3"/>
    <n v="1922"/>
    <x v="0"/>
    <x v="1"/>
    <n v="0"/>
  </r>
  <r>
    <x v="23"/>
    <x v="9"/>
    <x v="0"/>
    <n v="1964"/>
    <x v="2"/>
    <x v="1"/>
    <n v="27"/>
  </r>
  <r>
    <x v="24"/>
    <x v="4"/>
    <x v="2"/>
    <n v="1916"/>
    <x v="0"/>
    <x v="1"/>
    <n v="1"/>
  </r>
  <r>
    <x v="25"/>
    <x v="4"/>
    <x v="3"/>
    <n v="1989"/>
    <x v="0"/>
    <x v="1"/>
    <n v="3"/>
  </r>
  <r>
    <x v="26"/>
    <x v="10"/>
    <x v="0"/>
    <n v="1967"/>
    <x v="2"/>
    <x v="1"/>
    <n v="706"/>
  </r>
  <r>
    <x v="27"/>
    <x v="9"/>
    <x v="0"/>
    <n v="1996"/>
    <x v="0"/>
    <x v="1"/>
    <n v="0"/>
  </r>
  <r>
    <x v="28"/>
    <x v="11"/>
    <x v="0"/>
    <n v="1903"/>
    <x v="0"/>
    <x v="1"/>
    <n v="0"/>
  </r>
  <r>
    <x v="29"/>
    <x v="9"/>
    <x v="0"/>
    <n v="1969"/>
    <x v="0"/>
    <x v="1"/>
    <n v="0"/>
  </r>
  <r>
    <x v="30"/>
    <x v="10"/>
    <x v="0"/>
    <n v="1967"/>
    <x v="0"/>
    <x v="1"/>
    <n v="0"/>
  </r>
  <r>
    <x v="31"/>
    <x v="11"/>
    <x v="0"/>
    <n v="1911"/>
    <x v="2"/>
    <x v="1"/>
    <n v="62"/>
  </r>
  <r>
    <x v="32"/>
    <x v="11"/>
    <x v="3"/>
    <n v="1902"/>
    <x v="0"/>
    <x v="1"/>
    <n v="14"/>
  </r>
  <r>
    <x v="33"/>
    <x v="3"/>
    <x v="3"/>
    <n v="1916"/>
    <x v="0"/>
    <x v="1"/>
    <n v="53"/>
  </r>
  <r>
    <x v="34"/>
    <x v="3"/>
    <x v="3"/>
    <n v="1932"/>
    <x v="0"/>
    <x v="1"/>
    <n v="10"/>
  </r>
  <r>
    <x v="35"/>
    <x v="9"/>
    <x v="0"/>
    <n v="1997"/>
    <x v="0"/>
    <x v="1"/>
    <n v="0"/>
  </r>
  <r>
    <x v="0"/>
    <x v="0"/>
    <x v="0"/>
    <n v="1941"/>
    <x v="0"/>
    <x v="2"/>
    <n v="143"/>
  </r>
  <r>
    <x v="1"/>
    <x v="1"/>
    <x v="1"/>
    <s v="-"/>
    <x v="1"/>
    <x v="2"/>
    <n v="0"/>
  </r>
  <r>
    <x v="2"/>
    <x v="2"/>
    <x v="2"/>
    <n v="1927"/>
    <x v="0"/>
    <x v="2"/>
    <n v="11"/>
  </r>
  <r>
    <x v="3"/>
    <x v="3"/>
    <x v="2"/>
    <n v="1937"/>
    <x v="0"/>
    <x v="2"/>
    <n v="76"/>
  </r>
  <r>
    <x v="4"/>
    <x v="4"/>
    <x v="2"/>
    <n v="1937"/>
    <x v="0"/>
    <x v="2"/>
    <n v="1119"/>
  </r>
  <r>
    <x v="5"/>
    <x v="4"/>
    <x v="2"/>
    <n v="1953"/>
    <x v="0"/>
    <x v="2"/>
    <n v="26"/>
  </r>
  <r>
    <x v="6"/>
    <x v="5"/>
    <x v="2"/>
    <n v="1895"/>
    <x v="2"/>
    <x v="2"/>
    <n v="83"/>
  </r>
  <r>
    <x v="7"/>
    <x v="6"/>
    <x v="3"/>
    <n v="1904"/>
    <x v="0"/>
    <x v="2"/>
    <n v="0"/>
  </r>
  <r>
    <x v="8"/>
    <x v="7"/>
    <x v="0"/>
    <n v="1899"/>
    <x v="2"/>
    <x v="2"/>
    <n v="178"/>
  </r>
  <r>
    <x v="9"/>
    <x v="8"/>
    <x v="0"/>
    <n v="2015"/>
    <x v="2"/>
    <x v="2"/>
    <n v="16"/>
  </r>
  <r>
    <x v="10"/>
    <x v="3"/>
    <x v="3"/>
    <n v="1931"/>
    <x v="0"/>
    <x v="2"/>
    <n v="9"/>
  </r>
  <r>
    <x v="11"/>
    <x v="7"/>
    <x v="0"/>
    <n v="1810"/>
    <x v="0"/>
    <x v="2"/>
    <n v="4"/>
  </r>
  <r>
    <x v="12"/>
    <x v="4"/>
    <x v="2"/>
    <n v="1933"/>
    <x v="0"/>
    <x v="2"/>
    <n v="185"/>
  </r>
  <r>
    <x v="13"/>
    <x v="4"/>
    <x v="2"/>
    <n v="1870"/>
    <x v="0"/>
    <x v="2"/>
    <n v="43"/>
  </r>
  <r>
    <x v="14"/>
    <x v="6"/>
    <x v="3"/>
    <n v="1959"/>
    <x v="0"/>
    <x v="2"/>
    <n v="0"/>
  </r>
  <r>
    <x v="15"/>
    <x v="3"/>
    <x v="3"/>
    <n v="1926"/>
    <x v="0"/>
    <x v="2"/>
    <n v="44"/>
  </r>
  <r>
    <x v="16"/>
    <x v="4"/>
    <x v="2"/>
    <n v="1920"/>
    <x v="0"/>
    <x v="2"/>
    <n v="32"/>
  </r>
  <r>
    <x v="17"/>
    <x v="9"/>
    <x v="0"/>
    <n v="1992"/>
    <x v="0"/>
    <x v="2"/>
    <n v="29"/>
  </r>
  <r>
    <x v="18"/>
    <x v="4"/>
    <x v="3"/>
    <n v="1989"/>
    <x v="0"/>
    <x v="2"/>
    <n v="87"/>
  </r>
  <r>
    <x v="19"/>
    <x v="6"/>
    <x v="3"/>
    <n v="1948"/>
    <x v="0"/>
    <x v="2"/>
    <n v="14"/>
  </r>
  <r>
    <x v="20"/>
    <x v="0"/>
    <x v="0"/>
    <n v="1970"/>
    <x v="2"/>
    <x v="2"/>
    <n v="1164"/>
  </r>
  <r>
    <x v="21"/>
    <x v="10"/>
    <x v="0"/>
    <n v="1944"/>
    <x v="2"/>
    <x v="2"/>
    <n v="236"/>
  </r>
  <r>
    <x v="22"/>
    <x v="6"/>
    <x v="3"/>
    <n v="1922"/>
    <x v="0"/>
    <x v="2"/>
    <n v="0"/>
  </r>
  <r>
    <x v="23"/>
    <x v="9"/>
    <x v="0"/>
    <n v="1964"/>
    <x v="2"/>
    <x v="2"/>
    <n v="51"/>
  </r>
  <r>
    <x v="24"/>
    <x v="4"/>
    <x v="2"/>
    <n v="1916"/>
    <x v="0"/>
    <x v="2"/>
    <n v="19"/>
  </r>
  <r>
    <x v="25"/>
    <x v="4"/>
    <x v="3"/>
    <n v="1989"/>
    <x v="0"/>
    <x v="2"/>
    <n v="10"/>
  </r>
  <r>
    <x v="26"/>
    <x v="10"/>
    <x v="0"/>
    <n v="1967"/>
    <x v="2"/>
    <x v="2"/>
    <n v="893"/>
  </r>
  <r>
    <x v="27"/>
    <x v="9"/>
    <x v="0"/>
    <n v="1996"/>
    <x v="0"/>
    <x v="2"/>
    <n v="9"/>
  </r>
  <r>
    <x v="28"/>
    <x v="11"/>
    <x v="0"/>
    <n v="1903"/>
    <x v="0"/>
    <x v="2"/>
    <n v="0"/>
  </r>
  <r>
    <x v="29"/>
    <x v="9"/>
    <x v="0"/>
    <n v="1969"/>
    <x v="0"/>
    <x v="2"/>
    <n v="26"/>
  </r>
  <r>
    <x v="30"/>
    <x v="10"/>
    <x v="0"/>
    <n v="1967"/>
    <x v="0"/>
    <x v="2"/>
    <n v="29"/>
  </r>
  <r>
    <x v="31"/>
    <x v="11"/>
    <x v="0"/>
    <n v="1911"/>
    <x v="2"/>
    <x v="2"/>
    <n v="51"/>
  </r>
  <r>
    <x v="32"/>
    <x v="11"/>
    <x v="3"/>
    <n v="1902"/>
    <x v="0"/>
    <x v="2"/>
    <n v="11"/>
  </r>
  <r>
    <x v="33"/>
    <x v="3"/>
    <x v="3"/>
    <n v="1916"/>
    <x v="0"/>
    <x v="2"/>
    <n v="38"/>
  </r>
  <r>
    <x v="34"/>
    <x v="3"/>
    <x v="3"/>
    <n v="1932"/>
    <x v="0"/>
    <x v="2"/>
    <n v="6"/>
  </r>
  <r>
    <x v="35"/>
    <x v="9"/>
    <x v="0"/>
    <n v="1997"/>
    <x v="0"/>
    <x v="2"/>
    <n v="37"/>
  </r>
  <r>
    <x v="0"/>
    <x v="0"/>
    <x v="0"/>
    <n v="1941"/>
    <x v="0"/>
    <x v="3"/>
    <n v="234"/>
  </r>
  <r>
    <x v="1"/>
    <x v="1"/>
    <x v="1"/>
    <s v="-"/>
    <x v="1"/>
    <x v="3"/>
    <n v="0"/>
  </r>
  <r>
    <x v="2"/>
    <x v="2"/>
    <x v="2"/>
    <n v="1927"/>
    <x v="0"/>
    <x v="3"/>
    <n v="0"/>
  </r>
  <r>
    <x v="3"/>
    <x v="3"/>
    <x v="2"/>
    <n v="1937"/>
    <x v="0"/>
    <x v="3"/>
    <n v="111"/>
  </r>
  <r>
    <x v="4"/>
    <x v="4"/>
    <x v="2"/>
    <n v="1937"/>
    <x v="0"/>
    <x v="3"/>
    <n v="1213"/>
  </r>
  <r>
    <x v="5"/>
    <x v="4"/>
    <x v="2"/>
    <n v="1953"/>
    <x v="0"/>
    <x v="3"/>
    <n v="64"/>
  </r>
  <r>
    <x v="6"/>
    <x v="5"/>
    <x v="2"/>
    <n v="1895"/>
    <x v="2"/>
    <x v="3"/>
    <n v="110"/>
  </r>
  <r>
    <x v="7"/>
    <x v="6"/>
    <x v="3"/>
    <n v="1904"/>
    <x v="0"/>
    <x v="3"/>
    <n v="0"/>
  </r>
  <r>
    <x v="8"/>
    <x v="7"/>
    <x v="0"/>
    <n v="1899"/>
    <x v="2"/>
    <x v="3"/>
    <n v="128"/>
  </r>
  <r>
    <x v="9"/>
    <x v="8"/>
    <x v="0"/>
    <n v="2015"/>
    <x v="2"/>
    <x v="3"/>
    <n v="51"/>
  </r>
  <r>
    <x v="10"/>
    <x v="3"/>
    <x v="3"/>
    <n v="1931"/>
    <x v="0"/>
    <x v="3"/>
    <n v="11"/>
  </r>
  <r>
    <x v="11"/>
    <x v="7"/>
    <x v="0"/>
    <n v="1810"/>
    <x v="0"/>
    <x v="3"/>
    <n v="11"/>
  </r>
  <r>
    <x v="12"/>
    <x v="4"/>
    <x v="2"/>
    <n v="1933"/>
    <x v="0"/>
    <x v="3"/>
    <n v="140"/>
  </r>
  <r>
    <x v="13"/>
    <x v="4"/>
    <x v="2"/>
    <n v="1870"/>
    <x v="0"/>
    <x v="3"/>
    <n v="44"/>
  </r>
  <r>
    <x v="14"/>
    <x v="6"/>
    <x v="3"/>
    <n v="1959"/>
    <x v="0"/>
    <x v="3"/>
    <n v="0"/>
  </r>
  <r>
    <x v="15"/>
    <x v="3"/>
    <x v="3"/>
    <n v="1926"/>
    <x v="0"/>
    <x v="3"/>
    <n v="29"/>
  </r>
  <r>
    <x v="16"/>
    <x v="4"/>
    <x v="2"/>
    <n v="1920"/>
    <x v="0"/>
    <x v="3"/>
    <n v="29"/>
  </r>
  <r>
    <x v="17"/>
    <x v="9"/>
    <x v="0"/>
    <n v="1992"/>
    <x v="0"/>
    <x v="3"/>
    <n v="34"/>
  </r>
  <r>
    <x v="18"/>
    <x v="4"/>
    <x v="3"/>
    <n v="1989"/>
    <x v="0"/>
    <x v="3"/>
    <n v="156"/>
  </r>
  <r>
    <x v="19"/>
    <x v="6"/>
    <x v="3"/>
    <n v="1948"/>
    <x v="0"/>
    <x v="3"/>
    <n v="8"/>
  </r>
  <r>
    <x v="20"/>
    <x v="0"/>
    <x v="0"/>
    <n v="1970"/>
    <x v="2"/>
    <x v="3"/>
    <n v="1325"/>
  </r>
  <r>
    <x v="21"/>
    <x v="10"/>
    <x v="0"/>
    <n v="1944"/>
    <x v="2"/>
    <x v="3"/>
    <n v="391"/>
  </r>
  <r>
    <x v="22"/>
    <x v="6"/>
    <x v="3"/>
    <n v="1922"/>
    <x v="0"/>
    <x v="3"/>
    <n v="3"/>
  </r>
  <r>
    <x v="23"/>
    <x v="9"/>
    <x v="0"/>
    <n v="1964"/>
    <x v="2"/>
    <x v="3"/>
    <n v="86"/>
  </r>
  <r>
    <x v="24"/>
    <x v="4"/>
    <x v="2"/>
    <n v="1916"/>
    <x v="0"/>
    <x v="3"/>
    <n v="20"/>
  </r>
  <r>
    <x v="25"/>
    <x v="4"/>
    <x v="3"/>
    <n v="1989"/>
    <x v="0"/>
    <x v="3"/>
    <n v="5"/>
  </r>
  <r>
    <x v="26"/>
    <x v="10"/>
    <x v="0"/>
    <n v="1967"/>
    <x v="2"/>
    <x v="3"/>
    <n v="1145"/>
  </r>
  <r>
    <x v="27"/>
    <x v="9"/>
    <x v="0"/>
    <n v="1996"/>
    <x v="0"/>
    <x v="3"/>
    <n v="2"/>
  </r>
  <r>
    <x v="28"/>
    <x v="11"/>
    <x v="0"/>
    <n v="1903"/>
    <x v="0"/>
    <x v="3"/>
    <n v="0"/>
  </r>
  <r>
    <x v="29"/>
    <x v="9"/>
    <x v="0"/>
    <n v="1969"/>
    <x v="0"/>
    <x v="3"/>
    <n v="0"/>
  </r>
  <r>
    <x v="30"/>
    <x v="10"/>
    <x v="0"/>
    <n v="1967"/>
    <x v="0"/>
    <x v="3"/>
    <n v="0"/>
  </r>
  <r>
    <x v="31"/>
    <x v="11"/>
    <x v="0"/>
    <n v="1911"/>
    <x v="2"/>
    <x v="3"/>
    <n v="74"/>
  </r>
  <r>
    <x v="32"/>
    <x v="11"/>
    <x v="3"/>
    <n v="1902"/>
    <x v="0"/>
    <x v="3"/>
    <n v="10"/>
  </r>
  <r>
    <x v="33"/>
    <x v="3"/>
    <x v="3"/>
    <n v="1916"/>
    <x v="0"/>
    <x v="3"/>
    <n v="65"/>
  </r>
  <r>
    <x v="34"/>
    <x v="3"/>
    <x v="3"/>
    <n v="1932"/>
    <x v="0"/>
    <x v="3"/>
    <n v="14"/>
  </r>
  <r>
    <x v="35"/>
    <x v="9"/>
    <x v="0"/>
    <n v="1997"/>
    <x v="0"/>
    <x v="3"/>
    <n v="0"/>
  </r>
  <r>
    <x v="0"/>
    <x v="0"/>
    <x v="0"/>
    <n v="1941"/>
    <x v="0"/>
    <x v="4"/>
    <n v="175"/>
  </r>
  <r>
    <x v="1"/>
    <x v="1"/>
    <x v="1"/>
    <s v="-"/>
    <x v="1"/>
    <x v="4"/>
    <n v="0"/>
  </r>
  <r>
    <x v="2"/>
    <x v="2"/>
    <x v="2"/>
    <n v="1927"/>
    <x v="0"/>
    <x v="4"/>
    <n v="14"/>
  </r>
  <r>
    <x v="3"/>
    <x v="3"/>
    <x v="2"/>
    <n v="1937"/>
    <x v="0"/>
    <x v="4"/>
    <n v="220"/>
  </r>
  <r>
    <x v="4"/>
    <x v="4"/>
    <x v="2"/>
    <n v="1937"/>
    <x v="0"/>
    <x v="4"/>
    <n v="1292"/>
  </r>
  <r>
    <x v="5"/>
    <x v="4"/>
    <x v="2"/>
    <n v="1953"/>
    <x v="0"/>
    <x v="4"/>
    <n v="58"/>
  </r>
  <r>
    <x v="6"/>
    <x v="5"/>
    <x v="2"/>
    <n v="1895"/>
    <x v="2"/>
    <x v="4"/>
    <n v="111"/>
  </r>
  <r>
    <x v="7"/>
    <x v="6"/>
    <x v="3"/>
    <n v="1904"/>
    <x v="0"/>
    <x v="4"/>
    <n v="0"/>
  </r>
  <r>
    <x v="8"/>
    <x v="7"/>
    <x v="0"/>
    <n v="1899"/>
    <x v="2"/>
    <x v="4"/>
    <n v="218"/>
  </r>
  <r>
    <x v="9"/>
    <x v="8"/>
    <x v="0"/>
    <n v="2015"/>
    <x v="2"/>
    <x v="4"/>
    <n v="81"/>
  </r>
  <r>
    <x v="10"/>
    <x v="3"/>
    <x v="3"/>
    <n v="1931"/>
    <x v="0"/>
    <x v="4"/>
    <n v="16"/>
  </r>
  <r>
    <x v="11"/>
    <x v="7"/>
    <x v="0"/>
    <n v="1810"/>
    <x v="0"/>
    <x v="4"/>
    <n v="10"/>
  </r>
  <r>
    <x v="12"/>
    <x v="4"/>
    <x v="2"/>
    <n v="1933"/>
    <x v="0"/>
    <x v="4"/>
    <n v="174"/>
  </r>
  <r>
    <x v="13"/>
    <x v="4"/>
    <x v="2"/>
    <n v="1870"/>
    <x v="0"/>
    <x v="4"/>
    <n v="47"/>
  </r>
  <r>
    <x v="14"/>
    <x v="6"/>
    <x v="3"/>
    <n v="1959"/>
    <x v="0"/>
    <x v="4"/>
    <n v="10"/>
  </r>
  <r>
    <x v="15"/>
    <x v="3"/>
    <x v="3"/>
    <n v="1926"/>
    <x v="0"/>
    <x v="4"/>
    <n v="46"/>
  </r>
  <r>
    <x v="16"/>
    <x v="4"/>
    <x v="2"/>
    <n v="1920"/>
    <x v="0"/>
    <x v="4"/>
    <n v="28"/>
  </r>
  <r>
    <x v="17"/>
    <x v="9"/>
    <x v="0"/>
    <n v="1992"/>
    <x v="0"/>
    <x v="4"/>
    <n v="27"/>
  </r>
  <r>
    <x v="18"/>
    <x v="4"/>
    <x v="3"/>
    <n v="1989"/>
    <x v="0"/>
    <x v="4"/>
    <n v="101"/>
  </r>
  <r>
    <x v="19"/>
    <x v="6"/>
    <x v="3"/>
    <n v="1948"/>
    <x v="0"/>
    <x v="4"/>
    <n v="0"/>
  </r>
  <r>
    <x v="20"/>
    <x v="0"/>
    <x v="0"/>
    <n v="1970"/>
    <x v="2"/>
    <x v="4"/>
    <n v="1278"/>
  </r>
  <r>
    <x v="21"/>
    <x v="10"/>
    <x v="0"/>
    <n v="1944"/>
    <x v="2"/>
    <x v="4"/>
    <n v="316"/>
  </r>
  <r>
    <x v="22"/>
    <x v="6"/>
    <x v="3"/>
    <n v="1922"/>
    <x v="0"/>
    <x v="4"/>
    <n v="0"/>
  </r>
  <r>
    <x v="23"/>
    <x v="9"/>
    <x v="0"/>
    <n v="1964"/>
    <x v="2"/>
    <x v="4"/>
    <n v="93"/>
  </r>
  <r>
    <x v="24"/>
    <x v="4"/>
    <x v="2"/>
    <n v="1916"/>
    <x v="0"/>
    <x v="4"/>
    <n v="36"/>
  </r>
  <r>
    <x v="25"/>
    <x v="4"/>
    <x v="3"/>
    <n v="1989"/>
    <x v="0"/>
    <x v="4"/>
    <n v="17"/>
  </r>
  <r>
    <x v="26"/>
    <x v="10"/>
    <x v="0"/>
    <n v="1967"/>
    <x v="2"/>
    <x v="4"/>
    <n v="1230"/>
  </r>
  <r>
    <x v="27"/>
    <x v="9"/>
    <x v="0"/>
    <n v="1996"/>
    <x v="0"/>
    <x v="4"/>
    <n v="2"/>
  </r>
  <r>
    <x v="28"/>
    <x v="11"/>
    <x v="0"/>
    <n v="1903"/>
    <x v="0"/>
    <x v="4"/>
    <n v="0"/>
  </r>
  <r>
    <x v="29"/>
    <x v="9"/>
    <x v="0"/>
    <n v="1969"/>
    <x v="0"/>
    <x v="4"/>
    <n v="38"/>
  </r>
  <r>
    <x v="30"/>
    <x v="10"/>
    <x v="0"/>
    <n v="1967"/>
    <x v="0"/>
    <x v="4"/>
    <n v="37"/>
  </r>
  <r>
    <x v="31"/>
    <x v="11"/>
    <x v="0"/>
    <n v="1911"/>
    <x v="2"/>
    <x v="4"/>
    <n v="116"/>
  </r>
  <r>
    <x v="32"/>
    <x v="11"/>
    <x v="3"/>
    <n v="1902"/>
    <x v="0"/>
    <x v="4"/>
    <n v="14"/>
  </r>
  <r>
    <x v="33"/>
    <x v="3"/>
    <x v="3"/>
    <n v="1916"/>
    <x v="0"/>
    <x v="4"/>
    <n v="62"/>
  </r>
  <r>
    <x v="34"/>
    <x v="3"/>
    <x v="3"/>
    <n v="1932"/>
    <x v="0"/>
    <x v="4"/>
    <n v="20"/>
  </r>
  <r>
    <x v="35"/>
    <x v="9"/>
    <x v="0"/>
    <n v="1997"/>
    <x v="0"/>
    <x v="4"/>
    <n v="0"/>
  </r>
  <r>
    <x v="0"/>
    <x v="0"/>
    <x v="0"/>
    <n v="1941"/>
    <x v="0"/>
    <x v="5"/>
    <n v="196"/>
  </r>
  <r>
    <x v="1"/>
    <x v="1"/>
    <x v="1"/>
    <s v="-"/>
    <x v="1"/>
    <x v="5"/>
    <n v="0"/>
  </r>
  <r>
    <x v="2"/>
    <x v="2"/>
    <x v="2"/>
    <n v="1927"/>
    <x v="0"/>
    <x v="5"/>
    <n v="17"/>
  </r>
  <r>
    <x v="3"/>
    <x v="3"/>
    <x v="2"/>
    <n v="1937"/>
    <x v="0"/>
    <x v="5"/>
    <n v="171"/>
  </r>
  <r>
    <x v="4"/>
    <x v="4"/>
    <x v="2"/>
    <n v="1937"/>
    <x v="0"/>
    <x v="5"/>
    <n v="1232"/>
  </r>
  <r>
    <x v="5"/>
    <x v="4"/>
    <x v="2"/>
    <n v="1953"/>
    <x v="0"/>
    <x v="5"/>
    <n v="47"/>
  </r>
  <r>
    <x v="6"/>
    <x v="5"/>
    <x v="2"/>
    <n v="1895"/>
    <x v="2"/>
    <x v="5"/>
    <n v="77"/>
  </r>
  <r>
    <x v="7"/>
    <x v="6"/>
    <x v="3"/>
    <n v="1904"/>
    <x v="0"/>
    <x v="5"/>
    <n v="0"/>
  </r>
  <r>
    <x v="8"/>
    <x v="7"/>
    <x v="0"/>
    <n v="1899"/>
    <x v="2"/>
    <x v="5"/>
    <n v="227"/>
  </r>
  <r>
    <x v="9"/>
    <x v="8"/>
    <x v="0"/>
    <n v="2015"/>
    <x v="2"/>
    <x v="5"/>
    <n v="205"/>
  </r>
  <r>
    <x v="10"/>
    <x v="3"/>
    <x v="3"/>
    <n v="1931"/>
    <x v="0"/>
    <x v="5"/>
    <n v="17"/>
  </r>
  <r>
    <x v="11"/>
    <x v="7"/>
    <x v="0"/>
    <n v="1810"/>
    <x v="0"/>
    <x v="5"/>
    <n v="3"/>
  </r>
  <r>
    <x v="12"/>
    <x v="4"/>
    <x v="2"/>
    <n v="1933"/>
    <x v="0"/>
    <x v="5"/>
    <n v="251"/>
  </r>
  <r>
    <x v="13"/>
    <x v="4"/>
    <x v="2"/>
    <n v="1870"/>
    <x v="0"/>
    <x v="5"/>
    <n v="49"/>
  </r>
  <r>
    <x v="14"/>
    <x v="6"/>
    <x v="3"/>
    <n v="1959"/>
    <x v="0"/>
    <x v="5"/>
    <n v="16"/>
  </r>
  <r>
    <x v="15"/>
    <x v="3"/>
    <x v="3"/>
    <n v="1926"/>
    <x v="0"/>
    <x v="5"/>
    <n v="45"/>
  </r>
  <r>
    <x v="16"/>
    <x v="4"/>
    <x v="2"/>
    <n v="1920"/>
    <x v="0"/>
    <x v="5"/>
    <n v="32"/>
  </r>
  <r>
    <x v="17"/>
    <x v="9"/>
    <x v="0"/>
    <n v="1992"/>
    <x v="0"/>
    <x v="5"/>
    <n v="31"/>
  </r>
  <r>
    <x v="18"/>
    <x v="4"/>
    <x v="3"/>
    <n v="1989"/>
    <x v="0"/>
    <x v="5"/>
    <n v="123"/>
  </r>
  <r>
    <x v="19"/>
    <x v="6"/>
    <x v="3"/>
    <n v="1948"/>
    <x v="0"/>
    <x v="5"/>
    <n v="36"/>
  </r>
  <r>
    <x v="20"/>
    <x v="0"/>
    <x v="0"/>
    <n v="1970"/>
    <x v="2"/>
    <x v="5"/>
    <n v="1336"/>
  </r>
  <r>
    <x v="21"/>
    <x v="10"/>
    <x v="0"/>
    <n v="1944"/>
    <x v="2"/>
    <x v="5"/>
    <n v="182"/>
  </r>
  <r>
    <x v="22"/>
    <x v="6"/>
    <x v="3"/>
    <n v="1922"/>
    <x v="0"/>
    <x v="5"/>
    <n v="28"/>
  </r>
  <r>
    <x v="23"/>
    <x v="9"/>
    <x v="0"/>
    <n v="1964"/>
    <x v="2"/>
    <x v="5"/>
    <n v="185"/>
  </r>
  <r>
    <x v="24"/>
    <x v="4"/>
    <x v="2"/>
    <n v="1916"/>
    <x v="0"/>
    <x v="5"/>
    <n v="19"/>
  </r>
  <r>
    <x v="25"/>
    <x v="4"/>
    <x v="3"/>
    <n v="1989"/>
    <x v="0"/>
    <x v="5"/>
    <n v="21"/>
  </r>
  <r>
    <x v="26"/>
    <x v="10"/>
    <x v="0"/>
    <n v="1967"/>
    <x v="2"/>
    <x v="5"/>
    <n v="1423"/>
  </r>
  <r>
    <x v="27"/>
    <x v="9"/>
    <x v="0"/>
    <n v="1996"/>
    <x v="0"/>
    <x v="5"/>
    <n v="0"/>
  </r>
  <r>
    <x v="28"/>
    <x v="11"/>
    <x v="0"/>
    <n v="1903"/>
    <x v="0"/>
    <x v="5"/>
    <n v="0"/>
  </r>
  <r>
    <x v="29"/>
    <x v="9"/>
    <x v="0"/>
    <n v="1969"/>
    <x v="0"/>
    <x v="5"/>
    <n v="34"/>
  </r>
  <r>
    <x v="30"/>
    <x v="10"/>
    <x v="0"/>
    <n v="1967"/>
    <x v="0"/>
    <x v="5"/>
    <n v="34"/>
  </r>
  <r>
    <x v="31"/>
    <x v="11"/>
    <x v="0"/>
    <n v="1911"/>
    <x v="2"/>
    <x v="5"/>
    <n v="108"/>
  </r>
  <r>
    <x v="32"/>
    <x v="11"/>
    <x v="3"/>
    <n v="1902"/>
    <x v="0"/>
    <x v="5"/>
    <n v="2"/>
  </r>
  <r>
    <x v="33"/>
    <x v="3"/>
    <x v="3"/>
    <n v="1916"/>
    <x v="0"/>
    <x v="5"/>
    <n v="79"/>
  </r>
  <r>
    <x v="34"/>
    <x v="3"/>
    <x v="3"/>
    <n v="1932"/>
    <x v="0"/>
    <x v="5"/>
    <n v="3"/>
  </r>
  <r>
    <x v="35"/>
    <x v="9"/>
    <x v="0"/>
    <n v="1997"/>
    <x v="0"/>
    <x v="5"/>
    <n v="17"/>
  </r>
  <r>
    <x v="0"/>
    <x v="0"/>
    <x v="0"/>
    <n v="1941"/>
    <x v="0"/>
    <x v="6"/>
    <n v="210"/>
  </r>
  <r>
    <x v="1"/>
    <x v="1"/>
    <x v="1"/>
    <s v="-"/>
    <x v="1"/>
    <x v="6"/>
    <n v="0"/>
  </r>
  <r>
    <x v="2"/>
    <x v="2"/>
    <x v="2"/>
    <n v="1927"/>
    <x v="0"/>
    <x v="6"/>
    <n v="13"/>
  </r>
  <r>
    <x v="3"/>
    <x v="3"/>
    <x v="2"/>
    <n v="1937"/>
    <x v="0"/>
    <x v="6"/>
    <n v="93"/>
  </r>
  <r>
    <x v="4"/>
    <x v="4"/>
    <x v="2"/>
    <n v="1937"/>
    <x v="0"/>
    <x v="6"/>
    <n v="1429"/>
  </r>
  <r>
    <x v="5"/>
    <x v="4"/>
    <x v="2"/>
    <n v="1953"/>
    <x v="0"/>
    <x v="6"/>
    <n v="58"/>
  </r>
  <r>
    <x v="6"/>
    <x v="5"/>
    <x v="2"/>
    <n v="1895"/>
    <x v="2"/>
    <x v="6"/>
    <n v="173"/>
  </r>
  <r>
    <x v="7"/>
    <x v="6"/>
    <x v="3"/>
    <n v="1904"/>
    <x v="0"/>
    <x v="6"/>
    <n v="0"/>
  </r>
  <r>
    <x v="8"/>
    <x v="7"/>
    <x v="0"/>
    <n v="1899"/>
    <x v="2"/>
    <x v="6"/>
    <n v="235"/>
  </r>
  <r>
    <x v="9"/>
    <x v="8"/>
    <x v="0"/>
    <n v="2015"/>
    <x v="2"/>
    <x v="6"/>
    <n v="326"/>
  </r>
  <r>
    <x v="10"/>
    <x v="3"/>
    <x v="3"/>
    <n v="1931"/>
    <x v="0"/>
    <x v="6"/>
    <n v="8"/>
  </r>
  <r>
    <x v="11"/>
    <x v="7"/>
    <x v="0"/>
    <n v="1810"/>
    <x v="0"/>
    <x v="6"/>
    <n v="0"/>
  </r>
  <r>
    <x v="12"/>
    <x v="4"/>
    <x v="2"/>
    <n v="1933"/>
    <x v="0"/>
    <x v="6"/>
    <n v="212"/>
  </r>
  <r>
    <x v="13"/>
    <x v="4"/>
    <x v="2"/>
    <n v="1870"/>
    <x v="0"/>
    <x v="6"/>
    <n v="56"/>
  </r>
  <r>
    <x v="14"/>
    <x v="6"/>
    <x v="3"/>
    <n v="1959"/>
    <x v="0"/>
    <x v="6"/>
    <n v="0"/>
  </r>
  <r>
    <x v="15"/>
    <x v="3"/>
    <x v="3"/>
    <n v="1926"/>
    <x v="0"/>
    <x v="6"/>
    <n v="44"/>
  </r>
  <r>
    <x v="16"/>
    <x v="4"/>
    <x v="2"/>
    <n v="1920"/>
    <x v="0"/>
    <x v="6"/>
    <n v="33"/>
  </r>
  <r>
    <x v="17"/>
    <x v="9"/>
    <x v="0"/>
    <n v="1992"/>
    <x v="0"/>
    <x v="6"/>
    <n v="17"/>
  </r>
  <r>
    <x v="18"/>
    <x v="4"/>
    <x v="3"/>
    <n v="1989"/>
    <x v="0"/>
    <x v="6"/>
    <n v="138"/>
  </r>
  <r>
    <x v="19"/>
    <x v="6"/>
    <x v="3"/>
    <n v="1948"/>
    <x v="0"/>
    <x v="6"/>
    <n v="0"/>
  </r>
  <r>
    <x v="20"/>
    <x v="0"/>
    <x v="0"/>
    <n v="1970"/>
    <x v="2"/>
    <x v="6"/>
    <n v="1431"/>
  </r>
  <r>
    <x v="21"/>
    <x v="10"/>
    <x v="0"/>
    <n v="1944"/>
    <x v="2"/>
    <x v="6"/>
    <n v="252"/>
  </r>
  <r>
    <x v="22"/>
    <x v="6"/>
    <x v="3"/>
    <n v="1922"/>
    <x v="0"/>
    <x v="6"/>
    <n v="0"/>
  </r>
  <r>
    <x v="23"/>
    <x v="9"/>
    <x v="0"/>
    <n v="1964"/>
    <x v="2"/>
    <x v="6"/>
    <n v="133"/>
  </r>
  <r>
    <x v="24"/>
    <x v="4"/>
    <x v="2"/>
    <n v="1916"/>
    <x v="0"/>
    <x v="6"/>
    <n v="27"/>
  </r>
  <r>
    <x v="25"/>
    <x v="4"/>
    <x v="3"/>
    <n v="1989"/>
    <x v="0"/>
    <x v="6"/>
    <n v="0"/>
  </r>
  <r>
    <x v="26"/>
    <x v="10"/>
    <x v="0"/>
    <n v="1967"/>
    <x v="2"/>
    <x v="6"/>
    <n v="1434"/>
  </r>
  <r>
    <x v="27"/>
    <x v="9"/>
    <x v="0"/>
    <n v="1996"/>
    <x v="0"/>
    <x v="6"/>
    <n v="11"/>
  </r>
  <r>
    <x v="28"/>
    <x v="11"/>
    <x v="0"/>
    <n v="1903"/>
    <x v="0"/>
    <x v="6"/>
    <n v="0"/>
  </r>
  <r>
    <x v="29"/>
    <x v="9"/>
    <x v="0"/>
    <n v="1969"/>
    <x v="0"/>
    <x v="6"/>
    <n v="0"/>
  </r>
  <r>
    <x v="30"/>
    <x v="10"/>
    <x v="0"/>
    <n v="1967"/>
    <x v="0"/>
    <x v="6"/>
    <n v="59"/>
  </r>
  <r>
    <x v="31"/>
    <x v="11"/>
    <x v="0"/>
    <n v="1911"/>
    <x v="2"/>
    <x v="6"/>
    <n v="82"/>
  </r>
  <r>
    <x v="32"/>
    <x v="11"/>
    <x v="3"/>
    <n v="1902"/>
    <x v="0"/>
    <x v="6"/>
    <n v="4"/>
  </r>
  <r>
    <x v="33"/>
    <x v="3"/>
    <x v="3"/>
    <n v="1916"/>
    <x v="0"/>
    <x v="6"/>
    <n v="55"/>
  </r>
  <r>
    <x v="34"/>
    <x v="3"/>
    <x v="3"/>
    <n v="1932"/>
    <x v="0"/>
    <x v="6"/>
    <n v="12"/>
  </r>
  <r>
    <x v="35"/>
    <x v="9"/>
    <x v="0"/>
    <n v="1997"/>
    <x v="0"/>
    <x v="6"/>
    <n v="164"/>
  </r>
  <r>
    <x v="0"/>
    <x v="0"/>
    <x v="0"/>
    <n v="1941"/>
    <x v="0"/>
    <x v="7"/>
    <n v="116"/>
  </r>
  <r>
    <x v="1"/>
    <x v="1"/>
    <x v="1"/>
    <s v="-"/>
    <x v="1"/>
    <x v="7"/>
    <n v="0"/>
  </r>
  <r>
    <x v="2"/>
    <x v="2"/>
    <x v="2"/>
    <n v="1927"/>
    <x v="0"/>
    <x v="7"/>
    <n v="14"/>
  </r>
  <r>
    <x v="3"/>
    <x v="3"/>
    <x v="2"/>
    <n v="1937"/>
    <x v="0"/>
    <x v="7"/>
    <n v="172"/>
  </r>
  <r>
    <x v="4"/>
    <x v="4"/>
    <x v="2"/>
    <n v="1937"/>
    <x v="0"/>
    <x v="7"/>
    <n v="1260"/>
  </r>
  <r>
    <x v="5"/>
    <x v="4"/>
    <x v="2"/>
    <n v="1953"/>
    <x v="0"/>
    <x v="7"/>
    <n v="95"/>
  </r>
  <r>
    <x v="6"/>
    <x v="5"/>
    <x v="2"/>
    <n v="1895"/>
    <x v="2"/>
    <x v="7"/>
    <n v="82"/>
  </r>
  <r>
    <x v="7"/>
    <x v="6"/>
    <x v="3"/>
    <n v="1904"/>
    <x v="0"/>
    <x v="7"/>
    <n v="0"/>
  </r>
  <r>
    <x v="8"/>
    <x v="7"/>
    <x v="0"/>
    <n v="1899"/>
    <x v="2"/>
    <x v="7"/>
    <n v="248"/>
  </r>
  <r>
    <x v="9"/>
    <x v="8"/>
    <x v="0"/>
    <n v="2015"/>
    <x v="2"/>
    <x v="7"/>
    <n v="325"/>
  </r>
  <r>
    <x v="10"/>
    <x v="3"/>
    <x v="3"/>
    <n v="1931"/>
    <x v="0"/>
    <x v="7"/>
    <n v="10"/>
  </r>
  <r>
    <x v="11"/>
    <x v="7"/>
    <x v="0"/>
    <n v="1810"/>
    <x v="0"/>
    <x v="7"/>
    <n v="16"/>
  </r>
  <r>
    <x v="12"/>
    <x v="4"/>
    <x v="2"/>
    <n v="1933"/>
    <x v="0"/>
    <x v="7"/>
    <n v="193"/>
  </r>
  <r>
    <x v="13"/>
    <x v="4"/>
    <x v="2"/>
    <n v="1870"/>
    <x v="0"/>
    <x v="7"/>
    <n v="75"/>
  </r>
  <r>
    <x v="14"/>
    <x v="6"/>
    <x v="3"/>
    <n v="1959"/>
    <x v="0"/>
    <x v="7"/>
    <n v="8"/>
  </r>
  <r>
    <x v="15"/>
    <x v="3"/>
    <x v="3"/>
    <n v="1926"/>
    <x v="0"/>
    <x v="7"/>
    <n v="51"/>
  </r>
  <r>
    <x v="16"/>
    <x v="4"/>
    <x v="2"/>
    <n v="1920"/>
    <x v="0"/>
    <x v="7"/>
    <n v="38"/>
  </r>
  <r>
    <x v="17"/>
    <x v="9"/>
    <x v="0"/>
    <n v="1992"/>
    <x v="0"/>
    <x v="7"/>
    <n v="30"/>
  </r>
  <r>
    <x v="18"/>
    <x v="4"/>
    <x v="3"/>
    <n v="1989"/>
    <x v="0"/>
    <x v="7"/>
    <n v="130"/>
  </r>
  <r>
    <x v="19"/>
    <x v="6"/>
    <x v="3"/>
    <n v="1948"/>
    <x v="0"/>
    <x v="7"/>
    <n v="24"/>
  </r>
  <r>
    <x v="20"/>
    <x v="0"/>
    <x v="0"/>
    <n v="1970"/>
    <x v="2"/>
    <x v="7"/>
    <n v="1376"/>
  </r>
  <r>
    <x v="21"/>
    <x v="10"/>
    <x v="0"/>
    <n v="1944"/>
    <x v="2"/>
    <x v="7"/>
    <n v="156"/>
  </r>
  <r>
    <x v="22"/>
    <x v="6"/>
    <x v="3"/>
    <n v="1922"/>
    <x v="0"/>
    <x v="7"/>
    <n v="17"/>
  </r>
  <r>
    <x v="23"/>
    <x v="9"/>
    <x v="0"/>
    <n v="1964"/>
    <x v="2"/>
    <x v="7"/>
    <n v="92"/>
  </r>
  <r>
    <x v="24"/>
    <x v="4"/>
    <x v="2"/>
    <n v="1916"/>
    <x v="0"/>
    <x v="7"/>
    <n v="31"/>
  </r>
  <r>
    <x v="25"/>
    <x v="4"/>
    <x v="3"/>
    <n v="1989"/>
    <x v="0"/>
    <x v="7"/>
    <n v="21"/>
  </r>
  <r>
    <x v="26"/>
    <x v="10"/>
    <x v="0"/>
    <n v="1967"/>
    <x v="2"/>
    <x v="7"/>
    <n v="1291"/>
  </r>
  <r>
    <x v="27"/>
    <x v="9"/>
    <x v="0"/>
    <n v="1996"/>
    <x v="0"/>
    <x v="7"/>
    <n v="22"/>
  </r>
  <r>
    <x v="28"/>
    <x v="11"/>
    <x v="0"/>
    <n v="1903"/>
    <x v="0"/>
    <x v="7"/>
    <n v="0"/>
  </r>
  <r>
    <x v="29"/>
    <x v="9"/>
    <x v="0"/>
    <n v="1969"/>
    <x v="0"/>
    <x v="7"/>
    <n v="50"/>
  </r>
  <r>
    <x v="30"/>
    <x v="10"/>
    <x v="0"/>
    <n v="1967"/>
    <x v="0"/>
    <x v="7"/>
    <n v="0"/>
  </r>
  <r>
    <x v="31"/>
    <x v="11"/>
    <x v="0"/>
    <n v="1911"/>
    <x v="2"/>
    <x v="7"/>
    <n v="64"/>
  </r>
  <r>
    <x v="32"/>
    <x v="11"/>
    <x v="3"/>
    <n v="1902"/>
    <x v="0"/>
    <x v="7"/>
    <n v="14"/>
  </r>
  <r>
    <x v="33"/>
    <x v="3"/>
    <x v="3"/>
    <n v="1916"/>
    <x v="0"/>
    <x v="7"/>
    <n v="96"/>
  </r>
  <r>
    <x v="34"/>
    <x v="3"/>
    <x v="3"/>
    <n v="1932"/>
    <x v="0"/>
    <x v="7"/>
    <n v="22"/>
  </r>
  <r>
    <x v="35"/>
    <x v="9"/>
    <x v="0"/>
    <n v="1997"/>
    <x v="0"/>
    <x v="7"/>
    <n v="0"/>
  </r>
  <r>
    <x v="0"/>
    <x v="0"/>
    <x v="0"/>
    <n v="1941"/>
    <x v="0"/>
    <x v="8"/>
    <n v="143"/>
  </r>
  <r>
    <x v="1"/>
    <x v="1"/>
    <x v="1"/>
    <s v="-"/>
    <x v="1"/>
    <x v="8"/>
    <n v="0"/>
  </r>
  <r>
    <x v="2"/>
    <x v="2"/>
    <x v="2"/>
    <n v="1927"/>
    <x v="0"/>
    <x v="8"/>
    <n v="15"/>
  </r>
  <r>
    <x v="3"/>
    <x v="3"/>
    <x v="2"/>
    <n v="1937"/>
    <x v="0"/>
    <x v="8"/>
    <n v="192"/>
  </r>
  <r>
    <x v="4"/>
    <x v="4"/>
    <x v="2"/>
    <n v="1937"/>
    <x v="0"/>
    <x v="8"/>
    <n v="1212"/>
  </r>
  <r>
    <x v="5"/>
    <x v="4"/>
    <x v="2"/>
    <n v="1953"/>
    <x v="0"/>
    <x v="8"/>
    <n v="68"/>
  </r>
  <r>
    <x v="6"/>
    <x v="5"/>
    <x v="2"/>
    <n v="1895"/>
    <x v="2"/>
    <x v="8"/>
    <n v="49"/>
  </r>
  <r>
    <x v="7"/>
    <x v="6"/>
    <x v="3"/>
    <n v="1904"/>
    <x v="0"/>
    <x v="8"/>
    <n v="0"/>
  </r>
  <r>
    <x v="8"/>
    <x v="7"/>
    <x v="0"/>
    <n v="1899"/>
    <x v="2"/>
    <x v="8"/>
    <n v="279"/>
  </r>
  <r>
    <x v="9"/>
    <x v="8"/>
    <x v="0"/>
    <n v="2015"/>
    <x v="2"/>
    <x v="8"/>
    <n v="563"/>
  </r>
  <r>
    <x v="10"/>
    <x v="3"/>
    <x v="3"/>
    <n v="1931"/>
    <x v="0"/>
    <x v="8"/>
    <n v="6"/>
  </r>
  <r>
    <x v="11"/>
    <x v="7"/>
    <x v="0"/>
    <n v="1810"/>
    <x v="0"/>
    <x v="8"/>
    <n v="0"/>
  </r>
  <r>
    <x v="12"/>
    <x v="4"/>
    <x v="2"/>
    <n v="1933"/>
    <x v="0"/>
    <x v="8"/>
    <n v="244"/>
  </r>
  <r>
    <x v="13"/>
    <x v="4"/>
    <x v="2"/>
    <n v="1870"/>
    <x v="0"/>
    <x v="8"/>
    <n v="59"/>
  </r>
  <r>
    <x v="14"/>
    <x v="6"/>
    <x v="3"/>
    <n v="1959"/>
    <x v="0"/>
    <x v="8"/>
    <n v="2"/>
  </r>
  <r>
    <x v="15"/>
    <x v="3"/>
    <x v="3"/>
    <n v="1926"/>
    <x v="0"/>
    <x v="8"/>
    <n v="41"/>
  </r>
  <r>
    <x v="16"/>
    <x v="4"/>
    <x v="2"/>
    <n v="1920"/>
    <x v="0"/>
    <x v="8"/>
    <n v="46"/>
  </r>
  <r>
    <x v="17"/>
    <x v="9"/>
    <x v="0"/>
    <n v="1992"/>
    <x v="0"/>
    <x v="8"/>
    <n v="0"/>
  </r>
  <r>
    <x v="18"/>
    <x v="4"/>
    <x v="3"/>
    <n v="1989"/>
    <x v="0"/>
    <x v="8"/>
    <n v="143"/>
  </r>
  <r>
    <x v="19"/>
    <x v="6"/>
    <x v="3"/>
    <n v="1948"/>
    <x v="0"/>
    <x v="8"/>
    <n v="12"/>
  </r>
  <r>
    <x v="20"/>
    <x v="0"/>
    <x v="0"/>
    <n v="1970"/>
    <x v="2"/>
    <x v="8"/>
    <n v="961"/>
  </r>
  <r>
    <x v="21"/>
    <x v="10"/>
    <x v="0"/>
    <n v="1944"/>
    <x v="2"/>
    <x v="8"/>
    <n v="194"/>
  </r>
  <r>
    <x v="22"/>
    <x v="6"/>
    <x v="3"/>
    <n v="1922"/>
    <x v="0"/>
    <x v="8"/>
    <n v="23"/>
  </r>
  <r>
    <x v="23"/>
    <x v="9"/>
    <x v="0"/>
    <n v="1964"/>
    <x v="2"/>
    <x v="8"/>
    <n v="89"/>
  </r>
  <r>
    <x v="24"/>
    <x v="4"/>
    <x v="2"/>
    <n v="1916"/>
    <x v="0"/>
    <x v="8"/>
    <n v="35"/>
  </r>
  <r>
    <x v="25"/>
    <x v="4"/>
    <x v="3"/>
    <n v="1989"/>
    <x v="0"/>
    <x v="8"/>
    <n v="15"/>
  </r>
  <r>
    <x v="26"/>
    <x v="10"/>
    <x v="0"/>
    <n v="1967"/>
    <x v="2"/>
    <x v="8"/>
    <n v="1392"/>
  </r>
  <r>
    <x v="27"/>
    <x v="9"/>
    <x v="0"/>
    <n v="1996"/>
    <x v="0"/>
    <x v="8"/>
    <n v="8"/>
  </r>
  <r>
    <x v="28"/>
    <x v="11"/>
    <x v="0"/>
    <n v="1903"/>
    <x v="0"/>
    <x v="8"/>
    <n v="9"/>
  </r>
  <r>
    <x v="29"/>
    <x v="9"/>
    <x v="0"/>
    <n v="1969"/>
    <x v="0"/>
    <x v="8"/>
    <n v="0"/>
  </r>
  <r>
    <x v="30"/>
    <x v="10"/>
    <x v="0"/>
    <n v="1967"/>
    <x v="0"/>
    <x v="8"/>
    <n v="5"/>
  </r>
  <r>
    <x v="31"/>
    <x v="11"/>
    <x v="0"/>
    <n v="1911"/>
    <x v="2"/>
    <x v="8"/>
    <n v="71"/>
  </r>
  <r>
    <x v="32"/>
    <x v="11"/>
    <x v="3"/>
    <n v="1902"/>
    <x v="0"/>
    <x v="8"/>
    <n v="13"/>
  </r>
  <r>
    <x v="33"/>
    <x v="3"/>
    <x v="3"/>
    <n v="1916"/>
    <x v="0"/>
    <x v="8"/>
    <n v="60"/>
  </r>
  <r>
    <x v="34"/>
    <x v="3"/>
    <x v="3"/>
    <n v="1932"/>
    <x v="0"/>
    <x v="8"/>
    <n v="13"/>
  </r>
  <r>
    <x v="35"/>
    <x v="9"/>
    <x v="0"/>
    <n v="1997"/>
    <x v="0"/>
    <x v="8"/>
    <n v="24"/>
  </r>
  <r>
    <x v="0"/>
    <x v="0"/>
    <x v="0"/>
    <n v="1941"/>
    <x v="0"/>
    <x v="9"/>
    <n v="136"/>
  </r>
  <r>
    <x v="1"/>
    <x v="1"/>
    <x v="1"/>
    <s v="-"/>
    <x v="1"/>
    <x v="9"/>
    <n v="0"/>
  </r>
  <r>
    <x v="2"/>
    <x v="2"/>
    <x v="2"/>
    <n v="1927"/>
    <x v="0"/>
    <x v="9"/>
    <n v="27"/>
  </r>
  <r>
    <x v="3"/>
    <x v="3"/>
    <x v="2"/>
    <n v="1937"/>
    <x v="0"/>
    <x v="9"/>
    <n v="232"/>
  </r>
  <r>
    <x v="4"/>
    <x v="4"/>
    <x v="2"/>
    <n v="1937"/>
    <x v="0"/>
    <x v="9"/>
    <n v="1236"/>
  </r>
  <r>
    <x v="5"/>
    <x v="4"/>
    <x v="2"/>
    <n v="1953"/>
    <x v="0"/>
    <x v="9"/>
    <n v="54"/>
  </r>
  <r>
    <x v="6"/>
    <x v="5"/>
    <x v="2"/>
    <n v="1895"/>
    <x v="2"/>
    <x v="9"/>
    <n v="66"/>
  </r>
  <r>
    <x v="7"/>
    <x v="6"/>
    <x v="3"/>
    <n v="1904"/>
    <x v="0"/>
    <x v="9"/>
    <n v="4"/>
  </r>
  <r>
    <x v="8"/>
    <x v="7"/>
    <x v="0"/>
    <n v="1899"/>
    <x v="2"/>
    <x v="9"/>
    <n v="317"/>
  </r>
  <r>
    <x v="9"/>
    <x v="8"/>
    <x v="0"/>
    <n v="2015"/>
    <x v="2"/>
    <x v="9"/>
    <n v="615"/>
  </r>
  <r>
    <x v="10"/>
    <x v="3"/>
    <x v="3"/>
    <n v="1931"/>
    <x v="0"/>
    <x v="9"/>
    <n v="10"/>
  </r>
  <r>
    <x v="11"/>
    <x v="7"/>
    <x v="0"/>
    <n v="1810"/>
    <x v="0"/>
    <x v="9"/>
    <n v="6"/>
  </r>
  <r>
    <x v="12"/>
    <x v="4"/>
    <x v="2"/>
    <n v="1933"/>
    <x v="0"/>
    <x v="9"/>
    <n v="245"/>
  </r>
  <r>
    <x v="13"/>
    <x v="4"/>
    <x v="2"/>
    <n v="1870"/>
    <x v="0"/>
    <x v="9"/>
    <n v="64"/>
  </r>
  <r>
    <x v="14"/>
    <x v="6"/>
    <x v="3"/>
    <n v="1959"/>
    <x v="0"/>
    <x v="9"/>
    <n v="0"/>
  </r>
  <r>
    <x v="15"/>
    <x v="3"/>
    <x v="3"/>
    <n v="1926"/>
    <x v="0"/>
    <x v="9"/>
    <n v="28"/>
  </r>
  <r>
    <x v="16"/>
    <x v="4"/>
    <x v="2"/>
    <n v="1920"/>
    <x v="0"/>
    <x v="9"/>
    <n v="45"/>
  </r>
  <r>
    <x v="17"/>
    <x v="9"/>
    <x v="0"/>
    <n v="1992"/>
    <x v="0"/>
    <x v="9"/>
    <n v="0"/>
  </r>
  <r>
    <x v="18"/>
    <x v="4"/>
    <x v="3"/>
    <n v="1989"/>
    <x v="0"/>
    <x v="9"/>
    <n v="139"/>
  </r>
  <r>
    <x v="19"/>
    <x v="6"/>
    <x v="3"/>
    <n v="1948"/>
    <x v="0"/>
    <x v="9"/>
    <n v="27"/>
  </r>
  <r>
    <x v="20"/>
    <x v="0"/>
    <x v="0"/>
    <n v="1970"/>
    <x v="2"/>
    <x v="9"/>
    <n v="1110"/>
  </r>
  <r>
    <x v="21"/>
    <x v="10"/>
    <x v="0"/>
    <n v="1944"/>
    <x v="2"/>
    <x v="9"/>
    <n v="358"/>
  </r>
  <r>
    <x v="22"/>
    <x v="6"/>
    <x v="3"/>
    <n v="1922"/>
    <x v="0"/>
    <x v="9"/>
    <n v="11"/>
  </r>
  <r>
    <x v="23"/>
    <x v="9"/>
    <x v="0"/>
    <n v="1964"/>
    <x v="2"/>
    <x v="9"/>
    <n v="172"/>
  </r>
  <r>
    <x v="24"/>
    <x v="4"/>
    <x v="2"/>
    <n v="1916"/>
    <x v="0"/>
    <x v="9"/>
    <n v="14"/>
  </r>
  <r>
    <x v="25"/>
    <x v="4"/>
    <x v="3"/>
    <n v="1989"/>
    <x v="0"/>
    <x v="9"/>
    <n v="18"/>
  </r>
  <r>
    <x v="26"/>
    <x v="10"/>
    <x v="0"/>
    <n v="1967"/>
    <x v="2"/>
    <x v="9"/>
    <n v="1494"/>
  </r>
  <r>
    <x v="27"/>
    <x v="9"/>
    <x v="0"/>
    <n v="1996"/>
    <x v="0"/>
    <x v="9"/>
    <n v="26"/>
  </r>
  <r>
    <x v="28"/>
    <x v="11"/>
    <x v="0"/>
    <n v="1903"/>
    <x v="0"/>
    <x v="9"/>
    <n v="3"/>
  </r>
  <r>
    <x v="29"/>
    <x v="9"/>
    <x v="0"/>
    <n v="1969"/>
    <x v="0"/>
    <x v="9"/>
    <n v="0"/>
  </r>
  <r>
    <x v="30"/>
    <x v="10"/>
    <x v="0"/>
    <n v="1967"/>
    <x v="0"/>
    <x v="9"/>
    <n v="22"/>
  </r>
  <r>
    <x v="31"/>
    <x v="11"/>
    <x v="0"/>
    <n v="1911"/>
    <x v="2"/>
    <x v="9"/>
    <n v="68"/>
  </r>
  <r>
    <x v="32"/>
    <x v="11"/>
    <x v="3"/>
    <n v="1902"/>
    <x v="0"/>
    <x v="9"/>
    <n v="11"/>
  </r>
  <r>
    <x v="33"/>
    <x v="3"/>
    <x v="3"/>
    <n v="1916"/>
    <x v="0"/>
    <x v="9"/>
    <n v="79"/>
  </r>
  <r>
    <x v="34"/>
    <x v="3"/>
    <x v="3"/>
    <n v="1932"/>
    <x v="0"/>
    <x v="9"/>
    <n v="11"/>
  </r>
  <r>
    <x v="35"/>
    <x v="9"/>
    <x v="0"/>
    <n v="1997"/>
    <x v="0"/>
    <x v="9"/>
    <n v="0"/>
  </r>
  <r>
    <x v="0"/>
    <x v="0"/>
    <x v="0"/>
    <n v="1941"/>
    <x v="0"/>
    <x v="10"/>
    <n v="250"/>
  </r>
  <r>
    <x v="1"/>
    <x v="1"/>
    <x v="1"/>
    <s v="-"/>
    <x v="1"/>
    <x v="10"/>
    <n v="0"/>
  </r>
  <r>
    <x v="2"/>
    <x v="2"/>
    <x v="2"/>
    <n v="1927"/>
    <x v="0"/>
    <x v="10"/>
    <n v="7"/>
  </r>
  <r>
    <x v="3"/>
    <x v="3"/>
    <x v="2"/>
    <n v="1937"/>
    <x v="0"/>
    <x v="10"/>
    <n v="89"/>
  </r>
  <r>
    <x v="4"/>
    <x v="4"/>
    <x v="2"/>
    <n v="1937"/>
    <x v="0"/>
    <x v="10"/>
    <n v="1239"/>
  </r>
  <r>
    <x v="5"/>
    <x v="4"/>
    <x v="2"/>
    <n v="1953"/>
    <x v="0"/>
    <x v="10"/>
    <n v="35"/>
  </r>
  <r>
    <x v="6"/>
    <x v="5"/>
    <x v="2"/>
    <n v="1895"/>
    <x v="2"/>
    <x v="10"/>
    <n v="60"/>
  </r>
  <r>
    <x v="7"/>
    <x v="6"/>
    <x v="3"/>
    <n v="1904"/>
    <x v="0"/>
    <x v="10"/>
    <n v="0"/>
  </r>
  <r>
    <x v="8"/>
    <x v="7"/>
    <x v="0"/>
    <n v="1899"/>
    <x v="2"/>
    <x v="10"/>
    <n v="260"/>
  </r>
  <r>
    <x v="9"/>
    <x v="8"/>
    <x v="0"/>
    <n v="2015"/>
    <x v="2"/>
    <x v="10"/>
    <n v="627"/>
  </r>
  <r>
    <x v="10"/>
    <x v="3"/>
    <x v="3"/>
    <n v="1931"/>
    <x v="0"/>
    <x v="10"/>
    <n v="15"/>
  </r>
  <r>
    <x v="11"/>
    <x v="7"/>
    <x v="0"/>
    <n v="1810"/>
    <x v="0"/>
    <x v="10"/>
    <n v="1"/>
  </r>
  <r>
    <x v="12"/>
    <x v="4"/>
    <x v="2"/>
    <n v="1933"/>
    <x v="0"/>
    <x v="10"/>
    <n v="244"/>
  </r>
  <r>
    <x v="13"/>
    <x v="4"/>
    <x v="2"/>
    <n v="1870"/>
    <x v="0"/>
    <x v="10"/>
    <n v="87"/>
  </r>
  <r>
    <x v="14"/>
    <x v="6"/>
    <x v="3"/>
    <n v="1959"/>
    <x v="0"/>
    <x v="10"/>
    <n v="3"/>
  </r>
  <r>
    <x v="15"/>
    <x v="3"/>
    <x v="3"/>
    <n v="1926"/>
    <x v="0"/>
    <x v="10"/>
    <n v="38"/>
  </r>
  <r>
    <x v="16"/>
    <x v="4"/>
    <x v="2"/>
    <n v="1920"/>
    <x v="0"/>
    <x v="10"/>
    <n v="23"/>
  </r>
  <r>
    <x v="17"/>
    <x v="9"/>
    <x v="0"/>
    <n v="1992"/>
    <x v="0"/>
    <x v="10"/>
    <n v="0"/>
  </r>
  <r>
    <x v="18"/>
    <x v="4"/>
    <x v="3"/>
    <n v="1989"/>
    <x v="0"/>
    <x v="10"/>
    <n v="183"/>
  </r>
  <r>
    <x v="19"/>
    <x v="6"/>
    <x v="3"/>
    <n v="1948"/>
    <x v="0"/>
    <x v="10"/>
    <n v="21"/>
  </r>
  <r>
    <x v="20"/>
    <x v="0"/>
    <x v="0"/>
    <n v="1970"/>
    <x v="2"/>
    <x v="10"/>
    <n v="1490"/>
  </r>
  <r>
    <x v="21"/>
    <x v="10"/>
    <x v="0"/>
    <n v="1944"/>
    <x v="2"/>
    <x v="10"/>
    <n v="511"/>
  </r>
  <r>
    <x v="22"/>
    <x v="6"/>
    <x v="3"/>
    <n v="1922"/>
    <x v="0"/>
    <x v="10"/>
    <n v="15"/>
  </r>
  <r>
    <x v="23"/>
    <x v="9"/>
    <x v="0"/>
    <n v="1964"/>
    <x v="2"/>
    <x v="10"/>
    <n v="142"/>
  </r>
  <r>
    <x v="24"/>
    <x v="4"/>
    <x v="2"/>
    <n v="1916"/>
    <x v="0"/>
    <x v="10"/>
    <n v="31"/>
  </r>
  <r>
    <x v="25"/>
    <x v="4"/>
    <x v="3"/>
    <n v="1989"/>
    <x v="0"/>
    <x v="10"/>
    <n v="29"/>
  </r>
  <r>
    <x v="26"/>
    <x v="10"/>
    <x v="0"/>
    <n v="1967"/>
    <x v="2"/>
    <x v="10"/>
    <n v="1701"/>
  </r>
  <r>
    <x v="27"/>
    <x v="9"/>
    <x v="0"/>
    <n v="1996"/>
    <x v="0"/>
    <x v="10"/>
    <n v="12"/>
  </r>
  <r>
    <x v="28"/>
    <x v="11"/>
    <x v="0"/>
    <n v="1903"/>
    <x v="0"/>
    <x v="10"/>
    <n v="0"/>
  </r>
  <r>
    <x v="29"/>
    <x v="9"/>
    <x v="0"/>
    <n v="1969"/>
    <x v="0"/>
    <x v="10"/>
    <n v="0"/>
  </r>
  <r>
    <x v="30"/>
    <x v="10"/>
    <x v="0"/>
    <n v="1967"/>
    <x v="0"/>
    <x v="10"/>
    <n v="5"/>
  </r>
  <r>
    <x v="31"/>
    <x v="11"/>
    <x v="0"/>
    <n v="1911"/>
    <x v="2"/>
    <x v="10"/>
    <n v="75"/>
  </r>
  <r>
    <x v="32"/>
    <x v="11"/>
    <x v="3"/>
    <n v="1902"/>
    <x v="0"/>
    <x v="10"/>
    <n v="4"/>
  </r>
  <r>
    <x v="33"/>
    <x v="3"/>
    <x v="3"/>
    <n v="1916"/>
    <x v="0"/>
    <x v="10"/>
    <n v="81"/>
  </r>
  <r>
    <x v="34"/>
    <x v="3"/>
    <x v="3"/>
    <n v="1932"/>
    <x v="0"/>
    <x v="10"/>
    <n v="7"/>
  </r>
  <r>
    <x v="35"/>
    <x v="9"/>
    <x v="0"/>
    <n v="1997"/>
    <x v="0"/>
    <x v="10"/>
    <n v="0"/>
  </r>
  <r>
    <x v="0"/>
    <x v="0"/>
    <x v="0"/>
    <n v="1941"/>
    <x v="0"/>
    <x v="11"/>
    <n v="273"/>
  </r>
  <r>
    <x v="1"/>
    <x v="1"/>
    <x v="1"/>
    <s v="-"/>
    <x v="1"/>
    <x v="11"/>
    <n v="0"/>
  </r>
  <r>
    <x v="2"/>
    <x v="2"/>
    <x v="2"/>
    <n v="1927"/>
    <x v="0"/>
    <x v="11"/>
    <n v="5"/>
  </r>
  <r>
    <x v="3"/>
    <x v="3"/>
    <x v="2"/>
    <n v="1937"/>
    <x v="0"/>
    <x v="11"/>
    <n v="100"/>
  </r>
  <r>
    <x v="4"/>
    <x v="4"/>
    <x v="2"/>
    <n v="1937"/>
    <x v="0"/>
    <x v="11"/>
    <n v="1166"/>
  </r>
  <r>
    <x v="5"/>
    <x v="4"/>
    <x v="2"/>
    <n v="1953"/>
    <x v="0"/>
    <x v="11"/>
    <n v="66"/>
  </r>
  <r>
    <x v="6"/>
    <x v="5"/>
    <x v="2"/>
    <n v="1895"/>
    <x v="2"/>
    <x v="11"/>
    <n v="132"/>
  </r>
  <r>
    <x v="7"/>
    <x v="6"/>
    <x v="3"/>
    <n v="1904"/>
    <x v="0"/>
    <x v="11"/>
    <n v="0"/>
  </r>
  <r>
    <x v="8"/>
    <x v="7"/>
    <x v="0"/>
    <n v="1899"/>
    <x v="2"/>
    <x v="11"/>
    <n v="246"/>
  </r>
  <r>
    <x v="9"/>
    <x v="8"/>
    <x v="0"/>
    <n v="2015"/>
    <x v="2"/>
    <x v="11"/>
    <n v="756"/>
  </r>
  <r>
    <x v="10"/>
    <x v="3"/>
    <x v="3"/>
    <n v="1931"/>
    <x v="0"/>
    <x v="11"/>
    <n v="17"/>
  </r>
  <r>
    <x v="11"/>
    <x v="7"/>
    <x v="0"/>
    <n v="1810"/>
    <x v="0"/>
    <x v="11"/>
    <n v="5"/>
  </r>
  <r>
    <x v="12"/>
    <x v="4"/>
    <x v="2"/>
    <n v="1933"/>
    <x v="0"/>
    <x v="11"/>
    <n v="207"/>
  </r>
  <r>
    <x v="13"/>
    <x v="4"/>
    <x v="2"/>
    <n v="1870"/>
    <x v="0"/>
    <x v="11"/>
    <n v="91"/>
  </r>
  <r>
    <x v="14"/>
    <x v="6"/>
    <x v="3"/>
    <n v="1959"/>
    <x v="0"/>
    <x v="11"/>
    <n v="0"/>
  </r>
  <r>
    <x v="15"/>
    <x v="3"/>
    <x v="3"/>
    <n v="1926"/>
    <x v="0"/>
    <x v="11"/>
    <n v="30"/>
  </r>
  <r>
    <x v="16"/>
    <x v="4"/>
    <x v="2"/>
    <n v="1920"/>
    <x v="0"/>
    <x v="11"/>
    <n v="44"/>
  </r>
  <r>
    <x v="17"/>
    <x v="9"/>
    <x v="0"/>
    <n v="1992"/>
    <x v="0"/>
    <x v="11"/>
    <n v="0"/>
  </r>
  <r>
    <x v="18"/>
    <x v="4"/>
    <x v="3"/>
    <n v="1989"/>
    <x v="0"/>
    <x v="11"/>
    <n v="127"/>
  </r>
  <r>
    <x v="19"/>
    <x v="6"/>
    <x v="3"/>
    <n v="1948"/>
    <x v="0"/>
    <x v="11"/>
    <n v="28"/>
  </r>
  <r>
    <x v="20"/>
    <x v="0"/>
    <x v="0"/>
    <n v="1970"/>
    <x v="2"/>
    <x v="11"/>
    <n v="1694"/>
  </r>
  <r>
    <x v="21"/>
    <x v="10"/>
    <x v="0"/>
    <n v="1944"/>
    <x v="2"/>
    <x v="11"/>
    <n v="568"/>
  </r>
  <r>
    <x v="22"/>
    <x v="6"/>
    <x v="3"/>
    <n v="1922"/>
    <x v="0"/>
    <x v="11"/>
    <n v="9"/>
  </r>
  <r>
    <x v="23"/>
    <x v="9"/>
    <x v="0"/>
    <n v="1964"/>
    <x v="2"/>
    <x v="11"/>
    <n v="238"/>
  </r>
  <r>
    <x v="24"/>
    <x v="4"/>
    <x v="2"/>
    <n v="1916"/>
    <x v="0"/>
    <x v="11"/>
    <n v="46"/>
  </r>
  <r>
    <x v="25"/>
    <x v="4"/>
    <x v="3"/>
    <n v="1989"/>
    <x v="0"/>
    <x v="11"/>
    <n v="38"/>
  </r>
  <r>
    <x v="26"/>
    <x v="10"/>
    <x v="0"/>
    <n v="1967"/>
    <x v="2"/>
    <x v="11"/>
    <n v="1858"/>
  </r>
  <r>
    <x v="27"/>
    <x v="9"/>
    <x v="0"/>
    <n v="1996"/>
    <x v="0"/>
    <x v="11"/>
    <n v="6"/>
  </r>
  <r>
    <x v="28"/>
    <x v="11"/>
    <x v="0"/>
    <n v="1903"/>
    <x v="0"/>
    <x v="11"/>
    <n v="3"/>
  </r>
  <r>
    <x v="29"/>
    <x v="9"/>
    <x v="0"/>
    <n v="1969"/>
    <x v="0"/>
    <x v="11"/>
    <n v="0"/>
  </r>
  <r>
    <x v="30"/>
    <x v="10"/>
    <x v="0"/>
    <n v="1967"/>
    <x v="0"/>
    <x v="11"/>
    <n v="9"/>
  </r>
  <r>
    <x v="31"/>
    <x v="11"/>
    <x v="0"/>
    <n v="1911"/>
    <x v="2"/>
    <x v="11"/>
    <n v="55"/>
  </r>
  <r>
    <x v="32"/>
    <x v="11"/>
    <x v="3"/>
    <n v="1902"/>
    <x v="0"/>
    <x v="11"/>
    <n v="12"/>
  </r>
  <r>
    <x v="33"/>
    <x v="3"/>
    <x v="3"/>
    <n v="1916"/>
    <x v="0"/>
    <x v="11"/>
    <n v="55"/>
  </r>
  <r>
    <x v="34"/>
    <x v="3"/>
    <x v="3"/>
    <n v="1932"/>
    <x v="0"/>
    <x v="11"/>
    <n v="1"/>
  </r>
  <r>
    <x v="35"/>
    <x v="9"/>
    <x v="0"/>
    <n v="1997"/>
    <x v="0"/>
    <x v="11"/>
    <n v="0"/>
  </r>
  <r>
    <x v="0"/>
    <x v="0"/>
    <x v="0"/>
    <n v="1941"/>
    <x v="0"/>
    <x v="12"/>
    <n v="72"/>
  </r>
  <r>
    <x v="1"/>
    <x v="1"/>
    <x v="1"/>
    <s v="-"/>
    <x v="1"/>
    <x v="12"/>
    <n v="4"/>
  </r>
  <r>
    <x v="2"/>
    <x v="2"/>
    <x v="2"/>
    <n v="1927"/>
    <x v="0"/>
    <x v="12"/>
    <n v="11"/>
  </r>
  <r>
    <x v="3"/>
    <x v="3"/>
    <x v="2"/>
    <n v="1937"/>
    <x v="0"/>
    <x v="12"/>
    <n v="165"/>
  </r>
  <r>
    <x v="4"/>
    <x v="4"/>
    <x v="2"/>
    <n v="1937"/>
    <x v="0"/>
    <x v="12"/>
    <n v="701"/>
  </r>
  <r>
    <x v="36"/>
    <x v="4"/>
    <x v="0"/>
    <n v="1909"/>
    <x v="0"/>
    <x v="12"/>
    <n v="3"/>
  </r>
  <r>
    <x v="5"/>
    <x v="4"/>
    <x v="2"/>
    <n v="1953"/>
    <x v="0"/>
    <x v="12"/>
    <n v="42"/>
  </r>
  <r>
    <x v="6"/>
    <x v="5"/>
    <x v="2"/>
    <n v="1895"/>
    <x v="2"/>
    <x v="12"/>
    <n v="65"/>
  </r>
  <r>
    <x v="8"/>
    <x v="7"/>
    <x v="0"/>
    <n v="1899"/>
    <x v="2"/>
    <x v="12"/>
    <n v="248"/>
  </r>
  <r>
    <x v="9"/>
    <x v="8"/>
    <x v="0"/>
    <n v="2015"/>
    <x v="2"/>
    <x v="12"/>
    <n v="652"/>
  </r>
  <r>
    <x v="10"/>
    <x v="3"/>
    <x v="3"/>
    <n v="1931"/>
    <x v="0"/>
    <x v="12"/>
    <n v="15"/>
  </r>
  <r>
    <x v="12"/>
    <x v="4"/>
    <x v="2"/>
    <n v="1933"/>
    <x v="0"/>
    <x v="12"/>
    <n v="114"/>
  </r>
  <r>
    <x v="13"/>
    <x v="4"/>
    <x v="2"/>
    <n v="1870"/>
    <x v="0"/>
    <x v="12"/>
    <n v="54"/>
  </r>
  <r>
    <x v="14"/>
    <x v="6"/>
    <x v="3"/>
    <n v="1959"/>
    <x v="0"/>
    <x v="12"/>
    <n v="0"/>
  </r>
  <r>
    <x v="15"/>
    <x v="3"/>
    <x v="3"/>
    <n v="1926"/>
    <x v="0"/>
    <x v="12"/>
    <n v="34"/>
  </r>
  <r>
    <x v="16"/>
    <x v="4"/>
    <x v="2"/>
    <n v="1920"/>
    <x v="0"/>
    <x v="12"/>
    <n v="23"/>
  </r>
  <r>
    <x v="18"/>
    <x v="4"/>
    <x v="3"/>
    <n v="1989"/>
    <x v="0"/>
    <x v="12"/>
    <n v="129"/>
  </r>
  <r>
    <x v="19"/>
    <x v="6"/>
    <x v="3"/>
    <n v="1948"/>
    <x v="0"/>
    <x v="12"/>
    <n v="18"/>
  </r>
  <r>
    <x v="20"/>
    <x v="0"/>
    <x v="0"/>
    <n v="1970"/>
    <x v="2"/>
    <x v="12"/>
    <n v="914"/>
  </r>
  <r>
    <x v="21"/>
    <x v="10"/>
    <x v="0"/>
    <n v="1944"/>
    <x v="2"/>
    <x v="12"/>
    <n v="513"/>
  </r>
  <r>
    <x v="22"/>
    <x v="6"/>
    <x v="3"/>
    <n v="1922"/>
    <x v="0"/>
    <x v="12"/>
    <n v="6"/>
  </r>
  <r>
    <x v="23"/>
    <x v="9"/>
    <x v="0"/>
    <n v="1964"/>
    <x v="2"/>
    <x v="12"/>
    <n v="71"/>
  </r>
  <r>
    <x v="24"/>
    <x v="4"/>
    <x v="2"/>
    <n v="1916"/>
    <x v="0"/>
    <x v="12"/>
    <n v="18"/>
  </r>
  <r>
    <x v="25"/>
    <x v="4"/>
    <x v="3"/>
    <n v="1989"/>
    <x v="0"/>
    <x v="12"/>
    <n v="12"/>
  </r>
  <r>
    <x v="26"/>
    <x v="10"/>
    <x v="0"/>
    <n v="1967"/>
    <x v="2"/>
    <x v="12"/>
    <n v="1164"/>
  </r>
  <r>
    <x v="37"/>
    <x v="10"/>
    <x v="3"/>
    <n v="2015"/>
    <x v="0"/>
    <x v="12"/>
    <n v="0"/>
  </r>
  <r>
    <x v="27"/>
    <x v="9"/>
    <x v="0"/>
    <n v="1996"/>
    <x v="0"/>
    <x v="12"/>
    <n v="6"/>
  </r>
  <r>
    <x v="29"/>
    <x v="9"/>
    <x v="0"/>
    <n v="1969"/>
    <x v="0"/>
    <x v="12"/>
    <n v="0"/>
  </r>
  <r>
    <x v="30"/>
    <x v="10"/>
    <x v="0"/>
    <n v="1967"/>
    <x v="0"/>
    <x v="12"/>
    <n v="0"/>
  </r>
  <r>
    <x v="31"/>
    <x v="11"/>
    <x v="0"/>
    <n v="1911"/>
    <x v="2"/>
    <x v="12"/>
    <n v="31"/>
  </r>
  <r>
    <x v="32"/>
    <x v="11"/>
    <x v="3"/>
    <n v="1902"/>
    <x v="0"/>
    <x v="12"/>
    <n v="0"/>
  </r>
  <r>
    <x v="33"/>
    <x v="3"/>
    <x v="3"/>
    <n v="1916"/>
    <x v="0"/>
    <x v="12"/>
    <n v="57"/>
  </r>
  <r>
    <x v="34"/>
    <x v="3"/>
    <x v="3"/>
    <n v="1932"/>
    <x v="0"/>
    <x v="12"/>
    <n v="7"/>
  </r>
  <r>
    <x v="0"/>
    <x v="0"/>
    <x v="0"/>
    <n v="1941"/>
    <x v="0"/>
    <x v="13"/>
    <n v="111"/>
  </r>
  <r>
    <x v="1"/>
    <x v="1"/>
    <x v="1"/>
    <s v="-"/>
    <x v="1"/>
    <x v="13"/>
    <n v="5"/>
  </r>
  <r>
    <x v="2"/>
    <x v="2"/>
    <x v="2"/>
    <n v="1927"/>
    <x v="0"/>
    <x v="13"/>
    <n v="6"/>
  </r>
  <r>
    <x v="3"/>
    <x v="3"/>
    <x v="2"/>
    <n v="1937"/>
    <x v="0"/>
    <x v="13"/>
    <n v="172"/>
  </r>
  <r>
    <x v="4"/>
    <x v="4"/>
    <x v="2"/>
    <n v="1937"/>
    <x v="0"/>
    <x v="13"/>
    <n v="726"/>
  </r>
  <r>
    <x v="36"/>
    <x v="4"/>
    <x v="0"/>
    <n v="1909"/>
    <x v="0"/>
    <x v="13"/>
    <n v="3"/>
  </r>
  <r>
    <x v="5"/>
    <x v="4"/>
    <x v="2"/>
    <n v="1953"/>
    <x v="0"/>
    <x v="13"/>
    <n v="55"/>
  </r>
  <r>
    <x v="6"/>
    <x v="5"/>
    <x v="2"/>
    <n v="1895"/>
    <x v="2"/>
    <x v="13"/>
    <n v="23"/>
  </r>
  <r>
    <x v="8"/>
    <x v="7"/>
    <x v="0"/>
    <n v="1899"/>
    <x v="2"/>
    <x v="13"/>
    <n v="255"/>
  </r>
  <r>
    <x v="9"/>
    <x v="8"/>
    <x v="0"/>
    <n v="2015"/>
    <x v="2"/>
    <x v="13"/>
    <n v="629"/>
  </r>
  <r>
    <x v="10"/>
    <x v="3"/>
    <x v="3"/>
    <n v="1931"/>
    <x v="0"/>
    <x v="13"/>
    <n v="22"/>
  </r>
  <r>
    <x v="12"/>
    <x v="4"/>
    <x v="2"/>
    <n v="1933"/>
    <x v="0"/>
    <x v="13"/>
    <n v="167"/>
  </r>
  <r>
    <x v="13"/>
    <x v="4"/>
    <x v="2"/>
    <n v="1870"/>
    <x v="0"/>
    <x v="13"/>
    <n v="73"/>
  </r>
  <r>
    <x v="14"/>
    <x v="6"/>
    <x v="3"/>
    <n v="1959"/>
    <x v="0"/>
    <x v="13"/>
    <n v="4"/>
  </r>
  <r>
    <x v="15"/>
    <x v="3"/>
    <x v="3"/>
    <n v="1926"/>
    <x v="0"/>
    <x v="13"/>
    <n v="29"/>
  </r>
  <r>
    <x v="16"/>
    <x v="4"/>
    <x v="2"/>
    <n v="1920"/>
    <x v="0"/>
    <x v="13"/>
    <n v="20"/>
  </r>
  <r>
    <x v="18"/>
    <x v="4"/>
    <x v="3"/>
    <n v="1989"/>
    <x v="0"/>
    <x v="13"/>
    <n v="94"/>
  </r>
  <r>
    <x v="19"/>
    <x v="6"/>
    <x v="3"/>
    <n v="1948"/>
    <x v="0"/>
    <x v="13"/>
    <n v="11"/>
  </r>
  <r>
    <x v="20"/>
    <x v="0"/>
    <x v="0"/>
    <n v="1970"/>
    <x v="2"/>
    <x v="13"/>
    <n v="1110"/>
  </r>
  <r>
    <x v="21"/>
    <x v="10"/>
    <x v="0"/>
    <n v="1944"/>
    <x v="2"/>
    <x v="13"/>
    <n v="579"/>
  </r>
  <r>
    <x v="22"/>
    <x v="6"/>
    <x v="3"/>
    <n v="1922"/>
    <x v="0"/>
    <x v="13"/>
    <n v="5"/>
  </r>
  <r>
    <x v="23"/>
    <x v="9"/>
    <x v="0"/>
    <n v="1964"/>
    <x v="2"/>
    <x v="13"/>
    <n v="56"/>
  </r>
  <r>
    <x v="24"/>
    <x v="4"/>
    <x v="2"/>
    <n v="1916"/>
    <x v="0"/>
    <x v="13"/>
    <n v="25"/>
  </r>
  <r>
    <x v="25"/>
    <x v="4"/>
    <x v="3"/>
    <n v="1989"/>
    <x v="0"/>
    <x v="13"/>
    <n v="3"/>
  </r>
  <r>
    <x v="26"/>
    <x v="10"/>
    <x v="0"/>
    <n v="1967"/>
    <x v="2"/>
    <x v="13"/>
    <n v="1033"/>
  </r>
  <r>
    <x v="37"/>
    <x v="10"/>
    <x v="3"/>
    <n v="2015"/>
    <x v="0"/>
    <x v="13"/>
    <n v="0"/>
  </r>
  <r>
    <x v="27"/>
    <x v="9"/>
    <x v="0"/>
    <n v="1996"/>
    <x v="0"/>
    <x v="13"/>
    <n v="0"/>
  </r>
  <r>
    <x v="29"/>
    <x v="9"/>
    <x v="0"/>
    <n v="1969"/>
    <x v="0"/>
    <x v="13"/>
    <n v="4"/>
  </r>
  <r>
    <x v="30"/>
    <x v="10"/>
    <x v="0"/>
    <n v="1967"/>
    <x v="0"/>
    <x v="13"/>
    <n v="0"/>
  </r>
  <r>
    <x v="31"/>
    <x v="11"/>
    <x v="0"/>
    <n v="1911"/>
    <x v="2"/>
    <x v="13"/>
    <n v="53"/>
  </r>
  <r>
    <x v="32"/>
    <x v="11"/>
    <x v="3"/>
    <n v="1902"/>
    <x v="0"/>
    <x v="13"/>
    <n v="2"/>
  </r>
  <r>
    <x v="33"/>
    <x v="3"/>
    <x v="3"/>
    <n v="1916"/>
    <x v="0"/>
    <x v="13"/>
    <n v="57"/>
  </r>
  <r>
    <x v="34"/>
    <x v="3"/>
    <x v="3"/>
    <n v="1932"/>
    <x v="0"/>
    <x v="13"/>
    <n v="13"/>
  </r>
  <r>
    <x v="0"/>
    <x v="0"/>
    <x v="0"/>
    <n v="1941"/>
    <x v="0"/>
    <x v="14"/>
    <n v="118"/>
  </r>
  <r>
    <x v="1"/>
    <x v="1"/>
    <x v="1"/>
    <s v="-"/>
    <x v="1"/>
    <x v="14"/>
    <n v="4"/>
  </r>
  <r>
    <x v="2"/>
    <x v="2"/>
    <x v="2"/>
    <n v="1927"/>
    <x v="0"/>
    <x v="14"/>
    <n v="8"/>
  </r>
  <r>
    <x v="3"/>
    <x v="3"/>
    <x v="2"/>
    <n v="1937"/>
    <x v="0"/>
    <x v="14"/>
    <n v="175"/>
  </r>
  <r>
    <x v="4"/>
    <x v="4"/>
    <x v="2"/>
    <n v="1937"/>
    <x v="0"/>
    <x v="14"/>
    <n v="1219"/>
  </r>
  <r>
    <x v="36"/>
    <x v="4"/>
    <x v="0"/>
    <n v="1909"/>
    <x v="0"/>
    <x v="14"/>
    <n v="8"/>
  </r>
  <r>
    <x v="5"/>
    <x v="4"/>
    <x v="2"/>
    <n v="1953"/>
    <x v="0"/>
    <x v="14"/>
    <n v="79"/>
  </r>
  <r>
    <x v="6"/>
    <x v="5"/>
    <x v="2"/>
    <n v="1895"/>
    <x v="2"/>
    <x v="14"/>
    <n v="43"/>
  </r>
  <r>
    <x v="8"/>
    <x v="7"/>
    <x v="0"/>
    <n v="1899"/>
    <x v="2"/>
    <x v="14"/>
    <n v="257"/>
  </r>
  <r>
    <x v="9"/>
    <x v="8"/>
    <x v="0"/>
    <n v="2015"/>
    <x v="2"/>
    <x v="14"/>
    <n v="586"/>
  </r>
  <r>
    <x v="10"/>
    <x v="3"/>
    <x v="3"/>
    <n v="1931"/>
    <x v="0"/>
    <x v="14"/>
    <n v="3"/>
  </r>
  <r>
    <x v="12"/>
    <x v="4"/>
    <x v="2"/>
    <n v="1933"/>
    <x v="0"/>
    <x v="14"/>
    <n v="218"/>
  </r>
  <r>
    <x v="13"/>
    <x v="4"/>
    <x v="2"/>
    <n v="1870"/>
    <x v="0"/>
    <x v="14"/>
    <n v="69"/>
  </r>
  <r>
    <x v="14"/>
    <x v="6"/>
    <x v="3"/>
    <n v="1959"/>
    <x v="0"/>
    <x v="14"/>
    <n v="2"/>
  </r>
  <r>
    <x v="15"/>
    <x v="3"/>
    <x v="3"/>
    <n v="1926"/>
    <x v="0"/>
    <x v="14"/>
    <n v="61"/>
  </r>
  <r>
    <x v="16"/>
    <x v="4"/>
    <x v="2"/>
    <n v="1920"/>
    <x v="0"/>
    <x v="14"/>
    <n v="34"/>
  </r>
  <r>
    <x v="18"/>
    <x v="4"/>
    <x v="3"/>
    <n v="1989"/>
    <x v="0"/>
    <x v="14"/>
    <n v="141"/>
  </r>
  <r>
    <x v="19"/>
    <x v="6"/>
    <x v="3"/>
    <n v="1948"/>
    <x v="0"/>
    <x v="14"/>
    <n v="9"/>
  </r>
  <r>
    <x v="20"/>
    <x v="0"/>
    <x v="0"/>
    <n v="1970"/>
    <x v="2"/>
    <x v="14"/>
    <n v="1520"/>
  </r>
  <r>
    <x v="21"/>
    <x v="10"/>
    <x v="0"/>
    <n v="1944"/>
    <x v="2"/>
    <x v="14"/>
    <n v="827"/>
  </r>
  <r>
    <x v="22"/>
    <x v="6"/>
    <x v="3"/>
    <n v="1922"/>
    <x v="0"/>
    <x v="14"/>
    <n v="8"/>
  </r>
  <r>
    <x v="23"/>
    <x v="9"/>
    <x v="0"/>
    <n v="1964"/>
    <x v="2"/>
    <x v="14"/>
    <n v="80"/>
  </r>
  <r>
    <x v="24"/>
    <x v="4"/>
    <x v="2"/>
    <n v="1916"/>
    <x v="0"/>
    <x v="14"/>
    <n v="15"/>
  </r>
  <r>
    <x v="25"/>
    <x v="4"/>
    <x v="3"/>
    <n v="1989"/>
    <x v="0"/>
    <x v="14"/>
    <n v="28"/>
  </r>
  <r>
    <x v="26"/>
    <x v="10"/>
    <x v="0"/>
    <n v="1967"/>
    <x v="2"/>
    <x v="14"/>
    <n v="978"/>
  </r>
  <r>
    <x v="37"/>
    <x v="10"/>
    <x v="3"/>
    <n v="2015"/>
    <x v="0"/>
    <x v="14"/>
    <n v="0"/>
  </r>
  <r>
    <x v="27"/>
    <x v="9"/>
    <x v="0"/>
    <n v="1996"/>
    <x v="0"/>
    <x v="14"/>
    <n v="0"/>
  </r>
  <r>
    <x v="29"/>
    <x v="9"/>
    <x v="0"/>
    <n v="1969"/>
    <x v="0"/>
    <x v="14"/>
    <n v="0"/>
  </r>
  <r>
    <x v="30"/>
    <x v="10"/>
    <x v="0"/>
    <n v="1967"/>
    <x v="0"/>
    <x v="14"/>
    <n v="5"/>
  </r>
  <r>
    <x v="31"/>
    <x v="11"/>
    <x v="0"/>
    <n v="1911"/>
    <x v="2"/>
    <x v="14"/>
    <n v="54"/>
  </r>
  <r>
    <x v="32"/>
    <x v="11"/>
    <x v="3"/>
    <n v="1902"/>
    <x v="0"/>
    <x v="14"/>
    <n v="0"/>
  </r>
  <r>
    <x v="33"/>
    <x v="3"/>
    <x v="3"/>
    <n v="1916"/>
    <x v="0"/>
    <x v="14"/>
    <n v="58"/>
  </r>
  <r>
    <x v="34"/>
    <x v="3"/>
    <x v="3"/>
    <n v="1932"/>
    <x v="0"/>
    <x v="14"/>
    <n v="8"/>
  </r>
  <r>
    <x v="0"/>
    <x v="0"/>
    <x v="0"/>
    <n v="1941"/>
    <x v="0"/>
    <x v="15"/>
    <n v="138"/>
  </r>
  <r>
    <x v="1"/>
    <x v="1"/>
    <x v="1"/>
    <s v="-"/>
    <x v="1"/>
    <x v="15"/>
    <n v="0"/>
  </r>
  <r>
    <x v="2"/>
    <x v="2"/>
    <x v="2"/>
    <n v="1927"/>
    <x v="0"/>
    <x v="15"/>
    <n v="0"/>
  </r>
  <r>
    <x v="3"/>
    <x v="3"/>
    <x v="2"/>
    <n v="1937"/>
    <x v="0"/>
    <x v="15"/>
    <n v="20"/>
  </r>
  <r>
    <x v="4"/>
    <x v="4"/>
    <x v="2"/>
    <n v="1937"/>
    <x v="0"/>
    <x v="15"/>
    <n v="228"/>
  </r>
  <r>
    <x v="36"/>
    <x v="4"/>
    <x v="0"/>
    <n v="1909"/>
    <x v="0"/>
    <x v="15"/>
    <n v="0"/>
  </r>
  <r>
    <x v="5"/>
    <x v="4"/>
    <x v="2"/>
    <n v="1953"/>
    <x v="0"/>
    <x v="15"/>
    <n v="20"/>
  </r>
  <r>
    <x v="6"/>
    <x v="5"/>
    <x v="2"/>
    <n v="1895"/>
    <x v="2"/>
    <x v="15"/>
    <n v="18"/>
  </r>
  <r>
    <x v="8"/>
    <x v="7"/>
    <x v="0"/>
    <n v="1899"/>
    <x v="2"/>
    <x v="15"/>
    <n v="70"/>
  </r>
  <r>
    <x v="9"/>
    <x v="8"/>
    <x v="0"/>
    <n v="2015"/>
    <x v="2"/>
    <x v="15"/>
    <n v="14"/>
  </r>
  <r>
    <x v="10"/>
    <x v="3"/>
    <x v="3"/>
    <n v="1931"/>
    <x v="0"/>
    <x v="15"/>
    <n v="3"/>
  </r>
  <r>
    <x v="12"/>
    <x v="4"/>
    <x v="2"/>
    <n v="1933"/>
    <x v="0"/>
    <x v="15"/>
    <n v="8"/>
  </r>
  <r>
    <x v="13"/>
    <x v="4"/>
    <x v="2"/>
    <n v="1870"/>
    <x v="0"/>
    <x v="15"/>
    <n v="0"/>
  </r>
  <r>
    <x v="14"/>
    <x v="6"/>
    <x v="3"/>
    <n v="1959"/>
    <x v="0"/>
    <x v="15"/>
    <n v="0"/>
  </r>
  <r>
    <x v="15"/>
    <x v="3"/>
    <x v="3"/>
    <n v="1926"/>
    <x v="0"/>
    <x v="15"/>
    <n v="12"/>
  </r>
  <r>
    <x v="16"/>
    <x v="4"/>
    <x v="2"/>
    <n v="1920"/>
    <x v="0"/>
    <x v="15"/>
    <n v="0"/>
  </r>
  <r>
    <x v="18"/>
    <x v="4"/>
    <x v="3"/>
    <n v="1989"/>
    <x v="0"/>
    <x v="15"/>
    <n v="26"/>
  </r>
  <r>
    <x v="19"/>
    <x v="6"/>
    <x v="3"/>
    <n v="1948"/>
    <x v="0"/>
    <x v="15"/>
    <n v="4"/>
  </r>
  <r>
    <x v="20"/>
    <x v="0"/>
    <x v="0"/>
    <n v="1970"/>
    <x v="2"/>
    <x v="15"/>
    <n v="159"/>
  </r>
  <r>
    <x v="21"/>
    <x v="10"/>
    <x v="0"/>
    <n v="1944"/>
    <x v="2"/>
    <x v="15"/>
    <n v="40"/>
  </r>
  <r>
    <x v="22"/>
    <x v="6"/>
    <x v="3"/>
    <n v="1922"/>
    <x v="0"/>
    <x v="15"/>
    <n v="0"/>
  </r>
  <r>
    <x v="23"/>
    <x v="9"/>
    <x v="0"/>
    <n v="1964"/>
    <x v="2"/>
    <x v="15"/>
    <n v="21"/>
  </r>
  <r>
    <x v="24"/>
    <x v="4"/>
    <x v="2"/>
    <n v="1916"/>
    <x v="0"/>
    <x v="15"/>
    <n v="0"/>
  </r>
  <r>
    <x v="25"/>
    <x v="4"/>
    <x v="3"/>
    <n v="1989"/>
    <x v="0"/>
    <x v="15"/>
    <n v="0"/>
  </r>
  <r>
    <x v="26"/>
    <x v="10"/>
    <x v="0"/>
    <n v="1967"/>
    <x v="2"/>
    <x v="15"/>
    <n v="100"/>
  </r>
  <r>
    <x v="37"/>
    <x v="10"/>
    <x v="3"/>
    <n v="2015"/>
    <x v="0"/>
    <x v="15"/>
    <n v="7"/>
  </r>
  <r>
    <x v="27"/>
    <x v="9"/>
    <x v="0"/>
    <n v="1996"/>
    <x v="0"/>
    <x v="15"/>
    <n v="0"/>
  </r>
  <r>
    <x v="29"/>
    <x v="9"/>
    <x v="0"/>
    <n v="1969"/>
    <x v="0"/>
    <x v="15"/>
    <n v="0"/>
  </r>
  <r>
    <x v="30"/>
    <x v="10"/>
    <x v="0"/>
    <n v="1967"/>
    <x v="0"/>
    <x v="15"/>
    <n v="0"/>
  </r>
  <r>
    <x v="31"/>
    <x v="11"/>
    <x v="0"/>
    <n v="1911"/>
    <x v="2"/>
    <x v="15"/>
    <n v="60"/>
  </r>
  <r>
    <x v="32"/>
    <x v="11"/>
    <x v="3"/>
    <n v="1902"/>
    <x v="0"/>
    <x v="15"/>
    <n v="0"/>
  </r>
  <r>
    <x v="33"/>
    <x v="3"/>
    <x v="3"/>
    <n v="1916"/>
    <x v="0"/>
    <x v="15"/>
    <n v="40"/>
  </r>
  <r>
    <x v="34"/>
    <x v="3"/>
    <x v="3"/>
    <n v="1932"/>
    <x v="0"/>
    <x v="15"/>
    <n v="2"/>
  </r>
  <r>
    <x v="0"/>
    <x v="0"/>
    <x v="0"/>
    <n v="1941"/>
    <x v="0"/>
    <x v="16"/>
    <n v="171"/>
  </r>
  <r>
    <x v="1"/>
    <x v="1"/>
    <x v="1"/>
    <s v="-"/>
    <x v="1"/>
    <x v="16"/>
    <n v="0"/>
  </r>
  <r>
    <x v="2"/>
    <x v="2"/>
    <x v="2"/>
    <n v="1927"/>
    <x v="0"/>
    <x v="16"/>
    <n v="0"/>
  </r>
  <r>
    <x v="3"/>
    <x v="3"/>
    <x v="2"/>
    <n v="1937"/>
    <x v="0"/>
    <x v="16"/>
    <n v="137"/>
  </r>
  <r>
    <x v="4"/>
    <x v="4"/>
    <x v="2"/>
    <n v="1937"/>
    <x v="0"/>
    <x v="16"/>
    <n v="841"/>
  </r>
  <r>
    <x v="36"/>
    <x v="4"/>
    <x v="0"/>
    <n v="1909"/>
    <x v="0"/>
    <x v="16"/>
    <n v="0"/>
  </r>
  <r>
    <x v="5"/>
    <x v="4"/>
    <x v="2"/>
    <n v="1953"/>
    <x v="0"/>
    <x v="16"/>
    <n v="38"/>
  </r>
  <r>
    <x v="6"/>
    <x v="5"/>
    <x v="2"/>
    <n v="1895"/>
    <x v="2"/>
    <x v="16"/>
    <n v="34"/>
  </r>
  <r>
    <x v="8"/>
    <x v="7"/>
    <x v="0"/>
    <n v="1899"/>
    <x v="2"/>
    <x v="16"/>
    <n v="240"/>
  </r>
  <r>
    <x v="9"/>
    <x v="8"/>
    <x v="0"/>
    <n v="2015"/>
    <x v="2"/>
    <x v="16"/>
    <n v="1044"/>
  </r>
  <r>
    <x v="10"/>
    <x v="3"/>
    <x v="3"/>
    <n v="1931"/>
    <x v="0"/>
    <x v="16"/>
    <n v="18"/>
  </r>
  <r>
    <x v="12"/>
    <x v="4"/>
    <x v="2"/>
    <n v="1933"/>
    <x v="0"/>
    <x v="16"/>
    <n v="168"/>
  </r>
  <r>
    <x v="13"/>
    <x v="4"/>
    <x v="2"/>
    <n v="1870"/>
    <x v="0"/>
    <x v="16"/>
    <n v="33"/>
  </r>
  <r>
    <x v="14"/>
    <x v="6"/>
    <x v="3"/>
    <n v="1959"/>
    <x v="0"/>
    <x v="16"/>
    <n v="5"/>
  </r>
  <r>
    <x v="15"/>
    <x v="3"/>
    <x v="3"/>
    <n v="1926"/>
    <x v="0"/>
    <x v="16"/>
    <n v="17"/>
  </r>
  <r>
    <x v="16"/>
    <x v="4"/>
    <x v="2"/>
    <n v="1920"/>
    <x v="0"/>
    <x v="16"/>
    <n v="35"/>
  </r>
  <r>
    <x v="18"/>
    <x v="4"/>
    <x v="3"/>
    <n v="1989"/>
    <x v="0"/>
    <x v="16"/>
    <n v="100"/>
  </r>
  <r>
    <x v="19"/>
    <x v="6"/>
    <x v="3"/>
    <n v="1948"/>
    <x v="0"/>
    <x v="16"/>
    <n v="31"/>
  </r>
  <r>
    <x v="20"/>
    <x v="0"/>
    <x v="0"/>
    <n v="1970"/>
    <x v="2"/>
    <x v="16"/>
    <n v="1702"/>
  </r>
  <r>
    <x v="21"/>
    <x v="10"/>
    <x v="0"/>
    <n v="1944"/>
    <x v="2"/>
    <x v="16"/>
    <n v="500"/>
  </r>
  <r>
    <x v="22"/>
    <x v="6"/>
    <x v="3"/>
    <n v="1922"/>
    <x v="0"/>
    <x v="16"/>
    <n v="7"/>
  </r>
  <r>
    <x v="23"/>
    <x v="9"/>
    <x v="0"/>
    <n v="1964"/>
    <x v="2"/>
    <x v="16"/>
    <n v="67"/>
  </r>
  <r>
    <x v="24"/>
    <x v="4"/>
    <x v="2"/>
    <n v="1916"/>
    <x v="0"/>
    <x v="16"/>
    <n v="18"/>
  </r>
  <r>
    <x v="25"/>
    <x v="4"/>
    <x v="3"/>
    <n v="1989"/>
    <x v="0"/>
    <x v="16"/>
    <n v="5"/>
  </r>
  <r>
    <x v="26"/>
    <x v="10"/>
    <x v="0"/>
    <n v="1967"/>
    <x v="2"/>
    <x v="16"/>
    <n v="1636"/>
  </r>
  <r>
    <x v="37"/>
    <x v="10"/>
    <x v="3"/>
    <n v="2015"/>
    <x v="0"/>
    <x v="16"/>
    <n v="0"/>
  </r>
  <r>
    <x v="27"/>
    <x v="9"/>
    <x v="0"/>
    <n v="1996"/>
    <x v="0"/>
    <x v="16"/>
    <n v="0"/>
  </r>
  <r>
    <x v="29"/>
    <x v="9"/>
    <x v="0"/>
    <n v="1969"/>
    <x v="0"/>
    <x v="16"/>
    <n v="0"/>
  </r>
  <r>
    <x v="30"/>
    <x v="10"/>
    <x v="0"/>
    <n v="1967"/>
    <x v="0"/>
    <x v="16"/>
    <n v="0"/>
  </r>
  <r>
    <x v="31"/>
    <x v="11"/>
    <x v="0"/>
    <n v="1911"/>
    <x v="2"/>
    <x v="16"/>
    <n v="140"/>
  </r>
  <r>
    <x v="32"/>
    <x v="11"/>
    <x v="3"/>
    <n v="1902"/>
    <x v="0"/>
    <x v="16"/>
    <n v="13"/>
  </r>
  <r>
    <x v="33"/>
    <x v="3"/>
    <x v="3"/>
    <n v="1916"/>
    <x v="0"/>
    <x v="16"/>
    <n v="72"/>
  </r>
  <r>
    <x v="34"/>
    <x v="3"/>
    <x v="3"/>
    <n v="1932"/>
    <x v="0"/>
    <x v="16"/>
    <n v="9"/>
  </r>
  <r>
    <x v="0"/>
    <x v="0"/>
    <x v="0"/>
    <n v="1941"/>
    <x v="0"/>
    <x v="17"/>
    <n v="246"/>
  </r>
  <r>
    <x v="1"/>
    <x v="1"/>
    <x v="1"/>
    <s v="-"/>
    <x v="1"/>
    <x v="17"/>
    <n v="29"/>
  </r>
  <r>
    <x v="2"/>
    <x v="2"/>
    <x v="2"/>
    <n v="1927"/>
    <x v="0"/>
    <x v="17"/>
    <n v="7"/>
  </r>
  <r>
    <x v="3"/>
    <x v="3"/>
    <x v="2"/>
    <n v="1937"/>
    <x v="0"/>
    <x v="17"/>
    <n v="233"/>
  </r>
  <r>
    <x v="4"/>
    <x v="4"/>
    <x v="2"/>
    <n v="1937"/>
    <x v="0"/>
    <x v="17"/>
    <n v="1039"/>
  </r>
  <r>
    <x v="36"/>
    <x v="4"/>
    <x v="0"/>
    <n v="1909"/>
    <x v="0"/>
    <x v="17"/>
    <n v="0"/>
  </r>
  <r>
    <x v="5"/>
    <x v="4"/>
    <x v="2"/>
    <n v="1953"/>
    <x v="0"/>
    <x v="17"/>
    <n v="65"/>
  </r>
  <r>
    <x v="6"/>
    <x v="5"/>
    <x v="2"/>
    <n v="1895"/>
    <x v="2"/>
    <x v="17"/>
    <n v="24"/>
  </r>
  <r>
    <x v="8"/>
    <x v="7"/>
    <x v="0"/>
    <n v="1899"/>
    <x v="2"/>
    <x v="17"/>
    <n v="235"/>
  </r>
  <r>
    <x v="9"/>
    <x v="8"/>
    <x v="0"/>
    <n v="2015"/>
    <x v="2"/>
    <x v="17"/>
    <n v="1263"/>
  </r>
  <r>
    <x v="10"/>
    <x v="3"/>
    <x v="3"/>
    <n v="1931"/>
    <x v="0"/>
    <x v="17"/>
    <n v="9"/>
  </r>
  <r>
    <x v="12"/>
    <x v="4"/>
    <x v="2"/>
    <n v="1933"/>
    <x v="0"/>
    <x v="17"/>
    <n v="241"/>
  </r>
  <r>
    <x v="13"/>
    <x v="4"/>
    <x v="2"/>
    <n v="1870"/>
    <x v="0"/>
    <x v="17"/>
    <n v="62"/>
  </r>
  <r>
    <x v="14"/>
    <x v="6"/>
    <x v="3"/>
    <n v="1959"/>
    <x v="0"/>
    <x v="17"/>
    <n v="2"/>
  </r>
  <r>
    <x v="15"/>
    <x v="3"/>
    <x v="3"/>
    <n v="1926"/>
    <x v="0"/>
    <x v="17"/>
    <n v="33"/>
  </r>
  <r>
    <x v="16"/>
    <x v="4"/>
    <x v="2"/>
    <n v="1920"/>
    <x v="0"/>
    <x v="17"/>
    <n v="31"/>
  </r>
  <r>
    <x v="18"/>
    <x v="4"/>
    <x v="3"/>
    <n v="1989"/>
    <x v="0"/>
    <x v="17"/>
    <n v="147"/>
  </r>
  <r>
    <x v="19"/>
    <x v="6"/>
    <x v="3"/>
    <n v="1948"/>
    <x v="0"/>
    <x v="17"/>
    <n v="24"/>
  </r>
  <r>
    <x v="20"/>
    <x v="0"/>
    <x v="0"/>
    <n v="1970"/>
    <x v="2"/>
    <x v="17"/>
    <n v="2529"/>
  </r>
  <r>
    <x v="21"/>
    <x v="10"/>
    <x v="0"/>
    <n v="1944"/>
    <x v="2"/>
    <x v="17"/>
    <n v="658"/>
  </r>
  <r>
    <x v="22"/>
    <x v="6"/>
    <x v="3"/>
    <n v="1922"/>
    <x v="0"/>
    <x v="17"/>
    <n v="10"/>
  </r>
  <r>
    <x v="23"/>
    <x v="9"/>
    <x v="0"/>
    <n v="1964"/>
    <x v="2"/>
    <x v="17"/>
    <n v="173"/>
  </r>
  <r>
    <x v="24"/>
    <x v="4"/>
    <x v="2"/>
    <n v="1916"/>
    <x v="0"/>
    <x v="17"/>
    <n v="27"/>
  </r>
  <r>
    <x v="25"/>
    <x v="4"/>
    <x v="3"/>
    <n v="1989"/>
    <x v="0"/>
    <x v="17"/>
    <n v="28"/>
  </r>
  <r>
    <x v="26"/>
    <x v="10"/>
    <x v="0"/>
    <n v="1967"/>
    <x v="2"/>
    <x v="17"/>
    <n v="2052"/>
  </r>
  <r>
    <x v="37"/>
    <x v="10"/>
    <x v="3"/>
    <n v="2015"/>
    <x v="0"/>
    <x v="17"/>
    <n v="0"/>
  </r>
  <r>
    <x v="27"/>
    <x v="9"/>
    <x v="0"/>
    <n v="1996"/>
    <x v="0"/>
    <x v="17"/>
    <n v="0"/>
  </r>
  <r>
    <x v="29"/>
    <x v="9"/>
    <x v="0"/>
    <n v="1969"/>
    <x v="0"/>
    <x v="17"/>
    <n v="12"/>
  </r>
  <r>
    <x v="30"/>
    <x v="10"/>
    <x v="0"/>
    <n v="1967"/>
    <x v="0"/>
    <x v="17"/>
    <n v="8"/>
  </r>
  <r>
    <x v="31"/>
    <x v="11"/>
    <x v="0"/>
    <n v="1911"/>
    <x v="2"/>
    <x v="17"/>
    <n v="305"/>
  </r>
  <r>
    <x v="32"/>
    <x v="11"/>
    <x v="3"/>
    <n v="1902"/>
    <x v="0"/>
    <x v="17"/>
    <n v="17"/>
  </r>
  <r>
    <x v="33"/>
    <x v="3"/>
    <x v="3"/>
    <n v="1916"/>
    <x v="0"/>
    <x v="17"/>
    <n v="101"/>
  </r>
  <r>
    <x v="34"/>
    <x v="3"/>
    <x v="3"/>
    <n v="1932"/>
    <x v="0"/>
    <x v="17"/>
    <n v="16"/>
  </r>
  <r>
    <x v="0"/>
    <x v="0"/>
    <x v="0"/>
    <n v="1941"/>
    <x v="0"/>
    <x v="18"/>
    <n v="130"/>
  </r>
  <r>
    <x v="1"/>
    <x v="1"/>
    <x v="1"/>
    <s v="-"/>
    <x v="1"/>
    <x v="18"/>
    <n v="14"/>
  </r>
  <r>
    <x v="2"/>
    <x v="2"/>
    <x v="2"/>
    <n v="1927"/>
    <x v="0"/>
    <x v="18"/>
    <n v="11"/>
  </r>
  <r>
    <x v="3"/>
    <x v="3"/>
    <x v="2"/>
    <n v="1937"/>
    <x v="0"/>
    <x v="18"/>
    <n v="254"/>
  </r>
  <r>
    <x v="4"/>
    <x v="4"/>
    <x v="2"/>
    <n v="1937"/>
    <x v="0"/>
    <x v="18"/>
    <n v="844"/>
  </r>
  <r>
    <x v="36"/>
    <x v="4"/>
    <x v="0"/>
    <n v="1909"/>
    <x v="0"/>
    <x v="18"/>
    <n v="0"/>
  </r>
  <r>
    <x v="5"/>
    <x v="4"/>
    <x v="2"/>
    <n v="1953"/>
    <x v="0"/>
    <x v="18"/>
    <n v="62"/>
  </r>
  <r>
    <x v="6"/>
    <x v="5"/>
    <x v="2"/>
    <n v="1895"/>
    <x v="2"/>
    <x v="18"/>
    <n v="11"/>
  </r>
  <r>
    <x v="8"/>
    <x v="7"/>
    <x v="0"/>
    <n v="1899"/>
    <x v="2"/>
    <x v="18"/>
    <n v="179"/>
  </r>
  <r>
    <x v="9"/>
    <x v="8"/>
    <x v="0"/>
    <n v="2015"/>
    <x v="2"/>
    <x v="18"/>
    <n v="922"/>
  </r>
  <r>
    <x v="10"/>
    <x v="3"/>
    <x v="3"/>
    <n v="1931"/>
    <x v="0"/>
    <x v="18"/>
    <n v="24"/>
  </r>
  <r>
    <x v="12"/>
    <x v="4"/>
    <x v="2"/>
    <n v="1933"/>
    <x v="0"/>
    <x v="18"/>
    <n v="212"/>
  </r>
  <r>
    <x v="13"/>
    <x v="4"/>
    <x v="2"/>
    <n v="1870"/>
    <x v="0"/>
    <x v="18"/>
    <n v="55"/>
  </r>
  <r>
    <x v="14"/>
    <x v="6"/>
    <x v="3"/>
    <n v="1959"/>
    <x v="0"/>
    <x v="18"/>
    <n v="5"/>
  </r>
  <r>
    <x v="15"/>
    <x v="3"/>
    <x v="3"/>
    <n v="1926"/>
    <x v="0"/>
    <x v="18"/>
    <n v="49"/>
  </r>
  <r>
    <x v="16"/>
    <x v="4"/>
    <x v="2"/>
    <n v="1920"/>
    <x v="0"/>
    <x v="18"/>
    <n v="32"/>
  </r>
  <r>
    <x v="18"/>
    <x v="4"/>
    <x v="3"/>
    <n v="1989"/>
    <x v="0"/>
    <x v="18"/>
    <n v="105"/>
  </r>
  <r>
    <x v="19"/>
    <x v="6"/>
    <x v="3"/>
    <n v="1948"/>
    <x v="0"/>
    <x v="18"/>
    <n v="4"/>
  </r>
  <r>
    <x v="20"/>
    <x v="0"/>
    <x v="0"/>
    <n v="1970"/>
    <x v="2"/>
    <x v="18"/>
    <n v="1769"/>
  </r>
  <r>
    <x v="21"/>
    <x v="10"/>
    <x v="0"/>
    <n v="1944"/>
    <x v="2"/>
    <x v="18"/>
    <n v="615"/>
  </r>
  <r>
    <x v="22"/>
    <x v="6"/>
    <x v="3"/>
    <n v="1922"/>
    <x v="0"/>
    <x v="18"/>
    <n v="0"/>
  </r>
  <r>
    <x v="23"/>
    <x v="9"/>
    <x v="0"/>
    <n v="1964"/>
    <x v="2"/>
    <x v="18"/>
    <n v="161"/>
  </r>
  <r>
    <x v="24"/>
    <x v="4"/>
    <x v="2"/>
    <n v="1916"/>
    <x v="0"/>
    <x v="18"/>
    <n v="13"/>
  </r>
  <r>
    <x v="25"/>
    <x v="4"/>
    <x v="3"/>
    <n v="1989"/>
    <x v="0"/>
    <x v="18"/>
    <n v="24"/>
  </r>
  <r>
    <x v="26"/>
    <x v="10"/>
    <x v="0"/>
    <n v="1967"/>
    <x v="2"/>
    <x v="18"/>
    <n v="1253"/>
  </r>
  <r>
    <x v="37"/>
    <x v="10"/>
    <x v="3"/>
    <n v="2015"/>
    <x v="0"/>
    <x v="18"/>
    <n v="0"/>
  </r>
  <r>
    <x v="27"/>
    <x v="9"/>
    <x v="0"/>
    <n v="1996"/>
    <x v="0"/>
    <x v="18"/>
    <n v="0"/>
  </r>
  <r>
    <x v="29"/>
    <x v="9"/>
    <x v="0"/>
    <n v="1969"/>
    <x v="0"/>
    <x v="18"/>
    <n v="14"/>
  </r>
  <r>
    <x v="30"/>
    <x v="10"/>
    <x v="0"/>
    <n v="1967"/>
    <x v="0"/>
    <x v="18"/>
    <n v="16"/>
  </r>
  <r>
    <x v="31"/>
    <x v="11"/>
    <x v="0"/>
    <n v="1911"/>
    <x v="2"/>
    <x v="18"/>
    <n v="354"/>
  </r>
  <r>
    <x v="32"/>
    <x v="11"/>
    <x v="3"/>
    <n v="1902"/>
    <x v="0"/>
    <x v="18"/>
    <n v="23"/>
  </r>
  <r>
    <x v="33"/>
    <x v="3"/>
    <x v="3"/>
    <n v="1916"/>
    <x v="0"/>
    <x v="18"/>
    <n v="66"/>
  </r>
  <r>
    <x v="34"/>
    <x v="3"/>
    <x v="3"/>
    <n v="1932"/>
    <x v="0"/>
    <x v="18"/>
    <n v="9"/>
  </r>
  <r>
    <x v="0"/>
    <x v="0"/>
    <x v="0"/>
    <n v="1941"/>
    <x v="0"/>
    <x v="19"/>
    <n v="166"/>
  </r>
  <r>
    <x v="1"/>
    <x v="1"/>
    <x v="1"/>
    <s v="-"/>
    <x v="1"/>
    <x v="19"/>
    <n v="1"/>
  </r>
  <r>
    <x v="2"/>
    <x v="2"/>
    <x v="2"/>
    <n v="1927"/>
    <x v="0"/>
    <x v="19"/>
    <n v="8"/>
  </r>
  <r>
    <x v="3"/>
    <x v="3"/>
    <x v="2"/>
    <n v="1937"/>
    <x v="0"/>
    <x v="19"/>
    <n v="301"/>
  </r>
  <r>
    <x v="4"/>
    <x v="4"/>
    <x v="2"/>
    <n v="1937"/>
    <x v="0"/>
    <x v="19"/>
    <n v="1155"/>
  </r>
  <r>
    <x v="36"/>
    <x v="4"/>
    <x v="0"/>
    <n v="1909"/>
    <x v="0"/>
    <x v="19"/>
    <n v="0"/>
  </r>
  <r>
    <x v="5"/>
    <x v="4"/>
    <x v="2"/>
    <n v="1953"/>
    <x v="0"/>
    <x v="19"/>
    <n v="72"/>
  </r>
  <r>
    <x v="6"/>
    <x v="5"/>
    <x v="2"/>
    <n v="1895"/>
    <x v="2"/>
    <x v="19"/>
    <n v="6"/>
  </r>
  <r>
    <x v="8"/>
    <x v="7"/>
    <x v="0"/>
    <n v="1899"/>
    <x v="2"/>
    <x v="19"/>
    <n v="212"/>
  </r>
  <r>
    <x v="9"/>
    <x v="8"/>
    <x v="0"/>
    <n v="2015"/>
    <x v="2"/>
    <x v="19"/>
    <n v="822"/>
  </r>
  <r>
    <x v="10"/>
    <x v="3"/>
    <x v="3"/>
    <n v="1931"/>
    <x v="0"/>
    <x v="19"/>
    <n v="8"/>
  </r>
  <r>
    <x v="12"/>
    <x v="4"/>
    <x v="2"/>
    <n v="1933"/>
    <x v="0"/>
    <x v="19"/>
    <n v="253"/>
  </r>
  <r>
    <x v="13"/>
    <x v="4"/>
    <x v="2"/>
    <n v="1870"/>
    <x v="0"/>
    <x v="19"/>
    <n v="72"/>
  </r>
  <r>
    <x v="14"/>
    <x v="6"/>
    <x v="3"/>
    <n v="1959"/>
    <x v="0"/>
    <x v="19"/>
    <n v="0"/>
  </r>
  <r>
    <x v="15"/>
    <x v="3"/>
    <x v="3"/>
    <n v="1926"/>
    <x v="0"/>
    <x v="19"/>
    <n v="23"/>
  </r>
  <r>
    <x v="16"/>
    <x v="4"/>
    <x v="2"/>
    <n v="1920"/>
    <x v="0"/>
    <x v="19"/>
    <n v="26"/>
  </r>
  <r>
    <x v="18"/>
    <x v="4"/>
    <x v="3"/>
    <n v="1989"/>
    <x v="0"/>
    <x v="19"/>
    <n v="239"/>
  </r>
  <r>
    <x v="19"/>
    <x v="6"/>
    <x v="3"/>
    <n v="1948"/>
    <x v="0"/>
    <x v="19"/>
    <n v="23"/>
  </r>
  <r>
    <x v="20"/>
    <x v="0"/>
    <x v="0"/>
    <n v="1970"/>
    <x v="2"/>
    <x v="19"/>
    <n v="1645"/>
  </r>
  <r>
    <x v="21"/>
    <x v="10"/>
    <x v="0"/>
    <n v="1944"/>
    <x v="2"/>
    <x v="19"/>
    <n v="595"/>
  </r>
  <r>
    <x v="22"/>
    <x v="6"/>
    <x v="3"/>
    <n v="1922"/>
    <x v="0"/>
    <x v="19"/>
    <n v="12"/>
  </r>
  <r>
    <x v="23"/>
    <x v="9"/>
    <x v="0"/>
    <n v="1964"/>
    <x v="2"/>
    <x v="19"/>
    <n v="407"/>
  </r>
  <r>
    <x v="24"/>
    <x v="4"/>
    <x v="2"/>
    <n v="1916"/>
    <x v="0"/>
    <x v="19"/>
    <n v="6"/>
  </r>
  <r>
    <x v="25"/>
    <x v="4"/>
    <x v="3"/>
    <n v="1989"/>
    <x v="0"/>
    <x v="19"/>
    <n v="22"/>
  </r>
  <r>
    <x v="26"/>
    <x v="10"/>
    <x v="0"/>
    <n v="1967"/>
    <x v="2"/>
    <x v="19"/>
    <n v="1765"/>
  </r>
  <r>
    <x v="37"/>
    <x v="10"/>
    <x v="3"/>
    <n v="2015"/>
    <x v="0"/>
    <x v="19"/>
    <n v="0"/>
  </r>
  <r>
    <x v="27"/>
    <x v="9"/>
    <x v="0"/>
    <n v="1996"/>
    <x v="0"/>
    <x v="19"/>
    <n v="0"/>
  </r>
  <r>
    <x v="29"/>
    <x v="9"/>
    <x v="0"/>
    <n v="1969"/>
    <x v="0"/>
    <x v="19"/>
    <n v="10"/>
  </r>
  <r>
    <x v="30"/>
    <x v="10"/>
    <x v="0"/>
    <n v="1967"/>
    <x v="0"/>
    <x v="19"/>
    <n v="6"/>
  </r>
  <r>
    <x v="31"/>
    <x v="11"/>
    <x v="0"/>
    <n v="1911"/>
    <x v="2"/>
    <x v="19"/>
    <n v="1285"/>
  </r>
  <r>
    <x v="32"/>
    <x v="11"/>
    <x v="3"/>
    <n v="1902"/>
    <x v="0"/>
    <x v="19"/>
    <n v="19"/>
  </r>
  <r>
    <x v="33"/>
    <x v="3"/>
    <x v="3"/>
    <n v="1916"/>
    <x v="0"/>
    <x v="19"/>
    <n v="43"/>
  </r>
  <r>
    <x v="34"/>
    <x v="3"/>
    <x v="3"/>
    <n v="1932"/>
    <x v="0"/>
    <x v="19"/>
    <n v="27"/>
  </r>
  <r>
    <x v="0"/>
    <x v="0"/>
    <x v="0"/>
    <n v="1941"/>
    <x v="0"/>
    <x v="20"/>
    <n v="143"/>
  </r>
  <r>
    <x v="1"/>
    <x v="1"/>
    <x v="1"/>
    <s v="-"/>
    <x v="1"/>
    <x v="20"/>
    <n v="6"/>
  </r>
  <r>
    <x v="2"/>
    <x v="2"/>
    <x v="2"/>
    <n v="1927"/>
    <x v="0"/>
    <x v="20"/>
    <n v="16"/>
  </r>
  <r>
    <x v="3"/>
    <x v="3"/>
    <x v="2"/>
    <n v="1937"/>
    <x v="0"/>
    <x v="20"/>
    <n v="348"/>
  </r>
  <r>
    <x v="4"/>
    <x v="4"/>
    <x v="2"/>
    <n v="1937"/>
    <x v="0"/>
    <x v="20"/>
    <n v="1110"/>
  </r>
  <r>
    <x v="36"/>
    <x v="4"/>
    <x v="0"/>
    <n v="1909"/>
    <x v="0"/>
    <x v="20"/>
    <n v="0"/>
  </r>
  <r>
    <x v="5"/>
    <x v="4"/>
    <x v="2"/>
    <n v="1953"/>
    <x v="0"/>
    <x v="20"/>
    <n v="67"/>
  </r>
  <r>
    <x v="6"/>
    <x v="5"/>
    <x v="2"/>
    <n v="1895"/>
    <x v="2"/>
    <x v="20"/>
    <n v="23"/>
  </r>
  <r>
    <x v="8"/>
    <x v="7"/>
    <x v="0"/>
    <n v="1899"/>
    <x v="2"/>
    <x v="20"/>
    <n v="260"/>
  </r>
  <r>
    <x v="9"/>
    <x v="8"/>
    <x v="0"/>
    <n v="2015"/>
    <x v="2"/>
    <x v="20"/>
    <n v="609"/>
  </r>
  <r>
    <x v="10"/>
    <x v="3"/>
    <x v="3"/>
    <n v="1931"/>
    <x v="0"/>
    <x v="20"/>
    <n v="20"/>
  </r>
  <r>
    <x v="12"/>
    <x v="4"/>
    <x v="2"/>
    <n v="1933"/>
    <x v="0"/>
    <x v="20"/>
    <n v="288"/>
  </r>
  <r>
    <x v="13"/>
    <x v="4"/>
    <x v="2"/>
    <n v="1870"/>
    <x v="0"/>
    <x v="20"/>
    <n v="94"/>
  </r>
  <r>
    <x v="14"/>
    <x v="6"/>
    <x v="3"/>
    <n v="1959"/>
    <x v="0"/>
    <x v="20"/>
    <n v="2"/>
  </r>
  <r>
    <x v="15"/>
    <x v="3"/>
    <x v="3"/>
    <n v="1926"/>
    <x v="0"/>
    <x v="20"/>
    <n v="24"/>
  </r>
  <r>
    <x v="16"/>
    <x v="4"/>
    <x v="2"/>
    <n v="1920"/>
    <x v="0"/>
    <x v="20"/>
    <n v="29"/>
  </r>
  <r>
    <x v="18"/>
    <x v="4"/>
    <x v="3"/>
    <n v="1989"/>
    <x v="0"/>
    <x v="20"/>
    <n v="191"/>
  </r>
  <r>
    <x v="19"/>
    <x v="6"/>
    <x v="3"/>
    <n v="1948"/>
    <x v="0"/>
    <x v="20"/>
    <n v="18"/>
  </r>
  <r>
    <x v="20"/>
    <x v="0"/>
    <x v="0"/>
    <n v="1970"/>
    <x v="2"/>
    <x v="20"/>
    <n v="2129"/>
  </r>
  <r>
    <x v="21"/>
    <x v="10"/>
    <x v="0"/>
    <n v="1944"/>
    <x v="2"/>
    <x v="20"/>
    <n v="392"/>
  </r>
  <r>
    <x v="22"/>
    <x v="6"/>
    <x v="3"/>
    <n v="1922"/>
    <x v="0"/>
    <x v="20"/>
    <n v="9"/>
  </r>
  <r>
    <x v="23"/>
    <x v="9"/>
    <x v="0"/>
    <n v="1964"/>
    <x v="2"/>
    <x v="20"/>
    <n v="336"/>
  </r>
  <r>
    <x v="24"/>
    <x v="4"/>
    <x v="2"/>
    <n v="1916"/>
    <x v="0"/>
    <x v="20"/>
    <n v="40"/>
  </r>
  <r>
    <x v="25"/>
    <x v="4"/>
    <x v="3"/>
    <n v="1989"/>
    <x v="0"/>
    <x v="20"/>
    <n v="22"/>
  </r>
  <r>
    <x v="26"/>
    <x v="10"/>
    <x v="0"/>
    <n v="1967"/>
    <x v="2"/>
    <x v="20"/>
    <n v="1934"/>
  </r>
  <r>
    <x v="37"/>
    <x v="10"/>
    <x v="3"/>
    <n v="2015"/>
    <x v="0"/>
    <x v="20"/>
    <n v="0"/>
  </r>
  <r>
    <x v="27"/>
    <x v="9"/>
    <x v="0"/>
    <n v="1996"/>
    <x v="0"/>
    <x v="20"/>
    <n v="0"/>
  </r>
  <r>
    <x v="29"/>
    <x v="9"/>
    <x v="0"/>
    <n v="1969"/>
    <x v="0"/>
    <x v="20"/>
    <n v="7"/>
  </r>
  <r>
    <x v="30"/>
    <x v="10"/>
    <x v="0"/>
    <n v="1967"/>
    <x v="0"/>
    <x v="20"/>
    <n v="0"/>
  </r>
  <r>
    <x v="31"/>
    <x v="11"/>
    <x v="0"/>
    <n v="1911"/>
    <x v="2"/>
    <x v="20"/>
    <n v="1357"/>
  </r>
  <r>
    <x v="32"/>
    <x v="11"/>
    <x v="3"/>
    <n v="1902"/>
    <x v="0"/>
    <x v="20"/>
    <n v="12"/>
  </r>
  <r>
    <x v="33"/>
    <x v="3"/>
    <x v="3"/>
    <n v="1916"/>
    <x v="0"/>
    <x v="20"/>
    <n v="82"/>
  </r>
  <r>
    <x v="34"/>
    <x v="3"/>
    <x v="3"/>
    <n v="1932"/>
    <x v="0"/>
    <x v="20"/>
    <n v="20"/>
  </r>
  <r>
    <x v="0"/>
    <x v="0"/>
    <x v="0"/>
    <n v="1941"/>
    <x v="0"/>
    <x v="21"/>
    <n v="232"/>
  </r>
  <r>
    <x v="1"/>
    <x v="1"/>
    <x v="1"/>
    <s v="-"/>
    <x v="1"/>
    <x v="21"/>
    <n v="16"/>
  </r>
  <r>
    <x v="2"/>
    <x v="2"/>
    <x v="2"/>
    <n v="1927"/>
    <x v="0"/>
    <x v="21"/>
    <n v="9"/>
  </r>
  <r>
    <x v="3"/>
    <x v="3"/>
    <x v="2"/>
    <n v="1937"/>
    <x v="0"/>
    <x v="21"/>
    <n v="254"/>
  </r>
  <r>
    <x v="4"/>
    <x v="4"/>
    <x v="2"/>
    <n v="1937"/>
    <x v="0"/>
    <x v="21"/>
    <n v="759"/>
  </r>
  <r>
    <x v="36"/>
    <x v="4"/>
    <x v="0"/>
    <n v="1909"/>
    <x v="0"/>
    <x v="21"/>
    <n v="0"/>
  </r>
  <r>
    <x v="5"/>
    <x v="4"/>
    <x v="2"/>
    <n v="1953"/>
    <x v="0"/>
    <x v="21"/>
    <n v="36"/>
  </r>
  <r>
    <x v="6"/>
    <x v="5"/>
    <x v="2"/>
    <n v="1895"/>
    <x v="2"/>
    <x v="21"/>
    <n v="6"/>
  </r>
  <r>
    <x v="8"/>
    <x v="7"/>
    <x v="0"/>
    <n v="1899"/>
    <x v="2"/>
    <x v="21"/>
    <n v="231"/>
  </r>
  <r>
    <x v="9"/>
    <x v="8"/>
    <x v="0"/>
    <n v="2015"/>
    <x v="2"/>
    <x v="21"/>
    <n v="356"/>
  </r>
  <r>
    <x v="10"/>
    <x v="3"/>
    <x v="3"/>
    <n v="1931"/>
    <x v="0"/>
    <x v="21"/>
    <n v="15"/>
  </r>
  <r>
    <x v="12"/>
    <x v="4"/>
    <x v="2"/>
    <n v="1933"/>
    <x v="0"/>
    <x v="21"/>
    <n v="179"/>
  </r>
  <r>
    <x v="13"/>
    <x v="4"/>
    <x v="2"/>
    <n v="1870"/>
    <x v="0"/>
    <x v="21"/>
    <n v="98"/>
  </r>
  <r>
    <x v="14"/>
    <x v="6"/>
    <x v="3"/>
    <n v="1959"/>
    <x v="0"/>
    <x v="21"/>
    <n v="1"/>
  </r>
  <r>
    <x v="15"/>
    <x v="3"/>
    <x v="3"/>
    <n v="1926"/>
    <x v="0"/>
    <x v="21"/>
    <n v="25"/>
  </r>
  <r>
    <x v="16"/>
    <x v="4"/>
    <x v="2"/>
    <n v="1920"/>
    <x v="0"/>
    <x v="21"/>
    <n v="44"/>
  </r>
  <r>
    <x v="18"/>
    <x v="4"/>
    <x v="3"/>
    <n v="1989"/>
    <x v="0"/>
    <x v="21"/>
    <n v="57"/>
  </r>
  <r>
    <x v="19"/>
    <x v="6"/>
    <x v="3"/>
    <n v="1948"/>
    <x v="0"/>
    <x v="21"/>
    <n v="37"/>
  </r>
  <r>
    <x v="20"/>
    <x v="0"/>
    <x v="0"/>
    <n v="1970"/>
    <x v="2"/>
    <x v="21"/>
    <n v="1728"/>
  </r>
  <r>
    <x v="21"/>
    <x v="10"/>
    <x v="0"/>
    <n v="1944"/>
    <x v="2"/>
    <x v="21"/>
    <n v="370"/>
  </r>
  <r>
    <x v="22"/>
    <x v="6"/>
    <x v="3"/>
    <n v="1922"/>
    <x v="0"/>
    <x v="21"/>
    <n v="11"/>
  </r>
  <r>
    <x v="23"/>
    <x v="9"/>
    <x v="0"/>
    <n v="1964"/>
    <x v="2"/>
    <x v="21"/>
    <n v="268"/>
  </r>
  <r>
    <x v="24"/>
    <x v="4"/>
    <x v="2"/>
    <n v="1916"/>
    <x v="0"/>
    <x v="21"/>
    <n v="30"/>
  </r>
  <r>
    <x v="25"/>
    <x v="4"/>
    <x v="3"/>
    <n v="1989"/>
    <x v="0"/>
    <x v="21"/>
    <n v="45"/>
  </r>
  <r>
    <x v="26"/>
    <x v="10"/>
    <x v="0"/>
    <n v="1967"/>
    <x v="2"/>
    <x v="21"/>
    <n v="2134"/>
  </r>
  <r>
    <x v="37"/>
    <x v="10"/>
    <x v="3"/>
    <n v="2015"/>
    <x v="0"/>
    <x v="21"/>
    <n v="0"/>
  </r>
  <r>
    <x v="27"/>
    <x v="9"/>
    <x v="0"/>
    <n v="1996"/>
    <x v="0"/>
    <x v="21"/>
    <n v="0"/>
  </r>
  <r>
    <x v="29"/>
    <x v="9"/>
    <x v="0"/>
    <n v="1969"/>
    <x v="0"/>
    <x v="21"/>
    <n v="14"/>
  </r>
  <r>
    <x v="30"/>
    <x v="10"/>
    <x v="0"/>
    <n v="1967"/>
    <x v="0"/>
    <x v="21"/>
    <n v="1"/>
  </r>
  <r>
    <x v="31"/>
    <x v="11"/>
    <x v="0"/>
    <n v="1911"/>
    <x v="2"/>
    <x v="21"/>
    <n v="2093"/>
  </r>
  <r>
    <x v="32"/>
    <x v="11"/>
    <x v="3"/>
    <n v="1902"/>
    <x v="0"/>
    <x v="21"/>
    <n v="14"/>
  </r>
  <r>
    <x v="33"/>
    <x v="3"/>
    <x v="3"/>
    <n v="1916"/>
    <x v="0"/>
    <x v="21"/>
    <n v="82"/>
  </r>
  <r>
    <x v="34"/>
    <x v="3"/>
    <x v="3"/>
    <n v="1932"/>
    <x v="0"/>
    <x v="21"/>
    <n v="11"/>
  </r>
  <r>
    <x v="0"/>
    <x v="0"/>
    <x v="0"/>
    <n v="1941"/>
    <x v="0"/>
    <x v="22"/>
    <n v="214"/>
  </r>
  <r>
    <x v="1"/>
    <x v="1"/>
    <x v="1"/>
    <s v="-"/>
    <x v="1"/>
    <x v="22"/>
    <n v="30"/>
  </r>
  <r>
    <x v="2"/>
    <x v="2"/>
    <x v="2"/>
    <n v="1927"/>
    <x v="0"/>
    <x v="22"/>
    <n v="11"/>
  </r>
  <r>
    <x v="3"/>
    <x v="3"/>
    <x v="2"/>
    <n v="1937"/>
    <x v="0"/>
    <x v="22"/>
    <n v="307"/>
  </r>
  <r>
    <x v="4"/>
    <x v="4"/>
    <x v="2"/>
    <n v="1937"/>
    <x v="0"/>
    <x v="22"/>
    <n v="732"/>
  </r>
  <r>
    <x v="36"/>
    <x v="4"/>
    <x v="0"/>
    <n v="1909"/>
    <x v="0"/>
    <x v="22"/>
    <n v="0"/>
  </r>
  <r>
    <x v="5"/>
    <x v="4"/>
    <x v="2"/>
    <n v="1953"/>
    <x v="0"/>
    <x v="22"/>
    <n v="84"/>
  </r>
  <r>
    <x v="6"/>
    <x v="5"/>
    <x v="2"/>
    <n v="1895"/>
    <x v="2"/>
    <x v="22"/>
    <n v="8"/>
  </r>
  <r>
    <x v="8"/>
    <x v="7"/>
    <x v="0"/>
    <n v="1899"/>
    <x v="2"/>
    <x v="22"/>
    <n v="220"/>
  </r>
  <r>
    <x v="9"/>
    <x v="8"/>
    <x v="0"/>
    <n v="2015"/>
    <x v="2"/>
    <x v="22"/>
    <n v="167"/>
  </r>
  <r>
    <x v="10"/>
    <x v="3"/>
    <x v="3"/>
    <n v="1931"/>
    <x v="0"/>
    <x v="22"/>
    <n v="19"/>
  </r>
  <r>
    <x v="12"/>
    <x v="4"/>
    <x v="2"/>
    <n v="1933"/>
    <x v="0"/>
    <x v="22"/>
    <n v="266"/>
  </r>
  <r>
    <x v="13"/>
    <x v="4"/>
    <x v="2"/>
    <n v="1870"/>
    <x v="0"/>
    <x v="22"/>
    <n v="106"/>
  </r>
  <r>
    <x v="14"/>
    <x v="6"/>
    <x v="3"/>
    <n v="1959"/>
    <x v="0"/>
    <x v="22"/>
    <n v="0"/>
  </r>
  <r>
    <x v="15"/>
    <x v="3"/>
    <x v="3"/>
    <n v="1926"/>
    <x v="0"/>
    <x v="22"/>
    <n v="48"/>
  </r>
  <r>
    <x v="16"/>
    <x v="4"/>
    <x v="2"/>
    <n v="1920"/>
    <x v="0"/>
    <x v="22"/>
    <n v="30"/>
  </r>
  <r>
    <x v="18"/>
    <x v="4"/>
    <x v="3"/>
    <n v="1989"/>
    <x v="0"/>
    <x v="22"/>
    <n v="57"/>
  </r>
  <r>
    <x v="19"/>
    <x v="6"/>
    <x v="3"/>
    <n v="1948"/>
    <x v="0"/>
    <x v="22"/>
    <n v="32"/>
  </r>
  <r>
    <x v="20"/>
    <x v="0"/>
    <x v="0"/>
    <n v="1970"/>
    <x v="2"/>
    <x v="22"/>
    <n v="1193"/>
  </r>
  <r>
    <x v="21"/>
    <x v="10"/>
    <x v="0"/>
    <n v="1944"/>
    <x v="2"/>
    <x v="22"/>
    <n v="499"/>
  </r>
  <r>
    <x v="22"/>
    <x v="6"/>
    <x v="3"/>
    <n v="1922"/>
    <x v="0"/>
    <x v="22"/>
    <n v="12"/>
  </r>
  <r>
    <x v="23"/>
    <x v="9"/>
    <x v="0"/>
    <n v="1964"/>
    <x v="2"/>
    <x v="22"/>
    <n v="302"/>
  </r>
  <r>
    <x v="24"/>
    <x v="4"/>
    <x v="2"/>
    <n v="1916"/>
    <x v="0"/>
    <x v="22"/>
    <n v="30"/>
  </r>
  <r>
    <x v="25"/>
    <x v="4"/>
    <x v="3"/>
    <n v="1989"/>
    <x v="0"/>
    <x v="22"/>
    <n v="44"/>
  </r>
  <r>
    <x v="26"/>
    <x v="10"/>
    <x v="0"/>
    <n v="1967"/>
    <x v="2"/>
    <x v="22"/>
    <n v="2303"/>
  </r>
  <r>
    <x v="37"/>
    <x v="10"/>
    <x v="3"/>
    <n v="2015"/>
    <x v="0"/>
    <x v="22"/>
    <n v="0"/>
  </r>
  <r>
    <x v="27"/>
    <x v="9"/>
    <x v="0"/>
    <n v="1996"/>
    <x v="0"/>
    <x v="22"/>
    <n v="0"/>
  </r>
  <r>
    <x v="29"/>
    <x v="9"/>
    <x v="0"/>
    <n v="1969"/>
    <x v="0"/>
    <x v="22"/>
    <n v="2"/>
  </r>
  <r>
    <x v="30"/>
    <x v="10"/>
    <x v="0"/>
    <n v="1967"/>
    <x v="0"/>
    <x v="22"/>
    <n v="1"/>
  </r>
  <r>
    <x v="31"/>
    <x v="11"/>
    <x v="0"/>
    <n v="1911"/>
    <x v="2"/>
    <x v="22"/>
    <n v="1852"/>
  </r>
  <r>
    <x v="32"/>
    <x v="11"/>
    <x v="3"/>
    <n v="1902"/>
    <x v="0"/>
    <x v="22"/>
    <n v="10"/>
  </r>
  <r>
    <x v="33"/>
    <x v="3"/>
    <x v="3"/>
    <n v="1916"/>
    <x v="0"/>
    <x v="22"/>
    <n v="104"/>
  </r>
  <r>
    <x v="34"/>
    <x v="3"/>
    <x v="3"/>
    <n v="1932"/>
    <x v="0"/>
    <x v="22"/>
    <n v="15"/>
  </r>
  <r>
    <x v="0"/>
    <x v="0"/>
    <x v="0"/>
    <n v="1941"/>
    <x v="0"/>
    <x v="23"/>
    <n v="191"/>
  </r>
  <r>
    <x v="1"/>
    <x v="1"/>
    <x v="1"/>
    <s v="-"/>
    <x v="1"/>
    <x v="23"/>
    <n v="11"/>
  </r>
  <r>
    <x v="2"/>
    <x v="2"/>
    <x v="2"/>
    <n v="1927"/>
    <x v="0"/>
    <x v="23"/>
    <n v="5"/>
  </r>
  <r>
    <x v="3"/>
    <x v="3"/>
    <x v="2"/>
    <n v="1937"/>
    <x v="0"/>
    <x v="23"/>
    <n v="267"/>
  </r>
  <r>
    <x v="4"/>
    <x v="4"/>
    <x v="2"/>
    <n v="1937"/>
    <x v="0"/>
    <x v="23"/>
    <n v="737"/>
  </r>
  <r>
    <x v="36"/>
    <x v="4"/>
    <x v="0"/>
    <n v="1909"/>
    <x v="0"/>
    <x v="23"/>
    <n v="0"/>
  </r>
  <r>
    <x v="5"/>
    <x v="4"/>
    <x v="2"/>
    <n v="1953"/>
    <x v="0"/>
    <x v="23"/>
    <n v="24"/>
  </r>
  <r>
    <x v="6"/>
    <x v="5"/>
    <x v="2"/>
    <n v="1895"/>
    <x v="2"/>
    <x v="23"/>
    <n v="2"/>
  </r>
  <r>
    <x v="8"/>
    <x v="7"/>
    <x v="0"/>
    <n v="1899"/>
    <x v="2"/>
    <x v="23"/>
    <n v="258"/>
  </r>
  <r>
    <x v="9"/>
    <x v="8"/>
    <x v="0"/>
    <n v="2015"/>
    <x v="2"/>
    <x v="23"/>
    <n v="85"/>
  </r>
  <r>
    <x v="10"/>
    <x v="3"/>
    <x v="3"/>
    <n v="1931"/>
    <x v="0"/>
    <x v="23"/>
    <n v="10"/>
  </r>
  <r>
    <x v="12"/>
    <x v="4"/>
    <x v="2"/>
    <n v="1933"/>
    <x v="0"/>
    <x v="23"/>
    <n v="323"/>
  </r>
  <r>
    <x v="13"/>
    <x v="4"/>
    <x v="2"/>
    <n v="1870"/>
    <x v="0"/>
    <x v="23"/>
    <n v="104"/>
  </r>
  <r>
    <x v="14"/>
    <x v="6"/>
    <x v="3"/>
    <n v="1959"/>
    <x v="0"/>
    <x v="23"/>
    <n v="0"/>
  </r>
  <r>
    <x v="15"/>
    <x v="3"/>
    <x v="3"/>
    <n v="1926"/>
    <x v="0"/>
    <x v="23"/>
    <n v="63"/>
  </r>
  <r>
    <x v="16"/>
    <x v="4"/>
    <x v="2"/>
    <n v="1920"/>
    <x v="0"/>
    <x v="23"/>
    <n v="60"/>
  </r>
  <r>
    <x v="18"/>
    <x v="4"/>
    <x v="3"/>
    <n v="1989"/>
    <x v="0"/>
    <x v="23"/>
    <n v="93"/>
  </r>
  <r>
    <x v="19"/>
    <x v="6"/>
    <x v="3"/>
    <n v="1948"/>
    <x v="0"/>
    <x v="23"/>
    <n v="26"/>
  </r>
  <r>
    <x v="20"/>
    <x v="0"/>
    <x v="0"/>
    <n v="1970"/>
    <x v="2"/>
    <x v="23"/>
    <n v="1031"/>
  </r>
  <r>
    <x v="21"/>
    <x v="10"/>
    <x v="0"/>
    <n v="1944"/>
    <x v="2"/>
    <x v="23"/>
    <n v="440"/>
  </r>
  <r>
    <x v="22"/>
    <x v="6"/>
    <x v="3"/>
    <n v="1922"/>
    <x v="0"/>
    <x v="23"/>
    <n v="13"/>
  </r>
  <r>
    <x v="23"/>
    <x v="9"/>
    <x v="0"/>
    <n v="1964"/>
    <x v="2"/>
    <x v="23"/>
    <n v="656"/>
  </r>
  <r>
    <x v="24"/>
    <x v="4"/>
    <x v="2"/>
    <n v="1916"/>
    <x v="0"/>
    <x v="23"/>
    <n v="11"/>
  </r>
  <r>
    <x v="25"/>
    <x v="4"/>
    <x v="3"/>
    <n v="1989"/>
    <x v="0"/>
    <x v="23"/>
    <n v="11"/>
  </r>
  <r>
    <x v="26"/>
    <x v="10"/>
    <x v="0"/>
    <n v="1967"/>
    <x v="2"/>
    <x v="23"/>
    <n v="2473"/>
  </r>
  <r>
    <x v="37"/>
    <x v="10"/>
    <x v="3"/>
    <n v="2015"/>
    <x v="0"/>
    <x v="23"/>
    <n v="0"/>
  </r>
  <r>
    <x v="27"/>
    <x v="9"/>
    <x v="0"/>
    <n v="1996"/>
    <x v="0"/>
    <x v="23"/>
    <n v="0"/>
  </r>
  <r>
    <x v="29"/>
    <x v="9"/>
    <x v="0"/>
    <n v="1969"/>
    <x v="0"/>
    <x v="23"/>
    <n v="0"/>
  </r>
  <r>
    <x v="30"/>
    <x v="10"/>
    <x v="0"/>
    <n v="1967"/>
    <x v="0"/>
    <x v="23"/>
    <n v="5"/>
  </r>
  <r>
    <x v="31"/>
    <x v="11"/>
    <x v="0"/>
    <n v="1911"/>
    <x v="2"/>
    <x v="23"/>
    <n v="2500"/>
  </r>
  <r>
    <x v="32"/>
    <x v="11"/>
    <x v="3"/>
    <n v="1902"/>
    <x v="0"/>
    <x v="23"/>
    <n v="16"/>
  </r>
  <r>
    <x v="33"/>
    <x v="3"/>
    <x v="3"/>
    <n v="1916"/>
    <x v="0"/>
    <x v="23"/>
    <n v="134"/>
  </r>
  <r>
    <x v="34"/>
    <x v="3"/>
    <x v="3"/>
    <n v="1932"/>
    <x v="0"/>
    <x v="23"/>
    <n v="12"/>
  </r>
  <r>
    <x v="0"/>
    <x v="0"/>
    <x v="0"/>
    <n v="1941"/>
    <x v="0"/>
    <x v="24"/>
    <n v="79"/>
  </r>
  <r>
    <x v="1"/>
    <x v="1"/>
    <x v="1"/>
    <s v="-"/>
    <x v="1"/>
    <x v="24"/>
    <n v="26"/>
  </r>
  <r>
    <x v="2"/>
    <x v="2"/>
    <x v="2"/>
    <n v="1927"/>
    <x v="0"/>
    <x v="24"/>
    <n v="9"/>
  </r>
  <r>
    <x v="3"/>
    <x v="3"/>
    <x v="2"/>
    <n v="1937"/>
    <x v="0"/>
    <x v="24"/>
    <n v="154"/>
  </r>
  <r>
    <x v="4"/>
    <x v="4"/>
    <x v="2"/>
    <n v="1937"/>
    <x v="0"/>
    <x v="24"/>
    <n v="1044"/>
  </r>
  <r>
    <x v="5"/>
    <x v="4"/>
    <x v="2"/>
    <n v="1953"/>
    <x v="0"/>
    <x v="24"/>
    <n v="0"/>
  </r>
  <r>
    <x v="6"/>
    <x v="5"/>
    <x v="2"/>
    <n v="1895"/>
    <x v="2"/>
    <x v="24"/>
    <n v="67"/>
  </r>
  <r>
    <x v="8"/>
    <x v="7"/>
    <x v="0"/>
    <n v="1899"/>
    <x v="2"/>
    <x v="24"/>
    <n v="206"/>
  </r>
  <r>
    <x v="9"/>
    <x v="8"/>
    <x v="0"/>
    <n v="2015"/>
    <x v="2"/>
    <x v="24"/>
    <n v="30"/>
  </r>
  <r>
    <x v="10"/>
    <x v="3"/>
    <x v="3"/>
    <n v="1931"/>
    <x v="0"/>
    <x v="24"/>
    <n v="7"/>
  </r>
  <r>
    <x v="12"/>
    <x v="4"/>
    <x v="2"/>
    <n v="1933"/>
    <x v="0"/>
    <x v="24"/>
    <n v="255"/>
  </r>
  <r>
    <x v="13"/>
    <x v="4"/>
    <x v="2"/>
    <n v="1870"/>
    <x v="0"/>
    <x v="24"/>
    <n v="88"/>
  </r>
  <r>
    <x v="14"/>
    <x v="6"/>
    <x v="3"/>
    <n v="1959"/>
    <x v="0"/>
    <x v="24"/>
    <n v="0"/>
  </r>
  <r>
    <x v="15"/>
    <x v="3"/>
    <x v="3"/>
    <n v="1926"/>
    <x v="0"/>
    <x v="24"/>
    <n v="47"/>
  </r>
  <r>
    <x v="16"/>
    <x v="4"/>
    <x v="2"/>
    <n v="1920"/>
    <x v="0"/>
    <x v="24"/>
    <n v="43"/>
  </r>
  <r>
    <x v="18"/>
    <x v="4"/>
    <x v="3"/>
    <n v="1989"/>
    <x v="0"/>
    <x v="24"/>
    <n v="100"/>
  </r>
  <r>
    <x v="19"/>
    <x v="6"/>
    <x v="3"/>
    <n v="1948"/>
    <x v="0"/>
    <x v="24"/>
    <n v="13"/>
  </r>
  <r>
    <x v="20"/>
    <x v="0"/>
    <x v="0"/>
    <n v="1970"/>
    <x v="2"/>
    <x v="24"/>
    <n v="575"/>
  </r>
  <r>
    <x v="21"/>
    <x v="10"/>
    <x v="0"/>
    <n v="1944"/>
    <x v="2"/>
    <x v="24"/>
    <n v="335"/>
  </r>
  <r>
    <x v="22"/>
    <x v="6"/>
    <x v="3"/>
    <n v="1922"/>
    <x v="0"/>
    <x v="24"/>
    <n v="0"/>
  </r>
  <r>
    <x v="23"/>
    <x v="9"/>
    <x v="0"/>
    <n v="1964"/>
    <x v="2"/>
    <x v="24"/>
    <n v="249"/>
  </r>
  <r>
    <x v="24"/>
    <x v="4"/>
    <x v="2"/>
    <n v="1916"/>
    <x v="0"/>
    <x v="24"/>
    <n v="0"/>
  </r>
  <r>
    <x v="25"/>
    <x v="4"/>
    <x v="3"/>
    <n v="1989"/>
    <x v="0"/>
    <x v="24"/>
    <n v="33"/>
  </r>
  <r>
    <x v="26"/>
    <x v="10"/>
    <x v="0"/>
    <n v="1967"/>
    <x v="2"/>
    <x v="24"/>
    <n v="2468"/>
  </r>
  <r>
    <x v="38"/>
    <x v="9"/>
    <x v="0"/>
    <n v="2013"/>
    <x v="2"/>
    <x v="24"/>
    <n v="0"/>
  </r>
  <r>
    <x v="37"/>
    <x v="10"/>
    <x v="3"/>
    <n v="2015"/>
    <x v="0"/>
    <x v="24"/>
    <n v="0"/>
  </r>
  <r>
    <x v="39"/>
    <x v="9"/>
    <x v="0"/>
    <n v="1953"/>
    <x v="0"/>
    <x v="24"/>
    <n v="0"/>
  </r>
  <r>
    <x v="29"/>
    <x v="9"/>
    <x v="0"/>
    <n v="1969"/>
    <x v="0"/>
    <x v="24"/>
    <n v="6"/>
  </r>
  <r>
    <x v="30"/>
    <x v="10"/>
    <x v="0"/>
    <n v="1967"/>
    <x v="0"/>
    <x v="24"/>
    <n v="0"/>
  </r>
  <r>
    <x v="31"/>
    <x v="11"/>
    <x v="0"/>
    <n v="1911"/>
    <x v="2"/>
    <x v="24"/>
    <n v="2240"/>
  </r>
  <r>
    <x v="40"/>
    <x v="9"/>
    <x v="0"/>
    <n v="1997"/>
    <x v="2"/>
    <x v="24"/>
    <n v="0"/>
  </r>
  <r>
    <x v="32"/>
    <x v="11"/>
    <x v="3"/>
    <n v="1902"/>
    <x v="0"/>
    <x v="24"/>
    <n v="13"/>
  </r>
  <r>
    <x v="33"/>
    <x v="3"/>
    <x v="3"/>
    <n v="1916"/>
    <x v="0"/>
    <x v="24"/>
    <n v="79"/>
  </r>
  <r>
    <x v="34"/>
    <x v="3"/>
    <x v="3"/>
    <n v="1932"/>
    <x v="0"/>
    <x v="24"/>
    <n v="10"/>
  </r>
  <r>
    <x v="0"/>
    <x v="0"/>
    <x v="0"/>
    <n v="1941"/>
    <x v="0"/>
    <x v="25"/>
    <n v="97"/>
  </r>
  <r>
    <x v="1"/>
    <x v="1"/>
    <x v="1"/>
    <s v="-"/>
    <x v="1"/>
    <x v="25"/>
    <n v="60"/>
  </r>
  <r>
    <x v="2"/>
    <x v="2"/>
    <x v="2"/>
    <n v="1927"/>
    <x v="0"/>
    <x v="25"/>
    <n v="0"/>
  </r>
  <r>
    <x v="3"/>
    <x v="3"/>
    <x v="2"/>
    <n v="1937"/>
    <x v="0"/>
    <x v="25"/>
    <n v="297"/>
  </r>
  <r>
    <x v="4"/>
    <x v="4"/>
    <x v="2"/>
    <n v="1937"/>
    <x v="0"/>
    <x v="25"/>
    <n v="747"/>
  </r>
  <r>
    <x v="5"/>
    <x v="4"/>
    <x v="2"/>
    <n v="1953"/>
    <x v="0"/>
    <x v="25"/>
    <n v="9"/>
  </r>
  <r>
    <x v="6"/>
    <x v="5"/>
    <x v="2"/>
    <n v="1895"/>
    <x v="2"/>
    <x v="25"/>
    <n v="95"/>
  </r>
  <r>
    <x v="8"/>
    <x v="7"/>
    <x v="0"/>
    <n v="1899"/>
    <x v="2"/>
    <x v="25"/>
    <n v="196"/>
  </r>
  <r>
    <x v="9"/>
    <x v="8"/>
    <x v="0"/>
    <n v="2015"/>
    <x v="2"/>
    <x v="25"/>
    <n v="25"/>
  </r>
  <r>
    <x v="10"/>
    <x v="3"/>
    <x v="3"/>
    <n v="1931"/>
    <x v="0"/>
    <x v="25"/>
    <n v="9"/>
  </r>
  <r>
    <x v="12"/>
    <x v="4"/>
    <x v="2"/>
    <n v="1933"/>
    <x v="0"/>
    <x v="25"/>
    <n v="240"/>
  </r>
  <r>
    <x v="13"/>
    <x v="4"/>
    <x v="2"/>
    <n v="1870"/>
    <x v="0"/>
    <x v="25"/>
    <n v="84"/>
  </r>
  <r>
    <x v="14"/>
    <x v="6"/>
    <x v="3"/>
    <n v="1959"/>
    <x v="0"/>
    <x v="25"/>
    <n v="4"/>
  </r>
  <r>
    <x v="15"/>
    <x v="3"/>
    <x v="3"/>
    <n v="1926"/>
    <x v="0"/>
    <x v="25"/>
    <n v="44"/>
  </r>
  <r>
    <x v="16"/>
    <x v="4"/>
    <x v="2"/>
    <n v="1920"/>
    <x v="0"/>
    <x v="25"/>
    <n v="41"/>
  </r>
  <r>
    <x v="18"/>
    <x v="4"/>
    <x v="3"/>
    <n v="1989"/>
    <x v="0"/>
    <x v="25"/>
    <n v="120"/>
  </r>
  <r>
    <x v="19"/>
    <x v="6"/>
    <x v="3"/>
    <n v="1948"/>
    <x v="0"/>
    <x v="25"/>
    <n v="46"/>
  </r>
  <r>
    <x v="20"/>
    <x v="0"/>
    <x v="0"/>
    <n v="1970"/>
    <x v="2"/>
    <x v="25"/>
    <n v="630"/>
  </r>
  <r>
    <x v="21"/>
    <x v="10"/>
    <x v="0"/>
    <n v="1944"/>
    <x v="2"/>
    <x v="25"/>
    <n v="171"/>
  </r>
  <r>
    <x v="22"/>
    <x v="6"/>
    <x v="3"/>
    <n v="1922"/>
    <x v="0"/>
    <x v="25"/>
    <n v="0"/>
  </r>
  <r>
    <x v="23"/>
    <x v="9"/>
    <x v="0"/>
    <n v="1964"/>
    <x v="2"/>
    <x v="25"/>
    <n v="310"/>
  </r>
  <r>
    <x v="24"/>
    <x v="4"/>
    <x v="2"/>
    <n v="1916"/>
    <x v="0"/>
    <x v="25"/>
    <n v="12"/>
  </r>
  <r>
    <x v="25"/>
    <x v="4"/>
    <x v="3"/>
    <n v="1989"/>
    <x v="0"/>
    <x v="25"/>
    <n v="52"/>
  </r>
  <r>
    <x v="26"/>
    <x v="10"/>
    <x v="0"/>
    <n v="1967"/>
    <x v="2"/>
    <x v="25"/>
    <n v="2082"/>
  </r>
  <r>
    <x v="38"/>
    <x v="9"/>
    <x v="0"/>
    <n v="2013"/>
    <x v="2"/>
    <x v="25"/>
    <n v="0"/>
  </r>
  <r>
    <x v="37"/>
    <x v="10"/>
    <x v="3"/>
    <n v="2015"/>
    <x v="0"/>
    <x v="25"/>
    <n v="0"/>
  </r>
  <r>
    <x v="39"/>
    <x v="9"/>
    <x v="0"/>
    <n v="1953"/>
    <x v="0"/>
    <x v="25"/>
    <n v="0"/>
  </r>
  <r>
    <x v="29"/>
    <x v="9"/>
    <x v="0"/>
    <n v="1969"/>
    <x v="0"/>
    <x v="25"/>
    <n v="0"/>
  </r>
  <r>
    <x v="30"/>
    <x v="10"/>
    <x v="0"/>
    <n v="1967"/>
    <x v="0"/>
    <x v="25"/>
    <n v="0"/>
  </r>
  <r>
    <x v="31"/>
    <x v="11"/>
    <x v="0"/>
    <n v="1911"/>
    <x v="2"/>
    <x v="25"/>
    <n v="1881"/>
  </r>
  <r>
    <x v="40"/>
    <x v="9"/>
    <x v="0"/>
    <n v="1997"/>
    <x v="2"/>
    <x v="25"/>
    <n v="0"/>
  </r>
  <r>
    <x v="32"/>
    <x v="11"/>
    <x v="3"/>
    <n v="1902"/>
    <x v="0"/>
    <x v="25"/>
    <n v="6"/>
  </r>
  <r>
    <x v="33"/>
    <x v="3"/>
    <x v="3"/>
    <n v="1916"/>
    <x v="0"/>
    <x v="25"/>
    <n v="60"/>
  </r>
  <r>
    <x v="34"/>
    <x v="3"/>
    <x v="3"/>
    <n v="1932"/>
    <x v="0"/>
    <x v="25"/>
    <n v="24"/>
  </r>
  <r>
    <x v="0"/>
    <x v="0"/>
    <x v="0"/>
    <n v="1941"/>
    <x v="0"/>
    <x v="26"/>
    <n v="66"/>
  </r>
  <r>
    <x v="1"/>
    <x v="1"/>
    <x v="1"/>
    <s v="-"/>
    <x v="1"/>
    <x v="26"/>
    <n v="21"/>
  </r>
  <r>
    <x v="2"/>
    <x v="2"/>
    <x v="2"/>
    <n v="1927"/>
    <x v="0"/>
    <x v="26"/>
    <n v="11"/>
  </r>
  <r>
    <x v="3"/>
    <x v="3"/>
    <x v="2"/>
    <n v="1937"/>
    <x v="0"/>
    <x v="26"/>
    <n v="348"/>
  </r>
  <r>
    <x v="4"/>
    <x v="4"/>
    <x v="2"/>
    <n v="1937"/>
    <x v="0"/>
    <x v="26"/>
    <n v="1169"/>
  </r>
  <r>
    <x v="5"/>
    <x v="4"/>
    <x v="2"/>
    <n v="1953"/>
    <x v="0"/>
    <x v="26"/>
    <n v="51"/>
  </r>
  <r>
    <x v="6"/>
    <x v="5"/>
    <x v="2"/>
    <n v="1895"/>
    <x v="2"/>
    <x v="26"/>
    <n v="49"/>
  </r>
  <r>
    <x v="8"/>
    <x v="7"/>
    <x v="0"/>
    <n v="1899"/>
    <x v="2"/>
    <x v="26"/>
    <n v="254"/>
  </r>
  <r>
    <x v="9"/>
    <x v="8"/>
    <x v="0"/>
    <n v="2015"/>
    <x v="2"/>
    <x v="26"/>
    <n v="6"/>
  </r>
  <r>
    <x v="10"/>
    <x v="3"/>
    <x v="3"/>
    <n v="1931"/>
    <x v="0"/>
    <x v="26"/>
    <n v="25"/>
  </r>
  <r>
    <x v="12"/>
    <x v="4"/>
    <x v="2"/>
    <n v="1933"/>
    <x v="0"/>
    <x v="26"/>
    <n v="311"/>
  </r>
  <r>
    <x v="13"/>
    <x v="4"/>
    <x v="2"/>
    <n v="1870"/>
    <x v="0"/>
    <x v="26"/>
    <n v="104"/>
  </r>
  <r>
    <x v="14"/>
    <x v="6"/>
    <x v="3"/>
    <n v="1959"/>
    <x v="0"/>
    <x v="26"/>
    <n v="17"/>
  </r>
  <r>
    <x v="15"/>
    <x v="3"/>
    <x v="3"/>
    <n v="1926"/>
    <x v="0"/>
    <x v="26"/>
    <n v="36"/>
  </r>
  <r>
    <x v="16"/>
    <x v="4"/>
    <x v="2"/>
    <n v="1920"/>
    <x v="0"/>
    <x v="26"/>
    <n v="37"/>
  </r>
  <r>
    <x v="18"/>
    <x v="4"/>
    <x v="3"/>
    <n v="1989"/>
    <x v="0"/>
    <x v="26"/>
    <n v="243"/>
  </r>
  <r>
    <x v="19"/>
    <x v="6"/>
    <x v="3"/>
    <n v="1948"/>
    <x v="0"/>
    <x v="26"/>
    <n v="30"/>
  </r>
  <r>
    <x v="20"/>
    <x v="0"/>
    <x v="0"/>
    <n v="1970"/>
    <x v="2"/>
    <x v="26"/>
    <n v="272"/>
  </r>
  <r>
    <x v="21"/>
    <x v="10"/>
    <x v="0"/>
    <n v="1944"/>
    <x v="2"/>
    <x v="26"/>
    <n v="345"/>
  </r>
  <r>
    <x v="22"/>
    <x v="6"/>
    <x v="3"/>
    <n v="1922"/>
    <x v="0"/>
    <x v="26"/>
    <n v="0"/>
  </r>
  <r>
    <x v="23"/>
    <x v="9"/>
    <x v="0"/>
    <n v="1964"/>
    <x v="2"/>
    <x v="26"/>
    <n v="179"/>
  </r>
  <r>
    <x v="24"/>
    <x v="4"/>
    <x v="2"/>
    <n v="1916"/>
    <x v="0"/>
    <x v="26"/>
    <n v="10"/>
  </r>
  <r>
    <x v="25"/>
    <x v="4"/>
    <x v="3"/>
    <n v="1989"/>
    <x v="0"/>
    <x v="26"/>
    <n v="47"/>
  </r>
  <r>
    <x v="26"/>
    <x v="10"/>
    <x v="0"/>
    <n v="1967"/>
    <x v="2"/>
    <x v="26"/>
    <n v="1922"/>
  </r>
  <r>
    <x v="38"/>
    <x v="9"/>
    <x v="0"/>
    <n v="2013"/>
    <x v="2"/>
    <x v="26"/>
    <n v="0"/>
  </r>
  <r>
    <x v="37"/>
    <x v="10"/>
    <x v="3"/>
    <n v="2015"/>
    <x v="0"/>
    <x v="26"/>
    <n v="0"/>
  </r>
  <r>
    <x v="39"/>
    <x v="9"/>
    <x v="0"/>
    <n v="1953"/>
    <x v="0"/>
    <x v="26"/>
    <n v="0"/>
  </r>
  <r>
    <x v="29"/>
    <x v="9"/>
    <x v="0"/>
    <n v="1969"/>
    <x v="0"/>
    <x v="26"/>
    <n v="26"/>
  </r>
  <r>
    <x v="30"/>
    <x v="10"/>
    <x v="0"/>
    <n v="1967"/>
    <x v="0"/>
    <x v="26"/>
    <n v="0"/>
  </r>
  <r>
    <x v="31"/>
    <x v="11"/>
    <x v="0"/>
    <n v="1911"/>
    <x v="2"/>
    <x v="26"/>
    <n v="2165"/>
  </r>
  <r>
    <x v="40"/>
    <x v="9"/>
    <x v="0"/>
    <n v="1997"/>
    <x v="2"/>
    <x v="26"/>
    <n v="0"/>
  </r>
  <r>
    <x v="32"/>
    <x v="11"/>
    <x v="3"/>
    <n v="1902"/>
    <x v="0"/>
    <x v="26"/>
    <n v="10"/>
  </r>
  <r>
    <x v="33"/>
    <x v="3"/>
    <x v="3"/>
    <n v="1916"/>
    <x v="0"/>
    <x v="26"/>
    <n v="107"/>
  </r>
  <r>
    <x v="34"/>
    <x v="3"/>
    <x v="3"/>
    <n v="1932"/>
    <x v="0"/>
    <x v="26"/>
    <n v="23"/>
  </r>
  <r>
    <x v="0"/>
    <x v="0"/>
    <x v="0"/>
    <n v="1941"/>
    <x v="0"/>
    <x v="27"/>
    <n v="127"/>
  </r>
  <r>
    <x v="1"/>
    <x v="1"/>
    <x v="1"/>
    <s v="-"/>
    <x v="1"/>
    <x v="27"/>
    <n v="49"/>
  </r>
  <r>
    <x v="2"/>
    <x v="2"/>
    <x v="2"/>
    <n v="1927"/>
    <x v="0"/>
    <x v="27"/>
    <n v="13"/>
  </r>
  <r>
    <x v="3"/>
    <x v="3"/>
    <x v="2"/>
    <n v="1937"/>
    <x v="0"/>
    <x v="27"/>
    <n v="413"/>
  </r>
  <r>
    <x v="4"/>
    <x v="4"/>
    <x v="2"/>
    <n v="1937"/>
    <x v="0"/>
    <x v="27"/>
    <n v="1251"/>
  </r>
  <r>
    <x v="5"/>
    <x v="4"/>
    <x v="2"/>
    <n v="1953"/>
    <x v="0"/>
    <x v="27"/>
    <n v="69"/>
  </r>
  <r>
    <x v="6"/>
    <x v="5"/>
    <x v="2"/>
    <n v="1895"/>
    <x v="2"/>
    <x v="27"/>
    <n v="59"/>
  </r>
  <r>
    <x v="8"/>
    <x v="7"/>
    <x v="0"/>
    <n v="1899"/>
    <x v="2"/>
    <x v="27"/>
    <n v="315"/>
  </r>
  <r>
    <x v="9"/>
    <x v="8"/>
    <x v="0"/>
    <n v="2015"/>
    <x v="2"/>
    <x v="27"/>
    <n v="1"/>
  </r>
  <r>
    <x v="10"/>
    <x v="3"/>
    <x v="3"/>
    <n v="1931"/>
    <x v="0"/>
    <x v="27"/>
    <n v="20"/>
  </r>
  <r>
    <x v="12"/>
    <x v="4"/>
    <x v="2"/>
    <n v="1933"/>
    <x v="0"/>
    <x v="27"/>
    <n v="280"/>
  </r>
  <r>
    <x v="13"/>
    <x v="4"/>
    <x v="2"/>
    <n v="1870"/>
    <x v="0"/>
    <x v="27"/>
    <n v="107"/>
  </r>
  <r>
    <x v="14"/>
    <x v="6"/>
    <x v="3"/>
    <n v="1959"/>
    <x v="0"/>
    <x v="27"/>
    <n v="9"/>
  </r>
  <r>
    <x v="15"/>
    <x v="3"/>
    <x v="3"/>
    <n v="1926"/>
    <x v="0"/>
    <x v="27"/>
    <n v="37"/>
  </r>
  <r>
    <x v="16"/>
    <x v="4"/>
    <x v="2"/>
    <n v="1920"/>
    <x v="0"/>
    <x v="27"/>
    <n v="49"/>
  </r>
  <r>
    <x v="18"/>
    <x v="4"/>
    <x v="3"/>
    <n v="1989"/>
    <x v="0"/>
    <x v="27"/>
    <n v="178"/>
  </r>
  <r>
    <x v="19"/>
    <x v="6"/>
    <x v="3"/>
    <n v="1948"/>
    <x v="0"/>
    <x v="27"/>
    <n v="24"/>
  </r>
  <r>
    <x v="20"/>
    <x v="0"/>
    <x v="0"/>
    <n v="1970"/>
    <x v="2"/>
    <x v="27"/>
    <n v="397"/>
  </r>
  <r>
    <x v="21"/>
    <x v="10"/>
    <x v="0"/>
    <n v="1944"/>
    <x v="2"/>
    <x v="27"/>
    <n v="749"/>
  </r>
  <r>
    <x v="22"/>
    <x v="6"/>
    <x v="3"/>
    <n v="1922"/>
    <x v="0"/>
    <x v="27"/>
    <n v="7"/>
  </r>
  <r>
    <x v="23"/>
    <x v="9"/>
    <x v="0"/>
    <n v="1964"/>
    <x v="2"/>
    <x v="27"/>
    <n v="188"/>
  </r>
  <r>
    <x v="24"/>
    <x v="4"/>
    <x v="2"/>
    <n v="1916"/>
    <x v="0"/>
    <x v="27"/>
    <n v="25"/>
  </r>
  <r>
    <x v="25"/>
    <x v="4"/>
    <x v="3"/>
    <n v="1989"/>
    <x v="0"/>
    <x v="27"/>
    <n v="36"/>
  </r>
  <r>
    <x v="26"/>
    <x v="10"/>
    <x v="0"/>
    <n v="1967"/>
    <x v="2"/>
    <x v="27"/>
    <n v="2344"/>
  </r>
  <r>
    <x v="38"/>
    <x v="9"/>
    <x v="0"/>
    <n v="2013"/>
    <x v="2"/>
    <x v="27"/>
    <n v="76"/>
  </r>
  <r>
    <x v="37"/>
    <x v="10"/>
    <x v="3"/>
    <n v="2015"/>
    <x v="0"/>
    <x v="27"/>
    <n v="0"/>
  </r>
  <r>
    <x v="39"/>
    <x v="9"/>
    <x v="0"/>
    <n v="1953"/>
    <x v="0"/>
    <x v="27"/>
    <n v="0"/>
  </r>
  <r>
    <x v="29"/>
    <x v="9"/>
    <x v="0"/>
    <n v="1969"/>
    <x v="0"/>
    <x v="27"/>
    <n v="0"/>
  </r>
  <r>
    <x v="30"/>
    <x v="10"/>
    <x v="0"/>
    <n v="1967"/>
    <x v="0"/>
    <x v="27"/>
    <n v="0"/>
  </r>
  <r>
    <x v="31"/>
    <x v="11"/>
    <x v="0"/>
    <n v="1911"/>
    <x v="2"/>
    <x v="27"/>
    <n v="2644"/>
  </r>
  <r>
    <x v="40"/>
    <x v="9"/>
    <x v="0"/>
    <n v="1997"/>
    <x v="2"/>
    <x v="27"/>
    <n v="0"/>
  </r>
  <r>
    <x v="32"/>
    <x v="11"/>
    <x v="3"/>
    <n v="1902"/>
    <x v="0"/>
    <x v="27"/>
    <n v="14"/>
  </r>
  <r>
    <x v="33"/>
    <x v="3"/>
    <x v="3"/>
    <n v="1916"/>
    <x v="0"/>
    <x v="27"/>
    <n v="117"/>
  </r>
  <r>
    <x v="34"/>
    <x v="3"/>
    <x v="3"/>
    <n v="1932"/>
    <x v="0"/>
    <x v="27"/>
    <n v="18"/>
  </r>
  <r>
    <x v="0"/>
    <x v="0"/>
    <x v="0"/>
    <n v="1941"/>
    <x v="0"/>
    <x v="28"/>
    <n v="115"/>
  </r>
  <r>
    <x v="1"/>
    <x v="1"/>
    <x v="1"/>
    <s v="-"/>
    <x v="1"/>
    <x v="28"/>
    <n v="32"/>
  </r>
  <r>
    <x v="2"/>
    <x v="2"/>
    <x v="2"/>
    <n v="1927"/>
    <x v="0"/>
    <x v="28"/>
    <n v="10"/>
  </r>
  <r>
    <x v="3"/>
    <x v="3"/>
    <x v="2"/>
    <n v="1937"/>
    <x v="0"/>
    <x v="28"/>
    <n v="499"/>
  </r>
  <r>
    <x v="4"/>
    <x v="4"/>
    <x v="2"/>
    <n v="1937"/>
    <x v="0"/>
    <x v="28"/>
    <n v="1408"/>
  </r>
  <r>
    <x v="5"/>
    <x v="4"/>
    <x v="2"/>
    <n v="1953"/>
    <x v="0"/>
    <x v="28"/>
    <n v="87"/>
  </r>
  <r>
    <x v="6"/>
    <x v="5"/>
    <x v="2"/>
    <n v="1895"/>
    <x v="2"/>
    <x v="28"/>
    <n v="0"/>
  </r>
  <r>
    <x v="8"/>
    <x v="7"/>
    <x v="0"/>
    <n v="1899"/>
    <x v="2"/>
    <x v="28"/>
    <n v="302"/>
  </r>
  <r>
    <x v="9"/>
    <x v="8"/>
    <x v="0"/>
    <n v="2015"/>
    <x v="2"/>
    <x v="28"/>
    <n v="0"/>
  </r>
  <r>
    <x v="10"/>
    <x v="3"/>
    <x v="3"/>
    <n v="1931"/>
    <x v="0"/>
    <x v="28"/>
    <n v="16"/>
  </r>
  <r>
    <x v="12"/>
    <x v="4"/>
    <x v="2"/>
    <n v="1933"/>
    <x v="0"/>
    <x v="28"/>
    <n v="277"/>
  </r>
  <r>
    <x v="13"/>
    <x v="4"/>
    <x v="2"/>
    <n v="1870"/>
    <x v="0"/>
    <x v="28"/>
    <n v="88"/>
  </r>
  <r>
    <x v="14"/>
    <x v="6"/>
    <x v="3"/>
    <n v="1959"/>
    <x v="0"/>
    <x v="28"/>
    <n v="0"/>
  </r>
  <r>
    <x v="15"/>
    <x v="3"/>
    <x v="3"/>
    <n v="1926"/>
    <x v="0"/>
    <x v="28"/>
    <n v="64"/>
  </r>
  <r>
    <x v="16"/>
    <x v="4"/>
    <x v="2"/>
    <n v="1920"/>
    <x v="0"/>
    <x v="28"/>
    <n v="38"/>
  </r>
  <r>
    <x v="18"/>
    <x v="4"/>
    <x v="3"/>
    <n v="1989"/>
    <x v="0"/>
    <x v="28"/>
    <n v="142"/>
  </r>
  <r>
    <x v="19"/>
    <x v="6"/>
    <x v="3"/>
    <n v="1948"/>
    <x v="0"/>
    <x v="28"/>
    <n v="0"/>
  </r>
  <r>
    <x v="20"/>
    <x v="0"/>
    <x v="0"/>
    <n v="1970"/>
    <x v="2"/>
    <x v="28"/>
    <n v="710"/>
  </r>
  <r>
    <x v="21"/>
    <x v="10"/>
    <x v="0"/>
    <n v="1944"/>
    <x v="2"/>
    <x v="28"/>
    <n v="1030"/>
  </r>
  <r>
    <x v="22"/>
    <x v="6"/>
    <x v="3"/>
    <n v="1922"/>
    <x v="0"/>
    <x v="28"/>
    <n v="0"/>
  </r>
  <r>
    <x v="23"/>
    <x v="9"/>
    <x v="0"/>
    <n v="1964"/>
    <x v="2"/>
    <x v="28"/>
    <n v="188"/>
  </r>
  <r>
    <x v="24"/>
    <x v="4"/>
    <x v="2"/>
    <n v="1916"/>
    <x v="0"/>
    <x v="28"/>
    <n v="19"/>
  </r>
  <r>
    <x v="25"/>
    <x v="4"/>
    <x v="3"/>
    <n v="1989"/>
    <x v="0"/>
    <x v="28"/>
    <n v="23"/>
  </r>
  <r>
    <x v="26"/>
    <x v="10"/>
    <x v="0"/>
    <n v="1967"/>
    <x v="2"/>
    <x v="28"/>
    <n v="1681"/>
  </r>
  <r>
    <x v="38"/>
    <x v="9"/>
    <x v="0"/>
    <n v="2013"/>
    <x v="2"/>
    <x v="28"/>
    <n v="128"/>
  </r>
  <r>
    <x v="37"/>
    <x v="10"/>
    <x v="3"/>
    <n v="2015"/>
    <x v="0"/>
    <x v="28"/>
    <n v="0"/>
  </r>
  <r>
    <x v="39"/>
    <x v="9"/>
    <x v="0"/>
    <n v="1953"/>
    <x v="0"/>
    <x v="28"/>
    <n v="0"/>
  </r>
  <r>
    <x v="29"/>
    <x v="9"/>
    <x v="0"/>
    <n v="1969"/>
    <x v="0"/>
    <x v="28"/>
    <n v="0"/>
  </r>
  <r>
    <x v="30"/>
    <x v="10"/>
    <x v="0"/>
    <n v="1967"/>
    <x v="0"/>
    <x v="28"/>
    <n v="0"/>
  </r>
  <r>
    <x v="31"/>
    <x v="11"/>
    <x v="0"/>
    <n v="1911"/>
    <x v="2"/>
    <x v="28"/>
    <n v="2809"/>
  </r>
  <r>
    <x v="40"/>
    <x v="9"/>
    <x v="0"/>
    <n v="1997"/>
    <x v="2"/>
    <x v="28"/>
    <n v="0"/>
  </r>
  <r>
    <x v="32"/>
    <x v="11"/>
    <x v="3"/>
    <n v="1902"/>
    <x v="0"/>
    <x v="28"/>
    <n v="16"/>
  </r>
  <r>
    <x v="33"/>
    <x v="3"/>
    <x v="3"/>
    <n v="1916"/>
    <x v="0"/>
    <x v="28"/>
    <n v="103"/>
  </r>
  <r>
    <x v="34"/>
    <x v="3"/>
    <x v="3"/>
    <n v="1932"/>
    <x v="0"/>
    <x v="28"/>
    <n v="10"/>
  </r>
  <r>
    <x v="0"/>
    <x v="0"/>
    <x v="0"/>
    <n v="1941"/>
    <x v="0"/>
    <x v="29"/>
    <n v="130"/>
  </r>
  <r>
    <x v="1"/>
    <x v="1"/>
    <x v="1"/>
    <s v="-"/>
    <x v="1"/>
    <x v="29"/>
    <n v="83"/>
  </r>
  <r>
    <x v="2"/>
    <x v="2"/>
    <x v="2"/>
    <n v="1927"/>
    <x v="0"/>
    <x v="29"/>
    <n v="13"/>
  </r>
  <r>
    <x v="3"/>
    <x v="3"/>
    <x v="2"/>
    <n v="1937"/>
    <x v="0"/>
    <x v="29"/>
    <n v="477"/>
  </r>
  <r>
    <x v="4"/>
    <x v="4"/>
    <x v="2"/>
    <n v="1937"/>
    <x v="0"/>
    <x v="29"/>
    <n v="1390"/>
  </r>
  <r>
    <x v="5"/>
    <x v="4"/>
    <x v="2"/>
    <n v="1953"/>
    <x v="0"/>
    <x v="29"/>
    <n v="230"/>
  </r>
  <r>
    <x v="6"/>
    <x v="5"/>
    <x v="2"/>
    <n v="1895"/>
    <x v="2"/>
    <x v="29"/>
    <n v="0"/>
  </r>
  <r>
    <x v="8"/>
    <x v="7"/>
    <x v="0"/>
    <n v="1899"/>
    <x v="2"/>
    <x v="29"/>
    <n v="322"/>
  </r>
  <r>
    <x v="9"/>
    <x v="8"/>
    <x v="0"/>
    <n v="2015"/>
    <x v="2"/>
    <x v="29"/>
    <n v="0"/>
  </r>
  <r>
    <x v="10"/>
    <x v="3"/>
    <x v="3"/>
    <n v="1931"/>
    <x v="0"/>
    <x v="29"/>
    <n v="22"/>
  </r>
  <r>
    <x v="12"/>
    <x v="4"/>
    <x v="2"/>
    <n v="1933"/>
    <x v="0"/>
    <x v="29"/>
    <n v="299"/>
  </r>
  <r>
    <x v="13"/>
    <x v="4"/>
    <x v="2"/>
    <n v="1870"/>
    <x v="0"/>
    <x v="29"/>
    <n v="116"/>
  </r>
  <r>
    <x v="14"/>
    <x v="6"/>
    <x v="3"/>
    <n v="1959"/>
    <x v="0"/>
    <x v="29"/>
    <n v="9"/>
  </r>
  <r>
    <x v="15"/>
    <x v="3"/>
    <x v="3"/>
    <n v="1926"/>
    <x v="0"/>
    <x v="29"/>
    <n v="49"/>
  </r>
  <r>
    <x v="16"/>
    <x v="4"/>
    <x v="2"/>
    <n v="1920"/>
    <x v="0"/>
    <x v="29"/>
    <n v="38"/>
  </r>
  <r>
    <x v="18"/>
    <x v="4"/>
    <x v="3"/>
    <n v="1989"/>
    <x v="0"/>
    <x v="29"/>
    <n v="143"/>
  </r>
  <r>
    <x v="19"/>
    <x v="6"/>
    <x v="3"/>
    <n v="1948"/>
    <x v="0"/>
    <x v="29"/>
    <n v="25"/>
  </r>
  <r>
    <x v="20"/>
    <x v="0"/>
    <x v="0"/>
    <n v="1970"/>
    <x v="2"/>
    <x v="29"/>
    <n v="1036"/>
  </r>
  <r>
    <x v="21"/>
    <x v="10"/>
    <x v="0"/>
    <n v="1944"/>
    <x v="2"/>
    <x v="29"/>
    <n v="1485"/>
  </r>
  <r>
    <x v="22"/>
    <x v="6"/>
    <x v="3"/>
    <n v="1922"/>
    <x v="0"/>
    <x v="29"/>
    <n v="0"/>
  </r>
  <r>
    <x v="23"/>
    <x v="9"/>
    <x v="0"/>
    <n v="1964"/>
    <x v="2"/>
    <x v="29"/>
    <n v="248"/>
  </r>
  <r>
    <x v="24"/>
    <x v="4"/>
    <x v="2"/>
    <n v="1916"/>
    <x v="0"/>
    <x v="29"/>
    <n v="30"/>
  </r>
  <r>
    <x v="25"/>
    <x v="4"/>
    <x v="3"/>
    <n v="1989"/>
    <x v="0"/>
    <x v="29"/>
    <n v="27"/>
  </r>
  <r>
    <x v="26"/>
    <x v="10"/>
    <x v="0"/>
    <n v="1967"/>
    <x v="2"/>
    <x v="29"/>
    <n v="2020"/>
  </r>
  <r>
    <x v="38"/>
    <x v="9"/>
    <x v="0"/>
    <n v="2013"/>
    <x v="2"/>
    <x v="29"/>
    <n v="162"/>
  </r>
  <r>
    <x v="37"/>
    <x v="10"/>
    <x v="3"/>
    <n v="2015"/>
    <x v="0"/>
    <x v="29"/>
    <n v="0"/>
  </r>
  <r>
    <x v="39"/>
    <x v="9"/>
    <x v="0"/>
    <n v="1953"/>
    <x v="0"/>
    <x v="29"/>
    <n v="0"/>
  </r>
  <r>
    <x v="29"/>
    <x v="9"/>
    <x v="0"/>
    <n v="1969"/>
    <x v="0"/>
    <x v="29"/>
    <n v="3"/>
  </r>
  <r>
    <x v="30"/>
    <x v="10"/>
    <x v="0"/>
    <n v="1967"/>
    <x v="0"/>
    <x v="29"/>
    <n v="0"/>
  </r>
  <r>
    <x v="31"/>
    <x v="11"/>
    <x v="0"/>
    <n v="1911"/>
    <x v="2"/>
    <x v="29"/>
    <n v="3076"/>
  </r>
  <r>
    <x v="40"/>
    <x v="9"/>
    <x v="0"/>
    <n v="1997"/>
    <x v="2"/>
    <x v="29"/>
    <n v="0"/>
  </r>
  <r>
    <x v="32"/>
    <x v="11"/>
    <x v="3"/>
    <n v="1902"/>
    <x v="0"/>
    <x v="29"/>
    <n v="9"/>
  </r>
  <r>
    <x v="33"/>
    <x v="3"/>
    <x v="3"/>
    <n v="1916"/>
    <x v="0"/>
    <x v="29"/>
    <n v="125"/>
  </r>
  <r>
    <x v="34"/>
    <x v="3"/>
    <x v="3"/>
    <n v="1932"/>
    <x v="0"/>
    <x v="29"/>
    <n v="11"/>
  </r>
  <r>
    <x v="0"/>
    <x v="0"/>
    <x v="0"/>
    <n v="1941"/>
    <x v="0"/>
    <x v="30"/>
    <n v="114"/>
  </r>
  <r>
    <x v="1"/>
    <x v="1"/>
    <x v="1"/>
    <s v="-"/>
    <x v="1"/>
    <x v="30"/>
    <n v="29"/>
  </r>
  <r>
    <x v="2"/>
    <x v="2"/>
    <x v="2"/>
    <n v="1927"/>
    <x v="0"/>
    <x v="30"/>
    <n v="13"/>
  </r>
  <r>
    <x v="3"/>
    <x v="3"/>
    <x v="2"/>
    <n v="1937"/>
    <x v="0"/>
    <x v="30"/>
    <n v="463"/>
  </r>
  <r>
    <x v="4"/>
    <x v="4"/>
    <x v="2"/>
    <n v="1937"/>
    <x v="0"/>
    <x v="30"/>
    <n v="1198"/>
  </r>
  <r>
    <x v="5"/>
    <x v="4"/>
    <x v="2"/>
    <n v="1953"/>
    <x v="0"/>
    <x v="30"/>
    <n v="81"/>
  </r>
  <r>
    <x v="6"/>
    <x v="5"/>
    <x v="2"/>
    <n v="1895"/>
    <x v="2"/>
    <x v="30"/>
    <n v="0"/>
  </r>
  <r>
    <x v="8"/>
    <x v="7"/>
    <x v="0"/>
    <n v="1899"/>
    <x v="2"/>
    <x v="30"/>
    <n v="294"/>
  </r>
  <r>
    <x v="9"/>
    <x v="8"/>
    <x v="0"/>
    <n v="2015"/>
    <x v="2"/>
    <x v="30"/>
    <n v="0"/>
  </r>
  <r>
    <x v="10"/>
    <x v="3"/>
    <x v="3"/>
    <n v="1931"/>
    <x v="0"/>
    <x v="30"/>
    <n v="18"/>
  </r>
  <r>
    <x v="12"/>
    <x v="4"/>
    <x v="2"/>
    <n v="1933"/>
    <x v="0"/>
    <x v="30"/>
    <n v="277"/>
  </r>
  <r>
    <x v="13"/>
    <x v="4"/>
    <x v="2"/>
    <n v="1870"/>
    <x v="0"/>
    <x v="30"/>
    <n v="86"/>
  </r>
  <r>
    <x v="14"/>
    <x v="6"/>
    <x v="3"/>
    <n v="1959"/>
    <x v="0"/>
    <x v="30"/>
    <n v="13"/>
  </r>
  <r>
    <x v="15"/>
    <x v="3"/>
    <x v="3"/>
    <n v="1926"/>
    <x v="0"/>
    <x v="30"/>
    <n v="37"/>
  </r>
  <r>
    <x v="16"/>
    <x v="4"/>
    <x v="2"/>
    <n v="1920"/>
    <x v="0"/>
    <x v="30"/>
    <n v="46"/>
  </r>
  <r>
    <x v="18"/>
    <x v="4"/>
    <x v="3"/>
    <n v="1989"/>
    <x v="0"/>
    <x v="30"/>
    <n v="65"/>
  </r>
  <r>
    <x v="19"/>
    <x v="6"/>
    <x v="3"/>
    <n v="1948"/>
    <x v="0"/>
    <x v="30"/>
    <n v="31"/>
  </r>
  <r>
    <x v="20"/>
    <x v="0"/>
    <x v="0"/>
    <n v="1970"/>
    <x v="2"/>
    <x v="30"/>
    <n v="527"/>
  </r>
  <r>
    <x v="21"/>
    <x v="10"/>
    <x v="0"/>
    <n v="1944"/>
    <x v="2"/>
    <x v="30"/>
    <n v="1219"/>
  </r>
  <r>
    <x v="22"/>
    <x v="6"/>
    <x v="3"/>
    <n v="1922"/>
    <x v="0"/>
    <x v="30"/>
    <n v="6"/>
  </r>
  <r>
    <x v="23"/>
    <x v="9"/>
    <x v="0"/>
    <n v="1964"/>
    <x v="2"/>
    <x v="30"/>
    <n v="252"/>
  </r>
  <r>
    <x v="24"/>
    <x v="4"/>
    <x v="2"/>
    <n v="1916"/>
    <x v="0"/>
    <x v="30"/>
    <n v="20"/>
  </r>
  <r>
    <x v="25"/>
    <x v="4"/>
    <x v="3"/>
    <n v="1989"/>
    <x v="0"/>
    <x v="30"/>
    <n v="34"/>
  </r>
  <r>
    <x v="26"/>
    <x v="10"/>
    <x v="0"/>
    <n v="1967"/>
    <x v="2"/>
    <x v="30"/>
    <n v="2067"/>
  </r>
  <r>
    <x v="38"/>
    <x v="9"/>
    <x v="0"/>
    <n v="2013"/>
    <x v="2"/>
    <x v="30"/>
    <n v="152"/>
  </r>
  <r>
    <x v="37"/>
    <x v="10"/>
    <x v="3"/>
    <n v="2015"/>
    <x v="0"/>
    <x v="30"/>
    <n v="0"/>
  </r>
  <r>
    <x v="39"/>
    <x v="9"/>
    <x v="0"/>
    <n v="1953"/>
    <x v="0"/>
    <x v="30"/>
    <n v="0"/>
  </r>
  <r>
    <x v="29"/>
    <x v="9"/>
    <x v="0"/>
    <n v="1969"/>
    <x v="0"/>
    <x v="30"/>
    <n v="11"/>
  </r>
  <r>
    <x v="30"/>
    <x v="10"/>
    <x v="0"/>
    <n v="1967"/>
    <x v="0"/>
    <x v="30"/>
    <n v="0"/>
  </r>
  <r>
    <x v="31"/>
    <x v="11"/>
    <x v="0"/>
    <n v="1911"/>
    <x v="2"/>
    <x v="30"/>
    <n v="3097"/>
  </r>
  <r>
    <x v="40"/>
    <x v="9"/>
    <x v="0"/>
    <n v="1997"/>
    <x v="2"/>
    <x v="30"/>
    <n v="0"/>
  </r>
  <r>
    <x v="32"/>
    <x v="11"/>
    <x v="3"/>
    <n v="1902"/>
    <x v="0"/>
    <x v="30"/>
    <n v="12"/>
  </r>
  <r>
    <x v="33"/>
    <x v="3"/>
    <x v="3"/>
    <n v="1916"/>
    <x v="0"/>
    <x v="30"/>
    <n v="119"/>
  </r>
  <r>
    <x v="34"/>
    <x v="3"/>
    <x v="3"/>
    <n v="1932"/>
    <x v="0"/>
    <x v="30"/>
    <n v="26"/>
  </r>
  <r>
    <x v="0"/>
    <x v="0"/>
    <x v="0"/>
    <n v="1941"/>
    <x v="0"/>
    <x v="31"/>
    <n v="111"/>
  </r>
  <r>
    <x v="1"/>
    <x v="1"/>
    <x v="1"/>
    <s v="-"/>
    <x v="1"/>
    <x v="31"/>
    <n v="15"/>
  </r>
  <r>
    <x v="2"/>
    <x v="2"/>
    <x v="2"/>
    <n v="1927"/>
    <x v="0"/>
    <x v="31"/>
    <n v="9"/>
  </r>
  <r>
    <x v="3"/>
    <x v="3"/>
    <x v="2"/>
    <n v="1937"/>
    <x v="0"/>
    <x v="31"/>
    <n v="386"/>
  </r>
  <r>
    <x v="4"/>
    <x v="4"/>
    <x v="2"/>
    <n v="1937"/>
    <x v="0"/>
    <x v="31"/>
    <n v="1030"/>
  </r>
  <r>
    <x v="5"/>
    <x v="4"/>
    <x v="2"/>
    <n v="1953"/>
    <x v="0"/>
    <x v="31"/>
    <n v="113"/>
  </r>
  <r>
    <x v="6"/>
    <x v="5"/>
    <x v="2"/>
    <n v="1895"/>
    <x v="2"/>
    <x v="31"/>
    <n v="0"/>
  </r>
  <r>
    <x v="8"/>
    <x v="7"/>
    <x v="0"/>
    <n v="1899"/>
    <x v="2"/>
    <x v="31"/>
    <n v="297"/>
  </r>
  <r>
    <x v="9"/>
    <x v="8"/>
    <x v="0"/>
    <n v="2015"/>
    <x v="2"/>
    <x v="31"/>
    <n v="0"/>
  </r>
  <r>
    <x v="10"/>
    <x v="3"/>
    <x v="3"/>
    <n v="1931"/>
    <x v="0"/>
    <x v="31"/>
    <n v="33"/>
  </r>
  <r>
    <x v="12"/>
    <x v="4"/>
    <x v="2"/>
    <n v="1933"/>
    <x v="0"/>
    <x v="31"/>
    <n v="326"/>
  </r>
  <r>
    <x v="13"/>
    <x v="4"/>
    <x v="2"/>
    <n v="1870"/>
    <x v="0"/>
    <x v="31"/>
    <n v="95"/>
  </r>
  <r>
    <x v="14"/>
    <x v="6"/>
    <x v="3"/>
    <n v="1959"/>
    <x v="0"/>
    <x v="31"/>
    <n v="12"/>
  </r>
  <r>
    <x v="15"/>
    <x v="3"/>
    <x v="3"/>
    <n v="1926"/>
    <x v="0"/>
    <x v="31"/>
    <n v="49"/>
  </r>
  <r>
    <x v="16"/>
    <x v="4"/>
    <x v="2"/>
    <n v="1920"/>
    <x v="0"/>
    <x v="31"/>
    <n v="37"/>
  </r>
  <r>
    <x v="18"/>
    <x v="4"/>
    <x v="3"/>
    <n v="1989"/>
    <x v="0"/>
    <x v="31"/>
    <n v="77"/>
  </r>
  <r>
    <x v="19"/>
    <x v="6"/>
    <x v="3"/>
    <n v="1948"/>
    <x v="0"/>
    <x v="31"/>
    <n v="23"/>
  </r>
  <r>
    <x v="20"/>
    <x v="0"/>
    <x v="0"/>
    <n v="1970"/>
    <x v="2"/>
    <x v="31"/>
    <n v="690"/>
  </r>
  <r>
    <x v="21"/>
    <x v="10"/>
    <x v="0"/>
    <n v="1944"/>
    <x v="2"/>
    <x v="31"/>
    <n v="828"/>
  </r>
  <r>
    <x v="22"/>
    <x v="6"/>
    <x v="3"/>
    <n v="1922"/>
    <x v="0"/>
    <x v="31"/>
    <n v="7"/>
  </r>
  <r>
    <x v="23"/>
    <x v="9"/>
    <x v="0"/>
    <n v="1964"/>
    <x v="2"/>
    <x v="31"/>
    <n v="441"/>
  </r>
  <r>
    <x v="24"/>
    <x v="4"/>
    <x v="2"/>
    <n v="1916"/>
    <x v="0"/>
    <x v="31"/>
    <n v="16"/>
  </r>
  <r>
    <x v="25"/>
    <x v="4"/>
    <x v="3"/>
    <n v="1989"/>
    <x v="0"/>
    <x v="31"/>
    <n v="59"/>
  </r>
  <r>
    <x v="26"/>
    <x v="10"/>
    <x v="0"/>
    <n v="1967"/>
    <x v="2"/>
    <x v="31"/>
    <n v="1601"/>
  </r>
  <r>
    <x v="38"/>
    <x v="9"/>
    <x v="0"/>
    <n v="2013"/>
    <x v="2"/>
    <x v="31"/>
    <n v="86"/>
  </r>
  <r>
    <x v="37"/>
    <x v="10"/>
    <x v="3"/>
    <n v="2015"/>
    <x v="0"/>
    <x v="31"/>
    <n v="2"/>
  </r>
  <r>
    <x v="39"/>
    <x v="9"/>
    <x v="0"/>
    <n v="1953"/>
    <x v="0"/>
    <x v="31"/>
    <n v="0"/>
  </r>
  <r>
    <x v="29"/>
    <x v="9"/>
    <x v="0"/>
    <n v="1969"/>
    <x v="0"/>
    <x v="31"/>
    <n v="0"/>
  </r>
  <r>
    <x v="30"/>
    <x v="10"/>
    <x v="0"/>
    <n v="1967"/>
    <x v="0"/>
    <x v="31"/>
    <n v="0"/>
  </r>
  <r>
    <x v="31"/>
    <x v="11"/>
    <x v="0"/>
    <n v="1911"/>
    <x v="2"/>
    <x v="31"/>
    <n v="2205"/>
  </r>
  <r>
    <x v="40"/>
    <x v="9"/>
    <x v="0"/>
    <n v="1997"/>
    <x v="2"/>
    <x v="31"/>
    <n v="0"/>
  </r>
  <r>
    <x v="32"/>
    <x v="11"/>
    <x v="3"/>
    <n v="1902"/>
    <x v="0"/>
    <x v="31"/>
    <n v="31"/>
  </r>
  <r>
    <x v="33"/>
    <x v="3"/>
    <x v="3"/>
    <n v="1916"/>
    <x v="0"/>
    <x v="31"/>
    <n v="126"/>
  </r>
  <r>
    <x v="34"/>
    <x v="3"/>
    <x v="3"/>
    <n v="1932"/>
    <x v="0"/>
    <x v="31"/>
    <n v="26"/>
  </r>
  <r>
    <x v="0"/>
    <x v="0"/>
    <x v="0"/>
    <n v="1941"/>
    <x v="0"/>
    <x v="32"/>
    <n v="228"/>
  </r>
  <r>
    <x v="1"/>
    <x v="1"/>
    <x v="1"/>
    <s v="-"/>
    <x v="1"/>
    <x v="32"/>
    <n v="60"/>
  </r>
  <r>
    <x v="2"/>
    <x v="2"/>
    <x v="2"/>
    <n v="1927"/>
    <x v="0"/>
    <x v="32"/>
    <n v="17"/>
  </r>
  <r>
    <x v="3"/>
    <x v="3"/>
    <x v="2"/>
    <n v="1937"/>
    <x v="0"/>
    <x v="32"/>
    <n v="501"/>
  </r>
  <r>
    <x v="4"/>
    <x v="4"/>
    <x v="2"/>
    <n v="1937"/>
    <x v="0"/>
    <x v="32"/>
    <n v="1230"/>
  </r>
  <r>
    <x v="5"/>
    <x v="4"/>
    <x v="2"/>
    <n v="1953"/>
    <x v="0"/>
    <x v="32"/>
    <n v="131"/>
  </r>
  <r>
    <x v="6"/>
    <x v="5"/>
    <x v="2"/>
    <n v="1895"/>
    <x v="2"/>
    <x v="32"/>
    <n v="0"/>
  </r>
  <r>
    <x v="8"/>
    <x v="7"/>
    <x v="0"/>
    <n v="1899"/>
    <x v="2"/>
    <x v="32"/>
    <n v="326"/>
  </r>
  <r>
    <x v="9"/>
    <x v="8"/>
    <x v="0"/>
    <n v="2015"/>
    <x v="2"/>
    <x v="32"/>
    <n v="0"/>
  </r>
  <r>
    <x v="10"/>
    <x v="3"/>
    <x v="3"/>
    <n v="1931"/>
    <x v="0"/>
    <x v="32"/>
    <n v="5"/>
  </r>
  <r>
    <x v="12"/>
    <x v="4"/>
    <x v="2"/>
    <n v="1933"/>
    <x v="0"/>
    <x v="32"/>
    <n v="332"/>
  </r>
  <r>
    <x v="13"/>
    <x v="4"/>
    <x v="2"/>
    <n v="1870"/>
    <x v="0"/>
    <x v="32"/>
    <n v="110"/>
  </r>
  <r>
    <x v="14"/>
    <x v="6"/>
    <x v="3"/>
    <n v="1959"/>
    <x v="0"/>
    <x v="32"/>
    <n v="2"/>
  </r>
  <r>
    <x v="15"/>
    <x v="3"/>
    <x v="3"/>
    <n v="1926"/>
    <x v="0"/>
    <x v="32"/>
    <n v="63"/>
  </r>
  <r>
    <x v="16"/>
    <x v="4"/>
    <x v="2"/>
    <n v="1920"/>
    <x v="0"/>
    <x v="32"/>
    <n v="35"/>
  </r>
  <r>
    <x v="18"/>
    <x v="4"/>
    <x v="3"/>
    <n v="1989"/>
    <x v="0"/>
    <x v="32"/>
    <n v="224"/>
  </r>
  <r>
    <x v="19"/>
    <x v="6"/>
    <x v="3"/>
    <n v="1948"/>
    <x v="0"/>
    <x v="32"/>
    <n v="19"/>
  </r>
  <r>
    <x v="20"/>
    <x v="0"/>
    <x v="0"/>
    <n v="1970"/>
    <x v="2"/>
    <x v="32"/>
    <n v="822"/>
  </r>
  <r>
    <x v="21"/>
    <x v="10"/>
    <x v="0"/>
    <n v="1944"/>
    <x v="2"/>
    <x v="32"/>
    <n v="842"/>
  </r>
  <r>
    <x v="22"/>
    <x v="6"/>
    <x v="3"/>
    <n v="1922"/>
    <x v="0"/>
    <x v="32"/>
    <n v="13"/>
  </r>
  <r>
    <x v="23"/>
    <x v="9"/>
    <x v="0"/>
    <n v="1964"/>
    <x v="2"/>
    <x v="32"/>
    <n v="398"/>
  </r>
  <r>
    <x v="24"/>
    <x v="4"/>
    <x v="2"/>
    <n v="1916"/>
    <x v="0"/>
    <x v="32"/>
    <n v="28"/>
  </r>
  <r>
    <x v="25"/>
    <x v="4"/>
    <x v="3"/>
    <n v="1989"/>
    <x v="0"/>
    <x v="32"/>
    <n v="46"/>
  </r>
  <r>
    <x v="26"/>
    <x v="10"/>
    <x v="0"/>
    <n v="1967"/>
    <x v="2"/>
    <x v="32"/>
    <n v="1982"/>
  </r>
  <r>
    <x v="38"/>
    <x v="9"/>
    <x v="0"/>
    <n v="2013"/>
    <x v="2"/>
    <x v="32"/>
    <n v="143"/>
  </r>
  <r>
    <x v="37"/>
    <x v="10"/>
    <x v="3"/>
    <n v="2015"/>
    <x v="0"/>
    <x v="32"/>
    <n v="2"/>
  </r>
  <r>
    <x v="39"/>
    <x v="9"/>
    <x v="0"/>
    <n v="1953"/>
    <x v="0"/>
    <x v="32"/>
    <n v="0"/>
  </r>
  <r>
    <x v="29"/>
    <x v="9"/>
    <x v="0"/>
    <n v="1969"/>
    <x v="0"/>
    <x v="32"/>
    <n v="6"/>
  </r>
  <r>
    <x v="30"/>
    <x v="10"/>
    <x v="0"/>
    <n v="1967"/>
    <x v="0"/>
    <x v="32"/>
    <n v="0"/>
  </r>
  <r>
    <x v="31"/>
    <x v="11"/>
    <x v="0"/>
    <n v="1911"/>
    <x v="2"/>
    <x v="32"/>
    <n v="2327"/>
  </r>
  <r>
    <x v="40"/>
    <x v="9"/>
    <x v="0"/>
    <n v="1997"/>
    <x v="2"/>
    <x v="32"/>
    <n v="0"/>
  </r>
  <r>
    <x v="32"/>
    <x v="11"/>
    <x v="3"/>
    <n v="1902"/>
    <x v="0"/>
    <x v="32"/>
    <n v="33"/>
  </r>
  <r>
    <x v="33"/>
    <x v="3"/>
    <x v="3"/>
    <n v="1916"/>
    <x v="0"/>
    <x v="32"/>
    <n v="143"/>
  </r>
  <r>
    <x v="34"/>
    <x v="3"/>
    <x v="3"/>
    <n v="1932"/>
    <x v="0"/>
    <x v="32"/>
    <n v="23"/>
  </r>
  <r>
    <x v="0"/>
    <x v="0"/>
    <x v="0"/>
    <n v="1941"/>
    <x v="0"/>
    <x v="33"/>
    <n v="140"/>
  </r>
  <r>
    <x v="1"/>
    <x v="1"/>
    <x v="1"/>
    <s v="-"/>
    <x v="1"/>
    <x v="33"/>
    <n v="74"/>
  </r>
  <r>
    <x v="2"/>
    <x v="2"/>
    <x v="2"/>
    <n v="1927"/>
    <x v="0"/>
    <x v="33"/>
    <n v="16"/>
  </r>
  <r>
    <x v="3"/>
    <x v="3"/>
    <x v="2"/>
    <n v="1937"/>
    <x v="0"/>
    <x v="33"/>
    <n v="344"/>
  </r>
  <r>
    <x v="4"/>
    <x v="4"/>
    <x v="2"/>
    <n v="1937"/>
    <x v="0"/>
    <x v="33"/>
    <n v="1076"/>
  </r>
  <r>
    <x v="5"/>
    <x v="4"/>
    <x v="2"/>
    <n v="1953"/>
    <x v="0"/>
    <x v="33"/>
    <n v="108"/>
  </r>
  <r>
    <x v="6"/>
    <x v="5"/>
    <x v="2"/>
    <n v="1895"/>
    <x v="2"/>
    <x v="33"/>
    <n v="0"/>
  </r>
  <r>
    <x v="8"/>
    <x v="7"/>
    <x v="0"/>
    <n v="1899"/>
    <x v="2"/>
    <x v="33"/>
    <n v="270"/>
  </r>
  <r>
    <x v="9"/>
    <x v="8"/>
    <x v="0"/>
    <n v="2015"/>
    <x v="2"/>
    <x v="33"/>
    <n v="0"/>
  </r>
  <r>
    <x v="10"/>
    <x v="3"/>
    <x v="3"/>
    <n v="1931"/>
    <x v="0"/>
    <x v="33"/>
    <n v="3"/>
  </r>
  <r>
    <x v="12"/>
    <x v="4"/>
    <x v="2"/>
    <n v="1933"/>
    <x v="0"/>
    <x v="33"/>
    <n v="405"/>
  </r>
  <r>
    <x v="13"/>
    <x v="4"/>
    <x v="2"/>
    <n v="1870"/>
    <x v="0"/>
    <x v="33"/>
    <n v="118"/>
  </r>
  <r>
    <x v="14"/>
    <x v="6"/>
    <x v="3"/>
    <n v="1959"/>
    <x v="0"/>
    <x v="33"/>
    <n v="0"/>
  </r>
  <r>
    <x v="15"/>
    <x v="3"/>
    <x v="3"/>
    <n v="1926"/>
    <x v="0"/>
    <x v="33"/>
    <n v="34"/>
  </r>
  <r>
    <x v="16"/>
    <x v="4"/>
    <x v="2"/>
    <n v="1920"/>
    <x v="0"/>
    <x v="33"/>
    <n v="75"/>
  </r>
  <r>
    <x v="18"/>
    <x v="4"/>
    <x v="3"/>
    <n v="1989"/>
    <x v="0"/>
    <x v="33"/>
    <n v="215"/>
  </r>
  <r>
    <x v="19"/>
    <x v="6"/>
    <x v="3"/>
    <n v="1948"/>
    <x v="0"/>
    <x v="33"/>
    <n v="21"/>
  </r>
  <r>
    <x v="20"/>
    <x v="0"/>
    <x v="0"/>
    <n v="1970"/>
    <x v="2"/>
    <x v="33"/>
    <n v="1003"/>
  </r>
  <r>
    <x v="21"/>
    <x v="10"/>
    <x v="0"/>
    <n v="1944"/>
    <x v="2"/>
    <x v="33"/>
    <n v="871"/>
  </r>
  <r>
    <x v="22"/>
    <x v="6"/>
    <x v="3"/>
    <n v="1922"/>
    <x v="0"/>
    <x v="33"/>
    <n v="42"/>
  </r>
  <r>
    <x v="23"/>
    <x v="9"/>
    <x v="0"/>
    <n v="1964"/>
    <x v="2"/>
    <x v="33"/>
    <n v="693"/>
  </r>
  <r>
    <x v="24"/>
    <x v="4"/>
    <x v="2"/>
    <n v="1916"/>
    <x v="0"/>
    <x v="33"/>
    <n v="26"/>
  </r>
  <r>
    <x v="25"/>
    <x v="4"/>
    <x v="3"/>
    <n v="1989"/>
    <x v="0"/>
    <x v="33"/>
    <n v="33"/>
  </r>
  <r>
    <x v="26"/>
    <x v="10"/>
    <x v="0"/>
    <n v="1967"/>
    <x v="2"/>
    <x v="33"/>
    <n v="2364"/>
  </r>
  <r>
    <x v="38"/>
    <x v="9"/>
    <x v="0"/>
    <n v="2013"/>
    <x v="2"/>
    <x v="33"/>
    <n v="144"/>
  </r>
  <r>
    <x v="37"/>
    <x v="10"/>
    <x v="3"/>
    <n v="2015"/>
    <x v="0"/>
    <x v="33"/>
    <n v="0"/>
  </r>
  <r>
    <x v="39"/>
    <x v="9"/>
    <x v="0"/>
    <n v="1953"/>
    <x v="0"/>
    <x v="33"/>
    <n v="25"/>
  </r>
  <r>
    <x v="29"/>
    <x v="9"/>
    <x v="0"/>
    <n v="1969"/>
    <x v="0"/>
    <x v="33"/>
    <n v="3"/>
  </r>
  <r>
    <x v="30"/>
    <x v="10"/>
    <x v="0"/>
    <n v="1967"/>
    <x v="0"/>
    <x v="33"/>
    <n v="0"/>
  </r>
  <r>
    <x v="31"/>
    <x v="11"/>
    <x v="0"/>
    <n v="1911"/>
    <x v="2"/>
    <x v="33"/>
    <n v="3462"/>
  </r>
  <r>
    <x v="40"/>
    <x v="9"/>
    <x v="0"/>
    <n v="1997"/>
    <x v="2"/>
    <x v="33"/>
    <n v="0"/>
  </r>
  <r>
    <x v="32"/>
    <x v="11"/>
    <x v="3"/>
    <n v="1902"/>
    <x v="0"/>
    <x v="33"/>
    <n v="35"/>
  </r>
  <r>
    <x v="33"/>
    <x v="3"/>
    <x v="3"/>
    <n v="1916"/>
    <x v="0"/>
    <x v="33"/>
    <n v="125"/>
  </r>
  <r>
    <x v="34"/>
    <x v="3"/>
    <x v="3"/>
    <n v="1932"/>
    <x v="0"/>
    <x v="33"/>
    <n v="14"/>
  </r>
  <r>
    <x v="0"/>
    <x v="0"/>
    <x v="0"/>
    <n v="1941"/>
    <x v="0"/>
    <x v="34"/>
    <n v="223"/>
  </r>
  <r>
    <x v="1"/>
    <x v="1"/>
    <x v="1"/>
    <s v="-"/>
    <x v="1"/>
    <x v="34"/>
    <n v="57"/>
  </r>
  <r>
    <x v="2"/>
    <x v="2"/>
    <x v="2"/>
    <n v="1927"/>
    <x v="0"/>
    <x v="34"/>
    <n v="13"/>
  </r>
  <r>
    <x v="3"/>
    <x v="3"/>
    <x v="2"/>
    <n v="1937"/>
    <x v="0"/>
    <x v="34"/>
    <n v="212"/>
  </r>
  <r>
    <x v="4"/>
    <x v="4"/>
    <x v="2"/>
    <n v="1937"/>
    <x v="0"/>
    <x v="34"/>
    <n v="1301"/>
  </r>
  <r>
    <x v="5"/>
    <x v="4"/>
    <x v="2"/>
    <n v="1953"/>
    <x v="0"/>
    <x v="34"/>
    <n v="44"/>
  </r>
  <r>
    <x v="6"/>
    <x v="5"/>
    <x v="2"/>
    <n v="1895"/>
    <x v="2"/>
    <x v="34"/>
    <n v="0"/>
  </r>
  <r>
    <x v="8"/>
    <x v="7"/>
    <x v="0"/>
    <n v="1899"/>
    <x v="2"/>
    <x v="34"/>
    <n v="421"/>
  </r>
  <r>
    <x v="9"/>
    <x v="8"/>
    <x v="0"/>
    <n v="2015"/>
    <x v="2"/>
    <x v="34"/>
    <n v="0"/>
  </r>
  <r>
    <x v="10"/>
    <x v="3"/>
    <x v="3"/>
    <n v="1931"/>
    <x v="0"/>
    <x v="34"/>
    <n v="32"/>
  </r>
  <r>
    <x v="12"/>
    <x v="4"/>
    <x v="2"/>
    <n v="1933"/>
    <x v="0"/>
    <x v="34"/>
    <n v="471"/>
  </r>
  <r>
    <x v="13"/>
    <x v="4"/>
    <x v="2"/>
    <n v="1870"/>
    <x v="0"/>
    <x v="34"/>
    <n v="122"/>
  </r>
  <r>
    <x v="14"/>
    <x v="6"/>
    <x v="3"/>
    <n v="1959"/>
    <x v="0"/>
    <x v="34"/>
    <n v="8"/>
  </r>
  <r>
    <x v="15"/>
    <x v="3"/>
    <x v="3"/>
    <n v="1926"/>
    <x v="0"/>
    <x v="34"/>
    <n v="69"/>
  </r>
  <r>
    <x v="16"/>
    <x v="4"/>
    <x v="2"/>
    <n v="1920"/>
    <x v="0"/>
    <x v="34"/>
    <n v="32"/>
  </r>
  <r>
    <x v="18"/>
    <x v="4"/>
    <x v="3"/>
    <n v="1989"/>
    <x v="0"/>
    <x v="34"/>
    <n v="162"/>
  </r>
  <r>
    <x v="19"/>
    <x v="6"/>
    <x v="3"/>
    <n v="1948"/>
    <x v="0"/>
    <x v="34"/>
    <n v="30"/>
  </r>
  <r>
    <x v="20"/>
    <x v="0"/>
    <x v="0"/>
    <n v="1970"/>
    <x v="2"/>
    <x v="34"/>
    <n v="1494"/>
  </r>
  <r>
    <x v="21"/>
    <x v="10"/>
    <x v="0"/>
    <n v="1944"/>
    <x v="2"/>
    <x v="34"/>
    <n v="920"/>
  </r>
  <r>
    <x v="22"/>
    <x v="6"/>
    <x v="3"/>
    <n v="1922"/>
    <x v="0"/>
    <x v="34"/>
    <n v="6"/>
  </r>
  <r>
    <x v="23"/>
    <x v="9"/>
    <x v="0"/>
    <n v="1964"/>
    <x v="2"/>
    <x v="34"/>
    <n v="341"/>
  </r>
  <r>
    <x v="24"/>
    <x v="4"/>
    <x v="2"/>
    <n v="1916"/>
    <x v="0"/>
    <x v="34"/>
    <n v="4"/>
  </r>
  <r>
    <x v="25"/>
    <x v="4"/>
    <x v="3"/>
    <n v="1989"/>
    <x v="0"/>
    <x v="34"/>
    <n v="45"/>
  </r>
  <r>
    <x v="26"/>
    <x v="10"/>
    <x v="0"/>
    <n v="1967"/>
    <x v="2"/>
    <x v="34"/>
    <n v="953"/>
  </r>
  <r>
    <x v="38"/>
    <x v="9"/>
    <x v="0"/>
    <n v="2013"/>
    <x v="2"/>
    <x v="34"/>
    <n v="217"/>
  </r>
  <r>
    <x v="37"/>
    <x v="10"/>
    <x v="3"/>
    <n v="2015"/>
    <x v="0"/>
    <x v="34"/>
    <n v="0"/>
  </r>
  <r>
    <x v="39"/>
    <x v="9"/>
    <x v="0"/>
    <n v="1953"/>
    <x v="0"/>
    <x v="34"/>
    <n v="0"/>
  </r>
  <r>
    <x v="29"/>
    <x v="9"/>
    <x v="0"/>
    <n v="1969"/>
    <x v="0"/>
    <x v="34"/>
    <n v="0"/>
  </r>
  <r>
    <x v="30"/>
    <x v="10"/>
    <x v="0"/>
    <n v="1967"/>
    <x v="0"/>
    <x v="34"/>
    <n v="19"/>
  </r>
  <r>
    <x v="31"/>
    <x v="11"/>
    <x v="0"/>
    <n v="1911"/>
    <x v="2"/>
    <x v="34"/>
    <n v="2230"/>
  </r>
  <r>
    <x v="40"/>
    <x v="9"/>
    <x v="0"/>
    <n v="1997"/>
    <x v="2"/>
    <x v="34"/>
    <n v="0"/>
  </r>
  <r>
    <x v="32"/>
    <x v="11"/>
    <x v="3"/>
    <n v="1902"/>
    <x v="0"/>
    <x v="34"/>
    <n v="15"/>
  </r>
  <r>
    <x v="33"/>
    <x v="3"/>
    <x v="3"/>
    <n v="1916"/>
    <x v="0"/>
    <x v="34"/>
    <n v="136"/>
  </r>
  <r>
    <x v="34"/>
    <x v="3"/>
    <x v="3"/>
    <n v="1932"/>
    <x v="0"/>
    <x v="34"/>
    <n v="26"/>
  </r>
  <r>
    <x v="0"/>
    <x v="0"/>
    <x v="0"/>
    <n v="1941"/>
    <x v="0"/>
    <x v="35"/>
    <n v="205"/>
  </r>
  <r>
    <x v="1"/>
    <x v="1"/>
    <x v="1"/>
    <s v="-"/>
    <x v="1"/>
    <x v="35"/>
    <n v="65"/>
  </r>
  <r>
    <x v="2"/>
    <x v="2"/>
    <x v="2"/>
    <n v="1927"/>
    <x v="0"/>
    <x v="35"/>
    <n v="8"/>
  </r>
  <r>
    <x v="3"/>
    <x v="3"/>
    <x v="2"/>
    <n v="1937"/>
    <x v="0"/>
    <x v="35"/>
    <n v="191"/>
  </r>
  <r>
    <x v="4"/>
    <x v="4"/>
    <x v="2"/>
    <n v="1937"/>
    <x v="0"/>
    <x v="35"/>
    <n v="1125"/>
  </r>
  <r>
    <x v="5"/>
    <x v="4"/>
    <x v="2"/>
    <n v="1953"/>
    <x v="0"/>
    <x v="35"/>
    <n v="19"/>
  </r>
  <r>
    <x v="6"/>
    <x v="5"/>
    <x v="2"/>
    <n v="1895"/>
    <x v="2"/>
    <x v="35"/>
    <n v="0"/>
  </r>
  <r>
    <x v="8"/>
    <x v="7"/>
    <x v="0"/>
    <n v="1899"/>
    <x v="2"/>
    <x v="35"/>
    <n v="439"/>
  </r>
  <r>
    <x v="9"/>
    <x v="8"/>
    <x v="0"/>
    <n v="2015"/>
    <x v="2"/>
    <x v="35"/>
    <n v="0"/>
  </r>
  <r>
    <x v="10"/>
    <x v="3"/>
    <x v="3"/>
    <n v="1931"/>
    <x v="0"/>
    <x v="35"/>
    <n v="27"/>
  </r>
  <r>
    <x v="12"/>
    <x v="4"/>
    <x v="2"/>
    <n v="1933"/>
    <x v="0"/>
    <x v="35"/>
    <n v="485"/>
  </r>
  <r>
    <x v="13"/>
    <x v="4"/>
    <x v="2"/>
    <n v="1870"/>
    <x v="0"/>
    <x v="35"/>
    <n v="150"/>
  </r>
  <r>
    <x v="14"/>
    <x v="6"/>
    <x v="3"/>
    <n v="1959"/>
    <x v="0"/>
    <x v="35"/>
    <n v="7"/>
  </r>
  <r>
    <x v="15"/>
    <x v="3"/>
    <x v="3"/>
    <n v="1926"/>
    <x v="0"/>
    <x v="35"/>
    <n v="48"/>
  </r>
  <r>
    <x v="16"/>
    <x v="4"/>
    <x v="2"/>
    <n v="1920"/>
    <x v="0"/>
    <x v="35"/>
    <n v="53"/>
  </r>
  <r>
    <x v="18"/>
    <x v="4"/>
    <x v="3"/>
    <n v="1989"/>
    <x v="0"/>
    <x v="35"/>
    <n v="97"/>
  </r>
  <r>
    <x v="19"/>
    <x v="6"/>
    <x v="3"/>
    <n v="1948"/>
    <x v="0"/>
    <x v="35"/>
    <n v="5"/>
  </r>
  <r>
    <x v="20"/>
    <x v="0"/>
    <x v="0"/>
    <n v="1970"/>
    <x v="2"/>
    <x v="35"/>
    <n v="1201"/>
  </r>
  <r>
    <x v="21"/>
    <x v="10"/>
    <x v="0"/>
    <n v="1944"/>
    <x v="2"/>
    <x v="35"/>
    <n v="925"/>
  </r>
  <r>
    <x v="22"/>
    <x v="6"/>
    <x v="3"/>
    <n v="1922"/>
    <x v="0"/>
    <x v="35"/>
    <n v="4"/>
  </r>
  <r>
    <x v="23"/>
    <x v="9"/>
    <x v="0"/>
    <n v="1964"/>
    <x v="2"/>
    <x v="35"/>
    <n v="291"/>
  </r>
  <r>
    <x v="24"/>
    <x v="4"/>
    <x v="2"/>
    <n v="1916"/>
    <x v="0"/>
    <x v="35"/>
    <n v="10"/>
  </r>
  <r>
    <x v="25"/>
    <x v="4"/>
    <x v="3"/>
    <n v="1989"/>
    <x v="0"/>
    <x v="35"/>
    <n v="75"/>
  </r>
  <r>
    <x v="26"/>
    <x v="10"/>
    <x v="0"/>
    <n v="1967"/>
    <x v="2"/>
    <x v="35"/>
    <n v="2450"/>
  </r>
  <r>
    <x v="38"/>
    <x v="9"/>
    <x v="0"/>
    <n v="2013"/>
    <x v="2"/>
    <x v="35"/>
    <n v="153"/>
  </r>
  <r>
    <x v="37"/>
    <x v="10"/>
    <x v="3"/>
    <n v="2015"/>
    <x v="0"/>
    <x v="35"/>
    <n v="0"/>
  </r>
  <r>
    <x v="39"/>
    <x v="9"/>
    <x v="0"/>
    <n v="1953"/>
    <x v="0"/>
    <x v="35"/>
    <n v="0"/>
  </r>
  <r>
    <x v="29"/>
    <x v="9"/>
    <x v="0"/>
    <n v="1969"/>
    <x v="0"/>
    <x v="35"/>
    <n v="0"/>
  </r>
  <r>
    <x v="30"/>
    <x v="10"/>
    <x v="0"/>
    <n v="1967"/>
    <x v="0"/>
    <x v="35"/>
    <n v="0"/>
  </r>
  <r>
    <x v="31"/>
    <x v="11"/>
    <x v="0"/>
    <n v="1911"/>
    <x v="2"/>
    <x v="35"/>
    <n v="1934"/>
  </r>
  <r>
    <x v="40"/>
    <x v="9"/>
    <x v="0"/>
    <n v="1997"/>
    <x v="2"/>
    <x v="35"/>
    <n v="62"/>
  </r>
  <r>
    <x v="32"/>
    <x v="11"/>
    <x v="3"/>
    <n v="1902"/>
    <x v="0"/>
    <x v="35"/>
    <n v="29"/>
  </r>
  <r>
    <x v="33"/>
    <x v="3"/>
    <x v="3"/>
    <n v="1916"/>
    <x v="0"/>
    <x v="35"/>
    <n v="113"/>
  </r>
  <r>
    <x v="34"/>
    <x v="3"/>
    <x v="3"/>
    <n v="1932"/>
    <x v="0"/>
    <x v="35"/>
    <n v="16"/>
  </r>
  <r>
    <x v="0"/>
    <x v="0"/>
    <x v="0"/>
    <n v="1941"/>
    <x v="0"/>
    <x v="36"/>
    <n v="59"/>
  </r>
  <r>
    <x v="1"/>
    <x v="1"/>
    <x v="1"/>
    <s v="-"/>
    <x v="1"/>
    <x v="36"/>
    <n v="3"/>
  </r>
  <r>
    <x v="2"/>
    <x v="2"/>
    <x v="2"/>
    <n v="1927"/>
    <x v="0"/>
    <x v="36"/>
    <n v="1"/>
  </r>
  <r>
    <x v="3"/>
    <x v="3"/>
    <x v="2"/>
    <n v="1937"/>
    <x v="0"/>
    <x v="36"/>
    <n v="119"/>
  </r>
  <r>
    <x v="4"/>
    <x v="4"/>
    <x v="2"/>
    <n v="1937"/>
    <x v="0"/>
    <x v="36"/>
    <n v="480"/>
  </r>
  <r>
    <x v="5"/>
    <x v="4"/>
    <x v="2"/>
    <n v="1953"/>
    <x v="0"/>
    <x v="36"/>
    <n v="5"/>
  </r>
  <r>
    <x v="8"/>
    <x v="7"/>
    <x v="0"/>
    <n v="1899"/>
    <x v="2"/>
    <x v="36"/>
    <n v="169"/>
  </r>
  <r>
    <x v="10"/>
    <x v="3"/>
    <x v="3"/>
    <n v="1931"/>
    <x v="0"/>
    <x v="36"/>
    <n v="12"/>
  </r>
  <r>
    <x v="12"/>
    <x v="4"/>
    <x v="2"/>
    <n v="1933"/>
    <x v="0"/>
    <x v="36"/>
    <n v="159"/>
  </r>
  <r>
    <x v="13"/>
    <x v="4"/>
    <x v="2"/>
    <n v="1870"/>
    <x v="0"/>
    <x v="36"/>
    <n v="58"/>
  </r>
  <r>
    <x v="14"/>
    <x v="6"/>
    <x v="3"/>
    <n v="1959"/>
    <x v="0"/>
    <x v="36"/>
    <n v="0"/>
  </r>
  <r>
    <x v="15"/>
    <x v="3"/>
    <x v="3"/>
    <n v="1926"/>
    <x v="0"/>
    <x v="36"/>
    <n v="43"/>
  </r>
  <r>
    <x v="16"/>
    <x v="4"/>
    <x v="2"/>
    <n v="1920"/>
    <x v="0"/>
    <x v="36"/>
    <n v="15"/>
  </r>
  <r>
    <x v="18"/>
    <x v="4"/>
    <x v="3"/>
    <n v="1989"/>
    <x v="0"/>
    <x v="36"/>
    <n v="23"/>
  </r>
  <r>
    <x v="19"/>
    <x v="6"/>
    <x v="3"/>
    <n v="1948"/>
    <x v="0"/>
    <x v="36"/>
    <n v="25"/>
  </r>
  <r>
    <x v="20"/>
    <x v="0"/>
    <x v="0"/>
    <n v="1970"/>
    <x v="2"/>
    <x v="36"/>
    <n v="226"/>
  </r>
  <r>
    <x v="21"/>
    <x v="10"/>
    <x v="0"/>
    <n v="1944"/>
    <x v="2"/>
    <x v="36"/>
    <n v="290"/>
  </r>
  <r>
    <x v="22"/>
    <x v="6"/>
    <x v="3"/>
    <n v="1922"/>
    <x v="0"/>
    <x v="36"/>
    <n v="0"/>
  </r>
  <r>
    <x v="23"/>
    <x v="9"/>
    <x v="0"/>
    <n v="1964"/>
    <x v="2"/>
    <x v="36"/>
    <n v="128"/>
  </r>
  <r>
    <x v="24"/>
    <x v="4"/>
    <x v="2"/>
    <n v="1916"/>
    <x v="0"/>
    <x v="36"/>
    <n v="0"/>
  </r>
  <r>
    <x v="25"/>
    <x v="4"/>
    <x v="3"/>
    <n v="1989"/>
    <x v="0"/>
    <x v="36"/>
    <n v="39"/>
  </r>
  <r>
    <x v="26"/>
    <x v="10"/>
    <x v="0"/>
    <n v="1967"/>
    <x v="2"/>
    <x v="36"/>
    <n v="1455"/>
  </r>
  <r>
    <x v="38"/>
    <x v="9"/>
    <x v="0"/>
    <n v="2013"/>
    <x v="2"/>
    <x v="36"/>
    <n v="112"/>
  </r>
  <r>
    <x v="41"/>
    <x v="9"/>
    <x v="0"/>
    <n v="1986"/>
    <x v="2"/>
    <x v="36"/>
    <n v="0"/>
  </r>
  <r>
    <x v="27"/>
    <x v="9"/>
    <x v="0"/>
    <n v="1996"/>
    <x v="0"/>
    <x v="36"/>
    <n v="0"/>
  </r>
  <r>
    <x v="39"/>
    <x v="9"/>
    <x v="0"/>
    <n v="1953"/>
    <x v="0"/>
    <x v="36"/>
    <n v="0"/>
  </r>
  <r>
    <x v="29"/>
    <x v="9"/>
    <x v="0"/>
    <n v="1969"/>
    <x v="0"/>
    <x v="36"/>
    <n v="0"/>
  </r>
  <r>
    <x v="30"/>
    <x v="10"/>
    <x v="0"/>
    <n v="1967"/>
    <x v="0"/>
    <x v="36"/>
    <n v="9"/>
  </r>
  <r>
    <x v="31"/>
    <x v="11"/>
    <x v="0"/>
    <n v="1911"/>
    <x v="2"/>
    <x v="36"/>
    <n v="335"/>
  </r>
  <r>
    <x v="40"/>
    <x v="9"/>
    <x v="0"/>
    <n v="1997"/>
    <x v="2"/>
    <x v="36"/>
    <n v="35"/>
  </r>
  <r>
    <x v="42"/>
    <x v="9"/>
    <x v="0"/>
    <n v="1862"/>
    <x v="0"/>
    <x v="36"/>
    <n v="0"/>
  </r>
  <r>
    <x v="32"/>
    <x v="11"/>
    <x v="3"/>
    <n v="1902"/>
    <x v="0"/>
    <x v="36"/>
    <n v="0"/>
  </r>
  <r>
    <x v="33"/>
    <x v="3"/>
    <x v="3"/>
    <n v="1916"/>
    <x v="0"/>
    <x v="36"/>
    <n v="41"/>
  </r>
  <r>
    <x v="34"/>
    <x v="3"/>
    <x v="3"/>
    <n v="1932"/>
    <x v="0"/>
    <x v="36"/>
    <n v="13"/>
  </r>
  <r>
    <x v="0"/>
    <x v="0"/>
    <x v="0"/>
    <n v="1941"/>
    <x v="0"/>
    <x v="37"/>
    <n v="58"/>
  </r>
  <r>
    <x v="1"/>
    <x v="1"/>
    <x v="1"/>
    <s v="-"/>
    <x v="1"/>
    <x v="37"/>
    <n v="14"/>
  </r>
  <r>
    <x v="2"/>
    <x v="2"/>
    <x v="2"/>
    <n v="1927"/>
    <x v="0"/>
    <x v="37"/>
    <n v="8"/>
  </r>
  <r>
    <x v="3"/>
    <x v="3"/>
    <x v="2"/>
    <n v="1937"/>
    <x v="0"/>
    <x v="37"/>
    <n v="375"/>
  </r>
  <r>
    <x v="4"/>
    <x v="4"/>
    <x v="2"/>
    <n v="1937"/>
    <x v="0"/>
    <x v="37"/>
    <n v="950"/>
  </r>
  <r>
    <x v="5"/>
    <x v="4"/>
    <x v="2"/>
    <n v="1953"/>
    <x v="0"/>
    <x v="37"/>
    <n v="33"/>
  </r>
  <r>
    <x v="8"/>
    <x v="7"/>
    <x v="0"/>
    <n v="1899"/>
    <x v="2"/>
    <x v="37"/>
    <n v="175"/>
  </r>
  <r>
    <x v="10"/>
    <x v="3"/>
    <x v="3"/>
    <n v="1931"/>
    <x v="0"/>
    <x v="37"/>
    <n v="9"/>
  </r>
  <r>
    <x v="12"/>
    <x v="4"/>
    <x v="2"/>
    <n v="1933"/>
    <x v="0"/>
    <x v="37"/>
    <n v="220"/>
  </r>
  <r>
    <x v="13"/>
    <x v="4"/>
    <x v="2"/>
    <n v="1870"/>
    <x v="0"/>
    <x v="37"/>
    <n v="70"/>
  </r>
  <r>
    <x v="14"/>
    <x v="6"/>
    <x v="3"/>
    <n v="1959"/>
    <x v="0"/>
    <x v="37"/>
    <n v="6"/>
  </r>
  <r>
    <x v="15"/>
    <x v="3"/>
    <x v="3"/>
    <n v="1926"/>
    <x v="0"/>
    <x v="37"/>
    <n v="47"/>
  </r>
  <r>
    <x v="16"/>
    <x v="4"/>
    <x v="2"/>
    <n v="1920"/>
    <x v="0"/>
    <x v="37"/>
    <n v="28"/>
  </r>
  <r>
    <x v="18"/>
    <x v="4"/>
    <x v="3"/>
    <n v="1989"/>
    <x v="0"/>
    <x v="37"/>
    <n v="164"/>
  </r>
  <r>
    <x v="19"/>
    <x v="6"/>
    <x v="3"/>
    <n v="1948"/>
    <x v="0"/>
    <x v="37"/>
    <n v="13"/>
  </r>
  <r>
    <x v="20"/>
    <x v="0"/>
    <x v="0"/>
    <n v="1970"/>
    <x v="2"/>
    <x v="37"/>
    <n v="832"/>
  </r>
  <r>
    <x v="21"/>
    <x v="10"/>
    <x v="0"/>
    <n v="1944"/>
    <x v="2"/>
    <x v="37"/>
    <n v="816"/>
  </r>
  <r>
    <x v="22"/>
    <x v="6"/>
    <x v="3"/>
    <n v="1922"/>
    <x v="0"/>
    <x v="37"/>
    <n v="1"/>
  </r>
  <r>
    <x v="23"/>
    <x v="9"/>
    <x v="0"/>
    <n v="1964"/>
    <x v="2"/>
    <x v="37"/>
    <n v="184"/>
  </r>
  <r>
    <x v="24"/>
    <x v="4"/>
    <x v="2"/>
    <n v="1916"/>
    <x v="0"/>
    <x v="37"/>
    <n v="12"/>
  </r>
  <r>
    <x v="25"/>
    <x v="4"/>
    <x v="3"/>
    <n v="1989"/>
    <x v="0"/>
    <x v="37"/>
    <n v="91"/>
  </r>
  <r>
    <x v="26"/>
    <x v="10"/>
    <x v="0"/>
    <n v="1967"/>
    <x v="2"/>
    <x v="37"/>
    <n v="2281"/>
  </r>
  <r>
    <x v="38"/>
    <x v="9"/>
    <x v="0"/>
    <n v="2013"/>
    <x v="2"/>
    <x v="37"/>
    <n v="135"/>
  </r>
  <r>
    <x v="41"/>
    <x v="9"/>
    <x v="0"/>
    <n v="1986"/>
    <x v="2"/>
    <x v="37"/>
    <n v="0"/>
  </r>
  <r>
    <x v="27"/>
    <x v="9"/>
    <x v="0"/>
    <n v="1996"/>
    <x v="0"/>
    <x v="37"/>
    <n v="0"/>
  </r>
  <r>
    <x v="39"/>
    <x v="9"/>
    <x v="0"/>
    <n v="1953"/>
    <x v="0"/>
    <x v="37"/>
    <n v="0"/>
  </r>
  <r>
    <x v="29"/>
    <x v="9"/>
    <x v="0"/>
    <n v="1969"/>
    <x v="0"/>
    <x v="37"/>
    <n v="0"/>
  </r>
  <r>
    <x v="30"/>
    <x v="10"/>
    <x v="0"/>
    <n v="1967"/>
    <x v="0"/>
    <x v="37"/>
    <n v="0"/>
  </r>
  <r>
    <x v="31"/>
    <x v="11"/>
    <x v="0"/>
    <n v="1911"/>
    <x v="2"/>
    <x v="37"/>
    <n v="837"/>
  </r>
  <r>
    <x v="40"/>
    <x v="9"/>
    <x v="0"/>
    <n v="1997"/>
    <x v="2"/>
    <x v="37"/>
    <n v="51"/>
  </r>
  <r>
    <x v="42"/>
    <x v="9"/>
    <x v="0"/>
    <n v="1862"/>
    <x v="0"/>
    <x v="37"/>
    <n v="0"/>
  </r>
  <r>
    <x v="32"/>
    <x v="11"/>
    <x v="3"/>
    <n v="1902"/>
    <x v="0"/>
    <x v="37"/>
    <n v="14"/>
  </r>
  <r>
    <x v="33"/>
    <x v="3"/>
    <x v="3"/>
    <n v="1916"/>
    <x v="0"/>
    <x v="37"/>
    <n v="148"/>
  </r>
  <r>
    <x v="34"/>
    <x v="3"/>
    <x v="3"/>
    <n v="1932"/>
    <x v="0"/>
    <x v="37"/>
    <n v="9"/>
  </r>
  <r>
    <x v="0"/>
    <x v="0"/>
    <x v="0"/>
    <n v="1941"/>
    <x v="0"/>
    <x v="38"/>
    <n v="36"/>
  </r>
  <r>
    <x v="1"/>
    <x v="1"/>
    <x v="1"/>
    <s v="-"/>
    <x v="1"/>
    <x v="38"/>
    <n v="39"/>
  </r>
  <r>
    <x v="2"/>
    <x v="2"/>
    <x v="2"/>
    <n v="1927"/>
    <x v="0"/>
    <x v="38"/>
    <n v="7"/>
  </r>
  <r>
    <x v="3"/>
    <x v="3"/>
    <x v="2"/>
    <n v="1937"/>
    <x v="0"/>
    <x v="38"/>
    <n v="392"/>
  </r>
  <r>
    <x v="4"/>
    <x v="4"/>
    <x v="2"/>
    <n v="1937"/>
    <x v="0"/>
    <x v="38"/>
    <n v="702"/>
  </r>
  <r>
    <x v="5"/>
    <x v="4"/>
    <x v="2"/>
    <n v="1953"/>
    <x v="0"/>
    <x v="38"/>
    <n v="23"/>
  </r>
  <r>
    <x v="8"/>
    <x v="7"/>
    <x v="0"/>
    <n v="1899"/>
    <x v="2"/>
    <x v="38"/>
    <n v="328"/>
  </r>
  <r>
    <x v="10"/>
    <x v="3"/>
    <x v="3"/>
    <n v="1931"/>
    <x v="0"/>
    <x v="38"/>
    <n v="27"/>
  </r>
  <r>
    <x v="12"/>
    <x v="4"/>
    <x v="2"/>
    <n v="1933"/>
    <x v="0"/>
    <x v="38"/>
    <n v="299"/>
  </r>
  <r>
    <x v="13"/>
    <x v="4"/>
    <x v="2"/>
    <n v="1870"/>
    <x v="0"/>
    <x v="38"/>
    <n v="43"/>
  </r>
  <r>
    <x v="14"/>
    <x v="6"/>
    <x v="3"/>
    <n v="1959"/>
    <x v="0"/>
    <x v="38"/>
    <n v="0"/>
  </r>
  <r>
    <x v="15"/>
    <x v="3"/>
    <x v="3"/>
    <n v="1926"/>
    <x v="0"/>
    <x v="38"/>
    <n v="61"/>
  </r>
  <r>
    <x v="16"/>
    <x v="4"/>
    <x v="2"/>
    <n v="1920"/>
    <x v="0"/>
    <x v="38"/>
    <n v="15"/>
  </r>
  <r>
    <x v="18"/>
    <x v="4"/>
    <x v="3"/>
    <n v="1989"/>
    <x v="0"/>
    <x v="38"/>
    <n v="107"/>
  </r>
  <r>
    <x v="19"/>
    <x v="6"/>
    <x v="3"/>
    <n v="1948"/>
    <x v="0"/>
    <x v="38"/>
    <n v="31"/>
  </r>
  <r>
    <x v="20"/>
    <x v="0"/>
    <x v="0"/>
    <n v="1970"/>
    <x v="2"/>
    <x v="38"/>
    <n v="1249"/>
  </r>
  <r>
    <x v="21"/>
    <x v="10"/>
    <x v="0"/>
    <n v="1944"/>
    <x v="2"/>
    <x v="38"/>
    <n v="1267"/>
  </r>
  <r>
    <x v="22"/>
    <x v="6"/>
    <x v="3"/>
    <n v="1922"/>
    <x v="0"/>
    <x v="38"/>
    <n v="0"/>
  </r>
  <r>
    <x v="23"/>
    <x v="9"/>
    <x v="0"/>
    <n v="1964"/>
    <x v="2"/>
    <x v="38"/>
    <n v="254"/>
  </r>
  <r>
    <x v="24"/>
    <x v="4"/>
    <x v="2"/>
    <n v="1916"/>
    <x v="0"/>
    <x v="38"/>
    <n v="14"/>
  </r>
  <r>
    <x v="25"/>
    <x v="4"/>
    <x v="3"/>
    <n v="1989"/>
    <x v="0"/>
    <x v="38"/>
    <n v="24"/>
  </r>
  <r>
    <x v="26"/>
    <x v="10"/>
    <x v="0"/>
    <n v="1967"/>
    <x v="2"/>
    <x v="38"/>
    <n v="3280"/>
  </r>
  <r>
    <x v="38"/>
    <x v="9"/>
    <x v="0"/>
    <n v="2013"/>
    <x v="2"/>
    <x v="38"/>
    <n v="195"/>
  </r>
  <r>
    <x v="41"/>
    <x v="9"/>
    <x v="0"/>
    <n v="1986"/>
    <x v="2"/>
    <x v="38"/>
    <n v="0"/>
  </r>
  <r>
    <x v="27"/>
    <x v="9"/>
    <x v="0"/>
    <n v="1996"/>
    <x v="0"/>
    <x v="38"/>
    <n v="0"/>
  </r>
  <r>
    <x v="39"/>
    <x v="9"/>
    <x v="0"/>
    <n v="1953"/>
    <x v="0"/>
    <x v="38"/>
    <n v="0"/>
  </r>
  <r>
    <x v="29"/>
    <x v="9"/>
    <x v="0"/>
    <n v="1969"/>
    <x v="0"/>
    <x v="38"/>
    <n v="0"/>
  </r>
  <r>
    <x v="30"/>
    <x v="10"/>
    <x v="0"/>
    <n v="1967"/>
    <x v="0"/>
    <x v="38"/>
    <n v="0"/>
  </r>
  <r>
    <x v="31"/>
    <x v="11"/>
    <x v="0"/>
    <n v="1911"/>
    <x v="2"/>
    <x v="38"/>
    <n v="1743"/>
  </r>
  <r>
    <x v="40"/>
    <x v="9"/>
    <x v="0"/>
    <n v="1997"/>
    <x v="2"/>
    <x v="38"/>
    <n v="239"/>
  </r>
  <r>
    <x v="42"/>
    <x v="9"/>
    <x v="0"/>
    <n v="1862"/>
    <x v="0"/>
    <x v="38"/>
    <n v="0"/>
  </r>
  <r>
    <x v="32"/>
    <x v="11"/>
    <x v="3"/>
    <n v="1902"/>
    <x v="0"/>
    <x v="38"/>
    <n v="20"/>
  </r>
  <r>
    <x v="33"/>
    <x v="3"/>
    <x v="3"/>
    <n v="1916"/>
    <x v="0"/>
    <x v="38"/>
    <n v="147"/>
  </r>
  <r>
    <x v="34"/>
    <x v="3"/>
    <x v="3"/>
    <n v="1932"/>
    <x v="0"/>
    <x v="38"/>
    <n v="27"/>
  </r>
  <r>
    <x v="0"/>
    <x v="0"/>
    <x v="0"/>
    <n v="1941"/>
    <x v="0"/>
    <x v="39"/>
    <n v="89"/>
  </r>
  <r>
    <x v="1"/>
    <x v="1"/>
    <x v="1"/>
    <s v="-"/>
    <x v="1"/>
    <x v="39"/>
    <n v="1"/>
  </r>
  <r>
    <x v="2"/>
    <x v="2"/>
    <x v="2"/>
    <n v="1927"/>
    <x v="0"/>
    <x v="39"/>
    <n v="5"/>
  </r>
  <r>
    <x v="3"/>
    <x v="3"/>
    <x v="2"/>
    <n v="1937"/>
    <x v="0"/>
    <x v="39"/>
    <n v="118"/>
  </r>
  <r>
    <x v="4"/>
    <x v="4"/>
    <x v="2"/>
    <n v="1937"/>
    <x v="0"/>
    <x v="39"/>
    <n v="944"/>
  </r>
  <r>
    <x v="5"/>
    <x v="4"/>
    <x v="2"/>
    <n v="1953"/>
    <x v="0"/>
    <x v="39"/>
    <n v="56"/>
  </r>
  <r>
    <x v="8"/>
    <x v="7"/>
    <x v="0"/>
    <n v="1899"/>
    <x v="2"/>
    <x v="39"/>
    <n v="102"/>
  </r>
  <r>
    <x v="10"/>
    <x v="3"/>
    <x v="3"/>
    <n v="1931"/>
    <x v="0"/>
    <x v="39"/>
    <n v="18"/>
  </r>
  <r>
    <x v="12"/>
    <x v="4"/>
    <x v="2"/>
    <n v="1933"/>
    <x v="0"/>
    <x v="39"/>
    <n v="58"/>
  </r>
  <r>
    <x v="13"/>
    <x v="4"/>
    <x v="2"/>
    <n v="1870"/>
    <x v="0"/>
    <x v="39"/>
    <n v="31"/>
  </r>
  <r>
    <x v="14"/>
    <x v="6"/>
    <x v="3"/>
    <n v="1959"/>
    <x v="0"/>
    <x v="39"/>
    <n v="4"/>
  </r>
  <r>
    <x v="15"/>
    <x v="3"/>
    <x v="3"/>
    <n v="1926"/>
    <x v="0"/>
    <x v="39"/>
    <n v="38"/>
  </r>
  <r>
    <x v="16"/>
    <x v="4"/>
    <x v="2"/>
    <n v="1920"/>
    <x v="0"/>
    <x v="39"/>
    <n v="0"/>
  </r>
  <r>
    <x v="18"/>
    <x v="4"/>
    <x v="3"/>
    <n v="1989"/>
    <x v="0"/>
    <x v="39"/>
    <n v="274"/>
  </r>
  <r>
    <x v="19"/>
    <x v="6"/>
    <x v="3"/>
    <n v="1948"/>
    <x v="0"/>
    <x v="39"/>
    <n v="0"/>
  </r>
  <r>
    <x v="20"/>
    <x v="0"/>
    <x v="0"/>
    <n v="1970"/>
    <x v="2"/>
    <x v="39"/>
    <n v="778"/>
  </r>
  <r>
    <x v="21"/>
    <x v="10"/>
    <x v="0"/>
    <n v="1944"/>
    <x v="2"/>
    <x v="39"/>
    <n v="969"/>
  </r>
  <r>
    <x v="22"/>
    <x v="6"/>
    <x v="3"/>
    <n v="1922"/>
    <x v="0"/>
    <x v="39"/>
    <n v="0"/>
  </r>
  <r>
    <x v="23"/>
    <x v="9"/>
    <x v="0"/>
    <n v="1964"/>
    <x v="2"/>
    <x v="39"/>
    <n v="234"/>
  </r>
  <r>
    <x v="24"/>
    <x v="4"/>
    <x v="2"/>
    <n v="1916"/>
    <x v="0"/>
    <x v="39"/>
    <n v="1"/>
  </r>
  <r>
    <x v="25"/>
    <x v="4"/>
    <x v="3"/>
    <n v="1989"/>
    <x v="0"/>
    <x v="39"/>
    <n v="28"/>
  </r>
  <r>
    <x v="26"/>
    <x v="10"/>
    <x v="0"/>
    <n v="1967"/>
    <x v="2"/>
    <x v="39"/>
    <n v="1833"/>
  </r>
  <r>
    <x v="38"/>
    <x v="9"/>
    <x v="0"/>
    <n v="2013"/>
    <x v="2"/>
    <x v="39"/>
    <n v="13"/>
  </r>
  <r>
    <x v="41"/>
    <x v="9"/>
    <x v="0"/>
    <n v="1986"/>
    <x v="2"/>
    <x v="39"/>
    <n v="0"/>
  </r>
  <r>
    <x v="27"/>
    <x v="9"/>
    <x v="0"/>
    <n v="1996"/>
    <x v="0"/>
    <x v="39"/>
    <n v="0"/>
  </r>
  <r>
    <x v="39"/>
    <x v="9"/>
    <x v="0"/>
    <n v="1953"/>
    <x v="0"/>
    <x v="39"/>
    <n v="28"/>
  </r>
  <r>
    <x v="29"/>
    <x v="9"/>
    <x v="0"/>
    <n v="1969"/>
    <x v="0"/>
    <x v="39"/>
    <n v="0"/>
  </r>
  <r>
    <x v="30"/>
    <x v="10"/>
    <x v="0"/>
    <n v="1967"/>
    <x v="0"/>
    <x v="39"/>
    <n v="0"/>
  </r>
  <r>
    <x v="31"/>
    <x v="11"/>
    <x v="0"/>
    <n v="1911"/>
    <x v="2"/>
    <x v="39"/>
    <n v="2993"/>
  </r>
  <r>
    <x v="40"/>
    <x v="9"/>
    <x v="0"/>
    <n v="1997"/>
    <x v="2"/>
    <x v="39"/>
    <n v="166"/>
  </r>
  <r>
    <x v="42"/>
    <x v="9"/>
    <x v="0"/>
    <n v="1862"/>
    <x v="0"/>
    <x v="39"/>
    <n v="0"/>
  </r>
  <r>
    <x v="32"/>
    <x v="11"/>
    <x v="3"/>
    <n v="1902"/>
    <x v="0"/>
    <x v="39"/>
    <n v="22"/>
  </r>
  <r>
    <x v="33"/>
    <x v="3"/>
    <x v="3"/>
    <n v="1916"/>
    <x v="0"/>
    <x v="39"/>
    <n v="44"/>
  </r>
  <r>
    <x v="34"/>
    <x v="3"/>
    <x v="3"/>
    <n v="1932"/>
    <x v="0"/>
    <x v="39"/>
    <n v="8"/>
  </r>
  <r>
    <x v="0"/>
    <x v="0"/>
    <x v="0"/>
    <n v="1941"/>
    <x v="0"/>
    <x v="40"/>
    <n v="56"/>
  </r>
  <r>
    <x v="1"/>
    <x v="1"/>
    <x v="1"/>
    <s v="-"/>
    <x v="1"/>
    <x v="40"/>
    <n v="24"/>
  </r>
  <r>
    <x v="2"/>
    <x v="2"/>
    <x v="2"/>
    <n v="1927"/>
    <x v="0"/>
    <x v="40"/>
    <n v="0"/>
  </r>
  <r>
    <x v="3"/>
    <x v="3"/>
    <x v="2"/>
    <n v="1937"/>
    <x v="0"/>
    <x v="40"/>
    <n v="55"/>
  </r>
  <r>
    <x v="4"/>
    <x v="4"/>
    <x v="2"/>
    <n v="1937"/>
    <x v="0"/>
    <x v="40"/>
    <n v="655"/>
  </r>
  <r>
    <x v="5"/>
    <x v="4"/>
    <x v="2"/>
    <n v="1953"/>
    <x v="0"/>
    <x v="40"/>
    <n v="23"/>
  </r>
  <r>
    <x v="8"/>
    <x v="7"/>
    <x v="0"/>
    <n v="1899"/>
    <x v="2"/>
    <x v="40"/>
    <n v="81"/>
  </r>
  <r>
    <x v="10"/>
    <x v="3"/>
    <x v="3"/>
    <n v="1931"/>
    <x v="0"/>
    <x v="40"/>
    <n v="10"/>
  </r>
  <r>
    <x v="12"/>
    <x v="4"/>
    <x v="2"/>
    <n v="1933"/>
    <x v="0"/>
    <x v="40"/>
    <n v="41"/>
  </r>
  <r>
    <x v="13"/>
    <x v="4"/>
    <x v="2"/>
    <n v="1870"/>
    <x v="0"/>
    <x v="40"/>
    <n v="32"/>
  </r>
  <r>
    <x v="14"/>
    <x v="6"/>
    <x v="3"/>
    <n v="1959"/>
    <x v="0"/>
    <x v="40"/>
    <n v="0"/>
  </r>
  <r>
    <x v="15"/>
    <x v="3"/>
    <x v="3"/>
    <n v="1926"/>
    <x v="0"/>
    <x v="40"/>
    <n v="21"/>
  </r>
  <r>
    <x v="16"/>
    <x v="4"/>
    <x v="2"/>
    <n v="1920"/>
    <x v="0"/>
    <x v="40"/>
    <n v="7"/>
  </r>
  <r>
    <x v="18"/>
    <x v="4"/>
    <x v="3"/>
    <n v="1989"/>
    <x v="0"/>
    <x v="40"/>
    <n v="270"/>
  </r>
  <r>
    <x v="19"/>
    <x v="6"/>
    <x v="3"/>
    <n v="1948"/>
    <x v="0"/>
    <x v="40"/>
    <n v="0"/>
  </r>
  <r>
    <x v="20"/>
    <x v="0"/>
    <x v="0"/>
    <n v="1970"/>
    <x v="2"/>
    <x v="40"/>
    <n v="834"/>
  </r>
  <r>
    <x v="21"/>
    <x v="10"/>
    <x v="0"/>
    <n v="1944"/>
    <x v="2"/>
    <x v="40"/>
    <n v="904"/>
  </r>
  <r>
    <x v="22"/>
    <x v="6"/>
    <x v="3"/>
    <n v="1922"/>
    <x v="0"/>
    <x v="40"/>
    <n v="0"/>
  </r>
  <r>
    <x v="23"/>
    <x v="9"/>
    <x v="0"/>
    <n v="1964"/>
    <x v="2"/>
    <x v="40"/>
    <n v="341"/>
  </r>
  <r>
    <x v="24"/>
    <x v="4"/>
    <x v="2"/>
    <n v="1916"/>
    <x v="0"/>
    <x v="40"/>
    <n v="0"/>
  </r>
  <r>
    <x v="25"/>
    <x v="4"/>
    <x v="3"/>
    <n v="1989"/>
    <x v="0"/>
    <x v="40"/>
    <n v="26"/>
  </r>
  <r>
    <x v="26"/>
    <x v="10"/>
    <x v="0"/>
    <n v="1967"/>
    <x v="2"/>
    <x v="40"/>
    <n v="1774"/>
  </r>
  <r>
    <x v="38"/>
    <x v="9"/>
    <x v="0"/>
    <n v="2013"/>
    <x v="2"/>
    <x v="40"/>
    <n v="3"/>
  </r>
  <r>
    <x v="41"/>
    <x v="9"/>
    <x v="0"/>
    <n v="1986"/>
    <x v="2"/>
    <x v="40"/>
    <n v="0"/>
  </r>
  <r>
    <x v="27"/>
    <x v="9"/>
    <x v="0"/>
    <n v="1996"/>
    <x v="0"/>
    <x v="40"/>
    <n v="0"/>
  </r>
  <r>
    <x v="39"/>
    <x v="9"/>
    <x v="0"/>
    <n v="1953"/>
    <x v="0"/>
    <x v="40"/>
    <n v="1"/>
  </r>
  <r>
    <x v="29"/>
    <x v="9"/>
    <x v="0"/>
    <n v="1969"/>
    <x v="0"/>
    <x v="40"/>
    <n v="0"/>
  </r>
  <r>
    <x v="30"/>
    <x v="10"/>
    <x v="0"/>
    <n v="1967"/>
    <x v="0"/>
    <x v="40"/>
    <n v="0"/>
  </r>
  <r>
    <x v="31"/>
    <x v="11"/>
    <x v="0"/>
    <n v="1911"/>
    <x v="2"/>
    <x v="40"/>
    <n v="2654"/>
  </r>
  <r>
    <x v="40"/>
    <x v="9"/>
    <x v="0"/>
    <n v="1997"/>
    <x v="2"/>
    <x v="40"/>
    <n v="322"/>
  </r>
  <r>
    <x v="42"/>
    <x v="9"/>
    <x v="0"/>
    <n v="1862"/>
    <x v="0"/>
    <x v="40"/>
    <n v="0"/>
  </r>
  <r>
    <x v="32"/>
    <x v="11"/>
    <x v="3"/>
    <n v="1902"/>
    <x v="0"/>
    <x v="40"/>
    <n v="9"/>
  </r>
  <r>
    <x v="33"/>
    <x v="3"/>
    <x v="3"/>
    <n v="1916"/>
    <x v="0"/>
    <x v="40"/>
    <n v="36"/>
  </r>
  <r>
    <x v="34"/>
    <x v="3"/>
    <x v="3"/>
    <n v="1932"/>
    <x v="0"/>
    <x v="40"/>
    <n v="7"/>
  </r>
  <r>
    <x v="0"/>
    <x v="0"/>
    <x v="0"/>
    <n v="1941"/>
    <x v="0"/>
    <x v="41"/>
    <n v="60"/>
  </r>
  <r>
    <x v="1"/>
    <x v="1"/>
    <x v="1"/>
    <s v="-"/>
    <x v="1"/>
    <x v="41"/>
    <n v="56"/>
  </r>
  <r>
    <x v="2"/>
    <x v="2"/>
    <x v="2"/>
    <n v="1927"/>
    <x v="0"/>
    <x v="41"/>
    <n v="0"/>
  </r>
  <r>
    <x v="3"/>
    <x v="3"/>
    <x v="2"/>
    <n v="1937"/>
    <x v="0"/>
    <x v="41"/>
    <n v="0"/>
  </r>
  <r>
    <x v="4"/>
    <x v="4"/>
    <x v="2"/>
    <n v="1937"/>
    <x v="0"/>
    <x v="41"/>
    <n v="766"/>
  </r>
  <r>
    <x v="5"/>
    <x v="4"/>
    <x v="2"/>
    <n v="1953"/>
    <x v="0"/>
    <x v="41"/>
    <n v="0"/>
  </r>
  <r>
    <x v="8"/>
    <x v="7"/>
    <x v="0"/>
    <n v="1899"/>
    <x v="2"/>
    <x v="41"/>
    <n v="73"/>
  </r>
  <r>
    <x v="10"/>
    <x v="3"/>
    <x v="3"/>
    <n v="1931"/>
    <x v="0"/>
    <x v="41"/>
    <n v="26"/>
  </r>
  <r>
    <x v="12"/>
    <x v="4"/>
    <x v="2"/>
    <n v="1933"/>
    <x v="0"/>
    <x v="41"/>
    <n v="47"/>
  </r>
  <r>
    <x v="13"/>
    <x v="4"/>
    <x v="2"/>
    <n v="1870"/>
    <x v="0"/>
    <x v="41"/>
    <n v="25"/>
  </r>
  <r>
    <x v="14"/>
    <x v="6"/>
    <x v="3"/>
    <n v="1959"/>
    <x v="0"/>
    <x v="41"/>
    <n v="0"/>
  </r>
  <r>
    <x v="15"/>
    <x v="3"/>
    <x v="3"/>
    <n v="1926"/>
    <x v="0"/>
    <x v="41"/>
    <n v="5"/>
  </r>
  <r>
    <x v="16"/>
    <x v="4"/>
    <x v="2"/>
    <n v="1920"/>
    <x v="0"/>
    <x v="41"/>
    <n v="15"/>
  </r>
  <r>
    <x v="18"/>
    <x v="4"/>
    <x v="3"/>
    <n v="1989"/>
    <x v="0"/>
    <x v="41"/>
    <n v="335"/>
  </r>
  <r>
    <x v="19"/>
    <x v="6"/>
    <x v="3"/>
    <n v="1948"/>
    <x v="0"/>
    <x v="41"/>
    <n v="0"/>
  </r>
  <r>
    <x v="20"/>
    <x v="0"/>
    <x v="0"/>
    <n v="1970"/>
    <x v="2"/>
    <x v="41"/>
    <n v="1132"/>
  </r>
  <r>
    <x v="21"/>
    <x v="10"/>
    <x v="0"/>
    <n v="1944"/>
    <x v="2"/>
    <x v="41"/>
    <n v="1324"/>
  </r>
  <r>
    <x v="22"/>
    <x v="6"/>
    <x v="3"/>
    <n v="1922"/>
    <x v="0"/>
    <x v="41"/>
    <n v="0"/>
  </r>
  <r>
    <x v="23"/>
    <x v="9"/>
    <x v="0"/>
    <n v="1964"/>
    <x v="2"/>
    <x v="41"/>
    <n v="367"/>
  </r>
  <r>
    <x v="24"/>
    <x v="4"/>
    <x v="2"/>
    <n v="1916"/>
    <x v="0"/>
    <x v="41"/>
    <n v="0"/>
  </r>
  <r>
    <x v="25"/>
    <x v="4"/>
    <x v="3"/>
    <n v="1989"/>
    <x v="0"/>
    <x v="41"/>
    <n v="23"/>
  </r>
  <r>
    <x v="26"/>
    <x v="10"/>
    <x v="0"/>
    <n v="1967"/>
    <x v="2"/>
    <x v="41"/>
    <n v="2607"/>
  </r>
  <r>
    <x v="38"/>
    <x v="9"/>
    <x v="0"/>
    <n v="2013"/>
    <x v="2"/>
    <x v="41"/>
    <n v="48"/>
  </r>
  <r>
    <x v="41"/>
    <x v="9"/>
    <x v="0"/>
    <n v="1986"/>
    <x v="2"/>
    <x v="41"/>
    <n v="0"/>
  </r>
  <r>
    <x v="27"/>
    <x v="9"/>
    <x v="0"/>
    <n v="1996"/>
    <x v="0"/>
    <x v="41"/>
    <n v="0"/>
  </r>
  <r>
    <x v="39"/>
    <x v="9"/>
    <x v="0"/>
    <n v="1953"/>
    <x v="0"/>
    <x v="41"/>
    <n v="7"/>
  </r>
  <r>
    <x v="29"/>
    <x v="9"/>
    <x v="0"/>
    <n v="1969"/>
    <x v="0"/>
    <x v="41"/>
    <n v="0"/>
  </r>
  <r>
    <x v="30"/>
    <x v="10"/>
    <x v="0"/>
    <n v="1967"/>
    <x v="0"/>
    <x v="41"/>
    <n v="0"/>
  </r>
  <r>
    <x v="31"/>
    <x v="11"/>
    <x v="0"/>
    <n v="1911"/>
    <x v="2"/>
    <x v="41"/>
    <n v="4080"/>
  </r>
  <r>
    <x v="40"/>
    <x v="9"/>
    <x v="0"/>
    <n v="1997"/>
    <x v="2"/>
    <x v="41"/>
    <n v="453"/>
  </r>
  <r>
    <x v="42"/>
    <x v="9"/>
    <x v="0"/>
    <n v="1862"/>
    <x v="0"/>
    <x v="41"/>
    <n v="0"/>
  </r>
  <r>
    <x v="32"/>
    <x v="11"/>
    <x v="3"/>
    <n v="1902"/>
    <x v="0"/>
    <x v="41"/>
    <n v="7"/>
  </r>
  <r>
    <x v="33"/>
    <x v="3"/>
    <x v="3"/>
    <n v="1916"/>
    <x v="0"/>
    <x v="41"/>
    <n v="33"/>
  </r>
  <r>
    <x v="34"/>
    <x v="3"/>
    <x v="3"/>
    <n v="1932"/>
    <x v="0"/>
    <x v="41"/>
    <n v="7"/>
  </r>
  <r>
    <x v="0"/>
    <x v="0"/>
    <x v="0"/>
    <n v="1941"/>
    <x v="0"/>
    <x v="42"/>
    <n v="36"/>
  </r>
  <r>
    <x v="1"/>
    <x v="1"/>
    <x v="1"/>
    <s v="-"/>
    <x v="1"/>
    <x v="42"/>
    <n v="37"/>
  </r>
  <r>
    <x v="2"/>
    <x v="2"/>
    <x v="2"/>
    <n v="1927"/>
    <x v="0"/>
    <x v="42"/>
    <n v="0"/>
  </r>
  <r>
    <x v="3"/>
    <x v="3"/>
    <x v="2"/>
    <n v="1937"/>
    <x v="0"/>
    <x v="42"/>
    <n v="27"/>
  </r>
  <r>
    <x v="4"/>
    <x v="4"/>
    <x v="2"/>
    <n v="1937"/>
    <x v="0"/>
    <x v="42"/>
    <n v="905"/>
  </r>
  <r>
    <x v="5"/>
    <x v="4"/>
    <x v="2"/>
    <n v="1953"/>
    <x v="0"/>
    <x v="42"/>
    <n v="48"/>
  </r>
  <r>
    <x v="8"/>
    <x v="7"/>
    <x v="0"/>
    <n v="1899"/>
    <x v="2"/>
    <x v="42"/>
    <n v="116"/>
  </r>
  <r>
    <x v="10"/>
    <x v="3"/>
    <x v="3"/>
    <n v="1931"/>
    <x v="0"/>
    <x v="42"/>
    <n v="29"/>
  </r>
  <r>
    <x v="12"/>
    <x v="4"/>
    <x v="2"/>
    <n v="1933"/>
    <x v="0"/>
    <x v="42"/>
    <n v="44"/>
  </r>
  <r>
    <x v="13"/>
    <x v="4"/>
    <x v="2"/>
    <n v="1870"/>
    <x v="0"/>
    <x v="42"/>
    <n v="20"/>
  </r>
  <r>
    <x v="14"/>
    <x v="6"/>
    <x v="3"/>
    <n v="1959"/>
    <x v="0"/>
    <x v="42"/>
    <n v="0"/>
  </r>
  <r>
    <x v="15"/>
    <x v="3"/>
    <x v="3"/>
    <n v="1926"/>
    <x v="0"/>
    <x v="42"/>
    <n v="38"/>
  </r>
  <r>
    <x v="16"/>
    <x v="4"/>
    <x v="2"/>
    <n v="1920"/>
    <x v="0"/>
    <x v="42"/>
    <n v="2"/>
  </r>
  <r>
    <x v="18"/>
    <x v="4"/>
    <x v="3"/>
    <n v="1989"/>
    <x v="0"/>
    <x v="42"/>
    <n v="341"/>
  </r>
  <r>
    <x v="19"/>
    <x v="6"/>
    <x v="3"/>
    <n v="1948"/>
    <x v="0"/>
    <x v="42"/>
    <n v="0"/>
  </r>
  <r>
    <x v="20"/>
    <x v="0"/>
    <x v="0"/>
    <n v="1970"/>
    <x v="2"/>
    <x v="42"/>
    <n v="664"/>
  </r>
  <r>
    <x v="21"/>
    <x v="10"/>
    <x v="0"/>
    <n v="1944"/>
    <x v="2"/>
    <x v="42"/>
    <n v="1346"/>
  </r>
  <r>
    <x v="22"/>
    <x v="6"/>
    <x v="3"/>
    <n v="1922"/>
    <x v="0"/>
    <x v="42"/>
    <n v="0"/>
  </r>
  <r>
    <x v="23"/>
    <x v="9"/>
    <x v="0"/>
    <n v="1964"/>
    <x v="2"/>
    <x v="42"/>
    <n v="324"/>
  </r>
  <r>
    <x v="24"/>
    <x v="4"/>
    <x v="2"/>
    <n v="1916"/>
    <x v="0"/>
    <x v="42"/>
    <n v="0"/>
  </r>
  <r>
    <x v="25"/>
    <x v="4"/>
    <x v="3"/>
    <n v="1989"/>
    <x v="0"/>
    <x v="42"/>
    <n v="16"/>
  </r>
  <r>
    <x v="26"/>
    <x v="10"/>
    <x v="0"/>
    <n v="1967"/>
    <x v="2"/>
    <x v="42"/>
    <n v="2658"/>
  </r>
  <r>
    <x v="38"/>
    <x v="9"/>
    <x v="0"/>
    <n v="2013"/>
    <x v="2"/>
    <x v="42"/>
    <n v="33"/>
  </r>
  <r>
    <x v="41"/>
    <x v="9"/>
    <x v="0"/>
    <n v="1986"/>
    <x v="2"/>
    <x v="42"/>
    <n v="0"/>
  </r>
  <r>
    <x v="27"/>
    <x v="9"/>
    <x v="0"/>
    <n v="1996"/>
    <x v="0"/>
    <x v="42"/>
    <n v="0"/>
  </r>
  <r>
    <x v="39"/>
    <x v="9"/>
    <x v="0"/>
    <n v="1953"/>
    <x v="0"/>
    <x v="42"/>
    <n v="7"/>
  </r>
  <r>
    <x v="29"/>
    <x v="9"/>
    <x v="0"/>
    <n v="1969"/>
    <x v="0"/>
    <x v="42"/>
    <n v="0"/>
  </r>
  <r>
    <x v="30"/>
    <x v="10"/>
    <x v="0"/>
    <n v="1967"/>
    <x v="0"/>
    <x v="42"/>
    <n v="0"/>
  </r>
  <r>
    <x v="31"/>
    <x v="11"/>
    <x v="0"/>
    <n v="1911"/>
    <x v="2"/>
    <x v="42"/>
    <n v="4030"/>
  </r>
  <r>
    <x v="40"/>
    <x v="9"/>
    <x v="0"/>
    <n v="1997"/>
    <x v="2"/>
    <x v="42"/>
    <n v="538"/>
  </r>
  <r>
    <x v="42"/>
    <x v="9"/>
    <x v="0"/>
    <n v="1862"/>
    <x v="0"/>
    <x v="42"/>
    <n v="0"/>
  </r>
  <r>
    <x v="32"/>
    <x v="11"/>
    <x v="3"/>
    <n v="1902"/>
    <x v="0"/>
    <x v="42"/>
    <n v="3"/>
  </r>
  <r>
    <x v="33"/>
    <x v="3"/>
    <x v="3"/>
    <n v="1916"/>
    <x v="0"/>
    <x v="42"/>
    <n v="21"/>
  </r>
  <r>
    <x v="34"/>
    <x v="3"/>
    <x v="3"/>
    <n v="1932"/>
    <x v="0"/>
    <x v="42"/>
    <n v="9"/>
  </r>
  <r>
    <x v="0"/>
    <x v="0"/>
    <x v="0"/>
    <n v="1941"/>
    <x v="0"/>
    <x v="43"/>
    <n v="58"/>
  </r>
  <r>
    <x v="1"/>
    <x v="1"/>
    <x v="1"/>
    <s v="-"/>
    <x v="1"/>
    <x v="43"/>
    <n v="10"/>
  </r>
  <r>
    <x v="2"/>
    <x v="2"/>
    <x v="2"/>
    <n v="1927"/>
    <x v="0"/>
    <x v="43"/>
    <n v="0"/>
  </r>
  <r>
    <x v="3"/>
    <x v="3"/>
    <x v="2"/>
    <n v="1937"/>
    <x v="0"/>
    <x v="43"/>
    <n v="26"/>
  </r>
  <r>
    <x v="4"/>
    <x v="4"/>
    <x v="2"/>
    <n v="1937"/>
    <x v="0"/>
    <x v="43"/>
    <n v="1004"/>
  </r>
  <r>
    <x v="5"/>
    <x v="4"/>
    <x v="2"/>
    <n v="1953"/>
    <x v="0"/>
    <x v="43"/>
    <n v="21"/>
  </r>
  <r>
    <x v="8"/>
    <x v="7"/>
    <x v="0"/>
    <n v="1899"/>
    <x v="2"/>
    <x v="43"/>
    <n v="51"/>
  </r>
  <r>
    <x v="10"/>
    <x v="3"/>
    <x v="3"/>
    <n v="1931"/>
    <x v="0"/>
    <x v="43"/>
    <n v="40"/>
  </r>
  <r>
    <x v="12"/>
    <x v="4"/>
    <x v="2"/>
    <n v="1933"/>
    <x v="0"/>
    <x v="43"/>
    <n v="45"/>
  </r>
  <r>
    <x v="13"/>
    <x v="4"/>
    <x v="2"/>
    <n v="1870"/>
    <x v="0"/>
    <x v="43"/>
    <n v="4"/>
  </r>
  <r>
    <x v="14"/>
    <x v="6"/>
    <x v="3"/>
    <n v="1959"/>
    <x v="0"/>
    <x v="43"/>
    <n v="0"/>
  </r>
  <r>
    <x v="15"/>
    <x v="3"/>
    <x v="3"/>
    <n v="1926"/>
    <x v="0"/>
    <x v="43"/>
    <n v="61"/>
  </r>
  <r>
    <x v="16"/>
    <x v="4"/>
    <x v="2"/>
    <n v="1920"/>
    <x v="0"/>
    <x v="43"/>
    <n v="2"/>
  </r>
  <r>
    <x v="18"/>
    <x v="4"/>
    <x v="3"/>
    <n v="1989"/>
    <x v="0"/>
    <x v="43"/>
    <n v="248"/>
  </r>
  <r>
    <x v="19"/>
    <x v="6"/>
    <x v="3"/>
    <n v="1948"/>
    <x v="0"/>
    <x v="43"/>
    <n v="0"/>
  </r>
  <r>
    <x v="20"/>
    <x v="0"/>
    <x v="0"/>
    <n v="1970"/>
    <x v="2"/>
    <x v="43"/>
    <n v="584"/>
  </r>
  <r>
    <x v="21"/>
    <x v="10"/>
    <x v="0"/>
    <n v="1944"/>
    <x v="2"/>
    <x v="43"/>
    <n v="1497"/>
  </r>
  <r>
    <x v="22"/>
    <x v="6"/>
    <x v="3"/>
    <n v="1922"/>
    <x v="0"/>
    <x v="43"/>
    <n v="0"/>
  </r>
  <r>
    <x v="23"/>
    <x v="9"/>
    <x v="0"/>
    <n v="1964"/>
    <x v="2"/>
    <x v="43"/>
    <n v="363"/>
  </r>
  <r>
    <x v="24"/>
    <x v="4"/>
    <x v="2"/>
    <n v="1916"/>
    <x v="0"/>
    <x v="43"/>
    <n v="0"/>
  </r>
  <r>
    <x v="25"/>
    <x v="4"/>
    <x v="3"/>
    <n v="1989"/>
    <x v="0"/>
    <x v="43"/>
    <n v="7"/>
  </r>
  <r>
    <x v="26"/>
    <x v="10"/>
    <x v="0"/>
    <n v="1967"/>
    <x v="2"/>
    <x v="43"/>
    <n v="2383"/>
  </r>
  <r>
    <x v="38"/>
    <x v="9"/>
    <x v="0"/>
    <n v="2013"/>
    <x v="2"/>
    <x v="43"/>
    <n v="35"/>
  </r>
  <r>
    <x v="41"/>
    <x v="9"/>
    <x v="0"/>
    <n v="1986"/>
    <x v="2"/>
    <x v="43"/>
    <n v="0"/>
  </r>
  <r>
    <x v="27"/>
    <x v="9"/>
    <x v="0"/>
    <n v="1996"/>
    <x v="0"/>
    <x v="43"/>
    <n v="5"/>
  </r>
  <r>
    <x v="39"/>
    <x v="9"/>
    <x v="0"/>
    <n v="1953"/>
    <x v="0"/>
    <x v="43"/>
    <n v="16"/>
  </r>
  <r>
    <x v="29"/>
    <x v="9"/>
    <x v="0"/>
    <n v="1969"/>
    <x v="0"/>
    <x v="43"/>
    <n v="5"/>
  </r>
  <r>
    <x v="30"/>
    <x v="10"/>
    <x v="0"/>
    <n v="1967"/>
    <x v="0"/>
    <x v="43"/>
    <n v="0"/>
  </r>
  <r>
    <x v="31"/>
    <x v="11"/>
    <x v="0"/>
    <n v="1911"/>
    <x v="2"/>
    <x v="43"/>
    <n v="3861"/>
  </r>
  <r>
    <x v="40"/>
    <x v="9"/>
    <x v="0"/>
    <n v="1997"/>
    <x v="2"/>
    <x v="43"/>
    <n v="786"/>
  </r>
  <r>
    <x v="42"/>
    <x v="9"/>
    <x v="0"/>
    <n v="1862"/>
    <x v="0"/>
    <x v="43"/>
    <n v="0"/>
  </r>
  <r>
    <x v="32"/>
    <x v="11"/>
    <x v="3"/>
    <n v="1902"/>
    <x v="0"/>
    <x v="43"/>
    <n v="8"/>
  </r>
  <r>
    <x v="33"/>
    <x v="3"/>
    <x v="3"/>
    <n v="1916"/>
    <x v="0"/>
    <x v="43"/>
    <n v="24"/>
  </r>
  <r>
    <x v="34"/>
    <x v="3"/>
    <x v="3"/>
    <n v="1932"/>
    <x v="0"/>
    <x v="43"/>
    <n v="22"/>
  </r>
  <r>
    <x v="0"/>
    <x v="0"/>
    <x v="0"/>
    <n v="1941"/>
    <x v="0"/>
    <x v="44"/>
    <n v="49"/>
  </r>
  <r>
    <x v="1"/>
    <x v="1"/>
    <x v="1"/>
    <s v="-"/>
    <x v="1"/>
    <x v="44"/>
    <n v="80"/>
  </r>
  <r>
    <x v="2"/>
    <x v="2"/>
    <x v="2"/>
    <n v="1927"/>
    <x v="0"/>
    <x v="44"/>
    <n v="0"/>
  </r>
  <r>
    <x v="3"/>
    <x v="3"/>
    <x v="2"/>
    <n v="1937"/>
    <x v="0"/>
    <x v="44"/>
    <n v="38"/>
  </r>
  <r>
    <x v="4"/>
    <x v="4"/>
    <x v="2"/>
    <n v="1937"/>
    <x v="0"/>
    <x v="44"/>
    <n v="832"/>
  </r>
  <r>
    <x v="5"/>
    <x v="4"/>
    <x v="2"/>
    <n v="1953"/>
    <x v="0"/>
    <x v="44"/>
    <n v="115"/>
  </r>
  <r>
    <x v="8"/>
    <x v="7"/>
    <x v="0"/>
    <n v="1899"/>
    <x v="2"/>
    <x v="44"/>
    <n v="191"/>
  </r>
  <r>
    <x v="10"/>
    <x v="3"/>
    <x v="3"/>
    <n v="1931"/>
    <x v="0"/>
    <x v="44"/>
    <n v="22"/>
  </r>
  <r>
    <x v="12"/>
    <x v="4"/>
    <x v="2"/>
    <n v="1933"/>
    <x v="0"/>
    <x v="44"/>
    <n v="36"/>
  </r>
  <r>
    <x v="13"/>
    <x v="4"/>
    <x v="2"/>
    <n v="1870"/>
    <x v="0"/>
    <x v="44"/>
    <n v="0"/>
  </r>
  <r>
    <x v="14"/>
    <x v="6"/>
    <x v="3"/>
    <n v="1959"/>
    <x v="0"/>
    <x v="44"/>
    <n v="0"/>
  </r>
  <r>
    <x v="15"/>
    <x v="3"/>
    <x v="3"/>
    <n v="1926"/>
    <x v="0"/>
    <x v="44"/>
    <n v="40"/>
  </r>
  <r>
    <x v="16"/>
    <x v="4"/>
    <x v="2"/>
    <n v="1920"/>
    <x v="0"/>
    <x v="44"/>
    <n v="7"/>
  </r>
  <r>
    <x v="18"/>
    <x v="4"/>
    <x v="3"/>
    <n v="1989"/>
    <x v="0"/>
    <x v="44"/>
    <n v="274"/>
  </r>
  <r>
    <x v="19"/>
    <x v="6"/>
    <x v="3"/>
    <n v="1948"/>
    <x v="0"/>
    <x v="44"/>
    <n v="0"/>
  </r>
  <r>
    <x v="20"/>
    <x v="0"/>
    <x v="0"/>
    <n v="1970"/>
    <x v="2"/>
    <x v="44"/>
    <n v="379"/>
  </r>
  <r>
    <x v="21"/>
    <x v="10"/>
    <x v="0"/>
    <n v="1944"/>
    <x v="2"/>
    <x v="44"/>
    <n v="1312"/>
  </r>
  <r>
    <x v="22"/>
    <x v="6"/>
    <x v="3"/>
    <n v="1922"/>
    <x v="0"/>
    <x v="44"/>
    <n v="0"/>
  </r>
  <r>
    <x v="23"/>
    <x v="9"/>
    <x v="0"/>
    <n v="1964"/>
    <x v="2"/>
    <x v="44"/>
    <n v="393"/>
  </r>
  <r>
    <x v="24"/>
    <x v="4"/>
    <x v="2"/>
    <n v="1916"/>
    <x v="0"/>
    <x v="44"/>
    <n v="0"/>
  </r>
  <r>
    <x v="25"/>
    <x v="4"/>
    <x v="3"/>
    <n v="1989"/>
    <x v="0"/>
    <x v="44"/>
    <n v="14"/>
  </r>
  <r>
    <x v="26"/>
    <x v="10"/>
    <x v="0"/>
    <n v="1967"/>
    <x v="2"/>
    <x v="44"/>
    <n v="2754"/>
  </r>
  <r>
    <x v="38"/>
    <x v="9"/>
    <x v="0"/>
    <n v="2013"/>
    <x v="2"/>
    <x v="44"/>
    <n v="120"/>
  </r>
  <r>
    <x v="41"/>
    <x v="9"/>
    <x v="0"/>
    <n v="1986"/>
    <x v="2"/>
    <x v="44"/>
    <n v="0"/>
  </r>
  <r>
    <x v="27"/>
    <x v="9"/>
    <x v="0"/>
    <n v="1996"/>
    <x v="0"/>
    <x v="44"/>
    <n v="0"/>
  </r>
  <r>
    <x v="39"/>
    <x v="9"/>
    <x v="0"/>
    <n v="1953"/>
    <x v="0"/>
    <x v="44"/>
    <n v="39"/>
  </r>
  <r>
    <x v="29"/>
    <x v="9"/>
    <x v="0"/>
    <n v="1969"/>
    <x v="0"/>
    <x v="44"/>
    <n v="0"/>
  </r>
  <r>
    <x v="30"/>
    <x v="10"/>
    <x v="0"/>
    <n v="1967"/>
    <x v="0"/>
    <x v="44"/>
    <n v="7"/>
  </r>
  <r>
    <x v="31"/>
    <x v="11"/>
    <x v="0"/>
    <n v="1911"/>
    <x v="2"/>
    <x v="44"/>
    <n v="4023"/>
  </r>
  <r>
    <x v="40"/>
    <x v="9"/>
    <x v="0"/>
    <n v="1997"/>
    <x v="2"/>
    <x v="44"/>
    <n v="816"/>
  </r>
  <r>
    <x v="42"/>
    <x v="9"/>
    <x v="0"/>
    <n v="1862"/>
    <x v="0"/>
    <x v="44"/>
    <n v="0"/>
  </r>
  <r>
    <x v="32"/>
    <x v="11"/>
    <x v="3"/>
    <n v="1902"/>
    <x v="0"/>
    <x v="44"/>
    <n v="37"/>
  </r>
  <r>
    <x v="33"/>
    <x v="3"/>
    <x v="3"/>
    <n v="1916"/>
    <x v="0"/>
    <x v="44"/>
    <n v="18"/>
  </r>
  <r>
    <x v="34"/>
    <x v="3"/>
    <x v="3"/>
    <n v="1932"/>
    <x v="0"/>
    <x v="44"/>
    <n v="8"/>
  </r>
  <r>
    <x v="0"/>
    <x v="0"/>
    <x v="0"/>
    <n v="1941"/>
    <x v="0"/>
    <x v="45"/>
    <n v="64"/>
  </r>
  <r>
    <x v="1"/>
    <x v="1"/>
    <x v="1"/>
    <s v="-"/>
    <x v="1"/>
    <x v="45"/>
    <n v="73"/>
  </r>
  <r>
    <x v="2"/>
    <x v="2"/>
    <x v="2"/>
    <n v="1927"/>
    <x v="0"/>
    <x v="45"/>
    <n v="0"/>
  </r>
  <r>
    <x v="3"/>
    <x v="3"/>
    <x v="2"/>
    <n v="1937"/>
    <x v="0"/>
    <x v="45"/>
    <n v="10"/>
  </r>
  <r>
    <x v="4"/>
    <x v="4"/>
    <x v="2"/>
    <n v="1937"/>
    <x v="0"/>
    <x v="45"/>
    <n v="657"/>
  </r>
  <r>
    <x v="5"/>
    <x v="4"/>
    <x v="2"/>
    <n v="1953"/>
    <x v="0"/>
    <x v="45"/>
    <n v="111"/>
  </r>
  <r>
    <x v="8"/>
    <x v="7"/>
    <x v="0"/>
    <n v="1899"/>
    <x v="2"/>
    <x v="45"/>
    <n v="77"/>
  </r>
  <r>
    <x v="10"/>
    <x v="3"/>
    <x v="3"/>
    <n v="1931"/>
    <x v="0"/>
    <x v="45"/>
    <n v="34"/>
  </r>
  <r>
    <x v="12"/>
    <x v="4"/>
    <x v="2"/>
    <n v="1933"/>
    <x v="0"/>
    <x v="45"/>
    <n v="167"/>
  </r>
  <r>
    <x v="13"/>
    <x v="4"/>
    <x v="2"/>
    <n v="1870"/>
    <x v="0"/>
    <x v="45"/>
    <n v="62"/>
  </r>
  <r>
    <x v="14"/>
    <x v="6"/>
    <x v="3"/>
    <n v="1959"/>
    <x v="0"/>
    <x v="45"/>
    <n v="0"/>
  </r>
  <r>
    <x v="15"/>
    <x v="3"/>
    <x v="3"/>
    <n v="1926"/>
    <x v="0"/>
    <x v="45"/>
    <n v="44"/>
  </r>
  <r>
    <x v="16"/>
    <x v="4"/>
    <x v="2"/>
    <n v="1920"/>
    <x v="0"/>
    <x v="45"/>
    <n v="5"/>
  </r>
  <r>
    <x v="18"/>
    <x v="4"/>
    <x v="3"/>
    <n v="1989"/>
    <x v="0"/>
    <x v="45"/>
    <n v="246"/>
  </r>
  <r>
    <x v="19"/>
    <x v="6"/>
    <x v="3"/>
    <n v="1948"/>
    <x v="0"/>
    <x v="45"/>
    <n v="4"/>
  </r>
  <r>
    <x v="20"/>
    <x v="0"/>
    <x v="0"/>
    <n v="1970"/>
    <x v="2"/>
    <x v="45"/>
    <n v="306"/>
  </r>
  <r>
    <x v="21"/>
    <x v="10"/>
    <x v="0"/>
    <n v="1944"/>
    <x v="2"/>
    <x v="45"/>
    <n v="1450"/>
  </r>
  <r>
    <x v="22"/>
    <x v="6"/>
    <x v="3"/>
    <n v="1922"/>
    <x v="0"/>
    <x v="45"/>
    <n v="0"/>
  </r>
  <r>
    <x v="23"/>
    <x v="9"/>
    <x v="0"/>
    <n v="1964"/>
    <x v="2"/>
    <x v="45"/>
    <n v="414"/>
  </r>
  <r>
    <x v="24"/>
    <x v="4"/>
    <x v="2"/>
    <n v="1916"/>
    <x v="0"/>
    <x v="45"/>
    <n v="0"/>
  </r>
  <r>
    <x v="25"/>
    <x v="4"/>
    <x v="3"/>
    <n v="1989"/>
    <x v="0"/>
    <x v="45"/>
    <n v="23"/>
  </r>
  <r>
    <x v="26"/>
    <x v="10"/>
    <x v="0"/>
    <n v="1967"/>
    <x v="2"/>
    <x v="45"/>
    <n v="2189"/>
  </r>
  <r>
    <x v="38"/>
    <x v="9"/>
    <x v="0"/>
    <n v="2013"/>
    <x v="2"/>
    <x v="45"/>
    <n v="189"/>
  </r>
  <r>
    <x v="41"/>
    <x v="9"/>
    <x v="0"/>
    <n v="1986"/>
    <x v="2"/>
    <x v="45"/>
    <n v="0"/>
  </r>
  <r>
    <x v="27"/>
    <x v="9"/>
    <x v="0"/>
    <n v="1996"/>
    <x v="0"/>
    <x v="45"/>
    <n v="12"/>
  </r>
  <r>
    <x v="39"/>
    <x v="9"/>
    <x v="0"/>
    <n v="1953"/>
    <x v="0"/>
    <x v="45"/>
    <n v="37"/>
  </r>
  <r>
    <x v="29"/>
    <x v="9"/>
    <x v="0"/>
    <n v="1969"/>
    <x v="0"/>
    <x v="45"/>
    <n v="13"/>
  </r>
  <r>
    <x v="30"/>
    <x v="10"/>
    <x v="0"/>
    <n v="1967"/>
    <x v="0"/>
    <x v="45"/>
    <n v="0"/>
  </r>
  <r>
    <x v="31"/>
    <x v="11"/>
    <x v="0"/>
    <n v="1911"/>
    <x v="2"/>
    <x v="45"/>
    <n v="3144"/>
  </r>
  <r>
    <x v="40"/>
    <x v="9"/>
    <x v="0"/>
    <n v="1997"/>
    <x v="2"/>
    <x v="45"/>
    <n v="981"/>
  </r>
  <r>
    <x v="42"/>
    <x v="9"/>
    <x v="0"/>
    <n v="1862"/>
    <x v="0"/>
    <x v="45"/>
    <n v="38"/>
  </r>
  <r>
    <x v="32"/>
    <x v="11"/>
    <x v="3"/>
    <n v="1902"/>
    <x v="0"/>
    <x v="45"/>
    <n v="57"/>
  </r>
  <r>
    <x v="33"/>
    <x v="3"/>
    <x v="3"/>
    <n v="1916"/>
    <x v="0"/>
    <x v="45"/>
    <n v="179"/>
  </r>
  <r>
    <x v="34"/>
    <x v="3"/>
    <x v="3"/>
    <n v="1932"/>
    <x v="0"/>
    <x v="45"/>
    <n v="8"/>
  </r>
  <r>
    <x v="0"/>
    <x v="0"/>
    <x v="0"/>
    <n v="1941"/>
    <x v="0"/>
    <x v="46"/>
    <n v="46"/>
  </r>
  <r>
    <x v="1"/>
    <x v="1"/>
    <x v="1"/>
    <s v="-"/>
    <x v="1"/>
    <x v="46"/>
    <n v="18"/>
  </r>
  <r>
    <x v="2"/>
    <x v="2"/>
    <x v="2"/>
    <n v="1927"/>
    <x v="0"/>
    <x v="46"/>
    <n v="0"/>
  </r>
  <r>
    <x v="3"/>
    <x v="3"/>
    <x v="2"/>
    <n v="1937"/>
    <x v="0"/>
    <x v="46"/>
    <n v="4"/>
  </r>
  <r>
    <x v="4"/>
    <x v="4"/>
    <x v="2"/>
    <n v="1937"/>
    <x v="0"/>
    <x v="46"/>
    <n v="713"/>
  </r>
  <r>
    <x v="5"/>
    <x v="4"/>
    <x v="2"/>
    <n v="1953"/>
    <x v="0"/>
    <x v="46"/>
    <n v="120"/>
  </r>
  <r>
    <x v="8"/>
    <x v="7"/>
    <x v="0"/>
    <n v="1899"/>
    <x v="2"/>
    <x v="46"/>
    <n v="38"/>
  </r>
  <r>
    <x v="10"/>
    <x v="3"/>
    <x v="3"/>
    <n v="1931"/>
    <x v="0"/>
    <x v="46"/>
    <n v="99"/>
  </r>
  <r>
    <x v="12"/>
    <x v="4"/>
    <x v="2"/>
    <n v="1933"/>
    <x v="0"/>
    <x v="46"/>
    <n v="0"/>
  </r>
  <r>
    <x v="13"/>
    <x v="4"/>
    <x v="2"/>
    <n v="1870"/>
    <x v="0"/>
    <x v="46"/>
    <n v="94"/>
  </r>
  <r>
    <x v="14"/>
    <x v="6"/>
    <x v="3"/>
    <n v="1959"/>
    <x v="0"/>
    <x v="46"/>
    <n v="4"/>
  </r>
  <r>
    <x v="15"/>
    <x v="3"/>
    <x v="3"/>
    <n v="1926"/>
    <x v="0"/>
    <x v="46"/>
    <n v="64"/>
  </r>
  <r>
    <x v="16"/>
    <x v="4"/>
    <x v="2"/>
    <n v="1920"/>
    <x v="0"/>
    <x v="46"/>
    <n v="0"/>
  </r>
  <r>
    <x v="18"/>
    <x v="4"/>
    <x v="3"/>
    <n v="1989"/>
    <x v="0"/>
    <x v="46"/>
    <n v="174"/>
  </r>
  <r>
    <x v="19"/>
    <x v="6"/>
    <x v="3"/>
    <n v="1948"/>
    <x v="0"/>
    <x v="46"/>
    <n v="0"/>
  </r>
  <r>
    <x v="20"/>
    <x v="0"/>
    <x v="0"/>
    <n v="1970"/>
    <x v="2"/>
    <x v="46"/>
    <n v="195"/>
  </r>
  <r>
    <x v="21"/>
    <x v="10"/>
    <x v="0"/>
    <n v="1944"/>
    <x v="2"/>
    <x v="46"/>
    <n v="1742"/>
  </r>
  <r>
    <x v="22"/>
    <x v="6"/>
    <x v="3"/>
    <n v="1922"/>
    <x v="0"/>
    <x v="46"/>
    <n v="0"/>
  </r>
  <r>
    <x v="23"/>
    <x v="9"/>
    <x v="0"/>
    <n v="1964"/>
    <x v="2"/>
    <x v="46"/>
    <n v="511"/>
  </r>
  <r>
    <x v="24"/>
    <x v="4"/>
    <x v="2"/>
    <n v="1916"/>
    <x v="0"/>
    <x v="46"/>
    <n v="0"/>
  </r>
  <r>
    <x v="25"/>
    <x v="4"/>
    <x v="3"/>
    <n v="1989"/>
    <x v="0"/>
    <x v="46"/>
    <n v="0"/>
  </r>
  <r>
    <x v="26"/>
    <x v="10"/>
    <x v="0"/>
    <n v="1967"/>
    <x v="2"/>
    <x v="46"/>
    <n v="3270"/>
  </r>
  <r>
    <x v="38"/>
    <x v="9"/>
    <x v="0"/>
    <n v="2013"/>
    <x v="2"/>
    <x v="46"/>
    <n v="253"/>
  </r>
  <r>
    <x v="41"/>
    <x v="9"/>
    <x v="0"/>
    <n v="1986"/>
    <x v="2"/>
    <x v="46"/>
    <n v="0"/>
  </r>
  <r>
    <x v="27"/>
    <x v="9"/>
    <x v="0"/>
    <n v="1996"/>
    <x v="0"/>
    <x v="46"/>
    <n v="2"/>
  </r>
  <r>
    <x v="39"/>
    <x v="9"/>
    <x v="0"/>
    <n v="1953"/>
    <x v="0"/>
    <x v="46"/>
    <n v="18"/>
  </r>
  <r>
    <x v="29"/>
    <x v="9"/>
    <x v="0"/>
    <n v="1969"/>
    <x v="0"/>
    <x v="46"/>
    <n v="5"/>
  </r>
  <r>
    <x v="30"/>
    <x v="10"/>
    <x v="0"/>
    <n v="1967"/>
    <x v="0"/>
    <x v="46"/>
    <n v="0"/>
  </r>
  <r>
    <x v="31"/>
    <x v="11"/>
    <x v="0"/>
    <n v="1911"/>
    <x v="2"/>
    <x v="46"/>
    <n v="3127"/>
  </r>
  <r>
    <x v="40"/>
    <x v="9"/>
    <x v="0"/>
    <n v="1997"/>
    <x v="2"/>
    <x v="46"/>
    <n v="1136"/>
  </r>
  <r>
    <x v="42"/>
    <x v="9"/>
    <x v="0"/>
    <n v="1862"/>
    <x v="0"/>
    <x v="46"/>
    <n v="55"/>
  </r>
  <r>
    <x v="32"/>
    <x v="11"/>
    <x v="3"/>
    <n v="1902"/>
    <x v="0"/>
    <x v="46"/>
    <n v="84"/>
  </r>
  <r>
    <x v="33"/>
    <x v="3"/>
    <x v="3"/>
    <n v="1916"/>
    <x v="0"/>
    <x v="46"/>
    <n v="147"/>
  </r>
  <r>
    <x v="34"/>
    <x v="3"/>
    <x v="3"/>
    <n v="1932"/>
    <x v="0"/>
    <x v="46"/>
    <n v="8"/>
  </r>
  <r>
    <x v="0"/>
    <x v="0"/>
    <x v="0"/>
    <n v="1941"/>
    <x v="0"/>
    <x v="47"/>
    <n v="28"/>
  </r>
  <r>
    <x v="1"/>
    <x v="1"/>
    <x v="1"/>
    <s v="-"/>
    <x v="1"/>
    <x v="47"/>
    <n v="0"/>
  </r>
  <r>
    <x v="2"/>
    <x v="2"/>
    <x v="2"/>
    <n v="1927"/>
    <x v="0"/>
    <x v="47"/>
    <n v="0"/>
  </r>
  <r>
    <x v="3"/>
    <x v="3"/>
    <x v="2"/>
    <n v="1937"/>
    <x v="0"/>
    <x v="47"/>
    <n v="23"/>
  </r>
  <r>
    <x v="4"/>
    <x v="4"/>
    <x v="2"/>
    <n v="1937"/>
    <x v="0"/>
    <x v="47"/>
    <n v="1042"/>
  </r>
  <r>
    <x v="5"/>
    <x v="4"/>
    <x v="2"/>
    <n v="1953"/>
    <x v="0"/>
    <x v="47"/>
    <n v="79"/>
  </r>
  <r>
    <x v="8"/>
    <x v="7"/>
    <x v="0"/>
    <n v="1899"/>
    <x v="2"/>
    <x v="47"/>
    <n v="0"/>
  </r>
  <r>
    <x v="10"/>
    <x v="3"/>
    <x v="3"/>
    <n v="1931"/>
    <x v="0"/>
    <x v="47"/>
    <n v="156"/>
  </r>
  <r>
    <x v="12"/>
    <x v="4"/>
    <x v="2"/>
    <n v="1933"/>
    <x v="0"/>
    <x v="47"/>
    <n v="0"/>
  </r>
  <r>
    <x v="13"/>
    <x v="4"/>
    <x v="2"/>
    <n v="1870"/>
    <x v="0"/>
    <x v="47"/>
    <n v="78"/>
  </r>
  <r>
    <x v="14"/>
    <x v="6"/>
    <x v="3"/>
    <n v="1959"/>
    <x v="0"/>
    <x v="47"/>
    <n v="1"/>
  </r>
  <r>
    <x v="15"/>
    <x v="3"/>
    <x v="3"/>
    <n v="1926"/>
    <x v="0"/>
    <x v="47"/>
    <n v="88"/>
  </r>
  <r>
    <x v="16"/>
    <x v="4"/>
    <x v="2"/>
    <n v="1920"/>
    <x v="0"/>
    <x v="47"/>
    <n v="0"/>
  </r>
  <r>
    <x v="18"/>
    <x v="4"/>
    <x v="3"/>
    <n v="1989"/>
    <x v="0"/>
    <x v="47"/>
    <n v="212"/>
  </r>
  <r>
    <x v="19"/>
    <x v="6"/>
    <x v="3"/>
    <n v="1948"/>
    <x v="0"/>
    <x v="47"/>
    <n v="8"/>
  </r>
  <r>
    <x v="20"/>
    <x v="0"/>
    <x v="0"/>
    <n v="1970"/>
    <x v="2"/>
    <x v="47"/>
    <n v="195"/>
  </r>
  <r>
    <x v="21"/>
    <x v="10"/>
    <x v="0"/>
    <n v="1944"/>
    <x v="2"/>
    <x v="47"/>
    <n v="1568"/>
  </r>
  <r>
    <x v="22"/>
    <x v="6"/>
    <x v="3"/>
    <n v="1922"/>
    <x v="0"/>
    <x v="47"/>
    <n v="6"/>
  </r>
  <r>
    <x v="23"/>
    <x v="9"/>
    <x v="0"/>
    <n v="1964"/>
    <x v="2"/>
    <x v="47"/>
    <n v="857"/>
  </r>
  <r>
    <x v="24"/>
    <x v="4"/>
    <x v="2"/>
    <n v="1916"/>
    <x v="0"/>
    <x v="47"/>
    <n v="0"/>
  </r>
  <r>
    <x v="25"/>
    <x v="4"/>
    <x v="3"/>
    <n v="1989"/>
    <x v="0"/>
    <x v="47"/>
    <n v="0"/>
  </r>
  <r>
    <x v="26"/>
    <x v="10"/>
    <x v="0"/>
    <n v="1967"/>
    <x v="2"/>
    <x v="47"/>
    <n v="3443"/>
  </r>
  <r>
    <x v="38"/>
    <x v="9"/>
    <x v="0"/>
    <n v="2013"/>
    <x v="2"/>
    <x v="47"/>
    <n v="337"/>
  </r>
  <r>
    <x v="41"/>
    <x v="9"/>
    <x v="0"/>
    <n v="1986"/>
    <x v="2"/>
    <x v="47"/>
    <n v="127"/>
  </r>
  <r>
    <x v="27"/>
    <x v="9"/>
    <x v="0"/>
    <n v="1996"/>
    <x v="0"/>
    <x v="47"/>
    <n v="7"/>
  </r>
  <r>
    <x v="39"/>
    <x v="9"/>
    <x v="0"/>
    <n v="1953"/>
    <x v="0"/>
    <x v="47"/>
    <n v="15"/>
  </r>
  <r>
    <x v="29"/>
    <x v="9"/>
    <x v="0"/>
    <n v="1969"/>
    <x v="0"/>
    <x v="47"/>
    <n v="2"/>
  </r>
  <r>
    <x v="30"/>
    <x v="10"/>
    <x v="0"/>
    <n v="1967"/>
    <x v="0"/>
    <x v="47"/>
    <n v="5"/>
  </r>
  <r>
    <x v="31"/>
    <x v="11"/>
    <x v="0"/>
    <n v="1911"/>
    <x v="2"/>
    <x v="47"/>
    <n v="3545"/>
  </r>
  <r>
    <x v="40"/>
    <x v="9"/>
    <x v="0"/>
    <n v="1997"/>
    <x v="2"/>
    <x v="47"/>
    <n v="835"/>
  </r>
  <r>
    <x v="42"/>
    <x v="9"/>
    <x v="0"/>
    <n v="1862"/>
    <x v="0"/>
    <x v="47"/>
    <n v="155"/>
  </r>
  <r>
    <x v="32"/>
    <x v="11"/>
    <x v="3"/>
    <n v="1902"/>
    <x v="0"/>
    <x v="47"/>
    <n v="48"/>
  </r>
  <r>
    <x v="33"/>
    <x v="3"/>
    <x v="3"/>
    <n v="1916"/>
    <x v="0"/>
    <x v="47"/>
    <n v="157"/>
  </r>
  <r>
    <x v="34"/>
    <x v="3"/>
    <x v="3"/>
    <n v="1932"/>
    <x v="0"/>
    <x v="47"/>
    <n v="10"/>
  </r>
  <r>
    <x v="0"/>
    <x v="0"/>
    <x v="0"/>
    <n v="1941"/>
    <x v="0"/>
    <x v="48"/>
    <n v="11"/>
  </r>
  <r>
    <x v="3"/>
    <x v="3"/>
    <x v="2"/>
    <n v="1937"/>
    <x v="0"/>
    <x v="48"/>
    <n v="11"/>
  </r>
  <r>
    <x v="4"/>
    <x v="4"/>
    <x v="2"/>
    <n v="1937"/>
    <x v="0"/>
    <x v="48"/>
    <n v="605"/>
  </r>
  <r>
    <x v="43"/>
    <x v="9"/>
    <x v="2"/>
    <n v="2021"/>
    <x v="0"/>
    <x v="48"/>
    <n v="0"/>
  </r>
  <r>
    <x v="5"/>
    <x v="4"/>
    <x v="2"/>
    <n v="1953"/>
    <x v="0"/>
    <x v="48"/>
    <n v="89"/>
  </r>
  <r>
    <x v="10"/>
    <x v="3"/>
    <x v="3"/>
    <n v="1931"/>
    <x v="0"/>
    <x v="48"/>
    <n v="22"/>
  </r>
  <r>
    <x v="44"/>
    <x v="0"/>
    <x v="0"/>
    <n v="2022"/>
    <x v="0"/>
    <x v="48"/>
    <n v="0"/>
  </r>
  <r>
    <x v="12"/>
    <x v="4"/>
    <x v="2"/>
    <n v="1933"/>
    <x v="0"/>
    <x v="48"/>
    <n v="0"/>
  </r>
  <r>
    <x v="13"/>
    <x v="4"/>
    <x v="2"/>
    <n v="1870"/>
    <x v="0"/>
    <x v="48"/>
    <n v="44"/>
  </r>
  <r>
    <x v="14"/>
    <x v="6"/>
    <x v="3"/>
    <n v="1959"/>
    <x v="0"/>
    <x v="48"/>
    <n v="7"/>
  </r>
  <r>
    <x v="15"/>
    <x v="3"/>
    <x v="3"/>
    <n v="1926"/>
    <x v="0"/>
    <x v="48"/>
    <n v="40"/>
  </r>
  <r>
    <x v="18"/>
    <x v="4"/>
    <x v="3"/>
    <n v="1989"/>
    <x v="0"/>
    <x v="48"/>
    <n v="205"/>
  </r>
  <r>
    <x v="19"/>
    <x v="6"/>
    <x v="3"/>
    <n v="1948"/>
    <x v="0"/>
    <x v="48"/>
    <n v="29"/>
  </r>
  <r>
    <x v="20"/>
    <x v="0"/>
    <x v="0"/>
    <n v="1970"/>
    <x v="2"/>
    <x v="48"/>
    <n v="67"/>
  </r>
  <r>
    <x v="21"/>
    <x v="10"/>
    <x v="0"/>
    <n v="1944"/>
    <x v="2"/>
    <x v="48"/>
    <n v="1740"/>
  </r>
  <r>
    <x v="45"/>
    <x v="9"/>
    <x v="0"/>
    <n v="2014"/>
    <x v="0"/>
    <x v="48"/>
    <n v="0"/>
  </r>
  <r>
    <x v="22"/>
    <x v="6"/>
    <x v="3"/>
    <n v="1922"/>
    <x v="0"/>
    <x v="48"/>
    <n v="2"/>
  </r>
  <r>
    <x v="23"/>
    <x v="9"/>
    <x v="0"/>
    <n v="1964"/>
    <x v="2"/>
    <x v="48"/>
    <n v="256"/>
  </r>
  <r>
    <x v="25"/>
    <x v="4"/>
    <x v="3"/>
    <n v="1989"/>
    <x v="0"/>
    <x v="48"/>
    <n v="0"/>
  </r>
  <r>
    <x v="26"/>
    <x v="10"/>
    <x v="0"/>
    <n v="1967"/>
    <x v="2"/>
    <x v="48"/>
    <n v="2288"/>
  </r>
  <r>
    <x v="46"/>
    <x v="9"/>
    <x v="3"/>
    <n v="1958"/>
    <x v="0"/>
    <x v="48"/>
    <n v="0"/>
  </r>
  <r>
    <x v="38"/>
    <x v="9"/>
    <x v="0"/>
    <n v="2013"/>
    <x v="2"/>
    <x v="48"/>
    <n v="397"/>
  </r>
  <r>
    <x v="47"/>
    <x v="9"/>
    <x v="0"/>
    <n v="1984"/>
    <x v="0"/>
    <x v="48"/>
    <n v="0"/>
  </r>
  <r>
    <x v="37"/>
    <x v="10"/>
    <x v="3"/>
    <n v="2015"/>
    <x v="0"/>
    <x v="48"/>
    <n v="0"/>
  </r>
  <r>
    <x v="41"/>
    <x v="9"/>
    <x v="0"/>
    <n v="1986"/>
    <x v="2"/>
    <x v="48"/>
    <n v="86"/>
  </r>
  <r>
    <x v="48"/>
    <x v="9"/>
    <x v="0"/>
    <n v="1997"/>
    <x v="0"/>
    <x v="48"/>
    <n v="0"/>
  </r>
  <r>
    <x v="27"/>
    <x v="9"/>
    <x v="0"/>
    <n v="1996"/>
    <x v="0"/>
    <x v="48"/>
    <n v="1"/>
  </r>
  <r>
    <x v="39"/>
    <x v="9"/>
    <x v="0"/>
    <n v="1953"/>
    <x v="0"/>
    <x v="48"/>
    <n v="9"/>
  </r>
  <r>
    <x v="49"/>
    <x v="9"/>
    <x v="2"/>
    <n v="2017"/>
    <x v="0"/>
    <x v="48"/>
    <n v="212"/>
  </r>
  <r>
    <x v="29"/>
    <x v="9"/>
    <x v="0"/>
    <n v="1969"/>
    <x v="0"/>
    <x v="48"/>
    <n v="0"/>
  </r>
  <r>
    <x v="30"/>
    <x v="10"/>
    <x v="0"/>
    <n v="1967"/>
    <x v="0"/>
    <x v="48"/>
    <n v="0"/>
  </r>
  <r>
    <x v="31"/>
    <x v="11"/>
    <x v="0"/>
    <n v="1911"/>
    <x v="2"/>
    <x v="48"/>
    <n v="3223"/>
  </r>
  <r>
    <x v="40"/>
    <x v="9"/>
    <x v="0"/>
    <n v="1997"/>
    <x v="2"/>
    <x v="48"/>
    <n v="652"/>
  </r>
  <r>
    <x v="42"/>
    <x v="9"/>
    <x v="0"/>
    <n v="1862"/>
    <x v="0"/>
    <x v="48"/>
    <n v="131"/>
  </r>
  <r>
    <x v="32"/>
    <x v="11"/>
    <x v="3"/>
    <n v="1902"/>
    <x v="0"/>
    <x v="48"/>
    <n v="0"/>
  </r>
  <r>
    <x v="33"/>
    <x v="3"/>
    <x v="3"/>
    <n v="1916"/>
    <x v="0"/>
    <x v="48"/>
    <n v="144"/>
  </r>
  <r>
    <x v="34"/>
    <x v="3"/>
    <x v="3"/>
    <n v="1932"/>
    <x v="0"/>
    <x v="48"/>
    <n v="9"/>
  </r>
  <r>
    <x v="0"/>
    <x v="0"/>
    <x v="0"/>
    <n v="1941"/>
    <x v="0"/>
    <x v="49"/>
    <n v="23"/>
  </r>
  <r>
    <x v="3"/>
    <x v="3"/>
    <x v="2"/>
    <n v="1937"/>
    <x v="0"/>
    <x v="49"/>
    <n v="16"/>
  </r>
  <r>
    <x v="4"/>
    <x v="4"/>
    <x v="2"/>
    <n v="1937"/>
    <x v="0"/>
    <x v="49"/>
    <n v="864"/>
  </r>
  <r>
    <x v="43"/>
    <x v="9"/>
    <x v="2"/>
    <n v="2021"/>
    <x v="0"/>
    <x v="49"/>
    <n v="0"/>
  </r>
  <r>
    <x v="5"/>
    <x v="4"/>
    <x v="2"/>
    <n v="1953"/>
    <x v="0"/>
    <x v="49"/>
    <n v="101"/>
  </r>
  <r>
    <x v="10"/>
    <x v="3"/>
    <x v="3"/>
    <n v="1931"/>
    <x v="0"/>
    <x v="49"/>
    <n v="33"/>
  </r>
  <r>
    <x v="44"/>
    <x v="0"/>
    <x v="0"/>
    <n v="2022"/>
    <x v="0"/>
    <x v="49"/>
    <n v="0"/>
  </r>
  <r>
    <x v="12"/>
    <x v="4"/>
    <x v="2"/>
    <n v="1933"/>
    <x v="0"/>
    <x v="49"/>
    <n v="0"/>
  </r>
  <r>
    <x v="13"/>
    <x v="4"/>
    <x v="2"/>
    <n v="1870"/>
    <x v="0"/>
    <x v="49"/>
    <n v="26"/>
  </r>
  <r>
    <x v="14"/>
    <x v="6"/>
    <x v="3"/>
    <n v="1959"/>
    <x v="0"/>
    <x v="49"/>
    <n v="1"/>
  </r>
  <r>
    <x v="15"/>
    <x v="3"/>
    <x v="3"/>
    <n v="1926"/>
    <x v="0"/>
    <x v="49"/>
    <n v="43"/>
  </r>
  <r>
    <x v="18"/>
    <x v="4"/>
    <x v="3"/>
    <n v="1989"/>
    <x v="0"/>
    <x v="49"/>
    <n v="237"/>
  </r>
  <r>
    <x v="19"/>
    <x v="6"/>
    <x v="3"/>
    <n v="1948"/>
    <x v="0"/>
    <x v="49"/>
    <n v="12"/>
  </r>
  <r>
    <x v="20"/>
    <x v="0"/>
    <x v="0"/>
    <n v="1970"/>
    <x v="2"/>
    <x v="49"/>
    <n v="34"/>
  </r>
  <r>
    <x v="21"/>
    <x v="10"/>
    <x v="0"/>
    <n v="1944"/>
    <x v="2"/>
    <x v="49"/>
    <n v="1825"/>
  </r>
  <r>
    <x v="45"/>
    <x v="9"/>
    <x v="0"/>
    <n v="2014"/>
    <x v="0"/>
    <x v="49"/>
    <n v="0"/>
  </r>
  <r>
    <x v="22"/>
    <x v="6"/>
    <x v="3"/>
    <n v="1922"/>
    <x v="0"/>
    <x v="49"/>
    <n v="3"/>
  </r>
  <r>
    <x v="23"/>
    <x v="9"/>
    <x v="0"/>
    <n v="1964"/>
    <x v="2"/>
    <x v="49"/>
    <n v="407"/>
  </r>
  <r>
    <x v="25"/>
    <x v="4"/>
    <x v="3"/>
    <n v="1989"/>
    <x v="0"/>
    <x v="49"/>
    <n v="0"/>
  </r>
  <r>
    <x v="26"/>
    <x v="10"/>
    <x v="0"/>
    <n v="1967"/>
    <x v="2"/>
    <x v="49"/>
    <n v="3501"/>
  </r>
  <r>
    <x v="46"/>
    <x v="9"/>
    <x v="3"/>
    <n v="1958"/>
    <x v="0"/>
    <x v="49"/>
    <n v="0"/>
  </r>
  <r>
    <x v="38"/>
    <x v="9"/>
    <x v="0"/>
    <n v="2013"/>
    <x v="2"/>
    <x v="49"/>
    <n v="344"/>
  </r>
  <r>
    <x v="47"/>
    <x v="9"/>
    <x v="0"/>
    <n v="1984"/>
    <x v="0"/>
    <x v="49"/>
    <n v="0"/>
  </r>
  <r>
    <x v="37"/>
    <x v="10"/>
    <x v="3"/>
    <n v="2015"/>
    <x v="0"/>
    <x v="49"/>
    <n v="0"/>
  </r>
  <r>
    <x v="41"/>
    <x v="9"/>
    <x v="0"/>
    <n v="1986"/>
    <x v="2"/>
    <x v="49"/>
    <n v="152"/>
  </r>
  <r>
    <x v="48"/>
    <x v="9"/>
    <x v="0"/>
    <n v="1997"/>
    <x v="0"/>
    <x v="49"/>
    <n v="0"/>
  </r>
  <r>
    <x v="27"/>
    <x v="9"/>
    <x v="0"/>
    <n v="1996"/>
    <x v="0"/>
    <x v="49"/>
    <n v="0"/>
  </r>
  <r>
    <x v="39"/>
    <x v="9"/>
    <x v="0"/>
    <n v="1953"/>
    <x v="0"/>
    <x v="49"/>
    <n v="11"/>
  </r>
  <r>
    <x v="49"/>
    <x v="9"/>
    <x v="2"/>
    <n v="2017"/>
    <x v="0"/>
    <x v="49"/>
    <n v="373"/>
  </r>
  <r>
    <x v="29"/>
    <x v="9"/>
    <x v="0"/>
    <n v="1969"/>
    <x v="0"/>
    <x v="49"/>
    <n v="0"/>
  </r>
  <r>
    <x v="30"/>
    <x v="10"/>
    <x v="0"/>
    <n v="1967"/>
    <x v="0"/>
    <x v="49"/>
    <n v="32"/>
  </r>
  <r>
    <x v="31"/>
    <x v="11"/>
    <x v="0"/>
    <n v="1911"/>
    <x v="2"/>
    <x v="49"/>
    <n v="3624"/>
  </r>
  <r>
    <x v="40"/>
    <x v="9"/>
    <x v="0"/>
    <n v="1997"/>
    <x v="2"/>
    <x v="49"/>
    <n v="650"/>
  </r>
  <r>
    <x v="42"/>
    <x v="9"/>
    <x v="0"/>
    <n v="1862"/>
    <x v="0"/>
    <x v="49"/>
    <n v="259"/>
  </r>
  <r>
    <x v="32"/>
    <x v="11"/>
    <x v="3"/>
    <n v="1902"/>
    <x v="0"/>
    <x v="49"/>
    <n v="0"/>
  </r>
  <r>
    <x v="33"/>
    <x v="3"/>
    <x v="3"/>
    <n v="1916"/>
    <x v="0"/>
    <x v="49"/>
    <n v="119"/>
  </r>
  <r>
    <x v="34"/>
    <x v="3"/>
    <x v="3"/>
    <n v="1932"/>
    <x v="0"/>
    <x v="49"/>
    <n v="29"/>
  </r>
  <r>
    <x v="0"/>
    <x v="0"/>
    <x v="0"/>
    <n v="1941"/>
    <x v="0"/>
    <x v="50"/>
    <n v="25"/>
  </r>
  <r>
    <x v="3"/>
    <x v="3"/>
    <x v="2"/>
    <n v="1937"/>
    <x v="0"/>
    <x v="50"/>
    <n v="2"/>
  </r>
  <r>
    <x v="4"/>
    <x v="4"/>
    <x v="2"/>
    <n v="1937"/>
    <x v="0"/>
    <x v="50"/>
    <n v="596"/>
  </r>
  <r>
    <x v="43"/>
    <x v="9"/>
    <x v="2"/>
    <n v="2021"/>
    <x v="0"/>
    <x v="50"/>
    <n v="0"/>
  </r>
  <r>
    <x v="5"/>
    <x v="4"/>
    <x v="2"/>
    <n v="1953"/>
    <x v="0"/>
    <x v="50"/>
    <n v="88"/>
  </r>
  <r>
    <x v="10"/>
    <x v="3"/>
    <x v="3"/>
    <n v="1931"/>
    <x v="0"/>
    <x v="50"/>
    <n v="22"/>
  </r>
  <r>
    <x v="44"/>
    <x v="0"/>
    <x v="0"/>
    <n v="2022"/>
    <x v="0"/>
    <x v="50"/>
    <n v="0"/>
  </r>
  <r>
    <x v="12"/>
    <x v="4"/>
    <x v="2"/>
    <n v="1933"/>
    <x v="0"/>
    <x v="50"/>
    <n v="0"/>
  </r>
  <r>
    <x v="13"/>
    <x v="4"/>
    <x v="2"/>
    <n v="1870"/>
    <x v="0"/>
    <x v="50"/>
    <n v="80"/>
  </r>
  <r>
    <x v="14"/>
    <x v="6"/>
    <x v="3"/>
    <n v="1959"/>
    <x v="0"/>
    <x v="50"/>
    <n v="1"/>
  </r>
  <r>
    <x v="15"/>
    <x v="3"/>
    <x v="3"/>
    <n v="1926"/>
    <x v="0"/>
    <x v="50"/>
    <n v="85"/>
  </r>
  <r>
    <x v="18"/>
    <x v="4"/>
    <x v="3"/>
    <n v="1989"/>
    <x v="0"/>
    <x v="50"/>
    <n v="314"/>
  </r>
  <r>
    <x v="19"/>
    <x v="6"/>
    <x v="3"/>
    <n v="1948"/>
    <x v="0"/>
    <x v="50"/>
    <n v="13"/>
  </r>
  <r>
    <x v="20"/>
    <x v="0"/>
    <x v="0"/>
    <n v="1970"/>
    <x v="2"/>
    <x v="50"/>
    <n v="17"/>
  </r>
  <r>
    <x v="21"/>
    <x v="10"/>
    <x v="0"/>
    <n v="1944"/>
    <x v="2"/>
    <x v="50"/>
    <n v="2083"/>
  </r>
  <r>
    <x v="45"/>
    <x v="9"/>
    <x v="0"/>
    <n v="2014"/>
    <x v="0"/>
    <x v="50"/>
    <n v="0"/>
  </r>
  <r>
    <x v="22"/>
    <x v="6"/>
    <x v="3"/>
    <n v="1922"/>
    <x v="0"/>
    <x v="50"/>
    <n v="9"/>
  </r>
  <r>
    <x v="23"/>
    <x v="9"/>
    <x v="0"/>
    <n v="1964"/>
    <x v="2"/>
    <x v="50"/>
    <n v="399"/>
  </r>
  <r>
    <x v="25"/>
    <x v="4"/>
    <x v="3"/>
    <n v="1989"/>
    <x v="0"/>
    <x v="50"/>
    <n v="0"/>
  </r>
  <r>
    <x v="26"/>
    <x v="10"/>
    <x v="0"/>
    <n v="1967"/>
    <x v="2"/>
    <x v="50"/>
    <n v="3796"/>
  </r>
  <r>
    <x v="46"/>
    <x v="9"/>
    <x v="3"/>
    <n v="1958"/>
    <x v="0"/>
    <x v="50"/>
    <n v="0"/>
  </r>
  <r>
    <x v="38"/>
    <x v="9"/>
    <x v="0"/>
    <n v="2013"/>
    <x v="2"/>
    <x v="50"/>
    <n v="310"/>
  </r>
  <r>
    <x v="47"/>
    <x v="9"/>
    <x v="0"/>
    <n v="1984"/>
    <x v="0"/>
    <x v="50"/>
    <n v="0"/>
  </r>
  <r>
    <x v="37"/>
    <x v="10"/>
    <x v="3"/>
    <n v="2015"/>
    <x v="0"/>
    <x v="50"/>
    <n v="0"/>
  </r>
  <r>
    <x v="41"/>
    <x v="9"/>
    <x v="0"/>
    <n v="1986"/>
    <x v="2"/>
    <x v="50"/>
    <n v="174"/>
  </r>
  <r>
    <x v="48"/>
    <x v="9"/>
    <x v="0"/>
    <n v="1997"/>
    <x v="0"/>
    <x v="50"/>
    <n v="0"/>
  </r>
  <r>
    <x v="27"/>
    <x v="9"/>
    <x v="0"/>
    <n v="1996"/>
    <x v="0"/>
    <x v="50"/>
    <n v="0"/>
  </r>
  <r>
    <x v="39"/>
    <x v="9"/>
    <x v="0"/>
    <n v="1953"/>
    <x v="0"/>
    <x v="50"/>
    <n v="7"/>
  </r>
  <r>
    <x v="49"/>
    <x v="9"/>
    <x v="2"/>
    <n v="2017"/>
    <x v="0"/>
    <x v="50"/>
    <n v="497"/>
  </r>
  <r>
    <x v="29"/>
    <x v="9"/>
    <x v="0"/>
    <n v="1969"/>
    <x v="0"/>
    <x v="50"/>
    <n v="0"/>
  </r>
  <r>
    <x v="30"/>
    <x v="10"/>
    <x v="0"/>
    <n v="1967"/>
    <x v="0"/>
    <x v="50"/>
    <n v="0"/>
  </r>
  <r>
    <x v="31"/>
    <x v="11"/>
    <x v="0"/>
    <n v="1911"/>
    <x v="2"/>
    <x v="50"/>
    <n v="3530"/>
  </r>
  <r>
    <x v="40"/>
    <x v="9"/>
    <x v="0"/>
    <n v="1997"/>
    <x v="2"/>
    <x v="50"/>
    <n v="718"/>
  </r>
  <r>
    <x v="42"/>
    <x v="9"/>
    <x v="0"/>
    <n v="1862"/>
    <x v="0"/>
    <x v="50"/>
    <n v="320"/>
  </r>
  <r>
    <x v="32"/>
    <x v="11"/>
    <x v="3"/>
    <n v="1902"/>
    <x v="0"/>
    <x v="50"/>
    <n v="23"/>
  </r>
  <r>
    <x v="33"/>
    <x v="3"/>
    <x v="3"/>
    <n v="1916"/>
    <x v="0"/>
    <x v="50"/>
    <n v="116"/>
  </r>
  <r>
    <x v="34"/>
    <x v="3"/>
    <x v="3"/>
    <n v="1932"/>
    <x v="0"/>
    <x v="50"/>
    <n v="93"/>
  </r>
  <r>
    <x v="0"/>
    <x v="0"/>
    <x v="0"/>
    <n v="1941"/>
    <x v="0"/>
    <x v="51"/>
    <n v="26"/>
  </r>
  <r>
    <x v="3"/>
    <x v="3"/>
    <x v="2"/>
    <n v="1937"/>
    <x v="0"/>
    <x v="51"/>
    <n v="4"/>
  </r>
  <r>
    <x v="4"/>
    <x v="4"/>
    <x v="2"/>
    <n v="1937"/>
    <x v="0"/>
    <x v="51"/>
    <n v="613"/>
  </r>
  <r>
    <x v="43"/>
    <x v="9"/>
    <x v="2"/>
    <n v="2021"/>
    <x v="0"/>
    <x v="51"/>
    <n v="0"/>
  </r>
  <r>
    <x v="5"/>
    <x v="4"/>
    <x v="2"/>
    <n v="1953"/>
    <x v="0"/>
    <x v="51"/>
    <n v="93"/>
  </r>
  <r>
    <x v="10"/>
    <x v="3"/>
    <x v="3"/>
    <n v="1931"/>
    <x v="0"/>
    <x v="51"/>
    <n v="27"/>
  </r>
  <r>
    <x v="44"/>
    <x v="0"/>
    <x v="0"/>
    <n v="2022"/>
    <x v="0"/>
    <x v="51"/>
    <n v="0"/>
  </r>
  <r>
    <x v="12"/>
    <x v="4"/>
    <x v="2"/>
    <n v="1933"/>
    <x v="0"/>
    <x v="51"/>
    <n v="0"/>
  </r>
  <r>
    <x v="13"/>
    <x v="4"/>
    <x v="2"/>
    <n v="1870"/>
    <x v="0"/>
    <x v="51"/>
    <n v="69"/>
  </r>
  <r>
    <x v="14"/>
    <x v="6"/>
    <x v="3"/>
    <n v="1959"/>
    <x v="0"/>
    <x v="51"/>
    <n v="0"/>
  </r>
  <r>
    <x v="15"/>
    <x v="3"/>
    <x v="3"/>
    <n v="1926"/>
    <x v="0"/>
    <x v="51"/>
    <n v="84"/>
  </r>
  <r>
    <x v="18"/>
    <x v="4"/>
    <x v="3"/>
    <n v="1989"/>
    <x v="0"/>
    <x v="51"/>
    <n v="386"/>
  </r>
  <r>
    <x v="19"/>
    <x v="6"/>
    <x v="3"/>
    <n v="1948"/>
    <x v="0"/>
    <x v="51"/>
    <n v="16"/>
  </r>
  <r>
    <x v="20"/>
    <x v="0"/>
    <x v="0"/>
    <n v="1970"/>
    <x v="2"/>
    <x v="51"/>
    <n v="54"/>
  </r>
  <r>
    <x v="21"/>
    <x v="10"/>
    <x v="0"/>
    <n v="1944"/>
    <x v="2"/>
    <x v="51"/>
    <n v="2107"/>
  </r>
  <r>
    <x v="45"/>
    <x v="9"/>
    <x v="0"/>
    <n v="2014"/>
    <x v="0"/>
    <x v="51"/>
    <n v="0"/>
  </r>
  <r>
    <x v="22"/>
    <x v="6"/>
    <x v="3"/>
    <n v="1922"/>
    <x v="0"/>
    <x v="51"/>
    <n v="8"/>
  </r>
  <r>
    <x v="23"/>
    <x v="9"/>
    <x v="0"/>
    <n v="1964"/>
    <x v="2"/>
    <x v="51"/>
    <n v="515"/>
  </r>
  <r>
    <x v="25"/>
    <x v="4"/>
    <x v="3"/>
    <n v="1989"/>
    <x v="0"/>
    <x v="51"/>
    <n v="0"/>
  </r>
  <r>
    <x v="26"/>
    <x v="10"/>
    <x v="0"/>
    <n v="1967"/>
    <x v="2"/>
    <x v="51"/>
    <n v="3640"/>
  </r>
  <r>
    <x v="46"/>
    <x v="9"/>
    <x v="3"/>
    <n v="1958"/>
    <x v="0"/>
    <x v="51"/>
    <n v="0"/>
  </r>
  <r>
    <x v="38"/>
    <x v="9"/>
    <x v="0"/>
    <n v="2013"/>
    <x v="2"/>
    <x v="51"/>
    <n v="435"/>
  </r>
  <r>
    <x v="47"/>
    <x v="9"/>
    <x v="0"/>
    <n v="1984"/>
    <x v="0"/>
    <x v="51"/>
    <n v="0"/>
  </r>
  <r>
    <x v="37"/>
    <x v="10"/>
    <x v="3"/>
    <n v="2015"/>
    <x v="0"/>
    <x v="51"/>
    <n v="0"/>
  </r>
  <r>
    <x v="41"/>
    <x v="9"/>
    <x v="0"/>
    <n v="1986"/>
    <x v="2"/>
    <x v="51"/>
    <n v="233"/>
  </r>
  <r>
    <x v="48"/>
    <x v="9"/>
    <x v="0"/>
    <n v="1997"/>
    <x v="0"/>
    <x v="51"/>
    <n v="0"/>
  </r>
  <r>
    <x v="27"/>
    <x v="9"/>
    <x v="0"/>
    <n v="1996"/>
    <x v="0"/>
    <x v="51"/>
    <n v="1"/>
  </r>
  <r>
    <x v="39"/>
    <x v="9"/>
    <x v="0"/>
    <n v="1953"/>
    <x v="0"/>
    <x v="51"/>
    <n v="12"/>
  </r>
  <r>
    <x v="49"/>
    <x v="9"/>
    <x v="2"/>
    <n v="2017"/>
    <x v="0"/>
    <x v="51"/>
    <n v="271"/>
  </r>
  <r>
    <x v="29"/>
    <x v="9"/>
    <x v="0"/>
    <n v="1969"/>
    <x v="0"/>
    <x v="51"/>
    <n v="3"/>
  </r>
  <r>
    <x v="30"/>
    <x v="10"/>
    <x v="0"/>
    <n v="1967"/>
    <x v="0"/>
    <x v="51"/>
    <n v="0"/>
  </r>
  <r>
    <x v="31"/>
    <x v="11"/>
    <x v="0"/>
    <n v="1911"/>
    <x v="2"/>
    <x v="51"/>
    <n v="4004"/>
  </r>
  <r>
    <x v="40"/>
    <x v="9"/>
    <x v="0"/>
    <n v="1997"/>
    <x v="2"/>
    <x v="51"/>
    <n v="698"/>
  </r>
  <r>
    <x v="42"/>
    <x v="9"/>
    <x v="0"/>
    <n v="1862"/>
    <x v="0"/>
    <x v="51"/>
    <n v="422"/>
  </r>
  <r>
    <x v="32"/>
    <x v="11"/>
    <x v="3"/>
    <n v="1902"/>
    <x v="0"/>
    <x v="51"/>
    <n v="42"/>
  </r>
  <r>
    <x v="33"/>
    <x v="3"/>
    <x v="3"/>
    <n v="1916"/>
    <x v="0"/>
    <x v="51"/>
    <n v="189"/>
  </r>
  <r>
    <x v="34"/>
    <x v="3"/>
    <x v="3"/>
    <n v="1932"/>
    <x v="0"/>
    <x v="51"/>
    <n v="66"/>
  </r>
  <r>
    <x v="0"/>
    <x v="0"/>
    <x v="0"/>
    <n v="1941"/>
    <x v="0"/>
    <x v="52"/>
    <n v="34"/>
  </r>
  <r>
    <x v="3"/>
    <x v="3"/>
    <x v="2"/>
    <n v="1937"/>
    <x v="0"/>
    <x v="52"/>
    <n v="13"/>
  </r>
  <r>
    <x v="4"/>
    <x v="4"/>
    <x v="2"/>
    <n v="1937"/>
    <x v="0"/>
    <x v="52"/>
    <n v="508"/>
  </r>
  <r>
    <x v="43"/>
    <x v="9"/>
    <x v="2"/>
    <n v="2021"/>
    <x v="0"/>
    <x v="52"/>
    <n v="24"/>
  </r>
  <r>
    <x v="5"/>
    <x v="4"/>
    <x v="2"/>
    <n v="1953"/>
    <x v="0"/>
    <x v="52"/>
    <n v="149"/>
  </r>
  <r>
    <x v="10"/>
    <x v="3"/>
    <x v="3"/>
    <n v="1931"/>
    <x v="0"/>
    <x v="52"/>
    <n v="36"/>
  </r>
  <r>
    <x v="44"/>
    <x v="0"/>
    <x v="0"/>
    <n v="2022"/>
    <x v="0"/>
    <x v="52"/>
    <n v="0"/>
  </r>
  <r>
    <x v="12"/>
    <x v="4"/>
    <x v="2"/>
    <n v="1933"/>
    <x v="0"/>
    <x v="52"/>
    <n v="0"/>
  </r>
  <r>
    <x v="13"/>
    <x v="4"/>
    <x v="2"/>
    <n v="1870"/>
    <x v="0"/>
    <x v="52"/>
    <n v="64"/>
  </r>
  <r>
    <x v="14"/>
    <x v="6"/>
    <x v="3"/>
    <n v="1959"/>
    <x v="0"/>
    <x v="52"/>
    <n v="1"/>
  </r>
  <r>
    <x v="15"/>
    <x v="3"/>
    <x v="3"/>
    <n v="1926"/>
    <x v="0"/>
    <x v="52"/>
    <n v="77"/>
  </r>
  <r>
    <x v="18"/>
    <x v="4"/>
    <x v="3"/>
    <n v="1989"/>
    <x v="0"/>
    <x v="52"/>
    <n v="327"/>
  </r>
  <r>
    <x v="19"/>
    <x v="6"/>
    <x v="3"/>
    <n v="1948"/>
    <x v="0"/>
    <x v="52"/>
    <n v="45"/>
  </r>
  <r>
    <x v="20"/>
    <x v="0"/>
    <x v="0"/>
    <n v="1970"/>
    <x v="2"/>
    <x v="52"/>
    <n v="42"/>
  </r>
  <r>
    <x v="21"/>
    <x v="10"/>
    <x v="0"/>
    <n v="1944"/>
    <x v="2"/>
    <x v="52"/>
    <n v="2211"/>
  </r>
  <r>
    <x v="45"/>
    <x v="9"/>
    <x v="0"/>
    <n v="2014"/>
    <x v="0"/>
    <x v="52"/>
    <n v="18"/>
  </r>
  <r>
    <x v="22"/>
    <x v="6"/>
    <x v="3"/>
    <n v="1922"/>
    <x v="0"/>
    <x v="52"/>
    <n v="6"/>
  </r>
  <r>
    <x v="23"/>
    <x v="9"/>
    <x v="0"/>
    <n v="1964"/>
    <x v="2"/>
    <x v="52"/>
    <n v="286"/>
  </r>
  <r>
    <x v="25"/>
    <x v="4"/>
    <x v="3"/>
    <n v="1989"/>
    <x v="0"/>
    <x v="52"/>
    <n v="27"/>
  </r>
  <r>
    <x v="26"/>
    <x v="10"/>
    <x v="0"/>
    <n v="1967"/>
    <x v="2"/>
    <x v="52"/>
    <n v="4339"/>
  </r>
  <r>
    <x v="46"/>
    <x v="9"/>
    <x v="3"/>
    <n v="1958"/>
    <x v="0"/>
    <x v="52"/>
    <n v="0"/>
  </r>
  <r>
    <x v="38"/>
    <x v="9"/>
    <x v="0"/>
    <n v="2013"/>
    <x v="2"/>
    <x v="52"/>
    <n v="642"/>
  </r>
  <r>
    <x v="47"/>
    <x v="9"/>
    <x v="0"/>
    <n v="1984"/>
    <x v="0"/>
    <x v="52"/>
    <n v="0"/>
  </r>
  <r>
    <x v="37"/>
    <x v="10"/>
    <x v="3"/>
    <n v="2015"/>
    <x v="0"/>
    <x v="52"/>
    <n v="0"/>
  </r>
  <r>
    <x v="41"/>
    <x v="9"/>
    <x v="0"/>
    <n v="1986"/>
    <x v="2"/>
    <x v="52"/>
    <n v="256"/>
  </r>
  <r>
    <x v="48"/>
    <x v="9"/>
    <x v="0"/>
    <n v="1997"/>
    <x v="0"/>
    <x v="52"/>
    <n v="0"/>
  </r>
  <r>
    <x v="27"/>
    <x v="9"/>
    <x v="0"/>
    <n v="1996"/>
    <x v="0"/>
    <x v="52"/>
    <n v="0"/>
  </r>
  <r>
    <x v="39"/>
    <x v="9"/>
    <x v="0"/>
    <n v="1953"/>
    <x v="0"/>
    <x v="52"/>
    <n v="7"/>
  </r>
  <r>
    <x v="49"/>
    <x v="9"/>
    <x v="2"/>
    <n v="2017"/>
    <x v="0"/>
    <x v="52"/>
    <n v="386"/>
  </r>
  <r>
    <x v="29"/>
    <x v="9"/>
    <x v="0"/>
    <n v="1969"/>
    <x v="0"/>
    <x v="52"/>
    <n v="0"/>
  </r>
  <r>
    <x v="30"/>
    <x v="10"/>
    <x v="0"/>
    <n v="1967"/>
    <x v="0"/>
    <x v="52"/>
    <n v="12"/>
  </r>
  <r>
    <x v="31"/>
    <x v="11"/>
    <x v="0"/>
    <n v="1911"/>
    <x v="2"/>
    <x v="52"/>
    <n v="3295"/>
  </r>
  <r>
    <x v="40"/>
    <x v="9"/>
    <x v="0"/>
    <n v="1997"/>
    <x v="2"/>
    <x v="52"/>
    <n v="680"/>
  </r>
  <r>
    <x v="42"/>
    <x v="9"/>
    <x v="0"/>
    <n v="1862"/>
    <x v="0"/>
    <x v="52"/>
    <n v="502"/>
  </r>
  <r>
    <x v="32"/>
    <x v="11"/>
    <x v="3"/>
    <n v="1902"/>
    <x v="0"/>
    <x v="52"/>
    <n v="13"/>
  </r>
  <r>
    <x v="33"/>
    <x v="3"/>
    <x v="3"/>
    <n v="1916"/>
    <x v="0"/>
    <x v="52"/>
    <n v="185"/>
  </r>
  <r>
    <x v="34"/>
    <x v="3"/>
    <x v="3"/>
    <n v="1932"/>
    <x v="0"/>
    <x v="52"/>
    <n v="77"/>
  </r>
  <r>
    <x v="0"/>
    <x v="0"/>
    <x v="0"/>
    <n v="1941"/>
    <x v="0"/>
    <x v="53"/>
    <n v="40"/>
  </r>
  <r>
    <x v="3"/>
    <x v="3"/>
    <x v="2"/>
    <n v="1937"/>
    <x v="0"/>
    <x v="53"/>
    <n v="0"/>
  </r>
  <r>
    <x v="4"/>
    <x v="4"/>
    <x v="2"/>
    <n v="1937"/>
    <x v="0"/>
    <x v="53"/>
    <n v="476"/>
  </r>
  <r>
    <x v="43"/>
    <x v="9"/>
    <x v="2"/>
    <n v="2021"/>
    <x v="0"/>
    <x v="53"/>
    <n v="63"/>
  </r>
  <r>
    <x v="5"/>
    <x v="4"/>
    <x v="2"/>
    <n v="1953"/>
    <x v="0"/>
    <x v="53"/>
    <n v="121"/>
  </r>
  <r>
    <x v="10"/>
    <x v="3"/>
    <x v="3"/>
    <n v="1931"/>
    <x v="0"/>
    <x v="53"/>
    <n v="24"/>
  </r>
  <r>
    <x v="44"/>
    <x v="0"/>
    <x v="0"/>
    <n v="2022"/>
    <x v="0"/>
    <x v="53"/>
    <n v="0"/>
  </r>
  <r>
    <x v="12"/>
    <x v="4"/>
    <x v="2"/>
    <n v="1933"/>
    <x v="0"/>
    <x v="53"/>
    <n v="0"/>
  </r>
  <r>
    <x v="13"/>
    <x v="4"/>
    <x v="2"/>
    <n v="1870"/>
    <x v="0"/>
    <x v="53"/>
    <n v="50"/>
  </r>
  <r>
    <x v="14"/>
    <x v="6"/>
    <x v="3"/>
    <n v="1959"/>
    <x v="0"/>
    <x v="53"/>
    <n v="0"/>
  </r>
  <r>
    <x v="15"/>
    <x v="3"/>
    <x v="3"/>
    <n v="1926"/>
    <x v="0"/>
    <x v="53"/>
    <n v="75"/>
  </r>
  <r>
    <x v="18"/>
    <x v="4"/>
    <x v="3"/>
    <n v="1989"/>
    <x v="0"/>
    <x v="53"/>
    <n v="308"/>
  </r>
  <r>
    <x v="19"/>
    <x v="6"/>
    <x v="3"/>
    <n v="1948"/>
    <x v="0"/>
    <x v="53"/>
    <n v="45"/>
  </r>
  <r>
    <x v="20"/>
    <x v="0"/>
    <x v="0"/>
    <n v="1970"/>
    <x v="2"/>
    <x v="53"/>
    <n v="93"/>
  </r>
  <r>
    <x v="21"/>
    <x v="10"/>
    <x v="0"/>
    <n v="1944"/>
    <x v="2"/>
    <x v="53"/>
    <n v="2480"/>
  </r>
  <r>
    <x v="45"/>
    <x v="9"/>
    <x v="0"/>
    <n v="2014"/>
    <x v="0"/>
    <x v="53"/>
    <n v="101"/>
  </r>
  <r>
    <x v="22"/>
    <x v="6"/>
    <x v="3"/>
    <n v="1922"/>
    <x v="0"/>
    <x v="53"/>
    <n v="5"/>
  </r>
  <r>
    <x v="23"/>
    <x v="9"/>
    <x v="0"/>
    <n v="1964"/>
    <x v="2"/>
    <x v="53"/>
    <n v="880"/>
  </r>
  <r>
    <x v="25"/>
    <x v="4"/>
    <x v="3"/>
    <n v="1989"/>
    <x v="0"/>
    <x v="53"/>
    <n v="38"/>
  </r>
  <r>
    <x v="26"/>
    <x v="10"/>
    <x v="0"/>
    <n v="1967"/>
    <x v="2"/>
    <x v="53"/>
    <n v="4259"/>
  </r>
  <r>
    <x v="46"/>
    <x v="9"/>
    <x v="3"/>
    <n v="1958"/>
    <x v="0"/>
    <x v="53"/>
    <n v="0"/>
  </r>
  <r>
    <x v="38"/>
    <x v="9"/>
    <x v="0"/>
    <n v="2013"/>
    <x v="2"/>
    <x v="53"/>
    <n v="593"/>
  </r>
  <r>
    <x v="47"/>
    <x v="9"/>
    <x v="0"/>
    <n v="1984"/>
    <x v="0"/>
    <x v="53"/>
    <n v="28"/>
  </r>
  <r>
    <x v="37"/>
    <x v="10"/>
    <x v="3"/>
    <n v="2015"/>
    <x v="0"/>
    <x v="53"/>
    <n v="0"/>
  </r>
  <r>
    <x v="41"/>
    <x v="9"/>
    <x v="0"/>
    <n v="1986"/>
    <x v="2"/>
    <x v="53"/>
    <n v="284"/>
  </r>
  <r>
    <x v="48"/>
    <x v="9"/>
    <x v="0"/>
    <n v="1997"/>
    <x v="0"/>
    <x v="53"/>
    <n v="0"/>
  </r>
  <r>
    <x v="27"/>
    <x v="9"/>
    <x v="0"/>
    <n v="1996"/>
    <x v="0"/>
    <x v="53"/>
    <n v="1"/>
  </r>
  <r>
    <x v="39"/>
    <x v="9"/>
    <x v="0"/>
    <n v="1953"/>
    <x v="0"/>
    <x v="53"/>
    <n v="35"/>
  </r>
  <r>
    <x v="49"/>
    <x v="9"/>
    <x v="2"/>
    <n v="2017"/>
    <x v="0"/>
    <x v="53"/>
    <n v="270"/>
  </r>
  <r>
    <x v="29"/>
    <x v="9"/>
    <x v="0"/>
    <n v="1969"/>
    <x v="0"/>
    <x v="53"/>
    <n v="0"/>
  </r>
  <r>
    <x v="30"/>
    <x v="10"/>
    <x v="0"/>
    <n v="1967"/>
    <x v="0"/>
    <x v="53"/>
    <n v="0"/>
  </r>
  <r>
    <x v="31"/>
    <x v="11"/>
    <x v="0"/>
    <n v="1911"/>
    <x v="2"/>
    <x v="53"/>
    <n v="4070"/>
  </r>
  <r>
    <x v="40"/>
    <x v="9"/>
    <x v="0"/>
    <n v="1997"/>
    <x v="2"/>
    <x v="53"/>
    <n v="878"/>
  </r>
  <r>
    <x v="42"/>
    <x v="9"/>
    <x v="0"/>
    <n v="1862"/>
    <x v="0"/>
    <x v="53"/>
    <n v="741"/>
  </r>
  <r>
    <x v="32"/>
    <x v="11"/>
    <x v="3"/>
    <n v="1902"/>
    <x v="0"/>
    <x v="53"/>
    <n v="20"/>
  </r>
  <r>
    <x v="33"/>
    <x v="3"/>
    <x v="3"/>
    <n v="1916"/>
    <x v="0"/>
    <x v="53"/>
    <n v="122"/>
  </r>
  <r>
    <x v="34"/>
    <x v="3"/>
    <x v="3"/>
    <n v="1932"/>
    <x v="0"/>
    <x v="53"/>
    <n v="15"/>
  </r>
  <r>
    <x v="0"/>
    <x v="0"/>
    <x v="0"/>
    <n v="1941"/>
    <x v="0"/>
    <x v="54"/>
    <n v="43"/>
  </r>
  <r>
    <x v="3"/>
    <x v="3"/>
    <x v="2"/>
    <n v="1937"/>
    <x v="0"/>
    <x v="54"/>
    <n v="0"/>
  </r>
  <r>
    <x v="4"/>
    <x v="4"/>
    <x v="2"/>
    <n v="1937"/>
    <x v="0"/>
    <x v="54"/>
    <n v="1178"/>
  </r>
  <r>
    <x v="43"/>
    <x v="9"/>
    <x v="2"/>
    <n v="2021"/>
    <x v="0"/>
    <x v="54"/>
    <n v="91"/>
  </r>
  <r>
    <x v="5"/>
    <x v="4"/>
    <x v="2"/>
    <n v="1953"/>
    <x v="0"/>
    <x v="54"/>
    <n v="209"/>
  </r>
  <r>
    <x v="10"/>
    <x v="3"/>
    <x v="3"/>
    <n v="1931"/>
    <x v="0"/>
    <x v="54"/>
    <n v="41"/>
  </r>
  <r>
    <x v="44"/>
    <x v="0"/>
    <x v="0"/>
    <n v="2022"/>
    <x v="0"/>
    <x v="54"/>
    <n v="0"/>
  </r>
  <r>
    <x v="12"/>
    <x v="4"/>
    <x v="2"/>
    <n v="1933"/>
    <x v="0"/>
    <x v="54"/>
    <n v="0"/>
  </r>
  <r>
    <x v="13"/>
    <x v="4"/>
    <x v="2"/>
    <n v="1870"/>
    <x v="0"/>
    <x v="54"/>
    <n v="86"/>
  </r>
  <r>
    <x v="14"/>
    <x v="6"/>
    <x v="3"/>
    <n v="1959"/>
    <x v="0"/>
    <x v="54"/>
    <n v="1"/>
  </r>
  <r>
    <x v="15"/>
    <x v="3"/>
    <x v="3"/>
    <n v="1926"/>
    <x v="0"/>
    <x v="54"/>
    <n v="93"/>
  </r>
  <r>
    <x v="18"/>
    <x v="4"/>
    <x v="3"/>
    <n v="1989"/>
    <x v="0"/>
    <x v="54"/>
    <n v="357"/>
  </r>
  <r>
    <x v="19"/>
    <x v="6"/>
    <x v="3"/>
    <n v="1948"/>
    <x v="0"/>
    <x v="54"/>
    <n v="32"/>
  </r>
  <r>
    <x v="20"/>
    <x v="0"/>
    <x v="0"/>
    <n v="1970"/>
    <x v="2"/>
    <x v="54"/>
    <n v="194"/>
  </r>
  <r>
    <x v="21"/>
    <x v="10"/>
    <x v="0"/>
    <n v="1944"/>
    <x v="2"/>
    <x v="54"/>
    <n v="2331"/>
  </r>
  <r>
    <x v="45"/>
    <x v="9"/>
    <x v="0"/>
    <n v="2014"/>
    <x v="0"/>
    <x v="54"/>
    <n v="207"/>
  </r>
  <r>
    <x v="22"/>
    <x v="6"/>
    <x v="3"/>
    <n v="1922"/>
    <x v="0"/>
    <x v="54"/>
    <n v="1"/>
  </r>
  <r>
    <x v="23"/>
    <x v="9"/>
    <x v="0"/>
    <n v="1964"/>
    <x v="2"/>
    <x v="54"/>
    <n v="827"/>
  </r>
  <r>
    <x v="25"/>
    <x v="4"/>
    <x v="3"/>
    <n v="1989"/>
    <x v="0"/>
    <x v="54"/>
    <n v="60"/>
  </r>
  <r>
    <x v="26"/>
    <x v="10"/>
    <x v="0"/>
    <n v="1967"/>
    <x v="2"/>
    <x v="54"/>
    <n v="5168"/>
  </r>
  <r>
    <x v="46"/>
    <x v="9"/>
    <x v="3"/>
    <n v="1958"/>
    <x v="0"/>
    <x v="54"/>
    <n v="0"/>
  </r>
  <r>
    <x v="38"/>
    <x v="9"/>
    <x v="0"/>
    <n v="2013"/>
    <x v="2"/>
    <x v="54"/>
    <n v="803"/>
  </r>
  <r>
    <x v="47"/>
    <x v="9"/>
    <x v="0"/>
    <n v="1984"/>
    <x v="0"/>
    <x v="54"/>
    <n v="29"/>
  </r>
  <r>
    <x v="37"/>
    <x v="10"/>
    <x v="3"/>
    <n v="2015"/>
    <x v="0"/>
    <x v="54"/>
    <n v="0"/>
  </r>
  <r>
    <x v="41"/>
    <x v="9"/>
    <x v="0"/>
    <n v="1986"/>
    <x v="2"/>
    <x v="54"/>
    <n v="332"/>
  </r>
  <r>
    <x v="48"/>
    <x v="9"/>
    <x v="0"/>
    <n v="1997"/>
    <x v="0"/>
    <x v="54"/>
    <n v="0"/>
  </r>
  <r>
    <x v="27"/>
    <x v="9"/>
    <x v="0"/>
    <n v="1996"/>
    <x v="0"/>
    <x v="54"/>
    <n v="9"/>
  </r>
  <r>
    <x v="39"/>
    <x v="9"/>
    <x v="0"/>
    <n v="1953"/>
    <x v="0"/>
    <x v="54"/>
    <n v="28"/>
  </r>
  <r>
    <x v="49"/>
    <x v="9"/>
    <x v="2"/>
    <n v="2017"/>
    <x v="0"/>
    <x v="54"/>
    <n v="322"/>
  </r>
  <r>
    <x v="29"/>
    <x v="9"/>
    <x v="0"/>
    <n v="1969"/>
    <x v="0"/>
    <x v="54"/>
    <n v="1"/>
  </r>
  <r>
    <x v="30"/>
    <x v="10"/>
    <x v="0"/>
    <n v="1967"/>
    <x v="0"/>
    <x v="54"/>
    <n v="0"/>
  </r>
  <r>
    <x v="31"/>
    <x v="11"/>
    <x v="0"/>
    <n v="1911"/>
    <x v="2"/>
    <x v="54"/>
    <n v="3751"/>
  </r>
  <r>
    <x v="40"/>
    <x v="9"/>
    <x v="0"/>
    <n v="1997"/>
    <x v="2"/>
    <x v="54"/>
    <n v="1015"/>
  </r>
  <r>
    <x v="42"/>
    <x v="9"/>
    <x v="0"/>
    <n v="1862"/>
    <x v="0"/>
    <x v="54"/>
    <n v="713"/>
  </r>
  <r>
    <x v="32"/>
    <x v="11"/>
    <x v="3"/>
    <n v="1902"/>
    <x v="0"/>
    <x v="54"/>
    <n v="30"/>
  </r>
  <r>
    <x v="33"/>
    <x v="3"/>
    <x v="3"/>
    <n v="1916"/>
    <x v="0"/>
    <x v="54"/>
    <n v="123"/>
  </r>
  <r>
    <x v="34"/>
    <x v="3"/>
    <x v="3"/>
    <n v="1932"/>
    <x v="0"/>
    <x v="54"/>
    <n v="52"/>
  </r>
  <r>
    <x v="0"/>
    <x v="0"/>
    <x v="0"/>
    <n v="1941"/>
    <x v="0"/>
    <x v="55"/>
    <n v="50"/>
  </r>
  <r>
    <x v="3"/>
    <x v="3"/>
    <x v="2"/>
    <n v="1937"/>
    <x v="0"/>
    <x v="55"/>
    <n v="0"/>
  </r>
  <r>
    <x v="4"/>
    <x v="4"/>
    <x v="2"/>
    <n v="1937"/>
    <x v="0"/>
    <x v="55"/>
    <n v="847"/>
  </r>
  <r>
    <x v="43"/>
    <x v="9"/>
    <x v="2"/>
    <n v="2021"/>
    <x v="0"/>
    <x v="55"/>
    <n v="184"/>
  </r>
  <r>
    <x v="5"/>
    <x v="4"/>
    <x v="2"/>
    <n v="1953"/>
    <x v="0"/>
    <x v="55"/>
    <n v="111"/>
  </r>
  <r>
    <x v="10"/>
    <x v="3"/>
    <x v="3"/>
    <n v="1931"/>
    <x v="0"/>
    <x v="55"/>
    <n v="56"/>
  </r>
  <r>
    <x v="44"/>
    <x v="0"/>
    <x v="0"/>
    <n v="2022"/>
    <x v="0"/>
    <x v="55"/>
    <n v="162"/>
  </r>
  <r>
    <x v="12"/>
    <x v="4"/>
    <x v="2"/>
    <n v="1933"/>
    <x v="0"/>
    <x v="55"/>
    <n v="0"/>
  </r>
  <r>
    <x v="13"/>
    <x v="4"/>
    <x v="2"/>
    <n v="1870"/>
    <x v="0"/>
    <x v="55"/>
    <n v="13"/>
  </r>
  <r>
    <x v="14"/>
    <x v="6"/>
    <x v="3"/>
    <n v="1959"/>
    <x v="0"/>
    <x v="55"/>
    <n v="9"/>
  </r>
  <r>
    <x v="15"/>
    <x v="3"/>
    <x v="3"/>
    <n v="1926"/>
    <x v="0"/>
    <x v="55"/>
    <n v="69"/>
  </r>
  <r>
    <x v="18"/>
    <x v="4"/>
    <x v="3"/>
    <n v="1989"/>
    <x v="0"/>
    <x v="55"/>
    <n v="343"/>
  </r>
  <r>
    <x v="19"/>
    <x v="6"/>
    <x v="3"/>
    <n v="1948"/>
    <x v="0"/>
    <x v="55"/>
    <n v="42"/>
  </r>
  <r>
    <x v="20"/>
    <x v="0"/>
    <x v="0"/>
    <n v="1970"/>
    <x v="2"/>
    <x v="55"/>
    <n v="227"/>
  </r>
  <r>
    <x v="21"/>
    <x v="10"/>
    <x v="0"/>
    <n v="1944"/>
    <x v="2"/>
    <x v="55"/>
    <n v="1710"/>
  </r>
  <r>
    <x v="45"/>
    <x v="9"/>
    <x v="0"/>
    <n v="2014"/>
    <x v="0"/>
    <x v="55"/>
    <n v="648"/>
  </r>
  <r>
    <x v="22"/>
    <x v="6"/>
    <x v="3"/>
    <n v="1922"/>
    <x v="0"/>
    <x v="55"/>
    <n v="8"/>
  </r>
  <r>
    <x v="23"/>
    <x v="9"/>
    <x v="0"/>
    <n v="1964"/>
    <x v="2"/>
    <x v="55"/>
    <n v="1008"/>
  </r>
  <r>
    <x v="25"/>
    <x v="4"/>
    <x v="3"/>
    <n v="1989"/>
    <x v="0"/>
    <x v="55"/>
    <n v="49"/>
  </r>
  <r>
    <x v="26"/>
    <x v="10"/>
    <x v="0"/>
    <n v="1967"/>
    <x v="2"/>
    <x v="55"/>
    <n v="4665"/>
  </r>
  <r>
    <x v="46"/>
    <x v="9"/>
    <x v="3"/>
    <n v="1958"/>
    <x v="0"/>
    <x v="55"/>
    <n v="0"/>
  </r>
  <r>
    <x v="38"/>
    <x v="9"/>
    <x v="0"/>
    <n v="2013"/>
    <x v="2"/>
    <x v="55"/>
    <n v="758"/>
  </r>
  <r>
    <x v="47"/>
    <x v="9"/>
    <x v="0"/>
    <n v="1984"/>
    <x v="0"/>
    <x v="55"/>
    <n v="14"/>
  </r>
  <r>
    <x v="37"/>
    <x v="10"/>
    <x v="3"/>
    <n v="2015"/>
    <x v="0"/>
    <x v="55"/>
    <n v="0"/>
  </r>
  <r>
    <x v="41"/>
    <x v="9"/>
    <x v="0"/>
    <n v="1986"/>
    <x v="2"/>
    <x v="55"/>
    <n v="384"/>
  </r>
  <r>
    <x v="48"/>
    <x v="9"/>
    <x v="0"/>
    <n v="1997"/>
    <x v="0"/>
    <x v="55"/>
    <n v="0"/>
  </r>
  <r>
    <x v="27"/>
    <x v="9"/>
    <x v="0"/>
    <n v="1996"/>
    <x v="0"/>
    <x v="55"/>
    <n v="10"/>
  </r>
  <r>
    <x v="39"/>
    <x v="9"/>
    <x v="0"/>
    <n v="1953"/>
    <x v="0"/>
    <x v="55"/>
    <n v="53"/>
  </r>
  <r>
    <x v="49"/>
    <x v="9"/>
    <x v="2"/>
    <n v="2017"/>
    <x v="0"/>
    <x v="55"/>
    <n v="355"/>
  </r>
  <r>
    <x v="29"/>
    <x v="9"/>
    <x v="0"/>
    <n v="1969"/>
    <x v="0"/>
    <x v="55"/>
    <n v="5"/>
  </r>
  <r>
    <x v="30"/>
    <x v="10"/>
    <x v="0"/>
    <n v="1967"/>
    <x v="0"/>
    <x v="55"/>
    <n v="6"/>
  </r>
  <r>
    <x v="31"/>
    <x v="11"/>
    <x v="0"/>
    <n v="1911"/>
    <x v="2"/>
    <x v="55"/>
    <n v="3367"/>
  </r>
  <r>
    <x v="40"/>
    <x v="9"/>
    <x v="0"/>
    <n v="1997"/>
    <x v="2"/>
    <x v="55"/>
    <n v="1703"/>
  </r>
  <r>
    <x v="42"/>
    <x v="9"/>
    <x v="0"/>
    <n v="1862"/>
    <x v="0"/>
    <x v="55"/>
    <n v="761"/>
  </r>
  <r>
    <x v="32"/>
    <x v="11"/>
    <x v="3"/>
    <n v="1902"/>
    <x v="0"/>
    <x v="55"/>
    <n v="28"/>
  </r>
  <r>
    <x v="33"/>
    <x v="3"/>
    <x v="3"/>
    <n v="1916"/>
    <x v="0"/>
    <x v="55"/>
    <n v="77"/>
  </r>
  <r>
    <x v="34"/>
    <x v="3"/>
    <x v="3"/>
    <n v="1932"/>
    <x v="0"/>
    <x v="55"/>
    <n v="54"/>
  </r>
  <r>
    <x v="0"/>
    <x v="0"/>
    <x v="0"/>
    <n v="1941"/>
    <x v="0"/>
    <x v="56"/>
    <n v="82"/>
  </r>
  <r>
    <x v="3"/>
    <x v="3"/>
    <x v="2"/>
    <n v="1937"/>
    <x v="0"/>
    <x v="56"/>
    <n v="2"/>
  </r>
  <r>
    <x v="4"/>
    <x v="4"/>
    <x v="2"/>
    <n v="1937"/>
    <x v="0"/>
    <x v="56"/>
    <n v="1208"/>
  </r>
  <r>
    <x v="43"/>
    <x v="9"/>
    <x v="2"/>
    <n v="2021"/>
    <x v="0"/>
    <x v="56"/>
    <n v="159"/>
  </r>
  <r>
    <x v="5"/>
    <x v="4"/>
    <x v="2"/>
    <n v="1953"/>
    <x v="0"/>
    <x v="56"/>
    <n v="165"/>
  </r>
  <r>
    <x v="10"/>
    <x v="3"/>
    <x v="3"/>
    <n v="1931"/>
    <x v="0"/>
    <x v="56"/>
    <n v="37"/>
  </r>
  <r>
    <x v="44"/>
    <x v="0"/>
    <x v="0"/>
    <n v="2022"/>
    <x v="0"/>
    <x v="56"/>
    <n v="272"/>
  </r>
  <r>
    <x v="12"/>
    <x v="4"/>
    <x v="2"/>
    <n v="1933"/>
    <x v="0"/>
    <x v="56"/>
    <n v="3"/>
  </r>
  <r>
    <x v="13"/>
    <x v="4"/>
    <x v="2"/>
    <n v="1870"/>
    <x v="0"/>
    <x v="56"/>
    <n v="124"/>
  </r>
  <r>
    <x v="14"/>
    <x v="6"/>
    <x v="3"/>
    <n v="1959"/>
    <x v="0"/>
    <x v="56"/>
    <n v="4"/>
  </r>
  <r>
    <x v="15"/>
    <x v="3"/>
    <x v="3"/>
    <n v="1926"/>
    <x v="0"/>
    <x v="56"/>
    <n v="82"/>
  </r>
  <r>
    <x v="18"/>
    <x v="4"/>
    <x v="3"/>
    <n v="1989"/>
    <x v="0"/>
    <x v="56"/>
    <n v="375"/>
  </r>
  <r>
    <x v="19"/>
    <x v="6"/>
    <x v="3"/>
    <n v="1948"/>
    <x v="0"/>
    <x v="56"/>
    <n v="51"/>
  </r>
  <r>
    <x v="20"/>
    <x v="0"/>
    <x v="0"/>
    <n v="1970"/>
    <x v="2"/>
    <x v="56"/>
    <n v="260"/>
  </r>
  <r>
    <x v="21"/>
    <x v="10"/>
    <x v="0"/>
    <n v="1944"/>
    <x v="2"/>
    <x v="56"/>
    <n v="2192"/>
  </r>
  <r>
    <x v="45"/>
    <x v="9"/>
    <x v="0"/>
    <n v="2014"/>
    <x v="0"/>
    <x v="56"/>
    <n v="669"/>
  </r>
  <r>
    <x v="22"/>
    <x v="6"/>
    <x v="3"/>
    <n v="1922"/>
    <x v="0"/>
    <x v="56"/>
    <n v="0"/>
  </r>
  <r>
    <x v="23"/>
    <x v="9"/>
    <x v="0"/>
    <n v="1964"/>
    <x v="2"/>
    <x v="56"/>
    <n v="746"/>
  </r>
  <r>
    <x v="25"/>
    <x v="4"/>
    <x v="3"/>
    <n v="1989"/>
    <x v="0"/>
    <x v="56"/>
    <n v="26"/>
  </r>
  <r>
    <x v="26"/>
    <x v="10"/>
    <x v="0"/>
    <n v="1967"/>
    <x v="2"/>
    <x v="56"/>
    <n v="3657"/>
  </r>
  <r>
    <x v="46"/>
    <x v="9"/>
    <x v="3"/>
    <n v="1958"/>
    <x v="0"/>
    <x v="56"/>
    <n v="31"/>
  </r>
  <r>
    <x v="38"/>
    <x v="9"/>
    <x v="0"/>
    <n v="2013"/>
    <x v="2"/>
    <x v="56"/>
    <n v="1009"/>
  </r>
  <r>
    <x v="47"/>
    <x v="9"/>
    <x v="0"/>
    <n v="1984"/>
    <x v="0"/>
    <x v="56"/>
    <n v="8"/>
  </r>
  <r>
    <x v="37"/>
    <x v="10"/>
    <x v="3"/>
    <n v="2015"/>
    <x v="0"/>
    <x v="56"/>
    <n v="0"/>
  </r>
  <r>
    <x v="41"/>
    <x v="9"/>
    <x v="0"/>
    <n v="1986"/>
    <x v="2"/>
    <x v="56"/>
    <n v="329"/>
  </r>
  <r>
    <x v="48"/>
    <x v="9"/>
    <x v="0"/>
    <n v="1997"/>
    <x v="0"/>
    <x v="56"/>
    <n v="0"/>
  </r>
  <r>
    <x v="27"/>
    <x v="9"/>
    <x v="0"/>
    <n v="1996"/>
    <x v="0"/>
    <x v="56"/>
    <n v="0"/>
  </r>
  <r>
    <x v="39"/>
    <x v="9"/>
    <x v="0"/>
    <n v="1953"/>
    <x v="0"/>
    <x v="56"/>
    <n v="56"/>
  </r>
  <r>
    <x v="49"/>
    <x v="9"/>
    <x v="2"/>
    <n v="2017"/>
    <x v="0"/>
    <x v="56"/>
    <n v="414"/>
  </r>
  <r>
    <x v="29"/>
    <x v="9"/>
    <x v="0"/>
    <n v="1969"/>
    <x v="0"/>
    <x v="56"/>
    <n v="13"/>
  </r>
  <r>
    <x v="30"/>
    <x v="10"/>
    <x v="0"/>
    <n v="1967"/>
    <x v="0"/>
    <x v="56"/>
    <n v="0"/>
  </r>
  <r>
    <x v="31"/>
    <x v="11"/>
    <x v="0"/>
    <n v="1911"/>
    <x v="2"/>
    <x v="56"/>
    <n v="3185"/>
  </r>
  <r>
    <x v="40"/>
    <x v="9"/>
    <x v="0"/>
    <n v="1997"/>
    <x v="2"/>
    <x v="56"/>
    <n v="1437"/>
  </r>
  <r>
    <x v="42"/>
    <x v="9"/>
    <x v="0"/>
    <n v="1862"/>
    <x v="0"/>
    <x v="56"/>
    <n v="628"/>
  </r>
  <r>
    <x v="32"/>
    <x v="11"/>
    <x v="3"/>
    <n v="1902"/>
    <x v="0"/>
    <x v="56"/>
    <n v="23"/>
  </r>
  <r>
    <x v="33"/>
    <x v="3"/>
    <x v="3"/>
    <n v="1916"/>
    <x v="0"/>
    <x v="56"/>
    <n v="116"/>
  </r>
  <r>
    <x v="34"/>
    <x v="3"/>
    <x v="3"/>
    <n v="1932"/>
    <x v="0"/>
    <x v="56"/>
    <n v="62"/>
  </r>
  <r>
    <x v="0"/>
    <x v="0"/>
    <x v="0"/>
    <n v="1941"/>
    <x v="0"/>
    <x v="57"/>
    <n v="52"/>
  </r>
  <r>
    <x v="3"/>
    <x v="3"/>
    <x v="2"/>
    <n v="1937"/>
    <x v="0"/>
    <x v="57"/>
    <n v="108"/>
  </r>
  <r>
    <x v="4"/>
    <x v="4"/>
    <x v="2"/>
    <n v="1937"/>
    <x v="0"/>
    <x v="57"/>
    <n v="1176"/>
  </r>
  <r>
    <x v="43"/>
    <x v="9"/>
    <x v="2"/>
    <n v="2021"/>
    <x v="0"/>
    <x v="57"/>
    <n v="196"/>
  </r>
  <r>
    <x v="5"/>
    <x v="4"/>
    <x v="2"/>
    <n v="1953"/>
    <x v="0"/>
    <x v="57"/>
    <n v="155"/>
  </r>
  <r>
    <x v="10"/>
    <x v="3"/>
    <x v="3"/>
    <n v="1931"/>
    <x v="0"/>
    <x v="57"/>
    <n v="35"/>
  </r>
  <r>
    <x v="44"/>
    <x v="0"/>
    <x v="0"/>
    <n v="2022"/>
    <x v="0"/>
    <x v="57"/>
    <n v="349"/>
  </r>
  <r>
    <x v="12"/>
    <x v="4"/>
    <x v="2"/>
    <n v="1933"/>
    <x v="0"/>
    <x v="57"/>
    <n v="4"/>
  </r>
  <r>
    <x v="13"/>
    <x v="4"/>
    <x v="2"/>
    <n v="1870"/>
    <x v="0"/>
    <x v="57"/>
    <n v="80"/>
  </r>
  <r>
    <x v="14"/>
    <x v="6"/>
    <x v="3"/>
    <n v="1959"/>
    <x v="0"/>
    <x v="57"/>
    <n v="10"/>
  </r>
  <r>
    <x v="15"/>
    <x v="3"/>
    <x v="3"/>
    <n v="1926"/>
    <x v="0"/>
    <x v="57"/>
    <n v="99"/>
  </r>
  <r>
    <x v="18"/>
    <x v="4"/>
    <x v="3"/>
    <n v="1989"/>
    <x v="0"/>
    <x v="57"/>
    <n v="272"/>
  </r>
  <r>
    <x v="19"/>
    <x v="6"/>
    <x v="3"/>
    <n v="1948"/>
    <x v="0"/>
    <x v="57"/>
    <n v="23"/>
  </r>
  <r>
    <x v="20"/>
    <x v="0"/>
    <x v="0"/>
    <n v="1970"/>
    <x v="2"/>
    <x v="57"/>
    <n v="180"/>
  </r>
  <r>
    <x v="21"/>
    <x v="10"/>
    <x v="0"/>
    <n v="1944"/>
    <x v="2"/>
    <x v="57"/>
    <n v="2418"/>
  </r>
  <r>
    <x v="45"/>
    <x v="9"/>
    <x v="0"/>
    <n v="2014"/>
    <x v="0"/>
    <x v="57"/>
    <n v="620"/>
  </r>
  <r>
    <x v="22"/>
    <x v="6"/>
    <x v="3"/>
    <n v="1922"/>
    <x v="0"/>
    <x v="57"/>
    <n v="0"/>
  </r>
  <r>
    <x v="23"/>
    <x v="9"/>
    <x v="0"/>
    <n v="1964"/>
    <x v="2"/>
    <x v="57"/>
    <n v="903"/>
  </r>
  <r>
    <x v="25"/>
    <x v="4"/>
    <x v="3"/>
    <n v="1989"/>
    <x v="0"/>
    <x v="57"/>
    <n v="23"/>
  </r>
  <r>
    <x v="26"/>
    <x v="10"/>
    <x v="0"/>
    <n v="1967"/>
    <x v="2"/>
    <x v="57"/>
    <n v="3453"/>
  </r>
  <r>
    <x v="46"/>
    <x v="9"/>
    <x v="3"/>
    <n v="1958"/>
    <x v="0"/>
    <x v="57"/>
    <n v="9"/>
  </r>
  <r>
    <x v="38"/>
    <x v="9"/>
    <x v="0"/>
    <n v="2013"/>
    <x v="2"/>
    <x v="57"/>
    <n v="791"/>
  </r>
  <r>
    <x v="47"/>
    <x v="9"/>
    <x v="0"/>
    <n v="1984"/>
    <x v="0"/>
    <x v="57"/>
    <n v="72"/>
  </r>
  <r>
    <x v="37"/>
    <x v="10"/>
    <x v="3"/>
    <n v="2015"/>
    <x v="0"/>
    <x v="57"/>
    <n v="0"/>
  </r>
  <r>
    <x v="41"/>
    <x v="9"/>
    <x v="0"/>
    <n v="1986"/>
    <x v="2"/>
    <x v="57"/>
    <n v="346"/>
  </r>
  <r>
    <x v="48"/>
    <x v="9"/>
    <x v="0"/>
    <n v="1997"/>
    <x v="0"/>
    <x v="57"/>
    <n v="0"/>
  </r>
  <r>
    <x v="27"/>
    <x v="9"/>
    <x v="0"/>
    <n v="1996"/>
    <x v="0"/>
    <x v="57"/>
    <n v="4"/>
  </r>
  <r>
    <x v="39"/>
    <x v="9"/>
    <x v="0"/>
    <n v="1953"/>
    <x v="0"/>
    <x v="57"/>
    <n v="38"/>
  </r>
  <r>
    <x v="49"/>
    <x v="9"/>
    <x v="2"/>
    <n v="2017"/>
    <x v="0"/>
    <x v="57"/>
    <n v="329"/>
  </r>
  <r>
    <x v="29"/>
    <x v="9"/>
    <x v="0"/>
    <n v="1969"/>
    <x v="0"/>
    <x v="57"/>
    <n v="16"/>
  </r>
  <r>
    <x v="30"/>
    <x v="10"/>
    <x v="0"/>
    <n v="1967"/>
    <x v="0"/>
    <x v="57"/>
    <n v="9"/>
  </r>
  <r>
    <x v="31"/>
    <x v="11"/>
    <x v="0"/>
    <n v="1911"/>
    <x v="2"/>
    <x v="57"/>
    <n v="3836"/>
  </r>
  <r>
    <x v="40"/>
    <x v="9"/>
    <x v="0"/>
    <n v="1997"/>
    <x v="2"/>
    <x v="57"/>
    <n v="1187"/>
  </r>
  <r>
    <x v="42"/>
    <x v="9"/>
    <x v="0"/>
    <n v="1862"/>
    <x v="0"/>
    <x v="57"/>
    <n v="558"/>
  </r>
  <r>
    <x v="32"/>
    <x v="11"/>
    <x v="3"/>
    <n v="1902"/>
    <x v="0"/>
    <x v="57"/>
    <n v="49"/>
  </r>
  <r>
    <x v="33"/>
    <x v="3"/>
    <x v="3"/>
    <n v="1916"/>
    <x v="0"/>
    <x v="57"/>
    <n v="51"/>
  </r>
  <r>
    <x v="34"/>
    <x v="3"/>
    <x v="3"/>
    <n v="1932"/>
    <x v="0"/>
    <x v="57"/>
    <n v="123"/>
  </r>
  <r>
    <x v="0"/>
    <x v="0"/>
    <x v="0"/>
    <n v="1941"/>
    <x v="0"/>
    <x v="58"/>
    <n v="71"/>
  </r>
  <r>
    <x v="3"/>
    <x v="3"/>
    <x v="2"/>
    <n v="1937"/>
    <x v="0"/>
    <x v="58"/>
    <n v="54"/>
  </r>
  <r>
    <x v="4"/>
    <x v="4"/>
    <x v="2"/>
    <n v="1937"/>
    <x v="0"/>
    <x v="58"/>
    <n v="1256"/>
  </r>
  <r>
    <x v="43"/>
    <x v="9"/>
    <x v="2"/>
    <n v="2021"/>
    <x v="0"/>
    <x v="58"/>
    <n v="175"/>
  </r>
  <r>
    <x v="5"/>
    <x v="4"/>
    <x v="2"/>
    <n v="1953"/>
    <x v="0"/>
    <x v="58"/>
    <n v="122"/>
  </r>
  <r>
    <x v="10"/>
    <x v="3"/>
    <x v="3"/>
    <n v="1931"/>
    <x v="0"/>
    <x v="58"/>
    <n v="52"/>
  </r>
  <r>
    <x v="44"/>
    <x v="0"/>
    <x v="0"/>
    <n v="2022"/>
    <x v="0"/>
    <x v="58"/>
    <n v="453"/>
  </r>
  <r>
    <x v="12"/>
    <x v="4"/>
    <x v="2"/>
    <n v="1933"/>
    <x v="0"/>
    <x v="58"/>
    <n v="8"/>
  </r>
  <r>
    <x v="13"/>
    <x v="4"/>
    <x v="2"/>
    <n v="1870"/>
    <x v="0"/>
    <x v="58"/>
    <n v="54"/>
  </r>
  <r>
    <x v="14"/>
    <x v="6"/>
    <x v="3"/>
    <n v="1959"/>
    <x v="0"/>
    <x v="58"/>
    <n v="0"/>
  </r>
  <r>
    <x v="15"/>
    <x v="3"/>
    <x v="3"/>
    <n v="1926"/>
    <x v="0"/>
    <x v="58"/>
    <n v="55"/>
  </r>
  <r>
    <x v="18"/>
    <x v="4"/>
    <x v="3"/>
    <n v="1989"/>
    <x v="0"/>
    <x v="58"/>
    <n v="263"/>
  </r>
  <r>
    <x v="19"/>
    <x v="6"/>
    <x v="3"/>
    <n v="1948"/>
    <x v="0"/>
    <x v="58"/>
    <n v="22"/>
  </r>
  <r>
    <x v="20"/>
    <x v="0"/>
    <x v="0"/>
    <n v="1970"/>
    <x v="2"/>
    <x v="58"/>
    <n v="185"/>
  </r>
  <r>
    <x v="21"/>
    <x v="10"/>
    <x v="0"/>
    <n v="1944"/>
    <x v="2"/>
    <x v="58"/>
    <n v="2112"/>
  </r>
  <r>
    <x v="45"/>
    <x v="9"/>
    <x v="0"/>
    <n v="2014"/>
    <x v="0"/>
    <x v="58"/>
    <n v="629"/>
  </r>
  <r>
    <x v="22"/>
    <x v="6"/>
    <x v="3"/>
    <n v="1922"/>
    <x v="0"/>
    <x v="58"/>
    <n v="5"/>
  </r>
  <r>
    <x v="23"/>
    <x v="9"/>
    <x v="0"/>
    <n v="1964"/>
    <x v="2"/>
    <x v="58"/>
    <n v="1046"/>
  </r>
  <r>
    <x v="25"/>
    <x v="4"/>
    <x v="3"/>
    <n v="1989"/>
    <x v="0"/>
    <x v="58"/>
    <n v="38"/>
  </r>
  <r>
    <x v="26"/>
    <x v="10"/>
    <x v="0"/>
    <n v="1967"/>
    <x v="2"/>
    <x v="58"/>
    <n v="3607"/>
  </r>
  <r>
    <x v="46"/>
    <x v="9"/>
    <x v="3"/>
    <n v="1958"/>
    <x v="0"/>
    <x v="58"/>
    <n v="29"/>
  </r>
  <r>
    <x v="38"/>
    <x v="9"/>
    <x v="0"/>
    <n v="2013"/>
    <x v="2"/>
    <x v="58"/>
    <n v="743"/>
  </r>
  <r>
    <x v="47"/>
    <x v="9"/>
    <x v="0"/>
    <n v="1984"/>
    <x v="0"/>
    <x v="58"/>
    <n v="75"/>
  </r>
  <r>
    <x v="37"/>
    <x v="10"/>
    <x v="3"/>
    <n v="2015"/>
    <x v="0"/>
    <x v="58"/>
    <n v="0"/>
  </r>
  <r>
    <x v="41"/>
    <x v="9"/>
    <x v="0"/>
    <n v="1986"/>
    <x v="2"/>
    <x v="58"/>
    <n v="445"/>
  </r>
  <r>
    <x v="48"/>
    <x v="9"/>
    <x v="0"/>
    <n v="1997"/>
    <x v="0"/>
    <x v="58"/>
    <n v="56"/>
  </r>
  <r>
    <x v="27"/>
    <x v="9"/>
    <x v="0"/>
    <n v="1996"/>
    <x v="0"/>
    <x v="58"/>
    <n v="11"/>
  </r>
  <r>
    <x v="39"/>
    <x v="9"/>
    <x v="0"/>
    <n v="1953"/>
    <x v="0"/>
    <x v="58"/>
    <n v="50"/>
  </r>
  <r>
    <x v="49"/>
    <x v="9"/>
    <x v="2"/>
    <n v="2017"/>
    <x v="0"/>
    <x v="58"/>
    <n v="233"/>
  </r>
  <r>
    <x v="29"/>
    <x v="9"/>
    <x v="0"/>
    <n v="1969"/>
    <x v="0"/>
    <x v="58"/>
    <n v="14"/>
  </r>
  <r>
    <x v="30"/>
    <x v="10"/>
    <x v="0"/>
    <n v="1967"/>
    <x v="0"/>
    <x v="58"/>
    <n v="3"/>
  </r>
  <r>
    <x v="31"/>
    <x v="11"/>
    <x v="0"/>
    <n v="1911"/>
    <x v="2"/>
    <x v="58"/>
    <n v="4284"/>
  </r>
  <r>
    <x v="40"/>
    <x v="9"/>
    <x v="0"/>
    <n v="1997"/>
    <x v="2"/>
    <x v="58"/>
    <n v="1209"/>
  </r>
  <r>
    <x v="42"/>
    <x v="9"/>
    <x v="0"/>
    <n v="1862"/>
    <x v="0"/>
    <x v="58"/>
    <n v="485"/>
  </r>
  <r>
    <x v="32"/>
    <x v="11"/>
    <x v="3"/>
    <n v="1902"/>
    <x v="0"/>
    <x v="58"/>
    <n v="41"/>
  </r>
  <r>
    <x v="33"/>
    <x v="3"/>
    <x v="3"/>
    <n v="1916"/>
    <x v="0"/>
    <x v="58"/>
    <n v="33"/>
  </r>
  <r>
    <x v="34"/>
    <x v="3"/>
    <x v="3"/>
    <n v="1932"/>
    <x v="0"/>
    <x v="58"/>
    <n v="105"/>
  </r>
  <r>
    <x v="0"/>
    <x v="0"/>
    <x v="0"/>
    <n v="1941"/>
    <x v="0"/>
    <x v="59"/>
    <n v="162"/>
  </r>
  <r>
    <x v="3"/>
    <x v="3"/>
    <x v="2"/>
    <n v="1937"/>
    <x v="0"/>
    <x v="59"/>
    <n v="48"/>
  </r>
  <r>
    <x v="4"/>
    <x v="4"/>
    <x v="2"/>
    <n v="1937"/>
    <x v="0"/>
    <x v="59"/>
    <n v="1442"/>
  </r>
  <r>
    <x v="43"/>
    <x v="9"/>
    <x v="2"/>
    <n v="2021"/>
    <x v="0"/>
    <x v="59"/>
    <n v="142"/>
  </r>
  <r>
    <x v="5"/>
    <x v="4"/>
    <x v="2"/>
    <n v="1953"/>
    <x v="0"/>
    <x v="59"/>
    <n v="115"/>
  </r>
  <r>
    <x v="10"/>
    <x v="3"/>
    <x v="3"/>
    <n v="1931"/>
    <x v="0"/>
    <x v="59"/>
    <n v="68"/>
  </r>
  <r>
    <x v="44"/>
    <x v="0"/>
    <x v="0"/>
    <n v="2022"/>
    <x v="0"/>
    <x v="59"/>
    <n v="145"/>
  </r>
  <r>
    <x v="12"/>
    <x v="4"/>
    <x v="2"/>
    <n v="1933"/>
    <x v="0"/>
    <x v="59"/>
    <n v="2"/>
  </r>
  <r>
    <x v="13"/>
    <x v="4"/>
    <x v="2"/>
    <n v="1870"/>
    <x v="0"/>
    <x v="59"/>
    <n v="77"/>
  </r>
  <r>
    <x v="14"/>
    <x v="6"/>
    <x v="3"/>
    <n v="1959"/>
    <x v="0"/>
    <x v="59"/>
    <n v="9"/>
  </r>
  <r>
    <x v="15"/>
    <x v="3"/>
    <x v="3"/>
    <n v="1926"/>
    <x v="0"/>
    <x v="59"/>
    <n v="75"/>
  </r>
  <r>
    <x v="18"/>
    <x v="4"/>
    <x v="3"/>
    <n v="1989"/>
    <x v="0"/>
    <x v="59"/>
    <n v="250"/>
  </r>
  <r>
    <x v="19"/>
    <x v="6"/>
    <x v="3"/>
    <n v="1948"/>
    <x v="0"/>
    <x v="59"/>
    <n v="29"/>
  </r>
  <r>
    <x v="20"/>
    <x v="0"/>
    <x v="0"/>
    <n v="1970"/>
    <x v="2"/>
    <x v="59"/>
    <n v="181"/>
  </r>
  <r>
    <x v="21"/>
    <x v="10"/>
    <x v="0"/>
    <n v="1944"/>
    <x v="2"/>
    <x v="59"/>
    <n v="2422"/>
  </r>
  <r>
    <x v="45"/>
    <x v="9"/>
    <x v="0"/>
    <n v="2014"/>
    <x v="0"/>
    <x v="59"/>
    <n v="1061"/>
  </r>
  <r>
    <x v="22"/>
    <x v="6"/>
    <x v="3"/>
    <n v="1922"/>
    <x v="0"/>
    <x v="59"/>
    <n v="8"/>
  </r>
  <r>
    <x v="23"/>
    <x v="9"/>
    <x v="0"/>
    <n v="1964"/>
    <x v="2"/>
    <x v="59"/>
    <n v="1520"/>
  </r>
  <r>
    <x v="25"/>
    <x v="4"/>
    <x v="3"/>
    <n v="1989"/>
    <x v="0"/>
    <x v="59"/>
    <n v="4"/>
  </r>
  <r>
    <x v="26"/>
    <x v="10"/>
    <x v="0"/>
    <n v="1967"/>
    <x v="2"/>
    <x v="59"/>
    <n v="4821"/>
  </r>
  <r>
    <x v="46"/>
    <x v="9"/>
    <x v="3"/>
    <n v="1958"/>
    <x v="0"/>
    <x v="59"/>
    <n v="28"/>
  </r>
  <r>
    <x v="38"/>
    <x v="9"/>
    <x v="0"/>
    <n v="2013"/>
    <x v="2"/>
    <x v="59"/>
    <n v="762"/>
  </r>
  <r>
    <x v="47"/>
    <x v="9"/>
    <x v="0"/>
    <n v="1984"/>
    <x v="0"/>
    <x v="59"/>
    <n v="39"/>
  </r>
  <r>
    <x v="37"/>
    <x v="10"/>
    <x v="3"/>
    <n v="2015"/>
    <x v="0"/>
    <x v="59"/>
    <n v="6"/>
  </r>
  <r>
    <x v="41"/>
    <x v="9"/>
    <x v="0"/>
    <n v="1986"/>
    <x v="2"/>
    <x v="59"/>
    <n v="630"/>
  </r>
  <r>
    <x v="48"/>
    <x v="9"/>
    <x v="0"/>
    <n v="1997"/>
    <x v="0"/>
    <x v="59"/>
    <n v="67"/>
  </r>
  <r>
    <x v="27"/>
    <x v="9"/>
    <x v="0"/>
    <n v="1996"/>
    <x v="0"/>
    <x v="59"/>
    <n v="7"/>
  </r>
  <r>
    <x v="39"/>
    <x v="9"/>
    <x v="0"/>
    <n v="1953"/>
    <x v="0"/>
    <x v="59"/>
    <n v="38"/>
  </r>
  <r>
    <x v="49"/>
    <x v="9"/>
    <x v="2"/>
    <n v="2017"/>
    <x v="0"/>
    <x v="59"/>
    <n v="198"/>
  </r>
  <r>
    <x v="29"/>
    <x v="9"/>
    <x v="0"/>
    <n v="1969"/>
    <x v="0"/>
    <x v="59"/>
    <n v="6"/>
  </r>
  <r>
    <x v="30"/>
    <x v="10"/>
    <x v="0"/>
    <n v="1967"/>
    <x v="0"/>
    <x v="59"/>
    <n v="3"/>
  </r>
  <r>
    <x v="31"/>
    <x v="11"/>
    <x v="0"/>
    <n v="1911"/>
    <x v="2"/>
    <x v="59"/>
    <n v="5789"/>
  </r>
  <r>
    <x v="40"/>
    <x v="9"/>
    <x v="0"/>
    <n v="1997"/>
    <x v="2"/>
    <x v="59"/>
    <n v="1387"/>
  </r>
  <r>
    <x v="42"/>
    <x v="9"/>
    <x v="0"/>
    <n v="1862"/>
    <x v="0"/>
    <x v="59"/>
    <n v="595"/>
  </r>
  <r>
    <x v="32"/>
    <x v="11"/>
    <x v="3"/>
    <n v="1902"/>
    <x v="0"/>
    <x v="59"/>
    <n v="61"/>
  </r>
  <r>
    <x v="33"/>
    <x v="3"/>
    <x v="3"/>
    <n v="1916"/>
    <x v="0"/>
    <x v="59"/>
    <n v="15"/>
  </r>
  <r>
    <x v="34"/>
    <x v="3"/>
    <x v="3"/>
    <n v="1932"/>
    <x v="0"/>
    <x v="59"/>
    <n v="139"/>
  </r>
  <r>
    <x v="3"/>
    <x v="3"/>
    <x v="2"/>
    <n v="1937"/>
    <x v="0"/>
    <x v="60"/>
    <n v="31"/>
  </r>
  <r>
    <x v="4"/>
    <x v="4"/>
    <x v="2"/>
    <n v="1937"/>
    <x v="0"/>
    <x v="60"/>
    <n v="537"/>
  </r>
  <r>
    <x v="43"/>
    <x v="9"/>
    <x v="2"/>
    <n v="2021"/>
    <x v="0"/>
    <x v="60"/>
    <n v="131"/>
  </r>
  <r>
    <x v="5"/>
    <x v="4"/>
    <x v="2"/>
    <n v="1953"/>
    <x v="0"/>
    <x v="60"/>
    <n v="120"/>
  </r>
  <r>
    <x v="8"/>
    <x v="7"/>
    <x v="0"/>
    <n v="1899"/>
    <x v="2"/>
    <x v="60"/>
    <n v="6"/>
  </r>
  <r>
    <x v="10"/>
    <x v="3"/>
    <x v="3"/>
    <n v="1931"/>
    <x v="0"/>
    <x v="60"/>
    <n v="14"/>
  </r>
  <r>
    <x v="44"/>
    <x v="0"/>
    <x v="0"/>
    <n v="2022"/>
    <x v="0"/>
    <x v="60"/>
    <n v="91"/>
  </r>
  <r>
    <x v="12"/>
    <x v="4"/>
    <x v="2"/>
    <n v="1933"/>
    <x v="0"/>
    <x v="60"/>
    <n v="3"/>
  </r>
  <r>
    <x v="13"/>
    <x v="4"/>
    <x v="2"/>
    <n v="1870"/>
    <x v="0"/>
    <x v="60"/>
    <n v="40"/>
  </r>
  <r>
    <x v="14"/>
    <x v="6"/>
    <x v="3"/>
    <n v="1959"/>
    <x v="0"/>
    <x v="60"/>
    <n v="6"/>
  </r>
  <r>
    <x v="15"/>
    <x v="3"/>
    <x v="3"/>
    <n v="1926"/>
    <x v="0"/>
    <x v="60"/>
    <n v="47"/>
  </r>
  <r>
    <x v="18"/>
    <x v="4"/>
    <x v="3"/>
    <n v="1989"/>
    <x v="0"/>
    <x v="60"/>
    <n v="197"/>
  </r>
  <r>
    <x v="19"/>
    <x v="6"/>
    <x v="3"/>
    <n v="1948"/>
    <x v="0"/>
    <x v="60"/>
    <n v="22"/>
  </r>
  <r>
    <x v="20"/>
    <x v="0"/>
    <x v="0"/>
    <n v="1970"/>
    <x v="2"/>
    <x v="60"/>
    <n v="157"/>
  </r>
  <r>
    <x v="21"/>
    <x v="10"/>
    <x v="0"/>
    <n v="1944"/>
    <x v="2"/>
    <x v="60"/>
    <n v="1245"/>
  </r>
  <r>
    <x v="45"/>
    <x v="9"/>
    <x v="0"/>
    <n v="2014"/>
    <x v="0"/>
    <x v="60"/>
    <n v="606"/>
  </r>
  <r>
    <x v="22"/>
    <x v="6"/>
    <x v="3"/>
    <n v="1922"/>
    <x v="0"/>
    <x v="60"/>
    <n v="8"/>
  </r>
  <r>
    <x v="23"/>
    <x v="9"/>
    <x v="0"/>
    <n v="1964"/>
    <x v="2"/>
    <x v="60"/>
    <n v="829"/>
  </r>
  <r>
    <x v="25"/>
    <x v="4"/>
    <x v="3"/>
    <n v="1989"/>
    <x v="0"/>
    <x v="60"/>
    <n v="4"/>
  </r>
  <r>
    <x v="26"/>
    <x v="10"/>
    <x v="0"/>
    <n v="1967"/>
    <x v="2"/>
    <x v="60"/>
    <n v="3124"/>
  </r>
  <r>
    <x v="46"/>
    <x v="9"/>
    <x v="3"/>
    <n v="1958"/>
    <x v="0"/>
    <x v="60"/>
    <n v="24"/>
  </r>
  <r>
    <x v="38"/>
    <x v="9"/>
    <x v="0"/>
    <n v="2013"/>
    <x v="2"/>
    <x v="60"/>
    <n v="542"/>
  </r>
  <r>
    <x v="47"/>
    <x v="9"/>
    <x v="0"/>
    <n v="1984"/>
    <x v="0"/>
    <x v="60"/>
    <n v="9"/>
  </r>
  <r>
    <x v="41"/>
    <x v="9"/>
    <x v="0"/>
    <n v="1986"/>
    <x v="2"/>
    <x v="60"/>
    <n v="323"/>
  </r>
  <r>
    <x v="48"/>
    <x v="9"/>
    <x v="0"/>
    <n v="1997"/>
    <x v="0"/>
    <x v="60"/>
    <n v="72"/>
  </r>
  <r>
    <x v="27"/>
    <x v="9"/>
    <x v="0"/>
    <n v="1996"/>
    <x v="0"/>
    <x v="60"/>
    <n v="5"/>
  </r>
  <r>
    <x v="39"/>
    <x v="9"/>
    <x v="0"/>
    <n v="1953"/>
    <x v="0"/>
    <x v="60"/>
    <n v="38"/>
  </r>
  <r>
    <x v="49"/>
    <x v="9"/>
    <x v="2"/>
    <n v="2017"/>
    <x v="0"/>
    <x v="60"/>
    <n v="71"/>
  </r>
  <r>
    <x v="29"/>
    <x v="9"/>
    <x v="0"/>
    <n v="1969"/>
    <x v="0"/>
    <x v="60"/>
    <n v="63"/>
  </r>
  <r>
    <x v="31"/>
    <x v="11"/>
    <x v="0"/>
    <n v="1911"/>
    <x v="2"/>
    <x v="60"/>
    <n v="812"/>
  </r>
  <r>
    <x v="40"/>
    <x v="9"/>
    <x v="0"/>
    <n v="1997"/>
    <x v="2"/>
    <x v="60"/>
    <n v="1083"/>
  </r>
  <r>
    <x v="42"/>
    <x v="9"/>
    <x v="0"/>
    <n v="1862"/>
    <x v="0"/>
    <x v="60"/>
    <n v="443"/>
  </r>
  <r>
    <x v="32"/>
    <x v="11"/>
    <x v="3"/>
    <n v="1902"/>
    <x v="0"/>
    <x v="60"/>
    <n v="18"/>
  </r>
  <r>
    <x v="33"/>
    <x v="3"/>
    <x v="3"/>
    <n v="1916"/>
    <x v="0"/>
    <x v="60"/>
    <n v="18"/>
  </r>
  <r>
    <x v="34"/>
    <x v="3"/>
    <x v="3"/>
    <n v="1932"/>
    <x v="0"/>
    <x v="60"/>
    <n v="45"/>
  </r>
  <r>
    <x v="3"/>
    <x v="3"/>
    <x v="2"/>
    <n v="1937"/>
    <x v="0"/>
    <x v="61"/>
    <n v="23"/>
  </r>
  <r>
    <x v="4"/>
    <x v="4"/>
    <x v="2"/>
    <n v="1937"/>
    <x v="0"/>
    <x v="61"/>
    <n v="479"/>
  </r>
  <r>
    <x v="43"/>
    <x v="9"/>
    <x v="2"/>
    <n v="2021"/>
    <x v="0"/>
    <x v="61"/>
    <n v="143"/>
  </r>
  <r>
    <x v="5"/>
    <x v="4"/>
    <x v="2"/>
    <n v="1953"/>
    <x v="0"/>
    <x v="61"/>
    <n v="212"/>
  </r>
  <r>
    <x v="8"/>
    <x v="7"/>
    <x v="0"/>
    <n v="1899"/>
    <x v="2"/>
    <x v="61"/>
    <n v="14"/>
  </r>
  <r>
    <x v="10"/>
    <x v="3"/>
    <x v="3"/>
    <n v="1931"/>
    <x v="0"/>
    <x v="61"/>
    <n v="29"/>
  </r>
  <r>
    <x v="44"/>
    <x v="0"/>
    <x v="0"/>
    <n v="2022"/>
    <x v="0"/>
    <x v="61"/>
    <n v="158"/>
  </r>
  <r>
    <x v="12"/>
    <x v="4"/>
    <x v="2"/>
    <n v="1933"/>
    <x v="0"/>
    <x v="61"/>
    <n v="0"/>
  </r>
  <r>
    <x v="13"/>
    <x v="4"/>
    <x v="2"/>
    <n v="1870"/>
    <x v="0"/>
    <x v="61"/>
    <n v="92"/>
  </r>
  <r>
    <x v="14"/>
    <x v="6"/>
    <x v="3"/>
    <n v="1959"/>
    <x v="0"/>
    <x v="61"/>
    <n v="2"/>
  </r>
  <r>
    <x v="15"/>
    <x v="3"/>
    <x v="3"/>
    <n v="1926"/>
    <x v="0"/>
    <x v="61"/>
    <n v="59"/>
  </r>
  <r>
    <x v="18"/>
    <x v="4"/>
    <x v="3"/>
    <n v="1989"/>
    <x v="0"/>
    <x v="61"/>
    <n v="260"/>
  </r>
  <r>
    <x v="19"/>
    <x v="6"/>
    <x v="3"/>
    <n v="1948"/>
    <x v="0"/>
    <x v="61"/>
    <n v="11"/>
  </r>
  <r>
    <x v="20"/>
    <x v="0"/>
    <x v="0"/>
    <n v="1970"/>
    <x v="2"/>
    <x v="61"/>
    <n v="134"/>
  </r>
  <r>
    <x v="21"/>
    <x v="10"/>
    <x v="0"/>
    <n v="1944"/>
    <x v="2"/>
    <x v="61"/>
    <n v="1826"/>
  </r>
  <r>
    <x v="45"/>
    <x v="9"/>
    <x v="0"/>
    <n v="2014"/>
    <x v="0"/>
    <x v="61"/>
    <n v="541"/>
  </r>
  <r>
    <x v="22"/>
    <x v="6"/>
    <x v="3"/>
    <n v="1922"/>
    <x v="0"/>
    <x v="61"/>
    <n v="2"/>
  </r>
  <r>
    <x v="23"/>
    <x v="9"/>
    <x v="0"/>
    <n v="1964"/>
    <x v="2"/>
    <x v="61"/>
    <n v="593"/>
  </r>
  <r>
    <x v="25"/>
    <x v="4"/>
    <x v="3"/>
    <n v="1989"/>
    <x v="0"/>
    <x v="61"/>
    <n v="19"/>
  </r>
  <r>
    <x v="26"/>
    <x v="10"/>
    <x v="0"/>
    <n v="1967"/>
    <x v="2"/>
    <x v="61"/>
    <n v="2831"/>
  </r>
  <r>
    <x v="46"/>
    <x v="9"/>
    <x v="3"/>
    <n v="1958"/>
    <x v="0"/>
    <x v="61"/>
    <n v="28"/>
  </r>
  <r>
    <x v="38"/>
    <x v="9"/>
    <x v="0"/>
    <n v="2013"/>
    <x v="2"/>
    <x v="61"/>
    <n v="658"/>
  </r>
  <r>
    <x v="47"/>
    <x v="9"/>
    <x v="0"/>
    <n v="1984"/>
    <x v="0"/>
    <x v="61"/>
    <n v="18"/>
  </r>
  <r>
    <x v="41"/>
    <x v="9"/>
    <x v="0"/>
    <n v="1986"/>
    <x v="2"/>
    <x v="61"/>
    <n v="434"/>
  </r>
  <r>
    <x v="48"/>
    <x v="9"/>
    <x v="0"/>
    <n v="1997"/>
    <x v="0"/>
    <x v="61"/>
    <n v="43"/>
  </r>
  <r>
    <x v="27"/>
    <x v="9"/>
    <x v="0"/>
    <n v="1996"/>
    <x v="0"/>
    <x v="61"/>
    <n v="5"/>
  </r>
  <r>
    <x v="39"/>
    <x v="9"/>
    <x v="0"/>
    <n v="1953"/>
    <x v="0"/>
    <x v="61"/>
    <n v="43"/>
  </r>
  <r>
    <x v="49"/>
    <x v="9"/>
    <x v="2"/>
    <n v="2017"/>
    <x v="0"/>
    <x v="61"/>
    <n v="211"/>
  </r>
  <r>
    <x v="29"/>
    <x v="9"/>
    <x v="0"/>
    <n v="1969"/>
    <x v="0"/>
    <x v="61"/>
    <n v="9"/>
  </r>
  <r>
    <x v="31"/>
    <x v="11"/>
    <x v="0"/>
    <n v="1911"/>
    <x v="2"/>
    <x v="61"/>
    <n v="1162"/>
  </r>
  <r>
    <x v="40"/>
    <x v="9"/>
    <x v="0"/>
    <n v="1997"/>
    <x v="2"/>
    <x v="61"/>
    <n v="1040"/>
  </r>
  <r>
    <x v="42"/>
    <x v="9"/>
    <x v="0"/>
    <n v="1862"/>
    <x v="0"/>
    <x v="61"/>
    <n v="504"/>
  </r>
  <r>
    <x v="32"/>
    <x v="11"/>
    <x v="3"/>
    <n v="1902"/>
    <x v="0"/>
    <x v="61"/>
    <n v="22"/>
  </r>
  <r>
    <x v="33"/>
    <x v="3"/>
    <x v="3"/>
    <n v="1916"/>
    <x v="0"/>
    <x v="61"/>
    <n v="21"/>
  </r>
  <r>
    <x v="34"/>
    <x v="3"/>
    <x v="3"/>
    <n v="1932"/>
    <x v="0"/>
    <x v="61"/>
    <n v="5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0">
  <r>
    <x v="0"/>
    <x v="0"/>
    <x v="0"/>
    <x v="0"/>
    <n v="55000"/>
    <n v="85000"/>
    <x v="0"/>
    <x v="0"/>
    <x v="0"/>
    <x v="0"/>
    <x v="0"/>
    <x v="0"/>
    <x v="0"/>
    <n v="0"/>
    <x v="0"/>
    <n v="45.528374999999997"/>
    <n v="57.178207999999998"/>
    <n v="0"/>
    <n v="0"/>
    <n v="0"/>
  </r>
  <r>
    <x v="0"/>
    <x v="0"/>
    <x v="0"/>
    <x v="0"/>
    <n v="55000"/>
    <n v="85000"/>
    <x v="0"/>
    <x v="0"/>
    <x v="0"/>
    <x v="0"/>
    <x v="0"/>
    <x v="0"/>
    <x v="1"/>
    <n v="0"/>
    <x v="0"/>
    <n v="45.528374999999997"/>
    <n v="57.178207999999998"/>
    <n v="0"/>
    <n v="0"/>
    <n v="0"/>
  </r>
  <r>
    <x v="0"/>
    <x v="0"/>
    <x v="0"/>
    <x v="0"/>
    <n v="55000"/>
    <n v="85000"/>
    <x v="0"/>
    <x v="0"/>
    <x v="0"/>
    <x v="0"/>
    <x v="0"/>
    <x v="0"/>
    <x v="2"/>
    <n v="346"/>
    <x v="0"/>
    <n v="45.528374999999997"/>
    <n v="57.178207999999998"/>
    <n v="22.49"/>
    <n v="40.382361043181817"/>
    <n v="17.768238858999997"/>
  </r>
  <r>
    <x v="0"/>
    <x v="0"/>
    <x v="0"/>
    <x v="0"/>
    <n v="55000"/>
    <n v="85000"/>
    <x v="0"/>
    <x v="0"/>
    <x v="0"/>
    <x v="0"/>
    <x v="0"/>
    <x v="0"/>
    <x v="3"/>
    <n v="0"/>
    <x v="0"/>
    <n v="45.528374999999997"/>
    <n v="57.178207999999998"/>
    <n v="0"/>
    <n v="0"/>
    <n v="0"/>
  </r>
  <r>
    <x v="0"/>
    <x v="0"/>
    <x v="0"/>
    <x v="0"/>
    <n v="55000"/>
    <n v="85000"/>
    <x v="0"/>
    <x v="0"/>
    <x v="0"/>
    <x v="0"/>
    <x v="0"/>
    <x v="0"/>
    <x v="4"/>
    <n v="254"/>
    <x v="0"/>
    <n v="45.528374999999997"/>
    <n v="57.178207999999998"/>
    <n v="16.510000000000002"/>
    <n v="29.64485463863636"/>
    <n v="13.043736041000001"/>
  </r>
  <r>
    <x v="0"/>
    <x v="1"/>
    <x v="0"/>
    <x v="1"/>
    <n v="65000"/>
    <n v="100000"/>
    <x v="0"/>
    <x v="0"/>
    <x v="0"/>
    <x v="1"/>
    <x v="1"/>
    <x v="1"/>
    <x v="0"/>
    <n v="0"/>
    <x v="1"/>
    <n v="69.7"/>
    <n v="85.6"/>
    <n v="0"/>
    <n v="0"/>
    <n v="0"/>
  </r>
  <r>
    <x v="0"/>
    <x v="1"/>
    <x v="0"/>
    <x v="1"/>
    <n v="65000"/>
    <n v="100000"/>
    <x v="0"/>
    <x v="0"/>
    <x v="0"/>
    <x v="1"/>
    <x v="1"/>
    <x v="1"/>
    <x v="1"/>
    <n v="0"/>
    <x v="1"/>
    <n v="69.7"/>
    <n v="85.6"/>
    <n v="0"/>
    <n v="0"/>
    <n v="0"/>
  </r>
  <r>
    <x v="0"/>
    <x v="1"/>
    <x v="0"/>
    <x v="1"/>
    <n v="65000"/>
    <n v="100000"/>
    <x v="0"/>
    <x v="0"/>
    <x v="0"/>
    <x v="1"/>
    <x v="1"/>
    <x v="1"/>
    <x v="2"/>
    <n v="407"/>
    <x v="1"/>
    <n v="69.7"/>
    <n v="85.6"/>
    <n v="31.338999999999999"/>
    <n v="71.826250000000002"/>
    <n v="31.603550000000002"/>
  </r>
  <r>
    <x v="0"/>
    <x v="1"/>
    <x v="0"/>
    <x v="1"/>
    <n v="65000"/>
    <n v="100000"/>
    <x v="0"/>
    <x v="0"/>
    <x v="0"/>
    <x v="1"/>
    <x v="1"/>
    <x v="1"/>
    <x v="3"/>
    <n v="0"/>
    <x v="1"/>
    <n v="69.7"/>
    <n v="85.6"/>
    <n v="0"/>
    <n v="0"/>
    <n v="0"/>
  </r>
  <r>
    <x v="0"/>
    <x v="1"/>
    <x v="0"/>
    <x v="1"/>
    <n v="65000"/>
    <n v="100000"/>
    <x v="0"/>
    <x v="0"/>
    <x v="0"/>
    <x v="1"/>
    <x v="1"/>
    <x v="1"/>
    <x v="4"/>
    <n v="0"/>
    <x v="1"/>
    <n v="69.7"/>
    <n v="85.6"/>
    <n v="0"/>
    <n v="0"/>
    <n v="0"/>
  </r>
  <r>
    <x v="1"/>
    <x v="2"/>
    <x v="0"/>
    <x v="2"/>
    <n v="13000"/>
    <n v="18000"/>
    <x v="1"/>
    <x v="1"/>
    <x v="1"/>
    <x v="2"/>
    <x v="2"/>
    <x v="2"/>
    <x v="0"/>
    <n v="743"/>
    <x v="2"/>
    <n v="8.99"/>
    <n v="9.99"/>
    <n v="11.145"/>
    <n v="16.025159090909092"/>
    <n v="7.0510699999999993"/>
  </r>
  <r>
    <x v="1"/>
    <x v="2"/>
    <x v="0"/>
    <x v="2"/>
    <n v="13000"/>
    <n v="18000"/>
    <x v="1"/>
    <x v="1"/>
    <x v="1"/>
    <x v="2"/>
    <x v="2"/>
    <x v="2"/>
    <x v="1"/>
    <n v="0"/>
    <x v="2"/>
    <n v="8.99"/>
    <n v="9.99"/>
    <n v="0"/>
    <n v="0"/>
    <n v="0"/>
  </r>
  <r>
    <x v="1"/>
    <x v="2"/>
    <x v="0"/>
    <x v="2"/>
    <n v="13000"/>
    <n v="18000"/>
    <x v="1"/>
    <x v="1"/>
    <x v="1"/>
    <x v="2"/>
    <x v="2"/>
    <x v="2"/>
    <x v="2"/>
    <n v="0"/>
    <x v="2"/>
    <n v="8.99"/>
    <n v="9.99"/>
    <n v="0"/>
    <n v="0"/>
    <n v="0"/>
  </r>
  <r>
    <x v="1"/>
    <x v="2"/>
    <x v="0"/>
    <x v="2"/>
    <n v="13000"/>
    <n v="18000"/>
    <x v="1"/>
    <x v="1"/>
    <x v="1"/>
    <x v="2"/>
    <x v="2"/>
    <x v="2"/>
    <x v="3"/>
    <n v="0"/>
    <x v="2"/>
    <n v="8.99"/>
    <n v="9.99"/>
    <n v="0"/>
    <n v="0"/>
    <n v="0"/>
  </r>
  <r>
    <x v="1"/>
    <x v="2"/>
    <x v="0"/>
    <x v="2"/>
    <n v="13000"/>
    <n v="18000"/>
    <x v="1"/>
    <x v="1"/>
    <x v="1"/>
    <x v="2"/>
    <x v="2"/>
    <x v="2"/>
    <x v="4"/>
    <n v="0"/>
    <x v="2"/>
    <n v="8.99"/>
    <n v="9.99"/>
    <n v="0"/>
    <n v="0"/>
    <n v="0"/>
  </r>
  <r>
    <x v="1"/>
    <x v="3"/>
    <x v="1"/>
    <x v="3"/>
    <n v="16000"/>
    <n v="22000"/>
    <x v="1"/>
    <x v="1"/>
    <x v="2"/>
    <x v="0"/>
    <x v="3"/>
    <x v="3"/>
    <x v="0"/>
    <n v="3250"/>
    <x v="3"/>
    <n v="9.99"/>
    <n v="11.19"/>
    <n v="58.5"/>
    <n v="78.221590909090907"/>
    <n v="34.417499999999997"/>
  </r>
  <r>
    <x v="1"/>
    <x v="3"/>
    <x v="1"/>
    <x v="3"/>
    <n v="16000"/>
    <n v="22000"/>
    <x v="1"/>
    <x v="1"/>
    <x v="2"/>
    <x v="0"/>
    <x v="3"/>
    <x v="3"/>
    <x v="1"/>
    <n v="0"/>
    <x v="3"/>
    <n v="9.99"/>
    <n v="11.19"/>
    <n v="0"/>
    <n v="0"/>
    <n v="0"/>
  </r>
  <r>
    <x v="1"/>
    <x v="3"/>
    <x v="1"/>
    <x v="3"/>
    <n v="16000"/>
    <n v="22000"/>
    <x v="1"/>
    <x v="1"/>
    <x v="2"/>
    <x v="0"/>
    <x v="3"/>
    <x v="3"/>
    <x v="2"/>
    <n v="0"/>
    <x v="3"/>
    <n v="9.99"/>
    <n v="11.19"/>
    <n v="0"/>
    <n v="0"/>
    <n v="0"/>
  </r>
  <r>
    <x v="1"/>
    <x v="3"/>
    <x v="1"/>
    <x v="3"/>
    <n v="16000"/>
    <n v="22000"/>
    <x v="1"/>
    <x v="1"/>
    <x v="2"/>
    <x v="0"/>
    <x v="3"/>
    <x v="3"/>
    <x v="3"/>
    <n v="0"/>
    <x v="3"/>
    <n v="9.99"/>
    <n v="11.19"/>
    <n v="0"/>
    <n v="0"/>
    <n v="0"/>
  </r>
  <r>
    <x v="1"/>
    <x v="3"/>
    <x v="1"/>
    <x v="3"/>
    <n v="16000"/>
    <n v="22000"/>
    <x v="1"/>
    <x v="1"/>
    <x v="2"/>
    <x v="0"/>
    <x v="3"/>
    <x v="3"/>
    <x v="4"/>
    <n v="0"/>
    <x v="3"/>
    <n v="9.99"/>
    <n v="11.19"/>
    <n v="0"/>
    <n v="0"/>
    <n v="0"/>
  </r>
  <r>
    <x v="1"/>
    <x v="4"/>
    <x v="0"/>
    <x v="4"/>
    <n v="19000"/>
    <n v="25000"/>
    <x v="0"/>
    <x v="1"/>
    <x v="2"/>
    <x v="0"/>
    <x v="4"/>
    <x v="4"/>
    <x v="0"/>
    <n v="1396"/>
    <x v="4"/>
    <n v="12.89"/>
    <n v="14.99"/>
    <n v="30.712"/>
    <n v="44.227818181818179"/>
    <n v="19.460239999999999"/>
  </r>
  <r>
    <x v="1"/>
    <x v="4"/>
    <x v="0"/>
    <x v="4"/>
    <n v="19000"/>
    <n v="25000"/>
    <x v="0"/>
    <x v="1"/>
    <x v="2"/>
    <x v="0"/>
    <x v="4"/>
    <x v="4"/>
    <x v="1"/>
    <n v="0"/>
    <x v="4"/>
    <n v="12.89"/>
    <n v="14.99"/>
    <n v="0"/>
    <n v="0"/>
    <n v="0"/>
  </r>
  <r>
    <x v="1"/>
    <x v="4"/>
    <x v="0"/>
    <x v="4"/>
    <n v="19000"/>
    <n v="25000"/>
    <x v="0"/>
    <x v="1"/>
    <x v="2"/>
    <x v="0"/>
    <x v="4"/>
    <x v="4"/>
    <x v="2"/>
    <n v="0"/>
    <x v="4"/>
    <n v="12.89"/>
    <n v="14.99"/>
    <n v="0"/>
    <n v="0"/>
    <n v="0"/>
  </r>
  <r>
    <x v="1"/>
    <x v="4"/>
    <x v="0"/>
    <x v="4"/>
    <n v="19000"/>
    <n v="25000"/>
    <x v="0"/>
    <x v="1"/>
    <x v="2"/>
    <x v="0"/>
    <x v="4"/>
    <x v="4"/>
    <x v="3"/>
    <n v="0"/>
    <x v="4"/>
    <n v="12.89"/>
    <n v="14.99"/>
    <n v="0"/>
    <n v="0"/>
    <n v="0"/>
  </r>
  <r>
    <x v="1"/>
    <x v="4"/>
    <x v="0"/>
    <x v="4"/>
    <n v="19000"/>
    <n v="25000"/>
    <x v="0"/>
    <x v="1"/>
    <x v="2"/>
    <x v="0"/>
    <x v="4"/>
    <x v="4"/>
    <x v="4"/>
    <n v="0"/>
    <x v="4"/>
    <n v="12.89"/>
    <n v="14.99"/>
    <n v="0"/>
    <n v="0"/>
    <n v="0"/>
  </r>
  <r>
    <x v="2"/>
    <x v="5"/>
    <x v="0"/>
    <x v="5"/>
    <n v="11000"/>
    <n v="15000"/>
    <x v="1"/>
    <x v="1"/>
    <x v="1"/>
    <x v="2"/>
    <x v="5"/>
    <x v="5"/>
    <x v="0"/>
    <n v="3676"/>
    <x v="5"/>
    <n v="6.99"/>
    <n v="7.49"/>
    <n v="47.787999999999997"/>
    <n v="60.486909090909087"/>
    <n v="26.614240000000002"/>
  </r>
  <r>
    <x v="2"/>
    <x v="5"/>
    <x v="0"/>
    <x v="5"/>
    <n v="11000"/>
    <n v="15000"/>
    <x v="1"/>
    <x v="1"/>
    <x v="1"/>
    <x v="2"/>
    <x v="5"/>
    <x v="5"/>
    <x v="1"/>
    <n v="0"/>
    <x v="5"/>
    <n v="6.99"/>
    <n v="7.49"/>
    <n v="0"/>
    <n v="0"/>
    <n v="0"/>
  </r>
  <r>
    <x v="2"/>
    <x v="5"/>
    <x v="0"/>
    <x v="5"/>
    <n v="11000"/>
    <n v="15000"/>
    <x v="1"/>
    <x v="1"/>
    <x v="1"/>
    <x v="2"/>
    <x v="5"/>
    <x v="5"/>
    <x v="2"/>
    <n v="0"/>
    <x v="5"/>
    <n v="6.99"/>
    <n v="7.49"/>
    <n v="0"/>
    <n v="0"/>
    <n v="0"/>
  </r>
  <r>
    <x v="2"/>
    <x v="5"/>
    <x v="0"/>
    <x v="5"/>
    <n v="11000"/>
    <n v="15000"/>
    <x v="1"/>
    <x v="1"/>
    <x v="1"/>
    <x v="2"/>
    <x v="5"/>
    <x v="5"/>
    <x v="3"/>
    <n v="0"/>
    <x v="5"/>
    <n v="6.99"/>
    <n v="7.49"/>
    <n v="0"/>
    <n v="0"/>
    <n v="0"/>
  </r>
  <r>
    <x v="2"/>
    <x v="5"/>
    <x v="0"/>
    <x v="5"/>
    <n v="11000"/>
    <n v="15000"/>
    <x v="1"/>
    <x v="1"/>
    <x v="1"/>
    <x v="2"/>
    <x v="5"/>
    <x v="5"/>
    <x v="4"/>
    <n v="0"/>
    <x v="5"/>
    <n v="6.99"/>
    <n v="7.49"/>
    <n v="0"/>
    <n v="0"/>
    <n v="0"/>
  </r>
  <r>
    <x v="2"/>
    <x v="6"/>
    <x v="0"/>
    <x v="2"/>
    <n v="13000"/>
    <n v="18000"/>
    <x v="1"/>
    <x v="1"/>
    <x v="1"/>
    <x v="2"/>
    <x v="2"/>
    <x v="2"/>
    <x v="0"/>
    <n v="2296"/>
    <x v="6"/>
    <n v="8.59"/>
    <n v="11"/>
    <n v="34.44"/>
    <n v="51.112090909090902"/>
    <n v="22.489319999999999"/>
  </r>
  <r>
    <x v="2"/>
    <x v="6"/>
    <x v="0"/>
    <x v="2"/>
    <n v="13000"/>
    <n v="18000"/>
    <x v="1"/>
    <x v="1"/>
    <x v="1"/>
    <x v="2"/>
    <x v="2"/>
    <x v="2"/>
    <x v="1"/>
    <n v="0"/>
    <x v="6"/>
    <n v="8.59"/>
    <n v="11"/>
    <n v="0"/>
    <n v="0"/>
    <n v="0"/>
  </r>
  <r>
    <x v="2"/>
    <x v="6"/>
    <x v="0"/>
    <x v="2"/>
    <n v="13000"/>
    <n v="18000"/>
    <x v="1"/>
    <x v="1"/>
    <x v="1"/>
    <x v="2"/>
    <x v="2"/>
    <x v="2"/>
    <x v="2"/>
    <n v="0"/>
    <x v="6"/>
    <n v="8.59"/>
    <n v="11"/>
    <n v="0"/>
    <n v="0"/>
    <n v="0"/>
  </r>
  <r>
    <x v="2"/>
    <x v="6"/>
    <x v="0"/>
    <x v="2"/>
    <n v="13000"/>
    <n v="18000"/>
    <x v="1"/>
    <x v="1"/>
    <x v="1"/>
    <x v="2"/>
    <x v="2"/>
    <x v="2"/>
    <x v="3"/>
    <n v="0"/>
    <x v="6"/>
    <n v="8.59"/>
    <n v="11"/>
    <n v="0"/>
    <n v="0"/>
    <n v="0"/>
  </r>
  <r>
    <x v="2"/>
    <x v="6"/>
    <x v="0"/>
    <x v="2"/>
    <n v="13000"/>
    <n v="18000"/>
    <x v="1"/>
    <x v="1"/>
    <x v="1"/>
    <x v="2"/>
    <x v="2"/>
    <x v="2"/>
    <x v="4"/>
    <n v="0"/>
    <x v="6"/>
    <n v="8.59"/>
    <n v="11"/>
    <n v="0"/>
    <n v="0"/>
    <n v="0"/>
  </r>
  <r>
    <x v="2"/>
    <x v="7"/>
    <x v="0"/>
    <x v="3"/>
    <n v="16000"/>
    <n v="22000"/>
    <x v="0"/>
    <x v="1"/>
    <x v="2"/>
    <x v="0"/>
    <x v="3"/>
    <x v="3"/>
    <x v="0"/>
    <n v="4326"/>
    <x v="7"/>
    <n v="9.99"/>
    <n v="14.2"/>
    <n v="77.867999999999995"/>
    <n v="118.91584090909092"/>
    <n v="52.322969999999998"/>
  </r>
  <r>
    <x v="2"/>
    <x v="7"/>
    <x v="0"/>
    <x v="3"/>
    <n v="16000"/>
    <n v="22000"/>
    <x v="0"/>
    <x v="1"/>
    <x v="2"/>
    <x v="0"/>
    <x v="3"/>
    <x v="3"/>
    <x v="1"/>
    <n v="2329"/>
    <x v="7"/>
    <n v="9.99"/>
    <n v="14.2"/>
    <n v="41.921999999999997"/>
    <n v="64.021034090909097"/>
    <n v="28.169255"/>
  </r>
  <r>
    <x v="2"/>
    <x v="7"/>
    <x v="0"/>
    <x v="3"/>
    <n v="16000"/>
    <n v="22000"/>
    <x v="0"/>
    <x v="1"/>
    <x v="2"/>
    <x v="0"/>
    <x v="3"/>
    <x v="3"/>
    <x v="2"/>
    <n v="0"/>
    <x v="7"/>
    <n v="9.99"/>
    <n v="14.2"/>
    <n v="0"/>
    <n v="0"/>
    <n v="0"/>
  </r>
  <r>
    <x v="2"/>
    <x v="7"/>
    <x v="0"/>
    <x v="3"/>
    <n v="16000"/>
    <n v="22000"/>
    <x v="0"/>
    <x v="1"/>
    <x v="2"/>
    <x v="0"/>
    <x v="3"/>
    <x v="3"/>
    <x v="3"/>
    <n v="0"/>
    <x v="7"/>
    <n v="9.99"/>
    <n v="14.2"/>
    <n v="0"/>
    <n v="0"/>
    <n v="0"/>
  </r>
  <r>
    <x v="2"/>
    <x v="7"/>
    <x v="0"/>
    <x v="3"/>
    <n v="16000"/>
    <n v="22000"/>
    <x v="0"/>
    <x v="1"/>
    <x v="2"/>
    <x v="0"/>
    <x v="3"/>
    <x v="3"/>
    <x v="4"/>
    <n v="0"/>
    <x v="7"/>
    <n v="9.99"/>
    <n v="14.2"/>
    <n v="0"/>
    <n v="0"/>
    <n v="0"/>
  </r>
  <r>
    <x v="2"/>
    <x v="8"/>
    <x v="0"/>
    <x v="4"/>
    <n v="19000"/>
    <n v="25000"/>
    <x v="0"/>
    <x v="1"/>
    <x v="2"/>
    <x v="0"/>
    <x v="4"/>
    <x v="4"/>
    <x v="0"/>
    <n v="1807"/>
    <x v="8"/>
    <n v="13.5"/>
    <n v="15"/>
    <n v="39.753999999999998"/>
    <n v="58.522159090909092"/>
    <n v="25.749749999999999"/>
  </r>
  <r>
    <x v="2"/>
    <x v="8"/>
    <x v="0"/>
    <x v="4"/>
    <n v="19000"/>
    <n v="25000"/>
    <x v="0"/>
    <x v="1"/>
    <x v="2"/>
    <x v="0"/>
    <x v="4"/>
    <x v="4"/>
    <x v="1"/>
    <n v="1729"/>
    <x v="8"/>
    <n v="13.5"/>
    <n v="15"/>
    <n v="38.037999999999997"/>
    <n v="55.996022727272731"/>
    <n v="24.638249999999999"/>
  </r>
  <r>
    <x v="2"/>
    <x v="8"/>
    <x v="0"/>
    <x v="4"/>
    <n v="19000"/>
    <n v="25000"/>
    <x v="0"/>
    <x v="1"/>
    <x v="2"/>
    <x v="0"/>
    <x v="4"/>
    <x v="4"/>
    <x v="2"/>
    <n v="0"/>
    <x v="8"/>
    <n v="13.5"/>
    <n v="15"/>
    <n v="0"/>
    <n v="0"/>
    <n v="0"/>
  </r>
  <r>
    <x v="2"/>
    <x v="8"/>
    <x v="0"/>
    <x v="4"/>
    <n v="19000"/>
    <n v="25000"/>
    <x v="0"/>
    <x v="1"/>
    <x v="2"/>
    <x v="0"/>
    <x v="4"/>
    <x v="4"/>
    <x v="3"/>
    <n v="0"/>
    <x v="8"/>
    <n v="13.5"/>
    <n v="15"/>
    <n v="0"/>
    <n v="0"/>
    <n v="0"/>
  </r>
  <r>
    <x v="2"/>
    <x v="8"/>
    <x v="0"/>
    <x v="4"/>
    <n v="19000"/>
    <n v="25000"/>
    <x v="0"/>
    <x v="1"/>
    <x v="2"/>
    <x v="0"/>
    <x v="4"/>
    <x v="4"/>
    <x v="4"/>
    <n v="0"/>
    <x v="8"/>
    <n v="13.5"/>
    <n v="15"/>
    <n v="0"/>
    <n v="0"/>
    <n v="0"/>
  </r>
  <r>
    <x v="3"/>
    <x v="9"/>
    <x v="1"/>
    <x v="6"/>
    <n v="10000"/>
    <n v="14000"/>
    <x v="1"/>
    <x v="1"/>
    <x v="1"/>
    <x v="2"/>
    <x v="6"/>
    <x v="6"/>
    <x v="0"/>
    <n v="30439"/>
    <x v="9"/>
    <n v="6.59"/>
    <n v="7.59"/>
    <n v="365.26799999999997"/>
    <n v="490.48297727272728"/>
    <n v="215.81251"/>
  </r>
  <r>
    <x v="3"/>
    <x v="9"/>
    <x v="1"/>
    <x v="6"/>
    <n v="10000"/>
    <n v="14000"/>
    <x v="1"/>
    <x v="1"/>
    <x v="1"/>
    <x v="2"/>
    <x v="6"/>
    <x v="6"/>
    <x v="1"/>
    <n v="23179"/>
    <x v="9"/>
    <n v="6.59"/>
    <n v="7.59"/>
    <n v="278.14800000000002"/>
    <n v="373.49797727272733"/>
    <n v="164.33910999999998"/>
  </r>
  <r>
    <x v="3"/>
    <x v="9"/>
    <x v="1"/>
    <x v="6"/>
    <n v="10000"/>
    <n v="14000"/>
    <x v="1"/>
    <x v="1"/>
    <x v="1"/>
    <x v="2"/>
    <x v="6"/>
    <x v="6"/>
    <x v="2"/>
    <n v="15346"/>
    <x v="9"/>
    <n v="6.59"/>
    <n v="7.59"/>
    <n v="184.15199999999999"/>
    <n v="247.27986363636364"/>
    <n v="108.80314"/>
  </r>
  <r>
    <x v="3"/>
    <x v="9"/>
    <x v="1"/>
    <x v="6"/>
    <n v="10000"/>
    <n v="14000"/>
    <x v="1"/>
    <x v="1"/>
    <x v="1"/>
    <x v="2"/>
    <x v="6"/>
    <x v="6"/>
    <x v="3"/>
    <n v="4870"/>
    <x v="9"/>
    <n v="6.59"/>
    <n v="7.59"/>
    <n v="58.44"/>
    <n v="78.473409090909101"/>
    <n v="34.528300000000002"/>
  </r>
  <r>
    <x v="3"/>
    <x v="9"/>
    <x v="1"/>
    <x v="6"/>
    <n v="10000"/>
    <n v="14000"/>
    <x v="1"/>
    <x v="1"/>
    <x v="1"/>
    <x v="2"/>
    <x v="6"/>
    <x v="6"/>
    <x v="4"/>
    <n v="0"/>
    <x v="9"/>
    <n v="6.59"/>
    <n v="7.59"/>
    <n v="0"/>
    <n v="0"/>
    <n v="0"/>
  </r>
  <r>
    <x v="3"/>
    <x v="10"/>
    <x v="2"/>
    <x v="7"/>
    <n v="8000"/>
    <n v="12000"/>
    <x v="2"/>
    <x v="1"/>
    <x v="1"/>
    <x v="2"/>
    <x v="7"/>
    <x v="7"/>
    <x v="0"/>
    <n v="781"/>
    <x v="10"/>
    <n v="4.3499999999999996"/>
    <n v="5.09"/>
    <n v="7.81"/>
    <n v="8.3779999999999983"/>
    <n v="3.6863199999999998"/>
  </r>
  <r>
    <x v="3"/>
    <x v="10"/>
    <x v="2"/>
    <x v="7"/>
    <n v="8000"/>
    <n v="12000"/>
    <x v="2"/>
    <x v="1"/>
    <x v="1"/>
    <x v="2"/>
    <x v="7"/>
    <x v="7"/>
    <x v="1"/>
    <n v="824"/>
    <x v="10"/>
    <n v="4.3499999999999996"/>
    <n v="5.09"/>
    <n v="8.24"/>
    <n v="8.8392727272727267"/>
    <n v="3.8892799999999998"/>
  </r>
  <r>
    <x v="3"/>
    <x v="10"/>
    <x v="2"/>
    <x v="7"/>
    <n v="8000"/>
    <n v="12000"/>
    <x v="2"/>
    <x v="1"/>
    <x v="1"/>
    <x v="2"/>
    <x v="7"/>
    <x v="7"/>
    <x v="2"/>
    <n v="736"/>
    <x v="10"/>
    <n v="4.3499999999999996"/>
    <n v="5.09"/>
    <n v="7.36"/>
    <n v="7.8952727272727259"/>
    <n v="3.4739199999999997"/>
  </r>
  <r>
    <x v="3"/>
    <x v="10"/>
    <x v="2"/>
    <x v="7"/>
    <n v="8000"/>
    <n v="12000"/>
    <x v="2"/>
    <x v="1"/>
    <x v="1"/>
    <x v="2"/>
    <x v="7"/>
    <x v="7"/>
    <x v="3"/>
    <n v="511"/>
    <x v="10"/>
    <n v="4.3499999999999996"/>
    <n v="5.09"/>
    <n v="5.1100000000000003"/>
    <n v="5.4816363636363628"/>
    <n v="2.4119200000000003"/>
  </r>
  <r>
    <x v="3"/>
    <x v="10"/>
    <x v="2"/>
    <x v="7"/>
    <n v="8000"/>
    <n v="12000"/>
    <x v="2"/>
    <x v="1"/>
    <x v="1"/>
    <x v="2"/>
    <x v="7"/>
    <x v="7"/>
    <x v="4"/>
    <n v="0"/>
    <x v="10"/>
    <n v="4.3499999999999996"/>
    <n v="5.09"/>
    <n v="0"/>
    <n v="0"/>
    <n v="0"/>
  </r>
  <r>
    <x v="3"/>
    <x v="11"/>
    <x v="0"/>
    <x v="8"/>
    <n v="22000"/>
    <n v="30000"/>
    <x v="0"/>
    <x v="1"/>
    <x v="2"/>
    <x v="0"/>
    <x v="4"/>
    <x v="4"/>
    <x v="0"/>
    <n v="0"/>
    <x v="11"/>
    <n v="13.49"/>
    <n v="14.5"/>
    <n v="0"/>
    <n v="0"/>
    <n v="0"/>
  </r>
  <r>
    <x v="3"/>
    <x v="11"/>
    <x v="0"/>
    <x v="8"/>
    <n v="22000"/>
    <n v="30000"/>
    <x v="0"/>
    <x v="1"/>
    <x v="2"/>
    <x v="0"/>
    <x v="4"/>
    <x v="4"/>
    <x v="1"/>
    <n v="762"/>
    <x v="11"/>
    <n v="13.49"/>
    <n v="14.5"/>
    <n v="19.05"/>
    <n v="24.236795454545451"/>
    <n v="10.664189999999998"/>
  </r>
  <r>
    <x v="3"/>
    <x v="11"/>
    <x v="0"/>
    <x v="8"/>
    <n v="22000"/>
    <n v="30000"/>
    <x v="0"/>
    <x v="1"/>
    <x v="2"/>
    <x v="0"/>
    <x v="4"/>
    <x v="4"/>
    <x v="2"/>
    <n v="719"/>
    <x v="11"/>
    <n v="13.49"/>
    <n v="14.5"/>
    <n v="17.975000000000001"/>
    <n v="22.869102272727272"/>
    <n v="10.062404999999998"/>
  </r>
  <r>
    <x v="3"/>
    <x v="11"/>
    <x v="0"/>
    <x v="8"/>
    <n v="22000"/>
    <n v="30000"/>
    <x v="0"/>
    <x v="1"/>
    <x v="2"/>
    <x v="0"/>
    <x v="4"/>
    <x v="4"/>
    <x v="3"/>
    <n v="0"/>
    <x v="11"/>
    <n v="13.49"/>
    <n v="14.5"/>
    <n v="0"/>
    <n v="0"/>
    <n v="0"/>
  </r>
  <r>
    <x v="3"/>
    <x v="11"/>
    <x v="0"/>
    <x v="8"/>
    <n v="22000"/>
    <n v="30000"/>
    <x v="0"/>
    <x v="1"/>
    <x v="2"/>
    <x v="0"/>
    <x v="4"/>
    <x v="4"/>
    <x v="4"/>
    <n v="0"/>
    <x v="11"/>
    <n v="13.49"/>
    <n v="14.5"/>
    <n v="0"/>
    <n v="0"/>
    <n v="0"/>
  </r>
  <r>
    <x v="3"/>
    <x v="12"/>
    <x v="1"/>
    <x v="5"/>
    <n v="11000"/>
    <n v="15000"/>
    <x v="1"/>
    <x v="1"/>
    <x v="1"/>
    <x v="2"/>
    <x v="8"/>
    <x v="5"/>
    <x v="0"/>
    <n v="1928"/>
    <x v="12"/>
    <n v="7.19"/>
    <n v="8.09"/>
    <n v="25.064"/>
    <n v="33.477090909090904"/>
    <n v="14.72992"/>
  </r>
  <r>
    <x v="3"/>
    <x v="12"/>
    <x v="1"/>
    <x v="5"/>
    <n v="11000"/>
    <n v="15000"/>
    <x v="1"/>
    <x v="1"/>
    <x v="1"/>
    <x v="2"/>
    <x v="8"/>
    <x v="5"/>
    <x v="1"/>
    <n v="0"/>
    <x v="12"/>
    <n v="7.19"/>
    <n v="8.09"/>
    <n v="0"/>
    <n v="0"/>
    <n v="0"/>
  </r>
  <r>
    <x v="3"/>
    <x v="12"/>
    <x v="1"/>
    <x v="5"/>
    <n v="11000"/>
    <n v="15000"/>
    <x v="1"/>
    <x v="1"/>
    <x v="1"/>
    <x v="2"/>
    <x v="8"/>
    <x v="5"/>
    <x v="2"/>
    <n v="0"/>
    <x v="12"/>
    <n v="7.19"/>
    <n v="8.09"/>
    <n v="0"/>
    <n v="0"/>
    <n v="0"/>
  </r>
  <r>
    <x v="3"/>
    <x v="12"/>
    <x v="1"/>
    <x v="5"/>
    <n v="11000"/>
    <n v="15000"/>
    <x v="1"/>
    <x v="1"/>
    <x v="1"/>
    <x v="2"/>
    <x v="8"/>
    <x v="5"/>
    <x v="3"/>
    <n v="0"/>
    <x v="12"/>
    <n v="7.19"/>
    <n v="8.09"/>
    <n v="0"/>
    <n v="0"/>
    <n v="0"/>
  </r>
  <r>
    <x v="3"/>
    <x v="12"/>
    <x v="1"/>
    <x v="5"/>
    <n v="11000"/>
    <n v="15000"/>
    <x v="1"/>
    <x v="1"/>
    <x v="1"/>
    <x v="2"/>
    <x v="8"/>
    <x v="5"/>
    <x v="4"/>
    <n v="0"/>
    <x v="12"/>
    <n v="7.19"/>
    <n v="8.09"/>
    <n v="0"/>
    <n v="0"/>
    <n v="0"/>
  </r>
  <r>
    <x v="3"/>
    <x v="13"/>
    <x v="1"/>
    <x v="4"/>
    <n v="19000"/>
    <n v="25000"/>
    <x v="0"/>
    <x v="1"/>
    <x v="2"/>
    <x v="0"/>
    <x v="9"/>
    <x v="8"/>
    <x v="0"/>
    <n v="0"/>
    <x v="13"/>
    <n v="15.99"/>
    <n v="16.850000000000001"/>
    <n v="0"/>
    <n v="0"/>
    <n v="0"/>
  </r>
  <r>
    <x v="3"/>
    <x v="13"/>
    <x v="1"/>
    <x v="4"/>
    <n v="19000"/>
    <n v="25000"/>
    <x v="0"/>
    <x v="1"/>
    <x v="2"/>
    <x v="0"/>
    <x v="9"/>
    <x v="8"/>
    <x v="1"/>
    <n v="0"/>
    <x v="13"/>
    <n v="15.99"/>
    <n v="16.850000000000001"/>
    <n v="0"/>
    <n v="0"/>
    <n v="0"/>
  </r>
  <r>
    <x v="3"/>
    <x v="13"/>
    <x v="1"/>
    <x v="4"/>
    <n v="19000"/>
    <n v="25000"/>
    <x v="0"/>
    <x v="1"/>
    <x v="2"/>
    <x v="0"/>
    <x v="9"/>
    <x v="8"/>
    <x v="2"/>
    <n v="345"/>
    <x v="13"/>
    <n v="15.99"/>
    <n v="16.850000000000001"/>
    <n v="7.59"/>
    <n v="12.874772727272727"/>
    <n v="5.6649000000000003"/>
  </r>
  <r>
    <x v="3"/>
    <x v="13"/>
    <x v="1"/>
    <x v="4"/>
    <n v="19000"/>
    <n v="25000"/>
    <x v="0"/>
    <x v="1"/>
    <x v="2"/>
    <x v="0"/>
    <x v="9"/>
    <x v="8"/>
    <x v="3"/>
    <n v="307"/>
    <x v="13"/>
    <n v="15.99"/>
    <n v="16.850000000000001"/>
    <n v="6.7539999999999996"/>
    <n v="11.456681818181819"/>
    <n v="5.0409400000000009"/>
  </r>
  <r>
    <x v="3"/>
    <x v="13"/>
    <x v="1"/>
    <x v="4"/>
    <n v="19000"/>
    <n v="25000"/>
    <x v="0"/>
    <x v="1"/>
    <x v="2"/>
    <x v="0"/>
    <x v="9"/>
    <x v="8"/>
    <x v="4"/>
    <n v="0"/>
    <x v="13"/>
    <n v="15.99"/>
    <n v="16.850000000000001"/>
    <n v="0"/>
    <n v="0"/>
    <n v="0"/>
  </r>
  <r>
    <x v="3"/>
    <x v="14"/>
    <x v="1"/>
    <x v="7"/>
    <n v="8000"/>
    <n v="12000"/>
    <x v="2"/>
    <x v="1"/>
    <x v="1"/>
    <x v="2"/>
    <x v="10"/>
    <x v="9"/>
    <x v="0"/>
    <n v="3961"/>
    <x v="14"/>
    <n v="5.63"/>
    <n v="6.6"/>
    <n v="39.61"/>
    <n v="55.048897727272731"/>
    <n v="24.221515"/>
  </r>
  <r>
    <x v="3"/>
    <x v="14"/>
    <x v="1"/>
    <x v="7"/>
    <n v="8000"/>
    <n v="12000"/>
    <x v="2"/>
    <x v="1"/>
    <x v="1"/>
    <x v="2"/>
    <x v="10"/>
    <x v="9"/>
    <x v="1"/>
    <n v="7144"/>
    <x v="14"/>
    <n v="5.63"/>
    <n v="6.6"/>
    <n v="71.44"/>
    <n v="99.285363636363641"/>
    <n v="43.685560000000002"/>
  </r>
  <r>
    <x v="3"/>
    <x v="14"/>
    <x v="1"/>
    <x v="7"/>
    <n v="8000"/>
    <n v="12000"/>
    <x v="2"/>
    <x v="1"/>
    <x v="1"/>
    <x v="2"/>
    <x v="10"/>
    <x v="9"/>
    <x v="2"/>
    <n v="10970"/>
    <x v="14"/>
    <n v="5.63"/>
    <n v="6.6"/>
    <n v="109.7"/>
    <n v="152.45806818181819"/>
    <n v="67.081550000000007"/>
  </r>
  <r>
    <x v="3"/>
    <x v="14"/>
    <x v="1"/>
    <x v="7"/>
    <n v="8000"/>
    <n v="12000"/>
    <x v="2"/>
    <x v="1"/>
    <x v="1"/>
    <x v="2"/>
    <x v="10"/>
    <x v="9"/>
    <x v="3"/>
    <n v="2940"/>
    <x v="14"/>
    <n v="5.63"/>
    <n v="6.6"/>
    <n v="29.4"/>
    <n v="40.859318181818182"/>
    <n v="17.978100000000001"/>
  </r>
  <r>
    <x v="3"/>
    <x v="14"/>
    <x v="1"/>
    <x v="7"/>
    <n v="8000"/>
    <n v="12000"/>
    <x v="2"/>
    <x v="1"/>
    <x v="1"/>
    <x v="2"/>
    <x v="10"/>
    <x v="9"/>
    <x v="4"/>
    <n v="0"/>
    <x v="14"/>
    <n v="5.63"/>
    <n v="6.6"/>
    <n v="0"/>
    <n v="0"/>
    <n v="0"/>
  </r>
  <r>
    <x v="3"/>
    <x v="15"/>
    <x v="0"/>
    <x v="2"/>
    <n v="13000"/>
    <n v="18000"/>
    <x v="2"/>
    <x v="1"/>
    <x v="2"/>
    <x v="0"/>
    <x v="11"/>
    <x v="10"/>
    <x v="0"/>
    <n v="0"/>
    <x v="15"/>
    <n v="7.59"/>
    <n v="7.59"/>
    <n v="0"/>
    <n v="0"/>
    <n v="0"/>
  </r>
  <r>
    <x v="3"/>
    <x v="15"/>
    <x v="0"/>
    <x v="2"/>
    <n v="13000"/>
    <n v="18000"/>
    <x v="2"/>
    <x v="1"/>
    <x v="2"/>
    <x v="0"/>
    <x v="11"/>
    <x v="10"/>
    <x v="1"/>
    <n v="0"/>
    <x v="15"/>
    <n v="7.59"/>
    <n v="7.59"/>
    <n v="0"/>
    <n v="0"/>
    <n v="0"/>
  </r>
  <r>
    <x v="3"/>
    <x v="15"/>
    <x v="0"/>
    <x v="2"/>
    <n v="13000"/>
    <n v="18000"/>
    <x v="2"/>
    <x v="1"/>
    <x v="2"/>
    <x v="0"/>
    <x v="11"/>
    <x v="10"/>
    <x v="2"/>
    <n v="0"/>
    <x v="15"/>
    <n v="7.59"/>
    <n v="7.59"/>
    <n v="0"/>
    <n v="0"/>
    <n v="0"/>
  </r>
  <r>
    <x v="3"/>
    <x v="15"/>
    <x v="0"/>
    <x v="2"/>
    <n v="13000"/>
    <n v="18000"/>
    <x v="2"/>
    <x v="1"/>
    <x v="2"/>
    <x v="0"/>
    <x v="11"/>
    <x v="10"/>
    <x v="3"/>
    <n v="686"/>
    <x v="15"/>
    <n v="7.59"/>
    <n v="7.59"/>
    <n v="10.29"/>
    <n v="11.833499999999999"/>
    <n v="5.2067399999999999"/>
  </r>
  <r>
    <x v="3"/>
    <x v="15"/>
    <x v="0"/>
    <x v="2"/>
    <n v="13000"/>
    <n v="18000"/>
    <x v="2"/>
    <x v="1"/>
    <x v="2"/>
    <x v="0"/>
    <x v="11"/>
    <x v="10"/>
    <x v="4"/>
    <n v="746"/>
    <x v="15"/>
    <n v="7.59"/>
    <n v="7.59"/>
    <n v="11.19"/>
    <n v="12.868499999999999"/>
    <n v="5.66214"/>
  </r>
  <r>
    <x v="3"/>
    <x v="16"/>
    <x v="3"/>
    <x v="6"/>
    <n v="10000"/>
    <n v="14000"/>
    <x v="1"/>
    <x v="1"/>
    <x v="1"/>
    <x v="2"/>
    <x v="5"/>
    <x v="6"/>
    <x v="0"/>
    <n v="6003"/>
    <x v="16"/>
    <n v="7.29"/>
    <n v="9.2899999999999991"/>
    <n v="72.036000000000001"/>
    <n v="113.10197727272725"/>
    <n v="49.764869999999995"/>
  </r>
  <r>
    <x v="3"/>
    <x v="16"/>
    <x v="3"/>
    <x v="6"/>
    <n v="10000"/>
    <n v="14000"/>
    <x v="1"/>
    <x v="1"/>
    <x v="1"/>
    <x v="2"/>
    <x v="5"/>
    <x v="6"/>
    <x v="1"/>
    <n v="0"/>
    <x v="16"/>
    <n v="7.29"/>
    <n v="9.2899999999999991"/>
    <n v="0"/>
    <n v="0"/>
    <n v="0"/>
  </r>
  <r>
    <x v="3"/>
    <x v="16"/>
    <x v="3"/>
    <x v="6"/>
    <n v="10000"/>
    <n v="14000"/>
    <x v="1"/>
    <x v="1"/>
    <x v="1"/>
    <x v="2"/>
    <x v="5"/>
    <x v="6"/>
    <x v="2"/>
    <n v="0"/>
    <x v="16"/>
    <n v="7.29"/>
    <n v="9.2899999999999991"/>
    <n v="0"/>
    <n v="0"/>
    <n v="0"/>
  </r>
  <r>
    <x v="3"/>
    <x v="16"/>
    <x v="3"/>
    <x v="6"/>
    <n v="10000"/>
    <n v="14000"/>
    <x v="1"/>
    <x v="1"/>
    <x v="1"/>
    <x v="2"/>
    <x v="5"/>
    <x v="6"/>
    <x v="3"/>
    <n v="0"/>
    <x v="16"/>
    <n v="7.29"/>
    <n v="9.2899999999999991"/>
    <n v="0"/>
    <n v="0"/>
    <n v="0"/>
  </r>
  <r>
    <x v="3"/>
    <x v="16"/>
    <x v="3"/>
    <x v="6"/>
    <n v="10000"/>
    <n v="14000"/>
    <x v="1"/>
    <x v="1"/>
    <x v="1"/>
    <x v="2"/>
    <x v="5"/>
    <x v="6"/>
    <x v="4"/>
    <n v="0"/>
    <x v="16"/>
    <n v="7.29"/>
    <n v="9.2899999999999991"/>
    <n v="0"/>
    <n v="0"/>
    <n v="0"/>
  </r>
  <r>
    <x v="3"/>
    <x v="17"/>
    <x v="3"/>
    <x v="7"/>
    <n v="8000"/>
    <n v="12000"/>
    <x v="1"/>
    <x v="1"/>
    <x v="1"/>
    <x v="2"/>
    <x v="7"/>
    <x v="7"/>
    <x v="0"/>
    <n v="997"/>
    <x v="17"/>
    <n v="5.32"/>
    <n v="5.89"/>
    <n v="9.9700000000000006"/>
    <n v="12.700420454545457"/>
    <n v="5.5881850000000002"/>
  </r>
  <r>
    <x v="3"/>
    <x v="17"/>
    <x v="3"/>
    <x v="7"/>
    <n v="8000"/>
    <n v="12000"/>
    <x v="1"/>
    <x v="1"/>
    <x v="1"/>
    <x v="2"/>
    <x v="7"/>
    <x v="7"/>
    <x v="1"/>
    <n v="956"/>
    <x v="17"/>
    <n v="5.32"/>
    <n v="5.89"/>
    <n v="9.56"/>
    <n v="12.178136363636366"/>
    <n v="5.3583800000000004"/>
  </r>
  <r>
    <x v="3"/>
    <x v="17"/>
    <x v="3"/>
    <x v="7"/>
    <n v="8000"/>
    <n v="12000"/>
    <x v="1"/>
    <x v="1"/>
    <x v="1"/>
    <x v="2"/>
    <x v="7"/>
    <x v="7"/>
    <x v="2"/>
    <n v="0"/>
    <x v="17"/>
    <n v="5.32"/>
    <n v="5.89"/>
    <n v="0"/>
    <n v="0"/>
    <n v="0"/>
  </r>
  <r>
    <x v="3"/>
    <x v="17"/>
    <x v="3"/>
    <x v="7"/>
    <n v="8000"/>
    <n v="12000"/>
    <x v="1"/>
    <x v="1"/>
    <x v="1"/>
    <x v="2"/>
    <x v="7"/>
    <x v="7"/>
    <x v="3"/>
    <n v="0"/>
    <x v="17"/>
    <n v="5.32"/>
    <n v="5.89"/>
    <n v="0"/>
    <n v="0"/>
    <n v="0"/>
  </r>
  <r>
    <x v="3"/>
    <x v="17"/>
    <x v="3"/>
    <x v="7"/>
    <n v="8000"/>
    <n v="12000"/>
    <x v="1"/>
    <x v="1"/>
    <x v="1"/>
    <x v="2"/>
    <x v="7"/>
    <x v="7"/>
    <x v="4"/>
    <n v="0"/>
    <x v="17"/>
    <n v="5.32"/>
    <n v="5.89"/>
    <n v="0"/>
    <n v="0"/>
    <n v="0"/>
  </r>
  <r>
    <x v="3"/>
    <x v="18"/>
    <x v="0"/>
    <x v="3"/>
    <n v="16000"/>
    <n v="22000"/>
    <x v="0"/>
    <x v="1"/>
    <x v="1"/>
    <x v="0"/>
    <x v="3"/>
    <x v="3"/>
    <x v="0"/>
    <n v="1072"/>
    <x v="18"/>
    <n v="8.59"/>
    <n v="9.69"/>
    <n v="19.295999999999999"/>
    <n v="22.268363636363635"/>
    <n v="9.7980800000000006"/>
  </r>
  <r>
    <x v="3"/>
    <x v="18"/>
    <x v="0"/>
    <x v="3"/>
    <n v="16000"/>
    <n v="22000"/>
    <x v="0"/>
    <x v="1"/>
    <x v="1"/>
    <x v="0"/>
    <x v="3"/>
    <x v="3"/>
    <x v="1"/>
    <n v="751"/>
    <x v="18"/>
    <n v="8.59"/>
    <n v="9.69"/>
    <n v="13.518000000000001"/>
    <n v="15.600318181818182"/>
    <n v="6.8641399999999999"/>
  </r>
  <r>
    <x v="3"/>
    <x v="18"/>
    <x v="0"/>
    <x v="3"/>
    <n v="16000"/>
    <n v="22000"/>
    <x v="0"/>
    <x v="1"/>
    <x v="1"/>
    <x v="0"/>
    <x v="3"/>
    <x v="3"/>
    <x v="2"/>
    <n v="792"/>
    <x v="18"/>
    <n v="8.59"/>
    <n v="9.69"/>
    <n v="14.256"/>
    <n v="16.451999999999998"/>
    <n v="7.23888"/>
  </r>
  <r>
    <x v="3"/>
    <x v="18"/>
    <x v="0"/>
    <x v="3"/>
    <n v="16000"/>
    <n v="22000"/>
    <x v="0"/>
    <x v="1"/>
    <x v="1"/>
    <x v="0"/>
    <x v="3"/>
    <x v="3"/>
    <x v="3"/>
    <n v="358"/>
    <x v="18"/>
    <n v="8.59"/>
    <n v="9.69"/>
    <n v="6.444"/>
    <n v="7.4366363636363637"/>
    <n v="3.2721200000000001"/>
  </r>
  <r>
    <x v="3"/>
    <x v="18"/>
    <x v="0"/>
    <x v="3"/>
    <n v="16000"/>
    <n v="22000"/>
    <x v="0"/>
    <x v="1"/>
    <x v="1"/>
    <x v="0"/>
    <x v="3"/>
    <x v="3"/>
    <x v="4"/>
    <n v="0"/>
    <x v="18"/>
    <n v="8.59"/>
    <n v="9.69"/>
    <n v="0"/>
    <n v="0"/>
    <n v="0"/>
  </r>
  <r>
    <x v="4"/>
    <x v="19"/>
    <x v="4"/>
    <x v="3"/>
    <n v="16000"/>
    <n v="22000"/>
    <x v="0"/>
    <x v="1"/>
    <x v="2"/>
    <x v="0"/>
    <x v="12"/>
    <x v="8"/>
    <x v="0"/>
    <n v="1363"/>
    <x v="19"/>
    <n v="11.99"/>
    <n v="13.74"/>
    <n v="24.533999999999999"/>
    <n v="39.852261363636359"/>
    <n v="17.534994999999999"/>
  </r>
  <r>
    <x v="4"/>
    <x v="19"/>
    <x v="4"/>
    <x v="3"/>
    <n v="16000"/>
    <n v="22000"/>
    <x v="0"/>
    <x v="1"/>
    <x v="2"/>
    <x v="0"/>
    <x v="12"/>
    <x v="8"/>
    <x v="1"/>
    <n v="0"/>
    <x v="19"/>
    <n v="11.99"/>
    <n v="13.74"/>
    <n v="0"/>
    <n v="0"/>
    <n v="0"/>
  </r>
  <r>
    <x v="4"/>
    <x v="19"/>
    <x v="4"/>
    <x v="3"/>
    <n v="16000"/>
    <n v="22000"/>
    <x v="0"/>
    <x v="1"/>
    <x v="2"/>
    <x v="0"/>
    <x v="12"/>
    <x v="8"/>
    <x v="2"/>
    <n v="0"/>
    <x v="19"/>
    <n v="11.99"/>
    <n v="13.74"/>
    <n v="0"/>
    <n v="0"/>
    <n v="0"/>
  </r>
  <r>
    <x v="4"/>
    <x v="19"/>
    <x v="4"/>
    <x v="3"/>
    <n v="16000"/>
    <n v="22000"/>
    <x v="0"/>
    <x v="1"/>
    <x v="2"/>
    <x v="0"/>
    <x v="12"/>
    <x v="8"/>
    <x v="3"/>
    <n v="0"/>
    <x v="19"/>
    <n v="11.99"/>
    <n v="13.74"/>
    <n v="0"/>
    <n v="0"/>
    <n v="0"/>
  </r>
  <r>
    <x v="4"/>
    <x v="19"/>
    <x v="4"/>
    <x v="3"/>
    <n v="16000"/>
    <n v="22000"/>
    <x v="0"/>
    <x v="1"/>
    <x v="2"/>
    <x v="0"/>
    <x v="12"/>
    <x v="8"/>
    <x v="4"/>
    <n v="0"/>
    <x v="19"/>
    <n v="11.99"/>
    <n v="13.74"/>
    <n v="0"/>
    <n v="0"/>
    <n v="0"/>
  </r>
  <r>
    <x v="5"/>
    <x v="20"/>
    <x v="0"/>
    <x v="9"/>
    <n v="18000"/>
    <n v="24000"/>
    <x v="0"/>
    <x v="1"/>
    <x v="2"/>
    <x v="0"/>
    <x v="9"/>
    <x v="4"/>
    <x v="0"/>
    <n v="1218"/>
    <x v="20"/>
    <n v="13.09"/>
    <n v="18.79"/>
    <n v="24.36"/>
    <n v="44.124818181818178"/>
    <n v="19.414919999999999"/>
  </r>
  <r>
    <x v="5"/>
    <x v="20"/>
    <x v="0"/>
    <x v="9"/>
    <n v="18000"/>
    <n v="24000"/>
    <x v="0"/>
    <x v="1"/>
    <x v="2"/>
    <x v="0"/>
    <x v="9"/>
    <x v="4"/>
    <x v="1"/>
    <n v="483"/>
    <x v="20"/>
    <n v="13.09"/>
    <n v="18.79"/>
    <n v="9.66"/>
    <n v="17.497772727272725"/>
    <n v="7.6990199999999991"/>
  </r>
  <r>
    <x v="5"/>
    <x v="20"/>
    <x v="0"/>
    <x v="9"/>
    <n v="18000"/>
    <n v="24000"/>
    <x v="0"/>
    <x v="1"/>
    <x v="2"/>
    <x v="0"/>
    <x v="9"/>
    <x v="4"/>
    <x v="2"/>
    <n v="0"/>
    <x v="20"/>
    <n v="13.09"/>
    <n v="18.79"/>
    <n v="0"/>
    <n v="0"/>
    <n v="0"/>
  </r>
  <r>
    <x v="5"/>
    <x v="20"/>
    <x v="0"/>
    <x v="9"/>
    <n v="18000"/>
    <n v="24000"/>
    <x v="0"/>
    <x v="1"/>
    <x v="2"/>
    <x v="0"/>
    <x v="9"/>
    <x v="4"/>
    <x v="3"/>
    <n v="0"/>
    <x v="20"/>
    <n v="13.09"/>
    <n v="18.79"/>
    <n v="0"/>
    <n v="0"/>
    <n v="0"/>
  </r>
  <r>
    <x v="5"/>
    <x v="20"/>
    <x v="0"/>
    <x v="9"/>
    <n v="18000"/>
    <n v="24000"/>
    <x v="0"/>
    <x v="1"/>
    <x v="2"/>
    <x v="0"/>
    <x v="9"/>
    <x v="4"/>
    <x v="4"/>
    <n v="0"/>
    <x v="20"/>
    <n v="13.09"/>
    <n v="18.79"/>
    <n v="0"/>
    <n v="0"/>
    <n v="0"/>
  </r>
  <r>
    <x v="5"/>
    <x v="21"/>
    <x v="4"/>
    <x v="4"/>
    <n v="19000"/>
    <n v="25000"/>
    <x v="0"/>
    <x v="1"/>
    <x v="2"/>
    <x v="0"/>
    <x v="4"/>
    <x v="11"/>
    <x v="0"/>
    <n v="0"/>
    <x v="21"/>
    <n v="11.170999999999999"/>
    <n v="11.170999999999999"/>
    <n v="0"/>
    <n v="0"/>
    <n v="0"/>
  </r>
  <r>
    <x v="5"/>
    <x v="21"/>
    <x v="4"/>
    <x v="4"/>
    <n v="19000"/>
    <n v="25000"/>
    <x v="0"/>
    <x v="1"/>
    <x v="2"/>
    <x v="0"/>
    <x v="4"/>
    <x v="11"/>
    <x v="1"/>
    <n v="463"/>
    <x v="21"/>
    <n v="11.170999999999999"/>
    <n v="11.170999999999999"/>
    <n v="10.186"/>
    <n v="11.754938636363637"/>
    <n v="5.1721729999999999"/>
  </r>
  <r>
    <x v="5"/>
    <x v="21"/>
    <x v="4"/>
    <x v="4"/>
    <n v="19000"/>
    <n v="25000"/>
    <x v="0"/>
    <x v="1"/>
    <x v="2"/>
    <x v="0"/>
    <x v="4"/>
    <x v="11"/>
    <x v="2"/>
    <n v="857"/>
    <x v="21"/>
    <n v="11.170999999999999"/>
    <n v="11.170999999999999"/>
    <n v="18.853999999999999"/>
    <n v="21.758061363636362"/>
    <n v="9.5735469999999978"/>
  </r>
  <r>
    <x v="5"/>
    <x v="21"/>
    <x v="4"/>
    <x v="4"/>
    <n v="19000"/>
    <n v="25000"/>
    <x v="0"/>
    <x v="1"/>
    <x v="2"/>
    <x v="0"/>
    <x v="4"/>
    <x v="11"/>
    <x v="3"/>
    <n v="0"/>
    <x v="21"/>
    <n v="11.170999999999999"/>
    <n v="11.170999999999999"/>
    <n v="0"/>
    <n v="0"/>
    <n v="0"/>
  </r>
  <r>
    <x v="5"/>
    <x v="21"/>
    <x v="4"/>
    <x v="4"/>
    <n v="19000"/>
    <n v="25000"/>
    <x v="0"/>
    <x v="1"/>
    <x v="2"/>
    <x v="0"/>
    <x v="4"/>
    <x v="11"/>
    <x v="4"/>
    <n v="0"/>
    <x v="21"/>
    <n v="11.170999999999999"/>
    <n v="11.170999999999999"/>
    <n v="0"/>
    <n v="0"/>
    <n v="0"/>
  </r>
  <r>
    <x v="5"/>
    <x v="22"/>
    <x v="0"/>
    <x v="9"/>
    <n v="18000"/>
    <n v="24000"/>
    <x v="0"/>
    <x v="1"/>
    <x v="2"/>
    <x v="0"/>
    <x v="9"/>
    <x v="4"/>
    <x v="0"/>
    <n v="2246"/>
    <x v="22"/>
    <n v="10.69"/>
    <n v="11.59"/>
    <n v="44.92"/>
    <n v="56.864636363636365"/>
    <n v="25.020440000000001"/>
  </r>
  <r>
    <x v="5"/>
    <x v="22"/>
    <x v="0"/>
    <x v="9"/>
    <n v="18000"/>
    <n v="24000"/>
    <x v="0"/>
    <x v="1"/>
    <x v="2"/>
    <x v="0"/>
    <x v="9"/>
    <x v="4"/>
    <x v="1"/>
    <n v="0"/>
    <x v="22"/>
    <n v="10.69"/>
    <n v="11.59"/>
    <n v="0"/>
    <n v="0"/>
    <n v="0"/>
  </r>
  <r>
    <x v="5"/>
    <x v="22"/>
    <x v="0"/>
    <x v="9"/>
    <n v="18000"/>
    <n v="24000"/>
    <x v="0"/>
    <x v="1"/>
    <x v="2"/>
    <x v="0"/>
    <x v="9"/>
    <x v="4"/>
    <x v="2"/>
    <n v="0"/>
    <x v="22"/>
    <n v="10.69"/>
    <n v="11.59"/>
    <n v="0"/>
    <n v="0"/>
    <n v="0"/>
  </r>
  <r>
    <x v="5"/>
    <x v="22"/>
    <x v="0"/>
    <x v="9"/>
    <n v="18000"/>
    <n v="24000"/>
    <x v="0"/>
    <x v="1"/>
    <x v="2"/>
    <x v="0"/>
    <x v="9"/>
    <x v="4"/>
    <x v="3"/>
    <n v="0"/>
    <x v="22"/>
    <n v="10.69"/>
    <n v="11.59"/>
    <n v="0"/>
    <n v="0"/>
    <n v="0"/>
  </r>
  <r>
    <x v="5"/>
    <x v="22"/>
    <x v="0"/>
    <x v="9"/>
    <n v="18000"/>
    <n v="24000"/>
    <x v="0"/>
    <x v="1"/>
    <x v="2"/>
    <x v="0"/>
    <x v="9"/>
    <x v="4"/>
    <x v="4"/>
    <n v="0"/>
    <x v="22"/>
    <n v="10.69"/>
    <n v="11.59"/>
    <n v="0"/>
    <n v="0"/>
    <n v="0"/>
  </r>
  <r>
    <x v="5"/>
    <x v="23"/>
    <x v="4"/>
    <x v="3"/>
    <n v="16000"/>
    <n v="22000"/>
    <x v="0"/>
    <x v="1"/>
    <x v="2"/>
    <x v="0"/>
    <x v="3"/>
    <x v="3"/>
    <x v="0"/>
    <n v="1691"/>
    <x v="23"/>
    <n v="8.99"/>
    <n v="10.99"/>
    <n v="30.437999999999999"/>
    <n v="38.393386363636367"/>
    <n v="16.893090000000001"/>
  </r>
  <r>
    <x v="5"/>
    <x v="23"/>
    <x v="4"/>
    <x v="3"/>
    <n v="16000"/>
    <n v="22000"/>
    <x v="0"/>
    <x v="1"/>
    <x v="2"/>
    <x v="0"/>
    <x v="3"/>
    <x v="3"/>
    <x v="1"/>
    <n v="0"/>
    <x v="23"/>
    <n v="8.99"/>
    <n v="10.99"/>
    <n v="0"/>
    <n v="0"/>
    <n v="0"/>
  </r>
  <r>
    <x v="5"/>
    <x v="23"/>
    <x v="4"/>
    <x v="3"/>
    <n v="16000"/>
    <n v="22000"/>
    <x v="0"/>
    <x v="1"/>
    <x v="2"/>
    <x v="0"/>
    <x v="3"/>
    <x v="3"/>
    <x v="2"/>
    <n v="0"/>
    <x v="23"/>
    <n v="8.99"/>
    <n v="10.99"/>
    <n v="0"/>
    <n v="0"/>
    <n v="0"/>
  </r>
  <r>
    <x v="5"/>
    <x v="23"/>
    <x v="4"/>
    <x v="3"/>
    <n v="16000"/>
    <n v="22000"/>
    <x v="0"/>
    <x v="1"/>
    <x v="2"/>
    <x v="0"/>
    <x v="3"/>
    <x v="3"/>
    <x v="3"/>
    <n v="0"/>
    <x v="23"/>
    <n v="8.99"/>
    <n v="10.99"/>
    <n v="0"/>
    <n v="0"/>
    <n v="0"/>
  </r>
  <r>
    <x v="5"/>
    <x v="23"/>
    <x v="4"/>
    <x v="3"/>
    <n v="16000"/>
    <n v="22000"/>
    <x v="0"/>
    <x v="1"/>
    <x v="2"/>
    <x v="0"/>
    <x v="3"/>
    <x v="3"/>
    <x v="4"/>
    <n v="0"/>
    <x v="23"/>
    <n v="8.99"/>
    <n v="10.99"/>
    <n v="0"/>
    <n v="0"/>
    <n v="0"/>
  </r>
  <r>
    <x v="5"/>
    <x v="24"/>
    <x v="0"/>
    <x v="3"/>
    <n v="16000"/>
    <n v="22000"/>
    <x v="0"/>
    <x v="1"/>
    <x v="1"/>
    <x v="0"/>
    <x v="3"/>
    <x v="3"/>
    <x v="0"/>
    <n v="2395"/>
    <x v="24"/>
    <n v="7.99"/>
    <n v="9.39"/>
    <n v="43.11"/>
    <n v="47.301250000000003"/>
    <n v="20.812549999999998"/>
  </r>
  <r>
    <x v="5"/>
    <x v="24"/>
    <x v="0"/>
    <x v="3"/>
    <n v="16000"/>
    <n v="22000"/>
    <x v="0"/>
    <x v="1"/>
    <x v="1"/>
    <x v="0"/>
    <x v="3"/>
    <x v="3"/>
    <x v="1"/>
    <n v="0"/>
    <x v="24"/>
    <n v="7.99"/>
    <n v="9.39"/>
    <n v="0"/>
    <n v="0"/>
    <n v="0"/>
  </r>
  <r>
    <x v="5"/>
    <x v="24"/>
    <x v="0"/>
    <x v="3"/>
    <n v="16000"/>
    <n v="22000"/>
    <x v="0"/>
    <x v="1"/>
    <x v="1"/>
    <x v="0"/>
    <x v="3"/>
    <x v="3"/>
    <x v="2"/>
    <n v="0"/>
    <x v="24"/>
    <n v="7.99"/>
    <n v="9.39"/>
    <n v="0"/>
    <n v="0"/>
    <n v="0"/>
  </r>
  <r>
    <x v="5"/>
    <x v="24"/>
    <x v="0"/>
    <x v="3"/>
    <n v="16000"/>
    <n v="22000"/>
    <x v="0"/>
    <x v="1"/>
    <x v="1"/>
    <x v="0"/>
    <x v="3"/>
    <x v="3"/>
    <x v="3"/>
    <n v="0"/>
    <x v="24"/>
    <n v="7.99"/>
    <n v="9.39"/>
    <n v="0"/>
    <n v="0"/>
    <n v="0"/>
  </r>
  <r>
    <x v="5"/>
    <x v="24"/>
    <x v="0"/>
    <x v="3"/>
    <n v="16000"/>
    <n v="22000"/>
    <x v="0"/>
    <x v="1"/>
    <x v="1"/>
    <x v="0"/>
    <x v="3"/>
    <x v="3"/>
    <x v="4"/>
    <n v="0"/>
    <x v="24"/>
    <n v="7.99"/>
    <n v="9.39"/>
    <n v="0"/>
    <n v="0"/>
    <n v="0"/>
  </r>
  <r>
    <x v="6"/>
    <x v="25"/>
    <x v="1"/>
    <x v="2"/>
    <n v="13000"/>
    <n v="18000"/>
    <x v="1"/>
    <x v="1"/>
    <x v="1"/>
    <x v="2"/>
    <x v="2"/>
    <x v="2"/>
    <x v="0"/>
    <n v="2722"/>
    <x v="25"/>
    <n v="9.89"/>
    <n v="11"/>
    <n v="40.83"/>
    <n v="64.616568181818181"/>
    <n v="28.431290000000001"/>
  </r>
  <r>
    <x v="6"/>
    <x v="25"/>
    <x v="1"/>
    <x v="2"/>
    <n v="13000"/>
    <n v="18000"/>
    <x v="1"/>
    <x v="1"/>
    <x v="1"/>
    <x v="2"/>
    <x v="2"/>
    <x v="2"/>
    <x v="1"/>
    <n v="2957"/>
    <x v="25"/>
    <n v="9.89"/>
    <n v="11"/>
    <n v="44.354999999999997"/>
    <n v="70.195147727272726"/>
    <n v="30.885865000000003"/>
  </r>
  <r>
    <x v="6"/>
    <x v="25"/>
    <x v="1"/>
    <x v="2"/>
    <n v="13000"/>
    <n v="18000"/>
    <x v="1"/>
    <x v="1"/>
    <x v="1"/>
    <x v="2"/>
    <x v="2"/>
    <x v="2"/>
    <x v="2"/>
    <n v="9083"/>
    <x v="25"/>
    <n v="9.89"/>
    <n v="11"/>
    <n v="136.245"/>
    <n v="215.61803409090911"/>
    <n v="94.871934999999993"/>
  </r>
  <r>
    <x v="6"/>
    <x v="25"/>
    <x v="1"/>
    <x v="2"/>
    <n v="13000"/>
    <n v="18000"/>
    <x v="1"/>
    <x v="1"/>
    <x v="1"/>
    <x v="2"/>
    <x v="2"/>
    <x v="2"/>
    <x v="3"/>
    <n v="5169"/>
    <x v="25"/>
    <n v="9.89"/>
    <n v="11"/>
    <n v="77.534999999999997"/>
    <n v="122.70501136363637"/>
    <n v="53.990205000000003"/>
  </r>
  <r>
    <x v="6"/>
    <x v="25"/>
    <x v="1"/>
    <x v="2"/>
    <n v="13000"/>
    <n v="18000"/>
    <x v="1"/>
    <x v="1"/>
    <x v="1"/>
    <x v="2"/>
    <x v="2"/>
    <x v="2"/>
    <x v="4"/>
    <n v="3494"/>
    <x v="25"/>
    <n v="9.89"/>
    <n v="11"/>
    <n v="52.41"/>
    <n v="82.942795454545461"/>
    <n v="36.49483"/>
  </r>
  <r>
    <x v="6"/>
    <x v="26"/>
    <x v="1"/>
    <x v="3"/>
    <n v="16000"/>
    <n v="22000"/>
    <x v="0"/>
    <x v="1"/>
    <x v="2"/>
    <x v="0"/>
    <x v="3"/>
    <x v="3"/>
    <x v="0"/>
    <n v="5984"/>
    <x v="26"/>
    <n v="10.8"/>
    <n v="11.2"/>
    <n v="107.712"/>
    <n v="149.6"/>
    <n v="65.823999999999998"/>
  </r>
  <r>
    <x v="6"/>
    <x v="26"/>
    <x v="1"/>
    <x v="3"/>
    <n v="16000"/>
    <n v="22000"/>
    <x v="0"/>
    <x v="1"/>
    <x v="2"/>
    <x v="0"/>
    <x v="3"/>
    <x v="3"/>
    <x v="1"/>
    <n v="4981"/>
    <x v="26"/>
    <n v="10.8"/>
    <n v="11.2"/>
    <n v="89.658000000000001"/>
    <n v="124.52500000000001"/>
    <n v="54.790999999999997"/>
  </r>
  <r>
    <x v="6"/>
    <x v="26"/>
    <x v="1"/>
    <x v="3"/>
    <n v="16000"/>
    <n v="22000"/>
    <x v="0"/>
    <x v="1"/>
    <x v="2"/>
    <x v="0"/>
    <x v="3"/>
    <x v="3"/>
    <x v="2"/>
    <n v="3466"/>
    <x v="26"/>
    <n v="10.8"/>
    <n v="11.2"/>
    <n v="62.387999999999998"/>
    <n v="86.65"/>
    <n v="38.125999999999998"/>
  </r>
  <r>
    <x v="6"/>
    <x v="26"/>
    <x v="1"/>
    <x v="3"/>
    <n v="16000"/>
    <n v="22000"/>
    <x v="0"/>
    <x v="1"/>
    <x v="2"/>
    <x v="0"/>
    <x v="3"/>
    <x v="3"/>
    <x v="3"/>
    <n v="2045"/>
    <x v="26"/>
    <n v="10.8"/>
    <n v="11.2"/>
    <n v="36.81"/>
    <n v="51.125"/>
    <n v="22.495000000000001"/>
  </r>
  <r>
    <x v="6"/>
    <x v="26"/>
    <x v="1"/>
    <x v="3"/>
    <n v="16000"/>
    <n v="22000"/>
    <x v="0"/>
    <x v="1"/>
    <x v="2"/>
    <x v="0"/>
    <x v="3"/>
    <x v="3"/>
    <x v="4"/>
    <n v="2652"/>
    <x v="26"/>
    <n v="10.8"/>
    <n v="11.2"/>
    <n v="47.735999999999997"/>
    <n v="66.3"/>
    <n v="29.172000000000001"/>
  </r>
  <r>
    <x v="6"/>
    <x v="27"/>
    <x v="3"/>
    <x v="10"/>
    <n v="14000"/>
    <n v="19000"/>
    <x v="1"/>
    <x v="1"/>
    <x v="1"/>
    <x v="2"/>
    <x v="13"/>
    <x v="12"/>
    <x v="0"/>
    <n v="4740"/>
    <x v="27"/>
    <n v="8.89"/>
    <n v="10.69"/>
    <n v="75.84"/>
    <n v="105.46499999999999"/>
    <n v="46.404600000000002"/>
  </r>
  <r>
    <x v="6"/>
    <x v="27"/>
    <x v="3"/>
    <x v="10"/>
    <n v="14000"/>
    <n v="19000"/>
    <x v="1"/>
    <x v="1"/>
    <x v="1"/>
    <x v="2"/>
    <x v="13"/>
    <x v="12"/>
    <x v="1"/>
    <n v="552"/>
    <x v="27"/>
    <n v="8.89"/>
    <n v="10.69"/>
    <n v="8.8320000000000007"/>
    <n v="12.282"/>
    <n v="5.4040799999999996"/>
  </r>
  <r>
    <x v="6"/>
    <x v="27"/>
    <x v="3"/>
    <x v="10"/>
    <n v="14000"/>
    <n v="19000"/>
    <x v="1"/>
    <x v="1"/>
    <x v="1"/>
    <x v="2"/>
    <x v="13"/>
    <x v="12"/>
    <x v="2"/>
    <n v="0"/>
    <x v="27"/>
    <n v="8.89"/>
    <n v="10.69"/>
    <n v="0"/>
    <n v="0"/>
    <n v="0"/>
  </r>
  <r>
    <x v="6"/>
    <x v="27"/>
    <x v="3"/>
    <x v="10"/>
    <n v="14000"/>
    <n v="19000"/>
    <x v="1"/>
    <x v="1"/>
    <x v="1"/>
    <x v="2"/>
    <x v="13"/>
    <x v="12"/>
    <x v="3"/>
    <n v="0"/>
    <x v="27"/>
    <n v="8.89"/>
    <n v="10.69"/>
    <n v="0"/>
    <n v="0"/>
    <n v="0"/>
  </r>
  <r>
    <x v="6"/>
    <x v="27"/>
    <x v="3"/>
    <x v="10"/>
    <n v="14000"/>
    <n v="19000"/>
    <x v="1"/>
    <x v="1"/>
    <x v="1"/>
    <x v="2"/>
    <x v="13"/>
    <x v="12"/>
    <x v="4"/>
    <n v="0"/>
    <x v="27"/>
    <n v="8.89"/>
    <n v="10.69"/>
    <n v="0"/>
    <n v="0"/>
    <n v="0"/>
  </r>
  <r>
    <x v="6"/>
    <x v="28"/>
    <x v="4"/>
    <x v="3"/>
    <n v="16000"/>
    <n v="22000"/>
    <x v="0"/>
    <x v="1"/>
    <x v="2"/>
    <x v="0"/>
    <x v="3"/>
    <x v="3"/>
    <x v="0"/>
    <n v="0"/>
    <x v="28"/>
    <n v="9.09"/>
    <n v="13.09"/>
    <n v="0"/>
    <n v="0"/>
    <n v="0"/>
  </r>
  <r>
    <x v="6"/>
    <x v="28"/>
    <x v="4"/>
    <x v="3"/>
    <n v="16000"/>
    <n v="22000"/>
    <x v="0"/>
    <x v="1"/>
    <x v="2"/>
    <x v="0"/>
    <x v="3"/>
    <x v="3"/>
    <x v="1"/>
    <n v="1850"/>
    <x v="28"/>
    <n v="9.09"/>
    <n v="13.09"/>
    <n v="33.299999999999997"/>
    <n v="46.628409090909095"/>
    <n v="20.516500000000001"/>
  </r>
  <r>
    <x v="6"/>
    <x v="28"/>
    <x v="4"/>
    <x v="3"/>
    <n v="16000"/>
    <n v="22000"/>
    <x v="0"/>
    <x v="1"/>
    <x v="2"/>
    <x v="0"/>
    <x v="3"/>
    <x v="3"/>
    <x v="2"/>
    <n v="3693"/>
    <x v="28"/>
    <n v="9.09"/>
    <n v="13.09"/>
    <n v="66.474000000000004"/>
    <n v="93.080386363636364"/>
    <n v="40.955370000000002"/>
  </r>
  <r>
    <x v="6"/>
    <x v="28"/>
    <x v="4"/>
    <x v="3"/>
    <n v="16000"/>
    <n v="22000"/>
    <x v="0"/>
    <x v="1"/>
    <x v="2"/>
    <x v="0"/>
    <x v="3"/>
    <x v="3"/>
    <x v="3"/>
    <n v="3492"/>
    <x v="28"/>
    <n v="9.09"/>
    <n v="13.09"/>
    <n v="62.856000000000002"/>
    <n v="88.014272727272726"/>
    <n v="38.726279999999996"/>
  </r>
  <r>
    <x v="6"/>
    <x v="28"/>
    <x v="4"/>
    <x v="3"/>
    <n v="16000"/>
    <n v="22000"/>
    <x v="0"/>
    <x v="1"/>
    <x v="2"/>
    <x v="0"/>
    <x v="3"/>
    <x v="3"/>
    <x v="4"/>
    <n v="2738"/>
    <x v="28"/>
    <n v="9.09"/>
    <n v="13.09"/>
    <n v="49.283999999999999"/>
    <n v="69.010045454545462"/>
    <n v="30.364419999999999"/>
  </r>
  <r>
    <x v="6"/>
    <x v="29"/>
    <x v="5"/>
    <x v="8"/>
    <n v="22000"/>
    <n v="30000"/>
    <x v="1"/>
    <x v="2"/>
    <x v="2"/>
    <x v="1"/>
    <x v="4"/>
    <x v="11"/>
    <x v="0"/>
    <n v="0"/>
    <x v="29"/>
    <n v="18.600000000000001"/>
    <n v="18.600000000000001"/>
    <n v="0"/>
    <n v="0"/>
    <n v="0"/>
  </r>
  <r>
    <x v="6"/>
    <x v="29"/>
    <x v="5"/>
    <x v="8"/>
    <n v="22000"/>
    <n v="30000"/>
    <x v="1"/>
    <x v="2"/>
    <x v="2"/>
    <x v="1"/>
    <x v="4"/>
    <x v="11"/>
    <x v="1"/>
    <n v="0"/>
    <x v="29"/>
    <n v="18.600000000000001"/>
    <n v="18.600000000000001"/>
    <n v="0"/>
    <n v="0"/>
    <n v="0"/>
  </r>
  <r>
    <x v="6"/>
    <x v="29"/>
    <x v="5"/>
    <x v="8"/>
    <n v="22000"/>
    <n v="30000"/>
    <x v="1"/>
    <x v="2"/>
    <x v="2"/>
    <x v="1"/>
    <x v="4"/>
    <x v="11"/>
    <x v="2"/>
    <n v="0"/>
    <x v="29"/>
    <n v="18.600000000000001"/>
    <n v="18.600000000000001"/>
    <n v="0"/>
    <n v="0"/>
    <n v="0"/>
  </r>
  <r>
    <x v="6"/>
    <x v="29"/>
    <x v="5"/>
    <x v="8"/>
    <n v="22000"/>
    <n v="30000"/>
    <x v="1"/>
    <x v="2"/>
    <x v="2"/>
    <x v="1"/>
    <x v="4"/>
    <x v="11"/>
    <x v="3"/>
    <n v="603"/>
    <x v="29"/>
    <n v="18.600000000000001"/>
    <n v="18.600000000000001"/>
    <n v="15.074999999999999"/>
    <n v="25.490454545454547"/>
    <n v="11.215800000000002"/>
  </r>
  <r>
    <x v="6"/>
    <x v="29"/>
    <x v="5"/>
    <x v="8"/>
    <n v="22000"/>
    <n v="30000"/>
    <x v="1"/>
    <x v="2"/>
    <x v="2"/>
    <x v="1"/>
    <x v="4"/>
    <x v="11"/>
    <x v="4"/>
    <n v="225"/>
    <x v="29"/>
    <n v="18.600000000000001"/>
    <n v="18.600000000000001"/>
    <n v="5.625"/>
    <n v="9.5113636363636367"/>
    <n v="4.1849999999999996"/>
  </r>
  <r>
    <x v="6"/>
    <x v="30"/>
    <x v="3"/>
    <x v="11"/>
    <n v="12000"/>
    <n v="16000"/>
    <x v="1"/>
    <x v="1"/>
    <x v="1"/>
    <x v="2"/>
    <x v="14"/>
    <x v="13"/>
    <x v="0"/>
    <n v="2679"/>
    <x v="30"/>
    <n v="7.99"/>
    <n v="9.09"/>
    <n v="37.506"/>
    <n v="51.996954545454543"/>
    <n v="22.878659999999996"/>
  </r>
  <r>
    <x v="6"/>
    <x v="30"/>
    <x v="3"/>
    <x v="11"/>
    <n v="12000"/>
    <n v="16000"/>
    <x v="1"/>
    <x v="1"/>
    <x v="1"/>
    <x v="2"/>
    <x v="14"/>
    <x v="13"/>
    <x v="1"/>
    <n v="0"/>
    <x v="30"/>
    <n v="7.99"/>
    <n v="9.09"/>
    <n v="0"/>
    <n v="0"/>
    <n v="0"/>
  </r>
  <r>
    <x v="6"/>
    <x v="30"/>
    <x v="3"/>
    <x v="11"/>
    <n v="12000"/>
    <n v="16000"/>
    <x v="1"/>
    <x v="1"/>
    <x v="1"/>
    <x v="2"/>
    <x v="14"/>
    <x v="13"/>
    <x v="2"/>
    <n v="0"/>
    <x v="30"/>
    <n v="7.99"/>
    <n v="9.09"/>
    <n v="0"/>
    <n v="0"/>
    <n v="0"/>
  </r>
  <r>
    <x v="6"/>
    <x v="30"/>
    <x v="3"/>
    <x v="11"/>
    <n v="12000"/>
    <n v="16000"/>
    <x v="1"/>
    <x v="1"/>
    <x v="1"/>
    <x v="2"/>
    <x v="14"/>
    <x v="13"/>
    <x v="3"/>
    <n v="0"/>
    <x v="30"/>
    <n v="7.99"/>
    <n v="9.09"/>
    <n v="0"/>
    <n v="0"/>
    <n v="0"/>
  </r>
  <r>
    <x v="6"/>
    <x v="30"/>
    <x v="3"/>
    <x v="11"/>
    <n v="12000"/>
    <n v="16000"/>
    <x v="1"/>
    <x v="1"/>
    <x v="1"/>
    <x v="2"/>
    <x v="14"/>
    <x v="13"/>
    <x v="4"/>
    <n v="0"/>
    <x v="30"/>
    <n v="7.99"/>
    <n v="9.09"/>
    <n v="0"/>
    <n v="0"/>
    <n v="0"/>
  </r>
  <r>
    <x v="6"/>
    <x v="31"/>
    <x v="3"/>
    <x v="3"/>
    <n v="16000"/>
    <n v="22000"/>
    <x v="1"/>
    <x v="1"/>
    <x v="2"/>
    <x v="0"/>
    <x v="3"/>
    <x v="3"/>
    <x v="0"/>
    <n v="1976"/>
    <x v="31"/>
    <n v="10.79"/>
    <n v="12.29"/>
    <n v="35.567999999999998"/>
    <n v="51.825090909090903"/>
    <n v="22.803039999999996"/>
  </r>
  <r>
    <x v="6"/>
    <x v="31"/>
    <x v="3"/>
    <x v="3"/>
    <n v="16000"/>
    <n v="22000"/>
    <x v="1"/>
    <x v="1"/>
    <x v="2"/>
    <x v="0"/>
    <x v="3"/>
    <x v="3"/>
    <x v="1"/>
    <n v="651"/>
    <x v="31"/>
    <n v="10.79"/>
    <n v="12.29"/>
    <n v="11.718"/>
    <n v="17.073954545454544"/>
    <n v="7.5125399999999987"/>
  </r>
  <r>
    <x v="6"/>
    <x v="31"/>
    <x v="3"/>
    <x v="3"/>
    <n v="16000"/>
    <n v="22000"/>
    <x v="1"/>
    <x v="1"/>
    <x v="2"/>
    <x v="0"/>
    <x v="3"/>
    <x v="3"/>
    <x v="2"/>
    <n v="0"/>
    <x v="31"/>
    <n v="10.79"/>
    <n v="12.29"/>
    <n v="0"/>
    <n v="0"/>
    <n v="0"/>
  </r>
  <r>
    <x v="6"/>
    <x v="31"/>
    <x v="3"/>
    <x v="3"/>
    <n v="16000"/>
    <n v="22000"/>
    <x v="1"/>
    <x v="1"/>
    <x v="2"/>
    <x v="0"/>
    <x v="3"/>
    <x v="3"/>
    <x v="3"/>
    <n v="0"/>
    <x v="31"/>
    <n v="10.79"/>
    <n v="12.29"/>
    <n v="0"/>
    <n v="0"/>
    <n v="0"/>
  </r>
  <r>
    <x v="6"/>
    <x v="31"/>
    <x v="3"/>
    <x v="3"/>
    <n v="16000"/>
    <n v="22000"/>
    <x v="1"/>
    <x v="1"/>
    <x v="2"/>
    <x v="0"/>
    <x v="3"/>
    <x v="3"/>
    <x v="4"/>
    <n v="0"/>
    <x v="31"/>
    <n v="10.79"/>
    <n v="12.29"/>
    <n v="0"/>
    <n v="0"/>
    <n v="0"/>
  </r>
  <r>
    <x v="6"/>
    <x v="32"/>
    <x v="0"/>
    <x v="12"/>
    <n v="30000"/>
    <n v="45000"/>
    <x v="0"/>
    <x v="3"/>
    <x v="0"/>
    <x v="1"/>
    <x v="15"/>
    <x v="14"/>
    <x v="0"/>
    <n v="1603"/>
    <x v="32"/>
    <n v="27.99"/>
    <n v="31.49"/>
    <n v="56.104999999999997"/>
    <n v="108.34822727272727"/>
    <n v="47.673219999999993"/>
  </r>
  <r>
    <x v="6"/>
    <x v="32"/>
    <x v="0"/>
    <x v="12"/>
    <n v="30000"/>
    <n v="45000"/>
    <x v="0"/>
    <x v="3"/>
    <x v="0"/>
    <x v="1"/>
    <x v="15"/>
    <x v="14"/>
    <x v="1"/>
    <n v="972"/>
    <x v="32"/>
    <n v="27.99"/>
    <n v="31.49"/>
    <n v="34.020000000000003"/>
    <n v="65.698363636363638"/>
    <n v="28.90728"/>
  </r>
  <r>
    <x v="6"/>
    <x v="32"/>
    <x v="0"/>
    <x v="12"/>
    <n v="30000"/>
    <n v="45000"/>
    <x v="0"/>
    <x v="3"/>
    <x v="0"/>
    <x v="1"/>
    <x v="15"/>
    <x v="14"/>
    <x v="2"/>
    <n v="0"/>
    <x v="32"/>
    <n v="27.99"/>
    <n v="31.49"/>
    <n v="0"/>
    <n v="0"/>
    <n v="0"/>
  </r>
  <r>
    <x v="6"/>
    <x v="32"/>
    <x v="0"/>
    <x v="12"/>
    <n v="30000"/>
    <n v="45000"/>
    <x v="0"/>
    <x v="3"/>
    <x v="0"/>
    <x v="1"/>
    <x v="15"/>
    <x v="14"/>
    <x v="3"/>
    <n v="0"/>
    <x v="32"/>
    <n v="27.99"/>
    <n v="31.49"/>
    <n v="0"/>
    <n v="0"/>
    <n v="0"/>
  </r>
  <r>
    <x v="6"/>
    <x v="32"/>
    <x v="0"/>
    <x v="12"/>
    <n v="30000"/>
    <n v="45000"/>
    <x v="0"/>
    <x v="3"/>
    <x v="0"/>
    <x v="1"/>
    <x v="15"/>
    <x v="14"/>
    <x v="4"/>
    <n v="0"/>
    <x v="32"/>
    <n v="27.99"/>
    <n v="31.49"/>
    <n v="0"/>
    <n v="0"/>
    <n v="0"/>
  </r>
  <r>
    <x v="6"/>
    <x v="33"/>
    <x v="0"/>
    <x v="13"/>
    <n v="25000"/>
    <n v="35000"/>
    <x v="0"/>
    <x v="0"/>
    <x v="2"/>
    <x v="0"/>
    <x v="16"/>
    <x v="15"/>
    <x v="0"/>
    <n v="7446"/>
    <x v="33"/>
    <n v="19.39"/>
    <n v="26.99"/>
    <n v="208.488"/>
    <n v="392.43804545454549"/>
    <n v="172.67274000000003"/>
  </r>
  <r>
    <x v="6"/>
    <x v="33"/>
    <x v="0"/>
    <x v="13"/>
    <n v="25000"/>
    <n v="35000"/>
    <x v="0"/>
    <x v="0"/>
    <x v="2"/>
    <x v="0"/>
    <x v="16"/>
    <x v="15"/>
    <x v="1"/>
    <n v="2975"/>
    <x v="33"/>
    <n v="19.39"/>
    <n v="26.99"/>
    <n v="83.3"/>
    <n v="156.79602272727274"/>
    <n v="68.990250000000003"/>
  </r>
  <r>
    <x v="6"/>
    <x v="33"/>
    <x v="0"/>
    <x v="13"/>
    <n v="25000"/>
    <n v="35000"/>
    <x v="0"/>
    <x v="0"/>
    <x v="2"/>
    <x v="0"/>
    <x v="16"/>
    <x v="15"/>
    <x v="2"/>
    <n v="2063"/>
    <x v="33"/>
    <n v="19.39"/>
    <n v="26.99"/>
    <n v="57.764000000000003"/>
    <n v="108.72947727272728"/>
    <n v="47.840969999999999"/>
  </r>
  <r>
    <x v="6"/>
    <x v="33"/>
    <x v="0"/>
    <x v="13"/>
    <n v="25000"/>
    <n v="35000"/>
    <x v="0"/>
    <x v="0"/>
    <x v="2"/>
    <x v="0"/>
    <x v="16"/>
    <x v="15"/>
    <x v="3"/>
    <n v="1395"/>
    <x v="33"/>
    <n v="19.39"/>
    <n v="26.99"/>
    <n v="39.06"/>
    <n v="73.522840909090917"/>
    <n v="32.350050000000003"/>
  </r>
  <r>
    <x v="6"/>
    <x v="33"/>
    <x v="0"/>
    <x v="13"/>
    <n v="25000"/>
    <n v="35000"/>
    <x v="0"/>
    <x v="0"/>
    <x v="2"/>
    <x v="0"/>
    <x v="16"/>
    <x v="15"/>
    <x v="4"/>
    <n v="1081"/>
    <x v="33"/>
    <n v="19.39"/>
    <n v="26.99"/>
    <n v="30.268000000000001"/>
    <n v="56.973613636363638"/>
    <n v="25.068390000000004"/>
  </r>
  <r>
    <x v="6"/>
    <x v="34"/>
    <x v="1"/>
    <x v="4"/>
    <n v="19000"/>
    <n v="25000"/>
    <x v="0"/>
    <x v="3"/>
    <x v="2"/>
    <x v="0"/>
    <x v="17"/>
    <x v="11"/>
    <x v="0"/>
    <n v="4805"/>
    <x v="34"/>
    <n v="13.99"/>
    <n v="14.79"/>
    <n v="105.71"/>
    <n v="157.14534090909092"/>
    <n v="69.143950000000004"/>
  </r>
  <r>
    <x v="6"/>
    <x v="34"/>
    <x v="1"/>
    <x v="4"/>
    <n v="19000"/>
    <n v="25000"/>
    <x v="0"/>
    <x v="3"/>
    <x v="2"/>
    <x v="0"/>
    <x v="17"/>
    <x v="11"/>
    <x v="1"/>
    <n v="4570"/>
    <x v="34"/>
    <n v="13.99"/>
    <n v="14.79"/>
    <n v="100.54"/>
    <n v="149.45977272727274"/>
    <n v="65.762299999999996"/>
  </r>
  <r>
    <x v="6"/>
    <x v="34"/>
    <x v="1"/>
    <x v="4"/>
    <n v="19000"/>
    <n v="25000"/>
    <x v="0"/>
    <x v="3"/>
    <x v="2"/>
    <x v="0"/>
    <x v="17"/>
    <x v="11"/>
    <x v="2"/>
    <n v="2252"/>
    <x v="34"/>
    <n v="13.99"/>
    <n v="14.79"/>
    <n v="49.543999999999997"/>
    <n v="73.650636363636366"/>
    <n v="32.406280000000002"/>
  </r>
  <r>
    <x v="6"/>
    <x v="34"/>
    <x v="1"/>
    <x v="4"/>
    <n v="19000"/>
    <n v="25000"/>
    <x v="0"/>
    <x v="3"/>
    <x v="2"/>
    <x v="0"/>
    <x v="17"/>
    <x v="11"/>
    <x v="3"/>
    <n v="943"/>
    <x v="34"/>
    <n v="13.99"/>
    <n v="14.79"/>
    <n v="20.745999999999999"/>
    <n v="30.840386363636366"/>
    <n v="13.56977"/>
  </r>
  <r>
    <x v="6"/>
    <x v="34"/>
    <x v="1"/>
    <x v="4"/>
    <n v="19000"/>
    <n v="25000"/>
    <x v="0"/>
    <x v="3"/>
    <x v="2"/>
    <x v="0"/>
    <x v="17"/>
    <x v="11"/>
    <x v="4"/>
    <n v="0"/>
    <x v="34"/>
    <n v="13.99"/>
    <n v="14.79"/>
    <n v="0"/>
    <n v="0"/>
    <n v="0"/>
  </r>
  <r>
    <x v="6"/>
    <x v="35"/>
    <x v="2"/>
    <x v="14"/>
    <n v="27000"/>
    <n v="38000"/>
    <x v="0"/>
    <x v="4"/>
    <x v="2"/>
    <x v="1"/>
    <x v="18"/>
    <x v="16"/>
    <x v="0"/>
    <n v="0"/>
    <x v="35"/>
    <n v="19.989999999999998"/>
    <n v="27.89"/>
    <n v="0"/>
    <n v="0"/>
    <n v="0"/>
  </r>
  <r>
    <x v="6"/>
    <x v="35"/>
    <x v="2"/>
    <x v="14"/>
    <n v="27000"/>
    <n v="38000"/>
    <x v="0"/>
    <x v="4"/>
    <x v="2"/>
    <x v="1"/>
    <x v="18"/>
    <x v="16"/>
    <x v="1"/>
    <n v="537"/>
    <x v="35"/>
    <n v="19.989999999999998"/>
    <n v="27.89"/>
    <n v="16.11"/>
    <n v="29.21768181818182"/>
    <n v="12.855780000000001"/>
  </r>
  <r>
    <x v="6"/>
    <x v="35"/>
    <x v="2"/>
    <x v="14"/>
    <n v="27000"/>
    <n v="38000"/>
    <x v="0"/>
    <x v="4"/>
    <x v="2"/>
    <x v="1"/>
    <x v="18"/>
    <x v="16"/>
    <x v="2"/>
    <n v="0"/>
    <x v="35"/>
    <n v="19.989999999999998"/>
    <n v="27.89"/>
    <n v="0"/>
    <n v="0"/>
    <n v="0"/>
  </r>
  <r>
    <x v="6"/>
    <x v="35"/>
    <x v="2"/>
    <x v="14"/>
    <n v="27000"/>
    <n v="38000"/>
    <x v="0"/>
    <x v="4"/>
    <x v="2"/>
    <x v="1"/>
    <x v="18"/>
    <x v="16"/>
    <x v="3"/>
    <n v="0"/>
    <x v="35"/>
    <n v="19.989999999999998"/>
    <n v="27.89"/>
    <n v="0"/>
    <n v="0"/>
    <n v="0"/>
  </r>
  <r>
    <x v="6"/>
    <x v="35"/>
    <x v="2"/>
    <x v="14"/>
    <n v="27000"/>
    <n v="38000"/>
    <x v="0"/>
    <x v="4"/>
    <x v="2"/>
    <x v="1"/>
    <x v="18"/>
    <x v="16"/>
    <x v="4"/>
    <n v="0"/>
    <x v="35"/>
    <n v="19.989999999999998"/>
    <n v="27.89"/>
    <n v="0"/>
    <n v="0"/>
    <n v="0"/>
  </r>
  <r>
    <x v="6"/>
    <x v="36"/>
    <x v="0"/>
    <x v="15"/>
    <n v="20000"/>
    <n v="28000"/>
    <x v="0"/>
    <x v="0"/>
    <x v="2"/>
    <x v="0"/>
    <x v="19"/>
    <x v="16"/>
    <x v="0"/>
    <n v="14425"/>
    <x v="36"/>
    <n v="12.69"/>
    <n v="18.59"/>
    <n v="331.77499999999998"/>
    <n v="512.74318181818182"/>
    <n v="225.607"/>
  </r>
  <r>
    <x v="6"/>
    <x v="36"/>
    <x v="0"/>
    <x v="15"/>
    <n v="20000"/>
    <n v="28000"/>
    <x v="0"/>
    <x v="0"/>
    <x v="2"/>
    <x v="0"/>
    <x v="19"/>
    <x v="16"/>
    <x v="1"/>
    <n v="8871"/>
    <x v="36"/>
    <n v="12.69"/>
    <n v="18.59"/>
    <n v="204.03299999999999"/>
    <n v="315.3237272727273"/>
    <n v="138.74244000000002"/>
  </r>
  <r>
    <x v="6"/>
    <x v="36"/>
    <x v="0"/>
    <x v="15"/>
    <n v="20000"/>
    <n v="28000"/>
    <x v="0"/>
    <x v="0"/>
    <x v="2"/>
    <x v="0"/>
    <x v="19"/>
    <x v="16"/>
    <x v="2"/>
    <n v="2486"/>
    <x v="36"/>
    <n v="12.69"/>
    <n v="18.59"/>
    <n v="57.177999999999997"/>
    <n v="88.366"/>
    <n v="38.881039999999999"/>
  </r>
  <r>
    <x v="6"/>
    <x v="36"/>
    <x v="0"/>
    <x v="15"/>
    <n v="20000"/>
    <n v="28000"/>
    <x v="0"/>
    <x v="0"/>
    <x v="2"/>
    <x v="0"/>
    <x v="19"/>
    <x v="16"/>
    <x v="3"/>
    <n v="4928"/>
    <x v="36"/>
    <n v="12.69"/>
    <n v="18.59"/>
    <n v="113.34399999999999"/>
    <n v="175.16800000000001"/>
    <n v="77.073920000000001"/>
  </r>
  <r>
    <x v="6"/>
    <x v="36"/>
    <x v="0"/>
    <x v="15"/>
    <n v="20000"/>
    <n v="28000"/>
    <x v="0"/>
    <x v="0"/>
    <x v="2"/>
    <x v="0"/>
    <x v="19"/>
    <x v="16"/>
    <x v="4"/>
    <n v="4685"/>
    <x v="36"/>
    <n v="12.69"/>
    <n v="18.59"/>
    <n v="107.755"/>
    <n v="166.53045454545455"/>
    <n v="73.273400000000009"/>
  </r>
  <r>
    <x v="7"/>
    <x v="37"/>
    <x v="1"/>
    <x v="3"/>
    <n v="16000"/>
    <n v="22000"/>
    <x v="0"/>
    <x v="1"/>
    <x v="2"/>
    <x v="0"/>
    <x v="3"/>
    <x v="3"/>
    <x v="0"/>
    <n v="3833"/>
    <x v="12"/>
    <n v="6.59"/>
    <n v="8.69"/>
    <n v="68.994"/>
    <n v="66.554818181818177"/>
    <n v="29.284119999999998"/>
  </r>
  <r>
    <x v="7"/>
    <x v="37"/>
    <x v="1"/>
    <x v="3"/>
    <n v="16000"/>
    <n v="22000"/>
    <x v="0"/>
    <x v="1"/>
    <x v="2"/>
    <x v="0"/>
    <x v="3"/>
    <x v="3"/>
    <x v="1"/>
    <n v="1418"/>
    <x v="12"/>
    <n v="6.59"/>
    <n v="8.69"/>
    <n v="25.524000000000001"/>
    <n v="24.621636363636362"/>
    <n v="10.83352"/>
  </r>
  <r>
    <x v="7"/>
    <x v="37"/>
    <x v="1"/>
    <x v="3"/>
    <n v="16000"/>
    <n v="22000"/>
    <x v="0"/>
    <x v="1"/>
    <x v="2"/>
    <x v="0"/>
    <x v="3"/>
    <x v="3"/>
    <x v="2"/>
    <n v="1118"/>
    <x v="12"/>
    <n v="6.59"/>
    <n v="8.69"/>
    <n v="20.123999999999999"/>
    <n v="19.412545454545452"/>
    <n v="8.5415200000000002"/>
  </r>
  <r>
    <x v="7"/>
    <x v="37"/>
    <x v="1"/>
    <x v="3"/>
    <n v="16000"/>
    <n v="22000"/>
    <x v="0"/>
    <x v="1"/>
    <x v="2"/>
    <x v="0"/>
    <x v="3"/>
    <x v="3"/>
    <x v="3"/>
    <n v="0"/>
    <x v="12"/>
    <n v="6.59"/>
    <n v="8.69"/>
    <n v="0"/>
    <n v="0"/>
    <n v="0"/>
  </r>
  <r>
    <x v="7"/>
    <x v="37"/>
    <x v="1"/>
    <x v="3"/>
    <n v="16000"/>
    <n v="22000"/>
    <x v="0"/>
    <x v="1"/>
    <x v="2"/>
    <x v="0"/>
    <x v="3"/>
    <x v="3"/>
    <x v="4"/>
    <n v="0"/>
    <x v="12"/>
    <n v="6.59"/>
    <n v="8.69"/>
    <n v="0"/>
    <n v="0"/>
    <n v="0"/>
  </r>
  <r>
    <x v="7"/>
    <x v="38"/>
    <x v="3"/>
    <x v="6"/>
    <n v="10000"/>
    <n v="14000"/>
    <x v="1"/>
    <x v="1"/>
    <x v="1"/>
    <x v="2"/>
    <x v="5"/>
    <x v="6"/>
    <x v="0"/>
    <n v="0"/>
    <x v="37"/>
    <n v="5.59"/>
    <n v="5.79"/>
    <n v="0"/>
    <n v="0"/>
    <n v="0"/>
  </r>
  <r>
    <x v="7"/>
    <x v="38"/>
    <x v="3"/>
    <x v="6"/>
    <n v="10000"/>
    <n v="14000"/>
    <x v="1"/>
    <x v="1"/>
    <x v="1"/>
    <x v="2"/>
    <x v="5"/>
    <x v="6"/>
    <x v="1"/>
    <n v="0"/>
    <x v="37"/>
    <n v="5.59"/>
    <n v="5.79"/>
    <n v="0"/>
    <n v="0"/>
    <n v="0"/>
  </r>
  <r>
    <x v="7"/>
    <x v="38"/>
    <x v="3"/>
    <x v="6"/>
    <n v="10000"/>
    <n v="14000"/>
    <x v="1"/>
    <x v="1"/>
    <x v="1"/>
    <x v="2"/>
    <x v="5"/>
    <x v="6"/>
    <x v="2"/>
    <n v="634"/>
    <x v="37"/>
    <n v="5.59"/>
    <n v="5.79"/>
    <n v="7.6079999999999997"/>
    <n v="8.1987727272727273"/>
    <n v="3.6074600000000001"/>
  </r>
  <r>
    <x v="7"/>
    <x v="38"/>
    <x v="3"/>
    <x v="6"/>
    <n v="10000"/>
    <n v="14000"/>
    <x v="1"/>
    <x v="1"/>
    <x v="1"/>
    <x v="2"/>
    <x v="5"/>
    <x v="6"/>
    <x v="3"/>
    <n v="944"/>
    <x v="37"/>
    <n v="5.59"/>
    <n v="5.79"/>
    <n v="11.327999999999999"/>
    <n v="12.207636363636365"/>
    <n v="5.371360000000001"/>
  </r>
  <r>
    <x v="7"/>
    <x v="38"/>
    <x v="3"/>
    <x v="6"/>
    <n v="10000"/>
    <n v="14000"/>
    <x v="1"/>
    <x v="1"/>
    <x v="1"/>
    <x v="2"/>
    <x v="5"/>
    <x v="6"/>
    <x v="4"/>
    <n v="751"/>
    <x v="37"/>
    <n v="5.59"/>
    <n v="5.79"/>
    <n v="9.0120000000000005"/>
    <n v="9.7117954545454559"/>
    <n v="4.2731900000000005"/>
  </r>
  <r>
    <x v="7"/>
    <x v="39"/>
    <x v="0"/>
    <x v="10"/>
    <n v="14000"/>
    <n v="19000"/>
    <x v="1"/>
    <x v="1"/>
    <x v="1"/>
    <x v="0"/>
    <x v="20"/>
    <x v="12"/>
    <x v="0"/>
    <n v="0"/>
    <x v="38"/>
    <n v="7.09"/>
    <n v="8.99"/>
    <n v="0"/>
    <n v="0"/>
    <n v="0"/>
  </r>
  <r>
    <x v="7"/>
    <x v="39"/>
    <x v="0"/>
    <x v="10"/>
    <n v="14000"/>
    <n v="19000"/>
    <x v="1"/>
    <x v="1"/>
    <x v="1"/>
    <x v="0"/>
    <x v="20"/>
    <x v="12"/>
    <x v="1"/>
    <n v="487"/>
    <x v="38"/>
    <n v="7.09"/>
    <n v="8.99"/>
    <n v="7.7919999999999998"/>
    <n v="8.8988181818181804"/>
    <n v="3.9154799999999996"/>
  </r>
  <r>
    <x v="7"/>
    <x v="39"/>
    <x v="0"/>
    <x v="10"/>
    <n v="14000"/>
    <n v="19000"/>
    <x v="1"/>
    <x v="1"/>
    <x v="1"/>
    <x v="0"/>
    <x v="20"/>
    <x v="12"/>
    <x v="2"/>
    <n v="604"/>
    <x v="38"/>
    <n v="7.09"/>
    <n v="8.99"/>
    <n v="9.6639999999999997"/>
    <n v="11.036727272727271"/>
    <n v="4.85616"/>
  </r>
  <r>
    <x v="7"/>
    <x v="39"/>
    <x v="0"/>
    <x v="10"/>
    <n v="14000"/>
    <n v="19000"/>
    <x v="1"/>
    <x v="1"/>
    <x v="1"/>
    <x v="0"/>
    <x v="20"/>
    <x v="12"/>
    <x v="3"/>
    <n v="814"/>
    <x v="38"/>
    <n v="7.09"/>
    <n v="8.99"/>
    <n v="13.023999999999999"/>
    <n v="14.873999999999999"/>
    <n v="6.5445599999999997"/>
  </r>
  <r>
    <x v="7"/>
    <x v="39"/>
    <x v="0"/>
    <x v="10"/>
    <n v="14000"/>
    <n v="19000"/>
    <x v="1"/>
    <x v="1"/>
    <x v="1"/>
    <x v="0"/>
    <x v="20"/>
    <x v="12"/>
    <x v="4"/>
    <n v="403"/>
    <x v="38"/>
    <n v="7.09"/>
    <n v="8.99"/>
    <n v="6.4480000000000004"/>
    <n v="7.3639090909090896"/>
    <n v="3.2401199999999992"/>
  </r>
  <r>
    <x v="7"/>
    <x v="40"/>
    <x v="0"/>
    <x v="9"/>
    <n v="18000"/>
    <n v="24000"/>
    <x v="1"/>
    <x v="4"/>
    <x v="2"/>
    <x v="1"/>
    <x v="9"/>
    <x v="4"/>
    <x v="0"/>
    <n v="0"/>
    <x v="39"/>
    <n v="14.75"/>
    <n v="15.4"/>
    <n v="0"/>
    <n v="0"/>
    <n v="0"/>
  </r>
  <r>
    <x v="7"/>
    <x v="40"/>
    <x v="0"/>
    <x v="9"/>
    <n v="18000"/>
    <n v="24000"/>
    <x v="1"/>
    <x v="4"/>
    <x v="2"/>
    <x v="1"/>
    <x v="9"/>
    <x v="4"/>
    <x v="1"/>
    <n v="482"/>
    <x v="39"/>
    <n v="14.75"/>
    <n v="15.4"/>
    <n v="9.64"/>
    <n v="16.513977272727271"/>
    <n v="7.2661499999999997"/>
  </r>
  <r>
    <x v="7"/>
    <x v="40"/>
    <x v="0"/>
    <x v="9"/>
    <n v="18000"/>
    <n v="24000"/>
    <x v="1"/>
    <x v="4"/>
    <x v="2"/>
    <x v="1"/>
    <x v="9"/>
    <x v="4"/>
    <x v="2"/>
    <n v="0"/>
    <x v="39"/>
    <n v="14.75"/>
    <n v="15.4"/>
    <n v="0"/>
    <n v="0"/>
    <n v="0"/>
  </r>
  <r>
    <x v="7"/>
    <x v="40"/>
    <x v="0"/>
    <x v="9"/>
    <n v="18000"/>
    <n v="24000"/>
    <x v="1"/>
    <x v="4"/>
    <x v="2"/>
    <x v="1"/>
    <x v="9"/>
    <x v="4"/>
    <x v="3"/>
    <n v="396"/>
    <x v="39"/>
    <n v="14.75"/>
    <n v="15.4"/>
    <n v="7.92"/>
    <n v="13.567499999999997"/>
    <n v="5.9696999999999996"/>
  </r>
  <r>
    <x v="7"/>
    <x v="40"/>
    <x v="0"/>
    <x v="9"/>
    <n v="18000"/>
    <n v="24000"/>
    <x v="1"/>
    <x v="4"/>
    <x v="2"/>
    <x v="1"/>
    <x v="9"/>
    <x v="4"/>
    <x v="4"/>
    <n v="0"/>
    <x v="39"/>
    <n v="14.75"/>
    <n v="15.4"/>
    <n v="0"/>
    <n v="0"/>
    <n v="0"/>
  </r>
  <r>
    <x v="7"/>
    <x v="41"/>
    <x v="6"/>
    <x v="3"/>
    <n v="16000"/>
    <n v="22000"/>
    <x v="1"/>
    <x v="4"/>
    <x v="2"/>
    <x v="0"/>
    <x v="3"/>
    <x v="3"/>
    <x v="0"/>
    <n v="1124"/>
    <x v="40"/>
    <n v="13.49"/>
    <n v="14.59"/>
    <n v="20.231999999999999"/>
    <n v="35.865818181818177"/>
    <n v="15.780959999999999"/>
  </r>
  <r>
    <x v="7"/>
    <x v="41"/>
    <x v="6"/>
    <x v="3"/>
    <n v="16000"/>
    <n v="22000"/>
    <x v="1"/>
    <x v="4"/>
    <x v="2"/>
    <x v="0"/>
    <x v="3"/>
    <x v="3"/>
    <x v="1"/>
    <n v="800"/>
    <x v="40"/>
    <n v="13.49"/>
    <n v="14.59"/>
    <n v="14.4"/>
    <n v="25.527272727272727"/>
    <n v="11.231999999999999"/>
  </r>
  <r>
    <x v="7"/>
    <x v="41"/>
    <x v="6"/>
    <x v="3"/>
    <n v="16000"/>
    <n v="22000"/>
    <x v="1"/>
    <x v="4"/>
    <x v="2"/>
    <x v="0"/>
    <x v="3"/>
    <x v="3"/>
    <x v="2"/>
    <n v="418"/>
    <x v="40"/>
    <n v="13.49"/>
    <n v="14.59"/>
    <n v="7.524"/>
    <n v="13.337999999999999"/>
    <n v="5.8687199999999997"/>
  </r>
  <r>
    <x v="7"/>
    <x v="41"/>
    <x v="6"/>
    <x v="3"/>
    <n v="16000"/>
    <n v="22000"/>
    <x v="1"/>
    <x v="4"/>
    <x v="2"/>
    <x v="0"/>
    <x v="3"/>
    <x v="3"/>
    <x v="3"/>
    <n v="0"/>
    <x v="40"/>
    <n v="13.49"/>
    <n v="14.59"/>
    <n v="0"/>
    <n v="0"/>
    <n v="0"/>
  </r>
  <r>
    <x v="7"/>
    <x v="41"/>
    <x v="6"/>
    <x v="3"/>
    <n v="16000"/>
    <n v="22000"/>
    <x v="1"/>
    <x v="4"/>
    <x v="2"/>
    <x v="0"/>
    <x v="3"/>
    <x v="3"/>
    <x v="4"/>
    <n v="0"/>
    <x v="40"/>
    <n v="13.49"/>
    <n v="14.59"/>
    <n v="0"/>
    <n v="0"/>
    <n v="0"/>
  </r>
  <r>
    <x v="8"/>
    <x v="42"/>
    <x v="0"/>
    <x v="9"/>
    <n v="18000"/>
    <n v="24000"/>
    <x v="0"/>
    <x v="1"/>
    <x v="1"/>
    <x v="0"/>
    <x v="9"/>
    <x v="4"/>
    <x v="0"/>
    <n v="2287"/>
    <x v="41"/>
    <n v="8.89"/>
    <n v="10.49"/>
    <n v="45.74"/>
    <n v="50.365977272727264"/>
    <n v="22.16103"/>
  </r>
  <r>
    <x v="8"/>
    <x v="42"/>
    <x v="0"/>
    <x v="9"/>
    <n v="18000"/>
    <n v="24000"/>
    <x v="0"/>
    <x v="1"/>
    <x v="1"/>
    <x v="0"/>
    <x v="9"/>
    <x v="4"/>
    <x v="1"/>
    <n v="0"/>
    <x v="41"/>
    <n v="8.89"/>
    <n v="10.49"/>
    <n v="0"/>
    <n v="0"/>
    <n v="0"/>
  </r>
  <r>
    <x v="8"/>
    <x v="42"/>
    <x v="0"/>
    <x v="9"/>
    <n v="18000"/>
    <n v="24000"/>
    <x v="0"/>
    <x v="1"/>
    <x v="1"/>
    <x v="0"/>
    <x v="9"/>
    <x v="4"/>
    <x v="2"/>
    <n v="0"/>
    <x v="41"/>
    <n v="8.89"/>
    <n v="10.49"/>
    <n v="0"/>
    <n v="0"/>
    <n v="0"/>
  </r>
  <r>
    <x v="8"/>
    <x v="42"/>
    <x v="0"/>
    <x v="9"/>
    <n v="18000"/>
    <n v="24000"/>
    <x v="0"/>
    <x v="1"/>
    <x v="1"/>
    <x v="0"/>
    <x v="9"/>
    <x v="4"/>
    <x v="3"/>
    <n v="0"/>
    <x v="41"/>
    <n v="8.89"/>
    <n v="10.49"/>
    <n v="0"/>
    <n v="0"/>
    <n v="0"/>
  </r>
  <r>
    <x v="8"/>
    <x v="42"/>
    <x v="0"/>
    <x v="9"/>
    <n v="18000"/>
    <n v="24000"/>
    <x v="0"/>
    <x v="1"/>
    <x v="1"/>
    <x v="0"/>
    <x v="9"/>
    <x v="4"/>
    <x v="4"/>
    <n v="0"/>
    <x v="41"/>
    <n v="8.89"/>
    <n v="10.49"/>
    <n v="0"/>
    <n v="0"/>
    <n v="0"/>
  </r>
  <r>
    <x v="8"/>
    <x v="43"/>
    <x v="0"/>
    <x v="4"/>
    <n v="19000"/>
    <n v="25000"/>
    <x v="0"/>
    <x v="1"/>
    <x v="2"/>
    <x v="0"/>
    <x v="4"/>
    <x v="11"/>
    <x v="0"/>
    <n v="1028"/>
    <x v="42"/>
    <n v="11.79"/>
    <n v="13.99"/>
    <n v="22.616"/>
    <n v="30.115727272727277"/>
    <n v="13.250920000000001"/>
  </r>
  <r>
    <x v="8"/>
    <x v="43"/>
    <x v="0"/>
    <x v="4"/>
    <n v="19000"/>
    <n v="25000"/>
    <x v="0"/>
    <x v="1"/>
    <x v="2"/>
    <x v="0"/>
    <x v="4"/>
    <x v="11"/>
    <x v="1"/>
    <n v="0"/>
    <x v="42"/>
    <n v="11.79"/>
    <n v="13.99"/>
    <n v="0"/>
    <n v="0"/>
    <n v="0"/>
  </r>
  <r>
    <x v="8"/>
    <x v="43"/>
    <x v="0"/>
    <x v="4"/>
    <n v="19000"/>
    <n v="25000"/>
    <x v="0"/>
    <x v="1"/>
    <x v="2"/>
    <x v="0"/>
    <x v="4"/>
    <x v="11"/>
    <x v="2"/>
    <n v="0"/>
    <x v="42"/>
    <n v="11.79"/>
    <n v="13.99"/>
    <n v="0"/>
    <n v="0"/>
    <n v="0"/>
  </r>
  <r>
    <x v="8"/>
    <x v="43"/>
    <x v="0"/>
    <x v="4"/>
    <n v="19000"/>
    <n v="25000"/>
    <x v="0"/>
    <x v="1"/>
    <x v="2"/>
    <x v="0"/>
    <x v="4"/>
    <x v="11"/>
    <x v="3"/>
    <n v="0"/>
    <x v="42"/>
    <n v="11.79"/>
    <n v="13.99"/>
    <n v="0"/>
    <n v="0"/>
    <n v="0"/>
  </r>
  <r>
    <x v="8"/>
    <x v="43"/>
    <x v="0"/>
    <x v="4"/>
    <n v="19000"/>
    <n v="25000"/>
    <x v="0"/>
    <x v="1"/>
    <x v="2"/>
    <x v="0"/>
    <x v="4"/>
    <x v="11"/>
    <x v="4"/>
    <n v="0"/>
    <x v="42"/>
    <n v="11.79"/>
    <n v="13.99"/>
    <n v="0"/>
    <n v="0"/>
    <n v="0"/>
  </r>
  <r>
    <x v="9"/>
    <x v="44"/>
    <x v="3"/>
    <x v="3"/>
    <n v="16000"/>
    <n v="22000"/>
    <x v="1"/>
    <x v="1"/>
    <x v="2"/>
    <x v="0"/>
    <x v="3"/>
    <x v="3"/>
    <x v="0"/>
    <n v="2859"/>
    <x v="43"/>
    <n v="10.59"/>
    <n v="12.39"/>
    <n v="51.462000000000003"/>
    <n v="74.658886363636356"/>
    <n v="32.849910000000001"/>
  </r>
  <r>
    <x v="9"/>
    <x v="44"/>
    <x v="3"/>
    <x v="3"/>
    <n v="16000"/>
    <n v="22000"/>
    <x v="1"/>
    <x v="1"/>
    <x v="2"/>
    <x v="0"/>
    <x v="3"/>
    <x v="3"/>
    <x v="1"/>
    <n v="1573"/>
    <x v="43"/>
    <n v="10.59"/>
    <n v="12.39"/>
    <n v="28.314"/>
    <n v="41.076749999999997"/>
    <n v="18.07377"/>
  </r>
  <r>
    <x v="9"/>
    <x v="44"/>
    <x v="3"/>
    <x v="3"/>
    <n v="16000"/>
    <n v="22000"/>
    <x v="1"/>
    <x v="1"/>
    <x v="2"/>
    <x v="0"/>
    <x v="3"/>
    <x v="3"/>
    <x v="2"/>
    <n v="0"/>
    <x v="43"/>
    <n v="10.59"/>
    <n v="12.39"/>
    <n v="0"/>
    <n v="0"/>
    <n v="0"/>
  </r>
  <r>
    <x v="9"/>
    <x v="44"/>
    <x v="3"/>
    <x v="3"/>
    <n v="16000"/>
    <n v="22000"/>
    <x v="1"/>
    <x v="1"/>
    <x v="2"/>
    <x v="0"/>
    <x v="3"/>
    <x v="3"/>
    <x v="3"/>
    <n v="0"/>
    <x v="43"/>
    <n v="10.59"/>
    <n v="12.39"/>
    <n v="0"/>
    <n v="0"/>
    <n v="0"/>
  </r>
  <r>
    <x v="9"/>
    <x v="44"/>
    <x v="3"/>
    <x v="3"/>
    <n v="16000"/>
    <n v="22000"/>
    <x v="1"/>
    <x v="1"/>
    <x v="2"/>
    <x v="0"/>
    <x v="3"/>
    <x v="3"/>
    <x v="4"/>
    <n v="0"/>
    <x v="43"/>
    <n v="10.59"/>
    <n v="12.39"/>
    <n v="0"/>
    <n v="0"/>
    <n v="0"/>
  </r>
  <r>
    <x v="9"/>
    <x v="45"/>
    <x v="1"/>
    <x v="3"/>
    <n v="16000"/>
    <n v="22000"/>
    <x v="0"/>
    <x v="1"/>
    <x v="2"/>
    <x v="0"/>
    <x v="3"/>
    <x v="3"/>
    <x v="0"/>
    <n v="3085"/>
    <x v="44"/>
    <n v="11.09"/>
    <n v="14.09"/>
    <n v="55.53"/>
    <n v="88.273068181818175"/>
    <n v="38.840150000000001"/>
  </r>
  <r>
    <x v="9"/>
    <x v="45"/>
    <x v="1"/>
    <x v="3"/>
    <n v="16000"/>
    <n v="22000"/>
    <x v="0"/>
    <x v="1"/>
    <x v="2"/>
    <x v="0"/>
    <x v="3"/>
    <x v="3"/>
    <x v="1"/>
    <n v="1226"/>
    <x v="44"/>
    <n v="11.09"/>
    <n v="14.09"/>
    <n v="22.068000000000001"/>
    <n v="35.080318181818178"/>
    <n v="15.43534"/>
  </r>
  <r>
    <x v="9"/>
    <x v="45"/>
    <x v="1"/>
    <x v="3"/>
    <n v="16000"/>
    <n v="22000"/>
    <x v="0"/>
    <x v="1"/>
    <x v="2"/>
    <x v="0"/>
    <x v="3"/>
    <x v="3"/>
    <x v="2"/>
    <n v="500"/>
    <x v="44"/>
    <n v="11.09"/>
    <n v="14.09"/>
    <n v="9"/>
    <n v="14.306818181818182"/>
    <n v="6.2949999999999999"/>
  </r>
  <r>
    <x v="9"/>
    <x v="45"/>
    <x v="1"/>
    <x v="3"/>
    <n v="16000"/>
    <n v="22000"/>
    <x v="0"/>
    <x v="1"/>
    <x v="2"/>
    <x v="0"/>
    <x v="3"/>
    <x v="3"/>
    <x v="3"/>
    <n v="296"/>
    <x v="44"/>
    <n v="11.09"/>
    <n v="14.09"/>
    <n v="5.3280000000000003"/>
    <n v="8.4696363636363632"/>
    <n v="3.7266399999999997"/>
  </r>
  <r>
    <x v="9"/>
    <x v="45"/>
    <x v="1"/>
    <x v="3"/>
    <n v="16000"/>
    <n v="22000"/>
    <x v="0"/>
    <x v="1"/>
    <x v="2"/>
    <x v="0"/>
    <x v="3"/>
    <x v="3"/>
    <x v="4"/>
    <n v="555"/>
    <x v="44"/>
    <n v="11.09"/>
    <n v="14.09"/>
    <n v="9.99"/>
    <n v="15.88056818181818"/>
    <n v="6.9874499999999999"/>
  </r>
  <r>
    <x v="9"/>
    <x v="46"/>
    <x v="1"/>
    <x v="4"/>
    <n v="19000"/>
    <n v="25000"/>
    <x v="0"/>
    <x v="1"/>
    <x v="2"/>
    <x v="0"/>
    <x v="17"/>
    <x v="11"/>
    <x v="0"/>
    <n v="2236"/>
    <x v="45"/>
    <n v="14.09"/>
    <n v="18.489999999999998"/>
    <n v="49.192"/>
    <n v="82.782818181818172"/>
    <n v="36.424439999999997"/>
  </r>
  <r>
    <x v="9"/>
    <x v="46"/>
    <x v="1"/>
    <x v="4"/>
    <n v="19000"/>
    <n v="25000"/>
    <x v="0"/>
    <x v="1"/>
    <x v="2"/>
    <x v="0"/>
    <x v="17"/>
    <x v="11"/>
    <x v="1"/>
    <n v="2105"/>
    <x v="45"/>
    <n v="14.09"/>
    <n v="18.489999999999998"/>
    <n v="46.31"/>
    <n v="77.932840909090899"/>
    <n v="34.29045"/>
  </r>
  <r>
    <x v="9"/>
    <x v="46"/>
    <x v="1"/>
    <x v="4"/>
    <n v="19000"/>
    <n v="25000"/>
    <x v="0"/>
    <x v="1"/>
    <x v="2"/>
    <x v="0"/>
    <x v="17"/>
    <x v="11"/>
    <x v="2"/>
    <n v="678"/>
    <x v="45"/>
    <n v="14.09"/>
    <n v="18.489999999999998"/>
    <n v="14.916"/>
    <n v="25.10140909090909"/>
    <n v="11.044619999999998"/>
  </r>
  <r>
    <x v="9"/>
    <x v="46"/>
    <x v="1"/>
    <x v="4"/>
    <n v="19000"/>
    <n v="25000"/>
    <x v="0"/>
    <x v="1"/>
    <x v="2"/>
    <x v="0"/>
    <x v="17"/>
    <x v="11"/>
    <x v="3"/>
    <n v="0"/>
    <x v="45"/>
    <n v="14.09"/>
    <n v="18.489999999999998"/>
    <n v="0"/>
    <n v="0"/>
    <n v="0"/>
  </r>
  <r>
    <x v="9"/>
    <x v="46"/>
    <x v="1"/>
    <x v="4"/>
    <n v="19000"/>
    <n v="25000"/>
    <x v="0"/>
    <x v="1"/>
    <x v="2"/>
    <x v="0"/>
    <x v="17"/>
    <x v="11"/>
    <x v="4"/>
    <n v="0"/>
    <x v="45"/>
    <n v="14.09"/>
    <n v="18.489999999999998"/>
    <n v="0"/>
    <n v="0"/>
    <n v="0"/>
  </r>
  <r>
    <x v="9"/>
    <x v="47"/>
    <x v="3"/>
    <x v="11"/>
    <n v="12000"/>
    <n v="16000"/>
    <x v="1"/>
    <x v="1"/>
    <x v="1"/>
    <x v="2"/>
    <x v="14"/>
    <x v="13"/>
    <x v="0"/>
    <n v="0"/>
    <x v="46"/>
    <n v="7.99"/>
    <n v="9.19"/>
    <n v="0"/>
    <n v="0"/>
    <n v="0"/>
  </r>
  <r>
    <x v="9"/>
    <x v="47"/>
    <x v="3"/>
    <x v="11"/>
    <n v="12000"/>
    <n v="16000"/>
    <x v="1"/>
    <x v="1"/>
    <x v="1"/>
    <x v="2"/>
    <x v="14"/>
    <x v="13"/>
    <x v="1"/>
    <n v="1664"/>
    <x v="46"/>
    <n v="7.99"/>
    <n v="9.19"/>
    <n v="23.295999999999999"/>
    <n v="32.485818181818182"/>
    <n v="14.293760000000001"/>
  </r>
  <r>
    <x v="9"/>
    <x v="47"/>
    <x v="3"/>
    <x v="11"/>
    <n v="12000"/>
    <n v="16000"/>
    <x v="1"/>
    <x v="1"/>
    <x v="1"/>
    <x v="2"/>
    <x v="14"/>
    <x v="13"/>
    <x v="2"/>
    <n v="5032"/>
    <x v="46"/>
    <n v="7.99"/>
    <n v="9.19"/>
    <n v="70.447999999999993"/>
    <n v="98.23836363636363"/>
    <n v="43.224879999999999"/>
  </r>
  <r>
    <x v="9"/>
    <x v="47"/>
    <x v="3"/>
    <x v="11"/>
    <n v="12000"/>
    <n v="16000"/>
    <x v="1"/>
    <x v="1"/>
    <x v="1"/>
    <x v="2"/>
    <x v="14"/>
    <x v="13"/>
    <x v="3"/>
    <n v="3513"/>
    <x v="46"/>
    <n v="7.99"/>
    <n v="9.19"/>
    <n v="49.182000000000002"/>
    <n v="68.583340909090907"/>
    <n v="30.176669999999998"/>
  </r>
  <r>
    <x v="9"/>
    <x v="47"/>
    <x v="3"/>
    <x v="11"/>
    <n v="12000"/>
    <n v="16000"/>
    <x v="1"/>
    <x v="1"/>
    <x v="1"/>
    <x v="2"/>
    <x v="14"/>
    <x v="13"/>
    <x v="4"/>
    <n v="1712"/>
    <x v="46"/>
    <n v="7.99"/>
    <n v="9.19"/>
    <n v="23.968"/>
    <n v="33.422909090909087"/>
    <n v="14.70608"/>
  </r>
  <r>
    <x v="9"/>
    <x v="48"/>
    <x v="2"/>
    <x v="13"/>
    <n v="25000"/>
    <n v="35000"/>
    <x v="0"/>
    <x v="1"/>
    <x v="2"/>
    <x v="1"/>
    <x v="15"/>
    <x v="14"/>
    <x v="0"/>
    <n v="800"/>
    <x v="47"/>
    <n v="23.99"/>
    <n v="23.99"/>
    <n v="22.4"/>
    <n v="43.618181818181817"/>
    <n v="19.192"/>
  </r>
  <r>
    <x v="9"/>
    <x v="48"/>
    <x v="2"/>
    <x v="13"/>
    <n v="25000"/>
    <n v="35000"/>
    <x v="0"/>
    <x v="1"/>
    <x v="2"/>
    <x v="1"/>
    <x v="15"/>
    <x v="14"/>
    <x v="1"/>
    <n v="0"/>
    <x v="47"/>
    <n v="23.99"/>
    <n v="23.99"/>
    <n v="0"/>
    <n v="0"/>
    <n v="0"/>
  </r>
  <r>
    <x v="9"/>
    <x v="48"/>
    <x v="2"/>
    <x v="13"/>
    <n v="25000"/>
    <n v="35000"/>
    <x v="0"/>
    <x v="1"/>
    <x v="2"/>
    <x v="1"/>
    <x v="15"/>
    <x v="14"/>
    <x v="2"/>
    <n v="0"/>
    <x v="47"/>
    <n v="23.99"/>
    <n v="23.99"/>
    <n v="0"/>
    <n v="0"/>
    <n v="0"/>
  </r>
  <r>
    <x v="9"/>
    <x v="48"/>
    <x v="2"/>
    <x v="13"/>
    <n v="25000"/>
    <n v="35000"/>
    <x v="0"/>
    <x v="1"/>
    <x v="2"/>
    <x v="1"/>
    <x v="15"/>
    <x v="14"/>
    <x v="3"/>
    <n v="0"/>
    <x v="47"/>
    <n v="23.99"/>
    <n v="23.99"/>
    <n v="0"/>
    <n v="0"/>
    <n v="0"/>
  </r>
  <r>
    <x v="9"/>
    <x v="48"/>
    <x v="2"/>
    <x v="13"/>
    <n v="25000"/>
    <n v="35000"/>
    <x v="0"/>
    <x v="1"/>
    <x v="2"/>
    <x v="1"/>
    <x v="15"/>
    <x v="14"/>
    <x v="4"/>
    <n v="0"/>
    <x v="47"/>
    <n v="23.99"/>
    <n v="23.99"/>
    <n v="0"/>
    <n v="0"/>
    <n v="0"/>
  </r>
  <r>
    <x v="9"/>
    <x v="49"/>
    <x v="4"/>
    <x v="9"/>
    <n v="18000"/>
    <n v="24000"/>
    <x v="0"/>
    <x v="1"/>
    <x v="2"/>
    <x v="0"/>
    <x v="9"/>
    <x v="4"/>
    <x v="0"/>
    <n v="1527"/>
    <x v="48"/>
    <n v="11.99"/>
    <n v="12.79"/>
    <n v="30.54"/>
    <n v="42.998931818181823"/>
    <n v="18.919530000000002"/>
  </r>
  <r>
    <x v="9"/>
    <x v="49"/>
    <x v="4"/>
    <x v="9"/>
    <n v="18000"/>
    <n v="24000"/>
    <x v="0"/>
    <x v="1"/>
    <x v="2"/>
    <x v="0"/>
    <x v="9"/>
    <x v="4"/>
    <x v="1"/>
    <n v="1205"/>
    <x v="48"/>
    <n v="11.99"/>
    <n v="12.79"/>
    <n v="24.1"/>
    <n v="33.931704545454551"/>
    <n v="14.929950000000002"/>
  </r>
  <r>
    <x v="9"/>
    <x v="49"/>
    <x v="4"/>
    <x v="9"/>
    <n v="18000"/>
    <n v="24000"/>
    <x v="0"/>
    <x v="1"/>
    <x v="2"/>
    <x v="0"/>
    <x v="9"/>
    <x v="4"/>
    <x v="2"/>
    <n v="0"/>
    <x v="48"/>
    <n v="11.99"/>
    <n v="12.79"/>
    <n v="0"/>
    <n v="0"/>
    <n v="0"/>
  </r>
  <r>
    <x v="9"/>
    <x v="49"/>
    <x v="4"/>
    <x v="9"/>
    <n v="18000"/>
    <n v="24000"/>
    <x v="0"/>
    <x v="1"/>
    <x v="2"/>
    <x v="0"/>
    <x v="9"/>
    <x v="4"/>
    <x v="3"/>
    <n v="0"/>
    <x v="48"/>
    <n v="11.99"/>
    <n v="12.79"/>
    <n v="0"/>
    <n v="0"/>
    <n v="0"/>
  </r>
  <r>
    <x v="9"/>
    <x v="49"/>
    <x v="4"/>
    <x v="9"/>
    <n v="18000"/>
    <n v="24000"/>
    <x v="0"/>
    <x v="1"/>
    <x v="2"/>
    <x v="0"/>
    <x v="9"/>
    <x v="4"/>
    <x v="4"/>
    <n v="0"/>
    <x v="48"/>
    <n v="11.99"/>
    <n v="12.79"/>
    <n v="0"/>
    <n v="0"/>
    <n v="0"/>
  </r>
  <r>
    <x v="9"/>
    <x v="50"/>
    <x v="0"/>
    <x v="13"/>
    <n v="25000"/>
    <n v="35000"/>
    <x v="0"/>
    <x v="0"/>
    <x v="2"/>
    <x v="0"/>
    <x v="16"/>
    <x v="15"/>
    <x v="0"/>
    <n v="3061"/>
    <x v="49"/>
    <n v="17.989999999999998"/>
    <n v="19.190000000000001"/>
    <n v="85.707999999999998"/>
    <n v="129.32725000000002"/>
    <n v="56.90399"/>
  </r>
  <r>
    <x v="9"/>
    <x v="50"/>
    <x v="0"/>
    <x v="13"/>
    <n v="25000"/>
    <n v="35000"/>
    <x v="0"/>
    <x v="0"/>
    <x v="2"/>
    <x v="0"/>
    <x v="16"/>
    <x v="15"/>
    <x v="1"/>
    <n v="2132"/>
    <x v="49"/>
    <n v="17.989999999999998"/>
    <n v="19.190000000000001"/>
    <n v="59.695999999999998"/>
    <n v="90.077000000000012"/>
    <n v="39.633879999999998"/>
  </r>
  <r>
    <x v="9"/>
    <x v="50"/>
    <x v="0"/>
    <x v="13"/>
    <n v="25000"/>
    <n v="35000"/>
    <x v="0"/>
    <x v="0"/>
    <x v="2"/>
    <x v="0"/>
    <x v="16"/>
    <x v="15"/>
    <x v="2"/>
    <n v="1043"/>
    <x v="49"/>
    <n v="17.989999999999998"/>
    <n v="19.190000000000001"/>
    <n v="29.204000000000001"/>
    <n v="44.066750000000006"/>
    <n v="19.38937"/>
  </r>
  <r>
    <x v="9"/>
    <x v="50"/>
    <x v="0"/>
    <x v="13"/>
    <n v="25000"/>
    <n v="35000"/>
    <x v="0"/>
    <x v="0"/>
    <x v="2"/>
    <x v="0"/>
    <x v="16"/>
    <x v="15"/>
    <x v="3"/>
    <n v="289"/>
    <x v="49"/>
    <n v="17.989999999999998"/>
    <n v="19.190000000000001"/>
    <n v="8.0920000000000005"/>
    <n v="12.21025"/>
    <n v="5.3725100000000001"/>
  </r>
  <r>
    <x v="9"/>
    <x v="50"/>
    <x v="0"/>
    <x v="13"/>
    <n v="25000"/>
    <n v="35000"/>
    <x v="0"/>
    <x v="0"/>
    <x v="2"/>
    <x v="0"/>
    <x v="16"/>
    <x v="15"/>
    <x v="4"/>
    <n v="563"/>
    <x v="49"/>
    <n v="17.989999999999998"/>
    <n v="19.190000000000001"/>
    <n v="15.763999999999999"/>
    <n v="23.786750000000001"/>
    <n v="10.46617"/>
  </r>
  <r>
    <x v="9"/>
    <x v="51"/>
    <x v="3"/>
    <x v="3"/>
    <n v="16000"/>
    <n v="22000"/>
    <x v="1"/>
    <x v="1"/>
    <x v="2"/>
    <x v="0"/>
    <x v="3"/>
    <x v="3"/>
    <x v="0"/>
    <n v="0"/>
    <x v="50"/>
    <n v="10.99"/>
    <n v="13.49"/>
    <n v="0"/>
    <n v="0"/>
    <n v="0"/>
  </r>
  <r>
    <x v="9"/>
    <x v="51"/>
    <x v="3"/>
    <x v="3"/>
    <n v="16000"/>
    <n v="22000"/>
    <x v="1"/>
    <x v="1"/>
    <x v="2"/>
    <x v="0"/>
    <x v="3"/>
    <x v="3"/>
    <x v="1"/>
    <n v="769"/>
    <x v="50"/>
    <n v="10.99"/>
    <n v="13.49"/>
    <n v="13.842000000000001"/>
    <n v="21.392181818181818"/>
    <n v="9.4125599999999991"/>
  </r>
  <r>
    <x v="9"/>
    <x v="51"/>
    <x v="3"/>
    <x v="3"/>
    <n v="16000"/>
    <n v="22000"/>
    <x v="1"/>
    <x v="1"/>
    <x v="2"/>
    <x v="0"/>
    <x v="3"/>
    <x v="3"/>
    <x v="2"/>
    <n v="0"/>
    <x v="50"/>
    <n v="10.99"/>
    <n v="13.49"/>
    <n v="0"/>
    <n v="0"/>
    <n v="0"/>
  </r>
  <r>
    <x v="9"/>
    <x v="51"/>
    <x v="3"/>
    <x v="3"/>
    <n v="16000"/>
    <n v="22000"/>
    <x v="1"/>
    <x v="1"/>
    <x v="2"/>
    <x v="0"/>
    <x v="3"/>
    <x v="3"/>
    <x v="3"/>
    <n v="0"/>
    <x v="50"/>
    <n v="10.99"/>
    <n v="13.49"/>
    <n v="0"/>
    <n v="0"/>
    <n v="0"/>
  </r>
  <r>
    <x v="9"/>
    <x v="51"/>
    <x v="3"/>
    <x v="3"/>
    <n v="16000"/>
    <n v="22000"/>
    <x v="1"/>
    <x v="1"/>
    <x v="2"/>
    <x v="0"/>
    <x v="3"/>
    <x v="3"/>
    <x v="4"/>
    <n v="0"/>
    <x v="50"/>
    <n v="10.99"/>
    <n v="13.49"/>
    <n v="0"/>
    <n v="0"/>
    <n v="0"/>
  </r>
  <r>
    <x v="9"/>
    <x v="52"/>
    <x v="0"/>
    <x v="15"/>
    <n v="20000"/>
    <n v="28000"/>
    <x v="0"/>
    <x v="0"/>
    <x v="2"/>
    <x v="0"/>
    <x v="19"/>
    <x v="16"/>
    <x v="0"/>
    <n v="10526"/>
    <x v="51"/>
    <n v="13.89"/>
    <n v="19.989999999999998"/>
    <n v="242.09800000000001"/>
    <n v="405.25099999999998"/>
    <n v="178.31044"/>
  </r>
  <r>
    <x v="9"/>
    <x v="52"/>
    <x v="0"/>
    <x v="15"/>
    <n v="20000"/>
    <n v="28000"/>
    <x v="0"/>
    <x v="0"/>
    <x v="2"/>
    <x v="0"/>
    <x v="19"/>
    <x v="16"/>
    <x v="1"/>
    <n v="3302"/>
    <x v="51"/>
    <n v="13.89"/>
    <n v="19.989999999999998"/>
    <n v="75.945999999999998"/>
    <n v="127.127"/>
    <n v="55.935880000000004"/>
  </r>
  <r>
    <x v="9"/>
    <x v="52"/>
    <x v="0"/>
    <x v="15"/>
    <n v="20000"/>
    <n v="28000"/>
    <x v="0"/>
    <x v="0"/>
    <x v="2"/>
    <x v="0"/>
    <x v="19"/>
    <x v="16"/>
    <x v="2"/>
    <n v="2115"/>
    <x v="51"/>
    <n v="13.89"/>
    <n v="19.989999999999998"/>
    <n v="48.645000000000003"/>
    <n v="81.427499999999995"/>
    <n v="35.828100000000006"/>
  </r>
  <r>
    <x v="9"/>
    <x v="52"/>
    <x v="0"/>
    <x v="15"/>
    <n v="20000"/>
    <n v="28000"/>
    <x v="0"/>
    <x v="0"/>
    <x v="2"/>
    <x v="0"/>
    <x v="19"/>
    <x v="16"/>
    <x v="3"/>
    <n v="1546"/>
    <x v="51"/>
    <n v="13.89"/>
    <n v="19.989999999999998"/>
    <n v="35.558"/>
    <n v="59.521000000000001"/>
    <n v="26.189240000000002"/>
  </r>
  <r>
    <x v="9"/>
    <x v="52"/>
    <x v="0"/>
    <x v="15"/>
    <n v="20000"/>
    <n v="28000"/>
    <x v="0"/>
    <x v="0"/>
    <x v="2"/>
    <x v="0"/>
    <x v="19"/>
    <x v="16"/>
    <x v="4"/>
    <n v="588"/>
    <x v="51"/>
    <n v="13.89"/>
    <n v="19.989999999999998"/>
    <n v="13.523999999999999"/>
    <n v="22.637999999999998"/>
    <n v="9.960720000000002"/>
  </r>
  <r>
    <x v="10"/>
    <x v="53"/>
    <x v="1"/>
    <x v="16"/>
    <n v="7000"/>
    <n v="10000"/>
    <x v="2"/>
    <x v="1"/>
    <x v="1"/>
    <x v="2"/>
    <x v="10"/>
    <x v="9"/>
    <x v="0"/>
    <n v="1345"/>
    <x v="52"/>
    <n v="5.95"/>
    <n v="6.02"/>
    <n v="10.76"/>
    <n v="18.29505681818182"/>
    <n v="8.0498250000000002"/>
  </r>
  <r>
    <x v="10"/>
    <x v="53"/>
    <x v="1"/>
    <x v="16"/>
    <n v="7000"/>
    <n v="10000"/>
    <x v="2"/>
    <x v="1"/>
    <x v="1"/>
    <x v="2"/>
    <x v="10"/>
    <x v="9"/>
    <x v="1"/>
    <n v="2786"/>
    <x v="52"/>
    <n v="5.95"/>
    <n v="6.02"/>
    <n v="22.288"/>
    <n v="37.895931818181822"/>
    <n v="16.674209999999999"/>
  </r>
  <r>
    <x v="10"/>
    <x v="53"/>
    <x v="1"/>
    <x v="16"/>
    <n v="7000"/>
    <n v="10000"/>
    <x v="2"/>
    <x v="1"/>
    <x v="1"/>
    <x v="2"/>
    <x v="10"/>
    <x v="9"/>
    <x v="2"/>
    <n v="2167"/>
    <x v="52"/>
    <n v="5.95"/>
    <n v="6.02"/>
    <n v="17.335999999999999"/>
    <n v="29.476125000000003"/>
    <n v="12.969495"/>
  </r>
  <r>
    <x v="10"/>
    <x v="53"/>
    <x v="1"/>
    <x v="16"/>
    <n v="7000"/>
    <n v="10000"/>
    <x v="2"/>
    <x v="1"/>
    <x v="1"/>
    <x v="2"/>
    <x v="10"/>
    <x v="9"/>
    <x v="3"/>
    <n v="7557"/>
    <x v="52"/>
    <n v="5.95"/>
    <n v="6.02"/>
    <n v="60.456000000000003"/>
    <n v="102.79237500000001"/>
    <n v="45.228645000000007"/>
  </r>
  <r>
    <x v="10"/>
    <x v="53"/>
    <x v="1"/>
    <x v="16"/>
    <n v="7000"/>
    <n v="10000"/>
    <x v="2"/>
    <x v="1"/>
    <x v="1"/>
    <x v="2"/>
    <x v="10"/>
    <x v="9"/>
    <x v="4"/>
    <n v="5046"/>
    <x v="52"/>
    <n v="5.95"/>
    <n v="6.02"/>
    <n v="40.368000000000002"/>
    <n v="68.637068181818194"/>
    <n v="30.200310000000002"/>
  </r>
  <r>
    <x v="10"/>
    <x v="54"/>
    <x v="7"/>
    <x v="7"/>
    <n v="8000"/>
    <n v="12000"/>
    <x v="2"/>
    <x v="1"/>
    <x v="1"/>
    <x v="0"/>
    <x v="6"/>
    <x v="5"/>
    <x v="0"/>
    <n v="0"/>
    <x v="53"/>
    <n v="6.4740000000000002"/>
    <n v="7.29"/>
    <n v="0"/>
    <n v="0"/>
    <n v="0"/>
  </r>
  <r>
    <x v="10"/>
    <x v="54"/>
    <x v="7"/>
    <x v="7"/>
    <n v="8000"/>
    <n v="12000"/>
    <x v="2"/>
    <x v="1"/>
    <x v="1"/>
    <x v="0"/>
    <x v="6"/>
    <x v="5"/>
    <x v="1"/>
    <n v="1170"/>
    <x v="53"/>
    <n v="6.4740000000000002"/>
    <n v="7.29"/>
    <n v="11.7"/>
    <n v="18.299863636363636"/>
    <n v="8.0519400000000001"/>
  </r>
  <r>
    <x v="10"/>
    <x v="54"/>
    <x v="7"/>
    <x v="7"/>
    <n v="8000"/>
    <n v="12000"/>
    <x v="2"/>
    <x v="1"/>
    <x v="1"/>
    <x v="0"/>
    <x v="6"/>
    <x v="5"/>
    <x v="2"/>
    <n v="2337"/>
    <x v="53"/>
    <n v="6.4740000000000002"/>
    <n v="7.29"/>
    <n v="23.37"/>
    <n v="36.552804545454542"/>
    <n v="16.083233999999997"/>
  </r>
  <r>
    <x v="10"/>
    <x v="54"/>
    <x v="7"/>
    <x v="7"/>
    <n v="8000"/>
    <n v="12000"/>
    <x v="2"/>
    <x v="1"/>
    <x v="1"/>
    <x v="0"/>
    <x v="6"/>
    <x v="5"/>
    <x v="3"/>
    <n v="2291"/>
    <x v="53"/>
    <n v="6.4740000000000002"/>
    <n v="7.29"/>
    <n v="22.91"/>
    <n v="35.83332272727273"/>
    <n v="15.766661999999998"/>
  </r>
  <r>
    <x v="10"/>
    <x v="54"/>
    <x v="7"/>
    <x v="7"/>
    <n v="8000"/>
    <n v="12000"/>
    <x v="2"/>
    <x v="1"/>
    <x v="1"/>
    <x v="0"/>
    <x v="6"/>
    <x v="5"/>
    <x v="4"/>
    <n v="2202"/>
    <x v="53"/>
    <n v="6.4740000000000002"/>
    <n v="7.29"/>
    <n v="22.02"/>
    <n v="34.441281818181821"/>
    <n v="15.154163999999998"/>
  </r>
  <r>
    <x v="10"/>
    <x v="55"/>
    <x v="0"/>
    <x v="6"/>
    <n v="10000"/>
    <n v="14000"/>
    <x v="2"/>
    <x v="1"/>
    <x v="1"/>
    <x v="0"/>
    <x v="2"/>
    <x v="2"/>
    <x v="0"/>
    <n v="0"/>
    <x v="54"/>
    <n v="5.9"/>
    <n v="7.1"/>
    <n v="0"/>
    <n v="0"/>
    <n v="0"/>
  </r>
  <r>
    <x v="10"/>
    <x v="55"/>
    <x v="0"/>
    <x v="6"/>
    <n v="10000"/>
    <n v="14000"/>
    <x v="2"/>
    <x v="1"/>
    <x v="1"/>
    <x v="0"/>
    <x v="2"/>
    <x v="2"/>
    <x v="1"/>
    <n v="672"/>
    <x v="54"/>
    <n v="5.9"/>
    <n v="7.1"/>
    <n v="8.0640000000000001"/>
    <n v="9.9272727272727277"/>
    <n v="4.3680000000000003"/>
  </r>
  <r>
    <x v="10"/>
    <x v="55"/>
    <x v="0"/>
    <x v="6"/>
    <n v="10000"/>
    <n v="14000"/>
    <x v="2"/>
    <x v="1"/>
    <x v="1"/>
    <x v="0"/>
    <x v="2"/>
    <x v="2"/>
    <x v="2"/>
    <n v="0"/>
    <x v="54"/>
    <n v="5.9"/>
    <n v="7.1"/>
    <n v="0"/>
    <n v="0"/>
    <n v="0"/>
  </r>
  <r>
    <x v="10"/>
    <x v="55"/>
    <x v="0"/>
    <x v="6"/>
    <n v="10000"/>
    <n v="14000"/>
    <x v="2"/>
    <x v="1"/>
    <x v="1"/>
    <x v="0"/>
    <x v="2"/>
    <x v="2"/>
    <x v="3"/>
    <n v="0"/>
    <x v="54"/>
    <n v="5.9"/>
    <n v="7.1"/>
    <n v="0"/>
    <n v="0"/>
    <n v="0"/>
  </r>
  <r>
    <x v="10"/>
    <x v="55"/>
    <x v="0"/>
    <x v="6"/>
    <n v="10000"/>
    <n v="14000"/>
    <x v="2"/>
    <x v="1"/>
    <x v="1"/>
    <x v="0"/>
    <x v="2"/>
    <x v="2"/>
    <x v="4"/>
    <n v="0"/>
    <x v="54"/>
    <n v="5.9"/>
    <n v="7.1"/>
    <n v="0"/>
    <n v="0"/>
    <n v="0"/>
  </r>
  <r>
    <x v="10"/>
    <x v="56"/>
    <x v="0"/>
    <x v="11"/>
    <n v="12000"/>
    <n v="16000"/>
    <x v="2"/>
    <x v="1"/>
    <x v="1"/>
    <x v="0"/>
    <x v="11"/>
    <x v="10"/>
    <x v="0"/>
    <n v="0"/>
    <x v="55"/>
    <n v="7.16"/>
    <n v="8.5"/>
    <n v="0"/>
    <n v="0"/>
    <n v="0"/>
  </r>
  <r>
    <x v="10"/>
    <x v="56"/>
    <x v="0"/>
    <x v="11"/>
    <n v="12000"/>
    <n v="16000"/>
    <x v="2"/>
    <x v="1"/>
    <x v="1"/>
    <x v="0"/>
    <x v="11"/>
    <x v="10"/>
    <x v="1"/>
    <n v="500"/>
    <x v="55"/>
    <n v="7.16"/>
    <n v="8.5"/>
    <n v="7"/>
    <n v="8.8977272727272716"/>
    <n v="3.915"/>
  </r>
  <r>
    <x v="10"/>
    <x v="56"/>
    <x v="0"/>
    <x v="11"/>
    <n v="12000"/>
    <n v="16000"/>
    <x v="2"/>
    <x v="1"/>
    <x v="1"/>
    <x v="0"/>
    <x v="11"/>
    <x v="10"/>
    <x v="2"/>
    <n v="1204"/>
    <x v="55"/>
    <n v="7.16"/>
    <n v="8.5"/>
    <n v="16.856000000000002"/>
    <n v="21.425727272727272"/>
    <n v="9.4273199999999999"/>
  </r>
  <r>
    <x v="10"/>
    <x v="56"/>
    <x v="0"/>
    <x v="11"/>
    <n v="12000"/>
    <n v="16000"/>
    <x v="2"/>
    <x v="1"/>
    <x v="1"/>
    <x v="0"/>
    <x v="11"/>
    <x v="10"/>
    <x v="3"/>
    <n v="3193"/>
    <x v="55"/>
    <n v="7.16"/>
    <n v="8.5"/>
    <n v="44.701999999999998"/>
    <n v="56.820886363636362"/>
    <n v="25.001189999999998"/>
  </r>
  <r>
    <x v="10"/>
    <x v="56"/>
    <x v="0"/>
    <x v="11"/>
    <n v="12000"/>
    <n v="16000"/>
    <x v="2"/>
    <x v="1"/>
    <x v="1"/>
    <x v="0"/>
    <x v="11"/>
    <x v="10"/>
    <x v="4"/>
    <n v="3742"/>
    <x v="55"/>
    <n v="7.16"/>
    <n v="8.5"/>
    <n v="52.387999999999998"/>
    <n v="66.590590909090906"/>
    <n v="29.299859999999999"/>
  </r>
  <r>
    <x v="10"/>
    <x v="57"/>
    <x v="1"/>
    <x v="7"/>
    <n v="8000"/>
    <n v="12000"/>
    <x v="1"/>
    <x v="1"/>
    <x v="1"/>
    <x v="2"/>
    <x v="5"/>
    <x v="6"/>
    <x v="0"/>
    <n v="0"/>
    <x v="56"/>
    <n v="6.19"/>
    <n v="8.69"/>
    <n v="0"/>
    <n v="0"/>
    <n v="0"/>
  </r>
  <r>
    <x v="10"/>
    <x v="57"/>
    <x v="1"/>
    <x v="7"/>
    <n v="8000"/>
    <n v="12000"/>
    <x v="1"/>
    <x v="1"/>
    <x v="1"/>
    <x v="2"/>
    <x v="5"/>
    <x v="6"/>
    <x v="1"/>
    <n v="1912"/>
    <x v="56"/>
    <n v="6.19"/>
    <n v="8.69"/>
    <n v="19.12"/>
    <n v="32.330181818181813"/>
    <n v="14.225280000000001"/>
  </r>
  <r>
    <x v="10"/>
    <x v="57"/>
    <x v="1"/>
    <x v="7"/>
    <n v="8000"/>
    <n v="12000"/>
    <x v="1"/>
    <x v="1"/>
    <x v="1"/>
    <x v="2"/>
    <x v="5"/>
    <x v="6"/>
    <x v="2"/>
    <n v="3174"/>
    <x v="56"/>
    <n v="6.19"/>
    <n v="8.69"/>
    <n v="31.74"/>
    <n v="53.669454545454542"/>
    <n v="23.614560000000001"/>
  </r>
  <r>
    <x v="10"/>
    <x v="57"/>
    <x v="1"/>
    <x v="7"/>
    <n v="8000"/>
    <n v="12000"/>
    <x v="1"/>
    <x v="1"/>
    <x v="1"/>
    <x v="2"/>
    <x v="5"/>
    <x v="6"/>
    <x v="3"/>
    <n v="4038"/>
    <x v="56"/>
    <n v="6.19"/>
    <n v="8.69"/>
    <n v="40.380000000000003"/>
    <n v="68.278909090909082"/>
    <n v="30.042720000000003"/>
  </r>
  <r>
    <x v="10"/>
    <x v="57"/>
    <x v="1"/>
    <x v="7"/>
    <n v="8000"/>
    <n v="12000"/>
    <x v="1"/>
    <x v="1"/>
    <x v="1"/>
    <x v="2"/>
    <x v="5"/>
    <x v="6"/>
    <x v="4"/>
    <n v="3731"/>
    <x v="56"/>
    <n v="6.19"/>
    <n v="8.69"/>
    <n v="37.31"/>
    <n v="63.087818181818179"/>
    <n v="27.758640000000003"/>
  </r>
  <r>
    <x v="10"/>
    <x v="58"/>
    <x v="3"/>
    <x v="6"/>
    <n v="10000"/>
    <n v="14000"/>
    <x v="1"/>
    <x v="1"/>
    <x v="1"/>
    <x v="2"/>
    <x v="8"/>
    <x v="5"/>
    <x v="0"/>
    <n v="0"/>
    <x v="57"/>
    <n v="6.69"/>
    <n v="7.21"/>
    <n v="0"/>
    <n v="0"/>
    <n v="0"/>
  </r>
  <r>
    <x v="10"/>
    <x v="58"/>
    <x v="3"/>
    <x v="6"/>
    <n v="10000"/>
    <n v="14000"/>
    <x v="1"/>
    <x v="1"/>
    <x v="1"/>
    <x v="2"/>
    <x v="8"/>
    <x v="5"/>
    <x v="1"/>
    <n v="0"/>
    <x v="57"/>
    <n v="6.69"/>
    <n v="7.21"/>
    <n v="0"/>
    <n v="0"/>
    <n v="0"/>
  </r>
  <r>
    <x v="10"/>
    <x v="58"/>
    <x v="3"/>
    <x v="6"/>
    <n v="10000"/>
    <n v="14000"/>
    <x v="1"/>
    <x v="1"/>
    <x v="1"/>
    <x v="2"/>
    <x v="8"/>
    <x v="5"/>
    <x v="2"/>
    <n v="0"/>
    <x v="57"/>
    <n v="6.69"/>
    <n v="7.21"/>
    <n v="0"/>
    <n v="0"/>
    <n v="0"/>
  </r>
  <r>
    <x v="10"/>
    <x v="58"/>
    <x v="3"/>
    <x v="6"/>
    <n v="10000"/>
    <n v="14000"/>
    <x v="1"/>
    <x v="1"/>
    <x v="1"/>
    <x v="2"/>
    <x v="8"/>
    <x v="5"/>
    <x v="3"/>
    <n v="339"/>
    <x v="57"/>
    <n v="6.69"/>
    <n v="7.21"/>
    <n v="4.0679999999999996"/>
    <n v="5.3546590909090916"/>
    <n v="2.3560500000000002"/>
  </r>
  <r>
    <x v="10"/>
    <x v="58"/>
    <x v="3"/>
    <x v="6"/>
    <n v="10000"/>
    <n v="14000"/>
    <x v="1"/>
    <x v="1"/>
    <x v="1"/>
    <x v="2"/>
    <x v="8"/>
    <x v="5"/>
    <x v="4"/>
    <n v="632"/>
    <x v="57"/>
    <n v="6.69"/>
    <n v="7.21"/>
    <n v="7.5839999999999996"/>
    <n v="9.9827272727272742"/>
    <n v="4.3924000000000003"/>
  </r>
  <r>
    <x v="11"/>
    <x v="59"/>
    <x v="1"/>
    <x v="17"/>
    <n v="40000"/>
    <n v="55000"/>
    <x v="0"/>
    <x v="3"/>
    <x v="0"/>
    <x v="0"/>
    <x v="21"/>
    <x v="17"/>
    <x v="0"/>
    <n v="0"/>
    <x v="58"/>
    <n v="28.75"/>
    <n v="36.713000000000001"/>
    <n v="0"/>
    <n v="0"/>
    <n v="0"/>
  </r>
  <r>
    <x v="11"/>
    <x v="59"/>
    <x v="1"/>
    <x v="17"/>
    <n v="40000"/>
    <n v="55000"/>
    <x v="0"/>
    <x v="3"/>
    <x v="0"/>
    <x v="0"/>
    <x v="21"/>
    <x v="17"/>
    <x v="1"/>
    <n v="0"/>
    <x v="58"/>
    <n v="28.75"/>
    <n v="36.713000000000001"/>
    <n v="0"/>
    <n v="0"/>
    <n v="0"/>
  </r>
  <r>
    <x v="11"/>
    <x v="59"/>
    <x v="1"/>
    <x v="17"/>
    <n v="40000"/>
    <n v="55000"/>
    <x v="0"/>
    <x v="3"/>
    <x v="0"/>
    <x v="0"/>
    <x v="21"/>
    <x v="17"/>
    <x v="2"/>
    <n v="0"/>
    <x v="58"/>
    <n v="28.75"/>
    <n v="36.713000000000001"/>
    <n v="0"/>
    <n v="0"/>
    <n v="0"/>
  </r>
  <r>
    <x v="11"/>
    <x v="59"/>
    <x v="1"/>
    <x v="17"/>
    <n v="40000"/>
    <n v="55000"/>
    <x v="0"/>
    <x v="3"/>
    <x v="0"/>
    <x v="0"/>
    <x v="21"/>
    <x v="17"/>
    <x v="3"/>
    <n v="0"/>
    <x v="58"/>
    <n v="28.75"/>
    <n v="36.713000000000001"/>
    <n v="0"/>
    <n v="0"/>
    <n v="0"/>
  </r>
  <r>
    <x v="11"/>
    <x v="59"/>
    <x v="1"/>
    <x v="17"/>
    <n v="40000"/>
    <n v="55000"/>
    <x v="0"/>
    <x v="3"/>
    <x v="0"/>
    <x v="0"/>
    <x v="21"/>
    <x v="17"/>
    <x v="4"/>
    <n v="242"/>
    <x v="58"/>
    <n v="28.75"/>
    <n v="36.713000000000001"/>
    <n v="10.89"/>
    <n v="18.002324999999999"/>
    <n v="7.921022999999999"/>
  </r>
  <r>
    <x v="11"/>
    <x v="60"/>
    <x v="0"/>
    <x v="18"/>
    <n v="80000"/>
    <n v="110000"/>
    <x v="0"/>
    <x v="3"/>
    <x v="0"/>
    <x v="1"/>
    <x v="22"/>
    <x v="18"/>
    <x v="0"/>
    <n v="975"/>
    <x v="59"/>
    <n v="75.94"/>
    <n v="94.8"/>
    <n v="87.75"/>
    <n v="189.1721590909091"/>
    <n v="83.235749999999996"/>
  </r>
  <r>
    <x v="11"/>
    <x v="60"/>
    <x v="0"/>
    <x v="18"/>
    <n v="80000"/>
    <n v="110000"/>
    <x v="0"/>
    <x v="3"/>
    <x v="0"/>
    <x v="1"/>
    <x v="22"/>
    <x v="18"/>
    <x v="1"/>
    <n v="841"/>
    <x v="59"/>
    <n v="75.94"/>
    <n v="94.8"/>
    <n v="75.69"/>
    <n v="163.17311363636364"/>
    <n v="71.796170000000004"/>
  </r>
  <r>
    <x v="11"/>
    <x v="60"/>
    <x v="0"/>
    <x v="18"/>
    <n v="80000"/>
    <n v="110000"/>
    <x v="0"/>
    <x v="3"/>
    <x v="0"/>
    <x v="1"/>
    <x v="22"/>
    <x v="18"/>
    <x v="2"/>
    <n v="0"/>
    <x v="59"/>
    <n v="75.94"/>
    <n v="94.8"/>
    <n v="0"/>
    <n v="0"/>
    <n v="0"/>
  </r>
  <r>
    <x v="11"/>
    <x v="60"/>
    <x v="0"/>
    <x v="18"/>
    <n v="80000"/>
    <n v="110000"/>
    <x v="0"/>
    <x v="3"/>
    <x v="0"/>
    <x v="1"/>
    <x v="22"/>
    <x v="18"/>
    <x v="3"/>
    <n v="298"/>
    <x v="59"/>
    <n v="75.94"/>
    <n v="94.8"/>
    <n v="26.82"/>
    <n v="57.81877272727273"/>
    <n v="25.440260000000002"/>
  </r>
  <r>
    <x v="11"/>
    <x v="60"/>
    <x v="0"/>
    <x v="18"/>
    <n v="80000"/>
    <n v="110000"/>
    <x v="0"/>
    <x v="3"/>
    <x v="0"/>
    <x v="1"/>
    <x v="22"/>
    <x v="18"/>
    <x v="4"/>
    <n v="387"/>
    <x v="59"/>
    <n v="75.94"/>
    <n v="94.8"/>
    <n v="34.83"/>
    <n v="75.086795454545467"/>
    <n v="33.03819"/>
  </r>
  <r>
    <x v="11"/>
    <x v="61"/>
    <x v="0"/>
    <x v="19"/>
    <n v="35000"/>
    <n v="50000"/>
    <x v="0"/>
    <x v="3"/>
    <x v="0"/>
    <x v="0"/>
    <x v="23"/>
    <x v="15"/>
    <x v="0"/>
    <n v="0"/>
    <x v="60"/>
    <n v="29.37"/>
    <n v="37.979999999999997"/>
    <n v="0"/>
    <n v="0"/>
    <n v="0"/>
  </r>
  <r>
    <x v="11"/>
    <x v="61"/>
    <x v="0"/>
    <x v="19"/>
    <n v="35000"/>
    <n v="50000"/>
    <x v="0"/>
    <x v="3"/>
    <x v="0"/>
    <x v="0"/>
    <x v="23"/>
    <x v="15"/>
    <x v="1"/>
    <n v="0"/>
    <x v="60"/>
    <n v="29.37"/>
    <n v="37.979999999999997"/>
    <n v="0"/>
    <n v="0"/>
    <n v="0"/>
  </r>
  <r>
    <x v="11"/>
    <x v="61"/>
    <x v="0"/>
    <x v="19"/>
    <n v="35000"/>
    <n v="50000"/>
    <x v="0"/>
    <x v="3"/>
    <x v="0"/>
    <x v="0"/>
    <x v="23"/>
    <x v="15"/>
    <x v="2"/>
    <n v="0"/>
    <x v="60"/>
    <n v="29.37"/>
    <n v="37.979999999999997"/>
    <n v="0"/>
    <n v="0"/>
    <n v="0"/>
  </r>
  <r>
    <x v="11"/>
    <x v="61"/>
    <x v="0"/>
    <x v="19"/>
    <n v="35000"/>
    <n v="50000"/>
    <x v="0"/>
    <x v="3"/>
    <x v="0"/>
    <x v="0"/>
    <x v="23"/>
    <x v="15"/>
    <x v="3"/>
    <n v="0"/>
    <x v="60"/>
    <n v="29.37"/>
    <n v="37.979999999999997"/>
    <n v="0"/>
    <n v="0"/>
    <n v="0"/>
  </r>
  <r>
    <x v="11"/>
    <x v="61"/>
    <x v="0"/>
    <x v="19"/>
    <n v="35000"/>
    <n v="50000"/>
    <x v="0"/>
    <x v="3"/>
    <x v="0"/>
    <x v="0"/>
    <x v="23"/>
    <x v="15"/>
    <x v="4"/>
    <n v="264"/>
    <x v="60"/>
    <n v="29.37"/>
    <n v="37.979999999999997"/>
    <n v="10.56"/>
    <n v="20.204999999999998"/>
    <n v="8.8901999999999983"/>
  </r>
  <r>
    <x v="11"/>
    <x v="62"/>
    <x v="0"/>
    <x v="20"/>
    <n v="45000"/>
    <n v="60000"/>
    <x v="0"/>
    <x v="3"/>
    <x v="0"/>
    <x v="0"/>
    <x v="24"/>
    <x v="0"/>
    <x v="0"/>
    <n v="2254"/>
    <x v="61"/>
    <n v="34.67"/>
    <n v="45.26"/>
    <n v="112.7"/>
    <n v="204.7297954545455"/>
    <n v="90.081109999999995"/>
  </r>
  <r>
    <x v="11"/>
    <x v="62"/>
    <x v="0"/>
    <x v="20"/>
    <n v="45000"/>
    <n v="60000"/>
    <x v="0"/>
    <x v="3"/>
    <x v="0"/>
    <x v="0"/>
    <x v="24"/>
    <x v="0"/>
    <x v="1"/>
    <n v="916"/>
    <x v="61"/>
    <n v="34.67"/>
    <n v="45.26"/>
    <n v="45.8"/>
    <n v="83.199863636363645"/>
    <n v="36.607939999999999"/>
  </r>
  <r>
    <x v="11"/>
    <x v="62"/>
    <x v="0"/>
    <x v="20"/>
    <n v="45000"/>
    <n v="60000"/>
    <x v="0"/>
    <x v="3"/>
    <x v="0"/>
    <x v="0"/>
    <x v="24"/>
    <x v="0"/>
    <x v="2"/>
    <n v="981"/>
    <x v="61"/>
    <n v="34.67"/>
    <n v="45.26"/>
    <n v="49.05"/>
    <n v="89.103784090909102"/>
    <n v="39.205665000000003"/>
  </r>
  <r>
    <x v="11"/>
    <x v="62"/>
    <x v="0"/>
    <x v="20"/>
    <n v="45000"/>
    <n v="60000"/>
    <x v="0"/>
    <x v="3"/>
    <x v="0"/>
    <x v="0"/>
    <x v="24"/>
    <x v="0"/>
    <x v="3"/>
    <n v="587"/>
    <x v="61"/>
    <n v="34.67"/>
    <n v="45.26"/>
    <n v="29.35"/>
    <n v="53.316943181818189"/>
    <n v="23.459455000000002"/>
  </r>
  <r>
    <x v="11"/>
    <x v="62"/>
    <x v="0"/>
    <x v="20"/>
    <n v="45000"/>
    <n v="60000"/>
    <x v="0"/>
    <x v="3"/>
    <x v="0"/>
    <x v="0"/>
    <x v="24"/>
    <x v="0"/>
    <x v="4"/>
    <n v="606"/>
    <x v="61"/>
    <n v="34.67"/>
    <n v="45.26"/>
    <n v="30.3"/>
    <n v="55.042704545454555"/>
    <n v="24.218790000000002"/>
  </r>
  <r>
    <x v="12"/>
    <x v="63"/>
    <x v="0"/>
    <x v="8"/>
    <n v="22000"/>
    <n v="30000"/>
    <x v="0"/>
    <x v="1"/>
    <x v="2"/>
    <x v="0"/>
    <x v="25"/>
    <x v="11"/>
    <x v="0"/>
    <n v="0"/>
    <x v="62"/>
    <n v="13.5"/>
    <n v="21.794"/>
    <n v="0"/>
    <n v="0"/>
    <n v="0"/>
  </r>
  <r>
    <x v="12"/>
    <x v="63"/>
    <x v="0"/>
    <x v="8"/>
    <n v="22000"/>
    <n v="30000"/>
    <x v="0"/>
    <x v="1"/>
    <x v="2"/>
    <x v="0"/>
    <x v="25"/>
    <x v="11"/>
    <x v="1"/>
    <n v="0"/>
    <x v="62"/>
    <n v="13.5"/>
    <n v="21.794"/>
    <n v="0"/>
    <n v="0"/>
    <n v="0"/>
  </r>
  <r>
    <x v="12"/>
    <x v="63"/>
    <x v="0"/>
    <x v="8"/>
    <n v="22000"/>
    <n v="30000"/>
    <x v="0"/>
    <x v="1"/>
    <x v="2"/>
    <x v="0"/>
    <x v="25"/>
    <x v="11"/>
    <x v="2"/>
    <n v="0"/>
    <x v="62"/>
    <n v="13.5"/>
    <n v="21.794"/>
    <n v="0"/>
    <n v="0"/>
    <n v="0"/>
  </r>
  <r>
    <x v="12"/>
    <x v="63"/>
    <x v="0"/>
    <x v="8"/>
    <n v="22000"/>
    <n v="30000"/>
    <x v="0"/>
    <x v="1"/>
    <x v="2"/>
    <x v="0"/>
    <x v="25"/>
    <x v="11"/>
    <x v="3"/>
    <n v="0"/>
    <x v="62"/>
    <n v="13.5"/>
    <n v="21.794"/>
    <n v="0"/>
    <n v="0"/>
    <n v="0"/>
  </r>
  <r>
    <x v="12"/>
    <x v="63"/>
    <x v="0"/>
    <x v="8"/>
    <n v="22000"/>
    <n v="30000"/>
    <x v="0"/>
    <x v="1"/>
    <x v="2"/>
    <x v="0"/>
    <x v="25"/>
    <x v="11"/>
    <x v="4"/>
    <n v="251"/>
    <x v="62"/>
    <n v="13.5"/>
    <n v="21.794"/>
    <n v="6.2750000000000004"/>
    <n v="10.066811363636363"/>
    <n v="4.4293969999999998"/>
  </r>
  <r>
    <x v="13"/>
    <x v="64"/>
    <x v="0"/>
    <x v="8"/>
    <n v="22000"/>
    <n v="30000"/>
    <x v="0"/>
    <x v="0"/>
    <x v="2"/>
    <x v="0"/>
    <x v="19"/>
    <x v="16"/>
    <x v="0"/>
    <n v="0"/>
    <x v="63"/>
    <n v="15.7"/>
    <n v="21.45"/>
    <n v="0"/>
    <n v="0"/>
    <n v="0"/>
  </r>
  <r>
    <x v="13"/>
    <x v="64"/>
    <x v="0"/>
    <x v="8"/>
    <n v="22000"/>
    <n v="30000"/>
    <x v="0"/>
    <x v="0"/>
    <x v="2"/>
    <x v="0"/>
    <x v="19"/>
    <x v="16"/>
    <x v="1"/>
    <n v="0"/>
    <x v="63"/>
    <n v="15.7"/>
    <n v="21.45"/>
    <n v="0"/>
    <n v="0"/>
    <n v="0"/>
  </r>
  <r>
    <x v="13"/>
    <x v="64"/>
    <x v="0"/>
    <x v="8"/>
    <n v="22000"/>
    <n v="30000"/>
    <x v="0"/>
    <x v="0"/>
    <x v="2"/>
    <x v="0"/>
    <x v="19"/>
    <x v="16"/>
    <x v="2"/>
    <n v="875"/>
    <x v="63"/>
    <n v="15.7"/>
    <n v="21.45"/>
    <n v="21.875"/>
    <n v="36.938920454545453"/>
    <n v="16.253125000000001"/>
  </r>
  <r>
    <x v="13"/>
    <x v="64"/>
    <x v="0"/>
    <x v="8"/>
    <n v="22000"/>
    <n v="30000"/>
    <x v="0"/>
    <x v="0"/>
    <x v="2"/>
    <x v="0"/>
    <x v="19"/>
    <x v="16"/>
    <x v="3"/>
    <n v="522"/>
    <x v="63"/>
    <n v="15.7"/>
    <n v="21.45"/>
    <n v="13.05"/>
    <n v="22.036704545454544"/>
    <n v="9.6961499999999994"/>
  </r>
  <r>
    <x v="13"/>
    <x v="64"/>
    <x v="0"/>
    <x v="8"/>
    <n v="22000"/>
    <n v="30000"/>
    <x v="0"/>
    <x v="0"/>
    <x v="2"/>
    <x v="0"/>
    <x v="19"/>
    <x v="16"/>
    <x v="4"/>
    <n v="464"/>
    <x v="63"/>
    <n v="15.7"/>
    <n v="21.45"/>
    <n v="11.6"/>
    <n v="19.588181818181816"/>
    <n v="8.6187999999999985"/>
  </r>
  <r>
    <x v="14"/>
    <x v="65"/>
    <x v="4"/>
    <x v="9"/>
    <n v="18000"/>
    <n v="24000"/>
    <x v="0"/>
    <x v="1"/>
    <x v="2"/>
    <x v="0"/>
    <x v="9"/>
    <x v="4"/>
    <x v="0"/>
    <n v="0"/>
    <x v="64"/>
    <n v="14.739000000000001"/>
    <n v="18.977"/>
    <n v="0"/>
    <n v="0"/>
    <n v="0"/>
  </r>
  <r>
    <x v="14"/>
    <x v="65"/>
    <x v="4"/>
    <x v="9"/>
    <n v="18000"/>
    <n v="24000"/>
    <x v="0"/>
    <x v="1"/>
    <x v="2"/>
    <x v="0"/>
    <x v="9"/>
    <x v="4"/>
    <x v="1"/>
    <n v="0"/>
    <x v="64"/>
    <n v="14.739000000000001"/>
    <n v="18.977"/>
    <n v="0"/>
    <n v="0"/>
    <n v="0"/>
  </r>
  <r>
    <x v="14"/>
    <x v="65"/>
    <x v="4"/>
    <x v="9"/>
    <n v="18000"/>
    <n v="24000"/>
    <x v="0"/>
    <x v="1"/>
    <x v="2"/>
    <x v="0"/>
    <x v="9"/>
    <x v="4"/>
    <x v="2"/>
    <n v="1443"/>
    <x v="64"/>
    <n v="14.739000000000001"/>
    <n v="18.977"/>
    <n v="28.86"/>
    <n v="55.286577272727271"/>
    <n v="24.326094000000001"/>
  </r>
  <r>
    <x v="14"/>
    <x v="65"/>
    <x v="4"/>
    <x v="9"/>
    <n v="18000"/>
    <n v="24000"/>
    <x v="0"/>
    <x v="1"/>
    <x v="2"/>
    <x v="0"/>
    <x v="9"/>
    <x v="4"/>
    <x v="3"/>
    <n v="684"/>
    <x v="64"/>
    <n v="14.739000000000001"/>
    <n v="18.977"/>
    <n v="13.68"/>
    <n v="26.206527272727271"/>
    <n v="11.530872"/>
  </r>
  <r>
    <x v="14"/>
    <x v="65"/>
    <x v="4"/>
    <x v="9"/>
    <n v="18000"/>
    <n v="24000"/>
    <x v="0"/>
    <x v="1"/>
    <x v="2"/>
    <x v="0"/>
    <x v="9"/>
    <x v="4"/>
    <x v="4"/>
    <n v="841"/>
    <x v="64"/>
    <n v="14.739000000000001"/>
    <n v="18.977"/>
    <n v="16.82"/>
    <n v="32.221768181818177"/>
    <n v="14.177578"/>
  </r>
  <r>
    <x v="14"/>
    <x v="66"/>
    <x v="0"/>
    <x v="3"/>
    <n v="16000"/>
    <n v="22000"/>
    <x v="1"/>
    <x v="1"/>
    <x v="2"/>
    <x v="0"/>
    <x v="3"/>
    <x v="3"/>
    <x v="0"/>
    <n v="0"/>
    <x v="65"/>
    <n v="10.829000000000001"/>
    <n v="13.031000000000001"/>
    <n v="0"/>
    <n v="0"/>
    <n v="0"/>
  </r>
  <r>
    <x v="14"/>
    <x v="66"/>
    <x v="0"/>
    <x v="3"/>
    <n v="16000"/>
    <n v="22000"/>
    <x v="1"/>
    <x v="1"/>
    <x v="2"/>
    <x v="0"/>
    <x v="3"/>
    <x v="3"/>
    <x v="1"/>
    <n v="0"/>
    <x v="65"/>
    <n v="10.829000000000001"/>
    <n v="13.031000000000001"/>
    <n v="0"/>
    <n v="0"/>
    <n v="0"/>
  </r>
  <r>
    <x v="14"/>
    <x v="66"/>
    <x v="0"/>
    <x v="3"/>
    <n v="16000"/>
    <n v="22000"/>
    <x v="1"/>
    <x v="1"/>
    <x v="2"/>
    <x v="0"/>
    <x v="3"/>
    <x v="3"/>
    <x v="2"/>
    <n v="1091"/>
    <x v="65"/>
    <n v="10.829000000000001"/>
    <n v="13.031000000000001"/>
    <n v="19.638000000000002"/>
    <n v="29.580977272727274"/>
    <n v="13.01563"/>
  </r>
  <r>
    <x v="14"/>
    <x v="66"/>
    <x v="0"/>
    <x v="3"/>
    <n v="16000"/>
    <n v="22000"/>
    <x v="1"/>
    <x v="1"/>
    <x v="2"/>
    <x v="0"/>
    <x v="3"/>
    <x v="3"/>
    <x v="3"/>
    <n v="856"/>
    <x v="65"/>
    <n v="10.829000000000001"/>
    <n v="13.031000000000001"/>
    <n v="15.407999999999999"/>
    <n v="23.209272727272726"/>
    <n v="10.21208"/>
  </r>
  <r>
    <x v="14"/>
    <x v="66"/>
    <x v="0"/>
    <x v="3"/>
    <n v="16000"/>
    <n v="22000"/>
    <x v="1"/>
    <x v="1"/>
    <x v="2"/>
    <x v="0"/>
    <x v="3"/>
    <x v="3"/>
    <x v="4"/>
    <n v="789"/>
    <x v="65"/>
    <n v="10.829000000000001"/>
    <n v="13.031000000000001"/>
    <n v="14.202"/>
    <n v="21.392659090909092"/>
    <n v="9.4127700000000001"/>
  </r>
  <r>
    <x v="14"/>
    <x v="67"/>
    <x v="0"/>
    <x v="8"/>
    <n v="22000"/>
    <n v="30000"/>
    <x v="0"/>
    <x v="0"/>
    <x v="2"/>
    <x v="0"/>
    <x v="19"/>
    <x v="16"/>
    <x v="0"/>
    <n v="0"/>
    <x v="66"/>
    <n v="16.856000000000002"/>
    <n v="22.169"/>
    <n v="0"/>
    <n v="0"/>
    <n v="0"/>
  </r>
  <r>
    <x v="14"/>
    <x v="67"/>
    <x v="0"/>
    <x v="8"/>
    <n v="22000"/>
    <n v="30000"/>
    <x v="0"/>
    <x v="0"/>
    <x v="2"/>
    <x v="0"/>
    <x v="19"/>
    <x v="16"/>
    <x v="1"/>
    <n v="447"/>
    <x v="66"/>
    <n v="16.856000000000002"/>
    <n v="22.169"/>
    <n v="11.175000000000001"/>
    <n v="19.822926136363634"/>
    <n v="8.7220874999999989"/>
  </r>
  <r>
    <x v="14"/>
    <x v="67"/>
    <x v="0"/>
    <x v="8"/>
    <n v="22000"/>
    <n v="30000"/>
    <x v="0"/>
    <x v="0"/>
    <x v="2"/>
    <x v="0"/>
    <x v="19"/>
    <x v="16"/>
    <x v="2"/>
    <n v="1363"/>
    <x v="66"/>
    <n v="16.856000000000002"/>
    <n v="22.169"/>
    <n v="34.075000000000003"/>
    <n v="60.444403409090903"/>
    <n v="26.595537499999999"/>
  </r>
  <r>
    <x v="14"/>
    <x v="67"/>
    <x v="0"/>
    <x v="8"/>
    <n v="22000"/>
    <n v="30000"/>
    <x v="0"/>
    <x v="0"/>
    <x v="2"/>
    <x v="0"/>
    <x v="19"/>
    <x v="16"/>
    <x v="3"/>
    <n v="847"/>
    <x v="66"/>
    <n v="16.856000000000002"/>
    <n v="22.169"/>
    <n v="21.175000000000001"/>
    <n v="37.561562499999994"/>
    <n v="16.527087499999997"/>
  </r>
  <r>
    <x v="14"/>
    <x v="67"/>
    <x v="0"/>
    <x v="8"/>
    <n v="22000"/>
    <n v="30000"/>
    <x v="0"/>
    <x v="0"/>
    <x v="2"/>
    <x v="0"/>
    <x v="19"/>
    <x v="16"/>
    <x v="4"/>
    <n v="661"/>
    <x v="66"/>
    <n v="16.856000000000002"/>
    <n v="22.169"/>
    <n v="16.524999999999999"/>
    <n v="29.313096590909087"/>
    <n v="12.897762499999999"/>
  </r>
  <r>
    <x v="15"/>
    <x v="68"/>
    <x v="4"/>
    <x v="3"/>
    <n v="16000"/>
    <n v="22000"/>
    <x v="0"/>
    <x v="1"/>
    <x v="2"/>
    <x v="0"/>
    <x v="3"/>
    <x v="3"/>
    <x v="0"/>
    <n v="820"/>
    <x v="44"/>
    <n v="11.89"/>
    <n v="13.29"/>
    <n v="14.76"/>
    <n v="23.463181818181816"/>
    <n v="10.323799999999999"/>
  </r>
  <r>
    <x v="15"/>
    <x v="68"/>
    <x v="4"/>
    <x v="3"/>
    <n v="16000"/>
    <n v="22000"/>
    <x v="0"/>
    <x v="1"/>
    <x v="2"/>
    <x v="0"/>
    <x v="3"/>
    <x v="3"/>
    <x v="1"/>
    <n v="0"/>
    <x v="44"/>
    <n v="11.89"/>
    <n v="13.29"/>
    <n v="0"/>
    <n v="0"/>
    <n v="0"/>
  </r>
  <r>
    <x v="15"/>
    <x v="68"/>
    <x v="4"/>
    <x v="3"/>
    <n v="16000"/>
    <n v="22000"/>
    <x v="0"/>
    <x v="1"/>
    <x v="2"/>
    <x v="0"/>
    <x v="3"/>
    <x v="3"/>
    <x v="2"/>
    <n v="0"/>
    <x v="44"/>
    <n v="11.89"/>
    <n v="13.29"/>
    <n v="0"/>
    <n v="0"/>
    <n v="0"/>
  </r>
  <r>
    <x v="15"/>
    <x v="68"/>
    <x v="4"/>
    <x v="3"/>
    <n v="16000"/>
    <n v="22000"/>
    <x v="0"/>
    <x v="1"/>
    <x v="2"/>
    <x v="0"/>
    <x v="3"/>
    <x v="3"/>
    <x v="3"/>
    <n v="0"/>
    <x v="44"/>
    <n v="11.89"/>
    <n v="13.29"/>
    <n v="0"/>
    <n v="0"/>
    <n v="0"/>
  </r>
  <r>
    <x v="15"/>
    <x v="68"/>
    <x v="4"/>
    <x v="3"/>
    <n v="16000"/>
    <n v="22000"/>
    <x v="0"/>
    <x v="1"/>
    <x v="2"/>
    <x v="0"/>
    <x v="3"/>
    <x v="3"/>
    <x v="4"/>
    <n v="0"/>
    <x v="44"/>
    <n v="11.89"/>
    <n v="13.29"/>
    <n v="0"/>
    <n v="0"/>
    <n v="0"/>
  </r>
  <r>
    <x v="16"/>
    <x v="69"/>
    <x v="1"/>
    <x v="16"/>
    <n v="7000"/>
    <n v="10000"/>
    <x v="2"/>
    <x v="1"/>
    <x v="1"/>
    <x v="2"/>
    <x v="10"/>
    <x v="9"/>
    <x v="0"/>
    <n v="0"/>
    <x v="67"/>
    <n v="6.38"/>
    <n v="6.38"/>
    <n v="0"/>
    <n v="0"/>
    <n v="0"/>
  </r>
  <r>
    <x v="16"/>
    <x v="69"/>
    <x v="1"/>
    <x v="16"/>
    <n v="7000"/>
    <n v="10000"/>
    <x v="2"/>
    <x v="1"/>
    <x v="1"/>
    <x v="2"/>
    <x v="10"/>
    <x v="9"/>
    <x v="1"/>
    <n v="0"/>
    <x v="67"/>
    <n v="6.38"/>
    <n v="6.38"/>
    <n v="0"/>
    <n v="0"/>
    <n v="0"/>
  </r>
  <r>
    <x v="16"/>
    <x v="69"/>
    <x v="1"/>
    <x v="16"/>
    <n v="7000"/>
    <n v="10000"/>
    <x v="2"/>
    <x v="1"/>
    <x v="1"/>
    <x v="2"/>
    <x v="10"/>
    <x v="9"/>
    <x v="2"/>
    <n v="0"/>
    <x v="67"/>
    <n v="6.38"/>
    <n v="6.38"/>
    <n v="0"/>
    <n v="0"/>
    <n v="0"/>
  </r>
  <r>
    <x v="16"/>
    <x v="69"/>
    <x v="1"/>
    <x v="16"/>
    <n v="7000"/>
    <n v="10000"/>
    <x v="2"/>
    <x v="1"/>
    <x v="1"/>
    <x v="2"/>
    <x v="10"/>
    <x v="9"/>
    <x v="3"/>
    <n v="5940"/>
    <x v="67"/>
    <n v="6.38"/>
    <n v="6.38"/>
    <n v="47.52"/>
    <n v="86.13"/>
    <n v="37.897199999999998"/>
  </r>
  <r>
    <x v="16"/>
    <x v="69"/>
    <x v="1"/>
    <x v="16"/>
    <n v="7000"/>
    <n v="10000"/>
    <x v="2"/>
    <x v="1"/>
    <x v="1"/>
    <x v="2"/>
    <x v="10"/>
    <x v="9"/>
    <x v="4"/>
    <n v="2897"/>
    <x v="67"/>
    <n v="6.38"/>
    <n v="6.38"/>
    <n v="23.175999999999998"/>
    <n v="42.006499999999996"/>
    <n v="18.482860000000002"/>
  </r>
  <r>
    <x v="16"/>
    <x v="70"/>
    <x v="1"/>
    <x v="21"/>
    <n v="8000"/>
    <n v="11000"/>
    <x v="2"/>
    <x v="1"/>
    <x v="1"/>
    <x v="2"/>
    <x v="26"/>
    <x v="19"/>
    <x v="0"/>
    <n v="0"/>
    <x v="68"/>
    <n v="7"/>
    <n v="7"/>
    <n v="0"/>
    <n v="0"/>
    <n v="0"/>
  </r>
  <r>
    <x v="16"/>
    <x v="70"/>
    <x v="1"/>
    <x v="21"/>
    <n v="8000"/>
    <n v="11000"/>
    <x v="2"/>
    <x v="1"/>
    <x v="1"/>
    <x v="2"/>
    <x v="26"/>
    <x v="19"/>
    <x v="1"/>
    <n v="0"/>
    <x v="68"/>
    <n v="7"/>
    <n v="7"/>
    <n v="0"/>
    <n v="0"/>
    <n v="0"/>
  </r>
  <r>
    <x v="16"/>
    <x v="70"/>
    <x v="1"/>
    <x v="21"/>
    <n v="8000"/>
    <n v="11000"/>
    <x v="2"/>
    <x v="1"/>
    <x v="1"/>
    <x v="2"/>
    <x v="26"/>
    <x v="19"/>
    <x v="2"/>
    <n v="0"/>
    <x v="68"/>
    <n v="7"/>
    <n v="7"/>
    <n v="0"/>
    <n v="0"/>
    <n v="0"/>
  </r>
  <r>
    <x v="16"/>
    <x v="70"/>
    <x v="1"/>
    <x v="21"/>
    <n v="8000"/>
    <n v="11000"/>
    <x v="2"/>
    <x v="1"/>
    <x v="1"/>
    <x v="2"/>
    <x v="26"/>
    <x v="19"/>
    <x v="3"/>
    <n v="1096"/>
    <x v="68"/>
    <n v="7"/>
    <n v="7"/>
    <n v="9.8640000000000008"/>
    <n v="17.436363636363634"/>
    <n v="7.6719999999999997"/>
  </r>
  <r>
    <x v="16"/>
    <x v="70"/>
    <x v="1"/>
    <x v="21"/>
    <n v="8000"/>
    <n v="11000"/>
    <x v="2"/>
    <x v="1"/>
    <x v="1"/>
    <x v="2"/>
    <x v="26"/>
    <x v="19"/>
    <x v="4"/>
    <n v="657"/>
    <x v="68"/>
    <n v="7"/>
    <n v="7"/>
    <n v="5.9130000000000003"/>
    <n v="10.452272727272726"/>
    <n v="4.5990000000000002"/>
  </r>
  <r>
    <x v="17"/>
    <x v="71"/>
    <x v="4"/>
    <x v="9"/>
    <n v="18000"/>
    <n v="24000"/>
    <x v="0"/>
    <x v="3"/>
    <x v="2"/>
    <x v="0"/>
    <x v="9"/>
    <x v="4"/>
    <x v="0"/>
    <n v="0"/>
    <x v="69"/>
    <n v="10.99"/>
    <n v="10.99"/>
    <n v="0"/>
    <n v="0"/>
    <n v="0"/>
  </r>
  <r>
    <x v="17"/>
    <x v="71"/>
    <x v="4"/>
    <x v="9"/>
    <n v="18000"/>
    <n v="24000"/>
    <x v="0"/>
    <x v="3"/>
    <x v="2"/>
    <x v="0"/>
    <x v="9"/>
    <x v="4"/>
    <x v="1"/>
    <n v="0"/>
    <x v="69"/>
    <n v="10.99"/>
    <n v="10.99"/>
    <n v="0"/>
    <n v="0"/>
    <n v="0"/>
  </r>
  <r>
    <x v="17"/>
    <x v="71"/>
    <x v="4"/>
    <x v="9"/>
    <n v="18000"/>
    <n v="24000"/>
    <x v="0"/>
    <x v="3"/>
    <x v="2"/>
    <x v="0"/>
    <x v="9"/>
    <x v="4"/>
    <x v="2"/>
    <n v="719"/>
    <x v="69"/>
    <n v="10.99"/>
    <n v="10.99"/>
    <n v="14.38"/>
    <n v="17.958659090909091"/>
    <n v="7.9018100000000002"/>
  </r>
  <r>
    <x v="17"/>
    <x v="71"/>
    <x v="4"/>
    <x v="9"/>
    <n v="18000"/>
    <n v="24000"/>
    <x v="0"/>
    <x v="3"/>
    <x v="2"/>
    <x v="0"/>
    <x v="9"/>
    <x v="4"/>
    <x v="3"/>
    <n v="379"/>
    <x v="69"/>
    <n v="10.99"/>
    <n v="10.99"/>
    <n v="7.58"/>
    <n v="9.4663863636363637"/>
    <n v="4.1652100000000001"/>
  </r>
  <r>
    <x v="17"/>
    <x v="71"/>
    <x v="4"/>
    <x v="9"/>
    <n v="18000"/>
    <n v="24000"/>
    <x v="0"/>
    <x v="3"/>
    <x v="2"/>
    <x v="0"/>
    <x v="9"/>
    <x v="4"/>
    <x v="4"/>
    <n v="213"/>
    <x v="69"/>
    <n v="10.99"/>
    <n v="10.99"/>
    <n v="4.26"/>
    <n v="5.3201590909090903"/>
    <n v="2.3408699999999998"/>
  </r>
  <r>
    <x v="17"/>
    <x v="72"/>
    <x v="4"/>
    <x v="9"/>
    <n v="18000"/>
    <n v="24000"/>
    <x v="0"/>
    <x v="1"/>
    <x v="2"/>
    <x v="0"/>
    <x v="9"/>
    <x v="4"/>
    <x v="0"/>
    <n v="0"/>
    <x v="70"/>
    <n v="9"/>
    <n v="9"/>
    <n v="0"/>
    <n v="0"/>
    <n v="0"/>
  </r>
  <r>
    <x v="17"/>
    <x v="72"/>
    <x v="4"/>
    <x v="9"/>
    <n v="18000"/>
    <n v="24000"/>
    <x v="0"/>
    <x v="1"/>
    <x v="2"/>
    <x v="0"/>
    <x v="9"/>
    <x v="4"/>
    <x v="1"/>
    <n v="0"/>
    <x v="70"/>
    <n v="9"/>
    <n v="9"/>
    <n v="0"/>
    <n v="0"/>
    <n v="0"/>
  </r>
  <r>
    <x v="17"/>
    <x v="72"/>
    <x v="4"/>
    <x v="9"/>
    <n v="18000"/>
    <n v="24000"/>
    <x v="0"/>
    <x v="1"/>
    <x v="2"/>
    <x v="0"/>
    <x v="9"/>
    <x v="4"/>
    <x v="2"/>
    <n v="531"/>
    <x v="70"/>
    <n v="9"/>
    <n v="9"/>
    <n v="10.62"/>
    <n v="10.861363636363636"/>
    <n v="4.7789999999999999"/>
  </r>
  <r>
    <x v="17"/>
    <x v="72"/>
    <x v="4"/>
    <x v="9"/>
    <n v="18000"/>
    <n v="24000"/>
    <x v="0"/>
    <x v="1"/>
    <x v="2"/>
    <x v="0"/>
    <x v="9"/>
    <x v="4"/>
    <x v="3"/>
    <n v="281"/>
    <x v="70"/>
    <n v="9"/>
    <n v="9"/>
    <n v="5.62"/>
    <n v="5.747727272727273"/>
    <n v="2.5289999999999999"/>
  </r>
  <r>
    <x v="17"/>
    <x v="72"/>
    <x v="4"/>
    <x v="9"/>
    <n v="18000"/>
    <n v="24000"/>
    <x v="0"/>
    <x v="1"/>
    <x v="2"/>
    <x v="0"/>
    <x v="9"/>
    <x v="4"/>
    <x v="4"/>
    <n v="308"/>
    <x v="70"/>
    <n v="9"/>
    <n v="9"/>
    <n v="6.16"/>
    <n v="6.3"/>
    <n v="2.7719999999999998"/>
  </r>
  <r>
    <x v="17"/>
    <x v="73"/>
    <x v="0"/>
    <x v="3"/>
    <n v="16000"/>
    <n v="22000"/>
    <x v="1"/>
    <x v="4"/>
    <x v="2"/>
    <x v="0"/>
    <x v="3"/>
    <x v="3"/>
    <x v="0"/>
    <n v="0"/>
    <x v="23"/>
    <n v="9.99"/>
    <n v="9.99"/>
    <n v="0"/>
    <n v="0"/>
    <n v="0"/>
  </r>
  <r>
    <x v="17"/>
    <x v="73"/>
    <x v="0"/>
    <x v="3"/>
    <n v="16000"/>
    <n v="22000"/>
    <x v="1"/>
    <x v="4"/>
    <x v="2"/>
    <x v="0"/>
    <x v="3"/>
    <x v="3"/>
    <x v="1"/>
    <n v="457"/>
    <x v="23"/>
    <n v="9.99"/>
    <n v="9.99"/>
    <n v="8.2260000000000009"/>
    <n v="10.375977272727274"/>
    <n v="4.5654300000000001"/>
  </r>
  <r>
    <x v="17"/>
    <x v="73"/>
    <x v="0"/>
    <x v="3"/>
    <n v="16000"/>
    <n v="22000"/>
    <x v="1"/>
    <x v="4"/>
    <x v="2"/>
    <x v="0"/>
    <x v="3"/>
    <x v="3"/>
    <x v="2"/>
    <n v="1104"/>
    <x v="23"/>
    <n v="9.99"/>
    <n v="9.99"/>
    <n v="19.872"/>
    <n v="25.065818181818184"/>
    <n v="11.028960000000001"/>
  </r>
  <r>
    <x v="17"/>
    <x v="73"/>
    <x v="0"/>
    <x v="3"/>
    <n v="16000"/>
    <n v="22000"/>
    <x v="1"/>
    <x v="4"/>
    <x v="2"/>
    <x v="0"/>
    <x v="3"/>
    <x v="3"/>
    <x v="3"/>
    <n v="774"/>
    <x v="23"/>
    <n v="9.99"/>
    <n v="9.99"/>
    <n v="13.932"/>
    <n v="17.573318181818184"/>
    <n v="7.7322600000000001"/>
  </r>
  <r>
    <x v="17"/>
    <x v="73"/>
    <x v="0"/>
    <x v="3"/>
    <n v="16000"/>
    <n v="22000"/>
    <x v="1"/>
    <x v="4"/>
    <x v="2"/>
    <x v="0"/>
    <x v="3"/>
    <x v="3"/>
    <x v="4"/>
    <n v="973"/>
    <x v="23"/>
    <n v="9.99"/>
    <n v="9.99"/>
    <n v="17.513999999999999"/>
    <n v="22.091522727272729"/>
    <n v="9.7202700000000011"/>
  </r>
  <r>
    <x v="17"/>
    <x v="74"/>
    <x v="1"/>
    <x v="7"/>
    <n v="8000"/>
    <n v="12000"/>
    <x v="2"/>
    <x v="1"/>
    <x v="1"/>
    <x v="2"/>
    <x v="5"/>
    <x v="6"/>
    <x v="0"/>
    <n v="0"/>
    <x v="71"/>
    <n v="8.3889999999999993"/>
    <n v="9.9979999999999993"/>
    <n v="0"/>
    <n v="0"/>
    <n v="0"/>
  </r>
  <r>
    <x v="17"/>
    <x v="74"/>
    <x v="1"/>
    <x v="7"/>
    <n v="8000"/>
    <n v="12000"/>
    <x v="2"/>
    <x v="1"/>
    <x v="1"/>
    <x v="2"/>
    <x v="5"/>
    <x v="6"/>
    <x v="1"/>
    <n v="0"/>
    <x v="71"/>
    <n v="8.3889999999999993"/>
    <n v="9.9979999999999993"/>
    <n v="0"/>
    <n v="0"/>
    <n v="0"/>
  </r>
  <r>
    <x v="17"/>
    <x v="74"/>
    <x v="1"/>
    <x v="7"/>
    <n v="8000"/>
    <n v="12000"/>
    <x v="2"/>
    <x v="1"/>
    <x v="1"/>
    <x v="2"/>
    <x v="5"/>
    <x v="6"/>
    <x v="2"/>
    <n v="625"/>
    <x v="71"/>
    <n v="8.3889999999999993"/>
    <n v="9.9979999999999993"/>
    <n v="6.25"/>
    <n v="13.058948863636365"/>
    <n v="5.7459375000000001"/>
  </r>
  <r>
    <x v="17"/>
    <x v="74"/>
    <x v="1"/>
    <x v="7"/>
    <n v="8000"/>
    <n v="12000"/>
    <x v="2"/>
    <x v="1"/>
    <x v="1"/>
    <x v="2"/>
    <x v="5"/>
    <x v="6"/>
    <x v="3"/>
    <n v="509"/>
    <x v="71"/>
    <n v="8.3889999999999993"/>
    <n v="9.9979999999999993"/>
    <n v="5.09"/>
    <n v="10.635207954545455"/>
    <n v="4.6794915000000001"/>
  </r>
  <r>
    <x v="17"/>
    <x v="74"/>
    <x v="1"/>
    <x v="7"/>
    <n v="8000"/>
    <n v="12000"/>
    <x v="2"/>
    <x v="1"/>
    <x v="1"/>
    <x v="2"/>
    <x v="5"/>
    <x v="6"/>
    <x v="4"/>
    <n v="425"/>
    <x v="71"/>
    <n v="8.3889999999999993"/>
    <n v="9.9979999999999993"/>
    <n v="4.25"/>
    <n v="8.880085227272728"/>
    <n v="3.9072375000000004"/>
  </r>
  <r>
    <x v="17"/>
    <x v="75"/>
    <x v="3"/>
    <x v="6"/>
    <n v="10000"/>
    <n v="14000"/>
    <x v="1"/>
    <x v="1"/>
    <x v="1"/>
    <x v="2"/>
    <x v="5"/>
    <x v="6"/>
    <x v="0"/>
    <n v="0"/>
    <x v="72"/>
    <n v="8.5"/>
    <n v="8.5"/>
    <n v="0"/>
    <n v="0"/>
    <n v="0"/>
  </r>
  <r>
    <x v="17"/>
    <x v="75"/>
    <x v="3"/>
    <x v="6"/>
    <n v="10000"/>
    <n v="14000"/>
    <x v="1"/>
    <x v="1"/>
    <x v="1"/>
    <x v="2"/>
    <x v="5"/>
    <x v="6"/>
    <x v="1"/>
    <n v="0"/>
    <x v="72"/>
    <n v="8.5"/>
    <n v="8.5"/>
    <n v="0"/>
    <n v="0"/>
    <n v="0"/>
  </r>
  <r>
    <x v="17"/>
    <x v="75"/>
    <x v="3"/>
    <x v="6"/>
    <n v="10000"/>
    <n v="14000"/>
    <x v="1"/>
    <x v="1"/>
    <x v="1"/>
    <x v="2"/>
    <x v="5"/>
    <x v="6"/>
    <x v="2"/>
    <n v="575"/>
    <x v="72"/>
    <n v="8.5"/>
    <n v="8.5"/>
    <n v="6.9"/>
    <n v="11.107954545454545"/>
    <n v="4.8875000000000002"/>
  </r>
  <r>
    <x v="17"/>
    <x v="75"/>
    <x v="3"/>
    <x v="6"/>
    <n v="10000"/>
    <n v="14000"/>
    <x v="1"/>
    <x v="1"/>
    <x v="1"/>
    <x v="2"/>
    <x v="5"/>
    <x v="6"/>
    <x v="3"/>
    <n v="584"/>
    <x v="72"/>
    <n v="8.5"/>
    <n v="8.5"/>
    <n v="7.008"/>
    <n v="11.281818181818181"/>
    <n v="4.9640000000000004"/>
  </r>
  <r>
    <x v="17"/>
    <x v="75"/>
    <x v="3"/>
    <x v="6"/>
    <n v="10000"/>
    <n v="14000"/>
    <x v="1"/>
    <x v="1"/>
    <x v="1"/>
    <x v="2"/>
    <x v="5"/>
    <x v="6"/>
    <x v="4"/>
    <n v="606"/>
    <x v="72"/>
    <n v="8.5"/>
    <n v="8.5"/>
    <n v="7.2720000000000002"/>
    <n v="11.706818181818182"/>
    <n v="5.1509999999999998"/>
  </r>
  <r>
    <x v="18"/>
    <x v="76"/>
    <x v="1"/>
    <x v="4"/>
    <n v="19000"/>
    <n v="25000"/>
    <x v="1"/>
    <x v="4"/>
    <x v="2"/>
    <x v="0"/>
    <x v="17"/>
    <x v="11"/>
    <x v="0"/>
    <n v="0"/>
    <x v="73"/>
    <n v="14.8"/>
    <n v="14.8"/>
    <n v="0"/>
    <n v="0"/>
    <n v="0"/>
  </r>
  <r>
    <x v="18"/>
    <x v="76"/>
    <x v="1"/>
    <x v="4"/>
    <n v="19000"/>
    <n v="25000"/>
    <x v="1"/>
    <x v="4"/>
    <x v="2"/>
    <x v="0"/>
    <x v="17"/>
    <x v="11"/>
    <x v="1"/>
    <n v="0"/>
    <x v="73"/>
    <n v="14.8"/>
    <n v="14.8"/>
    <n v="0"/>
    <n v="0"/>
    <n v="0"/>
  </r>
  <r>
    <x v="18"/>
    <x v="76"/>
    <x v="1"/>
    <x v="4"/>
    <n v="19000"/>
    <n v="25000"/>
    <x v="1"/>
    <x v="4"/>
    <x v="2"/>
    <x v="0"/>
    <x v="17"/>
    <x v="11"/>
    <x v="2"/>
    <n v="0"/>
    <x v="73"/>
    <n v="14.8"/>
    <n v="14.8"/>
    <n v="0"/>
    <n v="0"/>
    <n v="0"/>
  </r>
  <r>
    <x v="18"/>
    <x v="76"/>
    <x v="1"/>
    <x v="4"/>
    <n v="19000"/>
    <n v="25000"/>
    <x v="1"/>
    <x v="4"/>
    <x v="2"/>
    <x v="0"/>
    <x v="17"/>
    <x v="11"/>
    <x v="3"/>
    <n v="0"/>
    <x v="73"/>
    <n v="14.8"/>
    <n v="14.8"/>
    <n v="0"/>
    <n v="0"/>
    <n v="0"/>
  </r>
  <r>
    <x v="18"/>
    <x v="76"/>
    <x v="1"/>
    <x v="4"/>
    <n v="19000"/>
    <n v="25000"/>
    <x v="1"/>
    <x v="4"/>
    <x v="2"/>
    <x v="0"/>
    <x v="17"/>
    <x v="11"/>
    <x v="4"/>
    <n v="592"/>
    <x v="73"/>
    <n v="14.8"/>
    <n v="14.8"/>
    <n v="13.023999999999999"/>
    <n v="19.912727272727274"/>
    <n v="8.7615999999999996"/>
  </r>
  <r>
    <x v="19"/>
    <x v="77"/>
    <x v="0"/>
    <x v="8"/>
    <n v="22000"/>
    <n v="30000"/>
    <x v="0"/>
    <x v="3"/>
    <x v="2"/>
    <x v="0"/>
    <x v="19"/>
    <x v="16"/>
    <x v="0"/>
    <n v="1325"/>
    <x v="74"/>
    <n v="19.350000000000001"/>
    <n v="22.34"/>
    <n v="33.125"/>
    <n v="62.771875000000001"/>
    <n v="27.619624999999999"/>
  </r>
  <r>
    <x v="19"/>
    <x v="77"/>
    <x v="0"/>
    <x v="8"/>
    <n v="22000"/>
    <n v="30000"/>
    <x v="0"/>
    <x v="3"/>
    <x v="2"/>
    <x v="0"/>
    <x v="19"/>
    <x v="16"/>
    <x v="1"/>
    <n v="0"/>
    <x v="74"/>
    <n v="19.350000000000001"/>
    <n v="22.34"/>
    <n v="0"/>
    <n v="0"/>
    <n v="0"/>
  </r>
  <r>
    <x v="19"/>
    <x v="77"/>
    <x v="0"/>
    <x v="8"/>
    <n v="22000"/>
    <n v="30000"/>
    <x v="0"/>
    <x v="3"/>
    <x v="2"/>
    <x v="0"/>
    <x v="19"/>
    <x v="16"/>
    <x v="2"/>
    <n v="602"/>
    <x v="74"/>
    <n v="19.350000000000001"/>
    <n v="22.34"/>
    <n v="15.05"/>
    <n v="28.519750000000002"/>
    <n v="12.548689999999999"/>
  </r>
  <r>
    <x v="19"/>
    <x v="77"/>
    <x v="0"/>
    <x v="8"/>
    <n v="22000"/>
    <n v="30000"/>
    <x v="0"/>
    <x v="3"/>
    <x v="2"/>
    <x v="0"/>
    <x v="19"/>
    <x v="16"/>
    <x v="3"/>
    <n v="389"/>
    <x v="74"/>
    <n v="19.350000000000001"/>
    <n v="22.34"/>
    <n v="9.7249999999999996"/>
    <n v="18.428875000000001"/>
    <n v="8.1087050000000005"/>
  </r>
  <r>
    <x v="19"/>
    <x v="77"/>
    <x v="0"/>
    <x v="8"/>
    <n v="22000"/>
    <n v="30000"/>
    <x v="0"/>
    <x v="3"/>
    <x v="2"/>
    <x v="0"/>
    <x v="19"/>
    <x v="16"/>
    <x v="4"/>
    <n v="421"/>
    <x v="74"/>
    <n v="19.350000000000001"/>
    <n v="22.34"/>
    <n v="10.525"/>
    <n v="19.944875"/>
    <n v="8.7757449999999988"/>
  </r>
  <r>
    <x v="20"/>
    <x v="78"/>
    <x v="1"/>
    <x v="4"/>
    <n v="19000"/>
    <n v="25000"/>
    <x v="0"/>
    <x v="3"/>
    <x v="2"/>
    <x v="0"/>
    <x v="17"/>
    <x v="11"/>
    <x v="0"/>
    <n v="3734"/>
    <x v="75"/>
    <n v="15"/>
    <n v="20.49"/>
    <n v="82.147999999999996"/>
    <n v="150.59052272727274"/>
    <n v="66.259830000000008"/>
  </r>
  <r>
    <x v="20"/>
    <x v="78"/>
    <x v="1"/>
    <x v="4"/>
    <n v="19000"/>
    <n v="25000"/>
    <x v="0"/>
    <x v="3"/>
    <x v="2"/>
    <x v="0"/>
    <x v="17"/>
    <x v="11"/>
    <x v="1"/>
    <n v="1004"/>
    <x v="75"/>
    <n v="15"/>
    <n v="20.49"/>
    <n v="22.088000000000001"/>
    <n v="40.490863636363642"/>
    <n v="17.81598"/>
  </r>
  <r>
    <x v="20"/>
    <x v="78"/>
    <x v="1"/>
    <x v="4"/>
    <n v="19000"/>
    <n v="25000"/>
    <x v="0"/>
    <x v="3"/>
    <x v="2"/>
    <x v="0"/>
    <x v="17"/>
    <x v="11"/>
    <x v="2"/>
    <n v="5616"/>
    <x v="75"/>
    <n v="15"/>
    <n v="20.49"/>
    <n v="123.55200000000001"/>
    <n v="226.4907272727273"/>
    <n v="99.655920000000009"/>
  </r>
  <r>
    <x v="20"/>
    <x v="78"/>
    <x v="1"/>
    <x v="4"/>
    <n v="19000"/>
    <n v="25000"/>
    <x v="0"/>
    <x v="3"/>
    <x v="2"/>
    <x v="0"/>
    <x v="17"/>
    <x v="11"/>
    <x v="3"/>
    <n v="4314"/>
    <x v="75"/>
    <n v="15"/>
    <n v="20.49"/>
    <n v="94.908000000000001"/>
    <n v="173.98165909090912"/>
    <n v="76.551930000000013"/>
  </r>
  <r>
    <x v="20"/>
    <x v="78"/>
    <x v="1"/>
    <x v="4"/>
    <n v="19000"/>
    <n v="25000"/>
    <x v="0"/>
    <x v="3"/>
    <x v="2"/>
    <x v="0"/>
    <x v="17"/>
    <x v="11"/>
    <x v="4"/>
    <n v="6423"/>
    <x v="75"/>
    <n v="15"/>
    <n v="20.49"/>
    <n v="141.30600000000001"/>
    <n v="259.03667045454546"/>
    <n v="113.97613500000001"/>
  </r>
  <r>
    <x v="20"/>
    <x v="79"/>
    <x v="1"/>
    <x v="3"/>
    <n v="16000"/>
    <n v="22000"/>
    <x v="1"/>
    <x v="1"/>
    <x v="2"/>
    <x v="0"/>
    <x v="3"/>
    <x v="3"/>
    <x v="0"/>
    <n v="1293"/>
    <x v="76"/>
    <n v="11.93"/>
    <n v="14.7204"/>
    <n v="23.274000000000001"/>
    <n v="39.157917272727275"/>
    <n v="17.229483599999998"/>
  </r>
  <r>
    <x v="20"/>
    <x v="79"/>
    <x v="1"/>
    <x v="3"/>
    <n v="16000"/>
    <n v="22000"/>
    <x v="1"/>
    <x v="1"/>
    <x v="2"/>
    <x v="0"/>
    <x v="3"/>
    <x v="3"/>
    <x v="1"/>
    <n v="810"/>
    <x v="76"/>
    <n v="11.93"/>
    <n v="14.7204"/>
    <n v="14.58"/>
    <n v="24.530481818181819"/>
    <n v="10.793412"/>
  </r>
  <r>
    <x v="20"/>
    <x v="79"/>
    <x v="1"/>
    <x v="3"/>
    <n v="16000"/>
    <n v="22000"/>
    <x v="1"/>
    <x v="1"/>
    <x v="2"/>
    <x v="0"/>
    <x v="3"/>
    <x v="3"/>
    <x v="2"/>
    <n v="782"/>
    <x v="76"/>
    <n v="11.93"/>
    <n v="14.7204"/>
    <n v="14.076000000000001"/>
    <n v="23.682514545454548"/>
    <n v="10.420306400000001"/>
  </r>
  <r>
    <x v="20"/>
    <x v="79"/>
    <x v="1"/>
    <x v="3"/>
    <n v="16000"/>
    <n v="22000"/>
    <x v="1"/>
    <x v="1"/>
    <x v="2"/>
    <x v="0"/>
    <x v="3"/>
    <x v="3"/>
    <x v="3"/>
    <n v="695"/>
    <x v="76"/>
    <n v="11.93"/>
    <n v="14.7204"/>
    <n v="12.51"/>
    <n v="21.047759090909093"/>
    <n v="9.2610140000000012"/>
  </r>
  <r>
    <x v="20"/>
    <x v="79"/>
    <x v="1"/>
    <x v="3"/>
    <n v="16000"/>
    <n v="22000"/>
    <x v="1"/>
    <x v="1"/>
    <x v="2"/>
    <x v="0"/>
    <x v="3"/>
    <x v="3"/>
    <x v="4"/>
    <n v="1390"/>
    <x v="76"/>
    <n v="11.93"/>
    <n v="14.7204"/>
    <n v="25.02"/>
    <n v="42.095518181818186"/>
    <n v="18.522028000000002"/>
  </r>
  <r>
    <x v="20"/>
    <x v="80"/>
    <x v="0"/>
    <x v="12"/>
    <n v="30000"/>
    <n v="45000"/>
    <x v="0"/>
    <x v="3"/>
    <x v="0"/>
    <x v="1"/>
    <x v="15"/>
    <x v="14"/>
    <x v="0"/>
    <n v="0"/>
    <x v="77"/>
    <n v="32.64"/>
    <n v="39.049999999999997"/>
    <n v="0"/>
    <n v="0"/>
    <n v="0"/>
  </r>
  <r>
    <x v="20"/>
    <x v="80"/>
    <x v="0"/>
    <x v="12"/>
    <n v="30000"/>
    <n v="45000"/>
    <x v="0"/>
    <x v="3"/>
    <x v="0"/>
    <x v="1"/>
    <x v="15"/>
    <x v="14"/>
    <x v="1"/>
    <n v="0"/>
    <x v="77"/>
    <n v="32.64"/>
    <n v="39.049999999999997"/>
    <n v="0"/>
    <n v="0"/>
    <n v="0"/>
  </r>
  <r>
    <x v="20"/>
    <x v="80"/>
    <x v="0"/>
    <x v="12"/>
    <n v="30000"/>
    <n v="45000"/>
    <x v="0"/>
    <x v="3"/>
    <x v="0"/>
    <x v="1"/>
    <x v="15"/>
    <x v="14"/>
    <x v="2"/>
    <n v="0"/>
    <x v="77"/>
    <n v="32.64"/>
    <n v="39.049999999999997"/>
    <n v="0"/>
    <n v="0"/>
    <n v="0"/>
  </r>
  <r>
    <x v="20"/>
    <x v="80"/>
    <x v="0"/>
    <x v="12"/>
    <n v="30000"/>
    <n v="45000"/>
    <x v="0"/>
    <x v="3"/>
    <x v="0"/>
    <x v="1"/>
    <x v="15"/>
    <x v="14"/>
    <x v="3"/>
    <n v="0"/>
    <x v="77"/>
    <n v="32.64"/>
    <n v="39.049999999999997"/>
    <n v="0"/>
    <n v="0"/>
    <n v="0"/>
  </r>
  <r>
    <x v="20"/>
    <x v="80"/>
    <x v="0"/>
    <x v="12"/>
    <n v="30000"/>
    <n v="45000"/>
    <x v="0"/>
    <x v="3"/>
    <x v="0"/>
    <x v="1"/>
    <x v="15"/>
    <x v="14"/>
    <x v="4"/>
    <n v="290"/>
    <x v="77"/>
    <n v="32.64"/>
    <n v="39.049999999999997"/>
    <n v="10.15"/>
    <n v="23.625113636363636"/>
    <n v="10.395049999999999"/>
  </r>
  <r>
    <x v="20"/>
    <x v="81"/>
    <x v="6"/>
    <x v="8"/>
    <n v="22000"/>
    <n v="30000"/>
    <x v="1"/>
    <x v="4"/>
    <x v="2"/>
    <x v="0"/>
    <x v="19"/>
    <x v="16"/>
    <x v="0"/>
    <n v="0"/>
    <x v="78"/>
    <n v="23.38"/>
    <n v="27.42"/>
    <n v="0"/>
    <n v="0"/>
    <n v="0"/>
  </r>
  <r>
    <x v="20"/>
    <x v="81"/>
    <x v="6"/>
    <x v="8"/>
    <n v="22000"/>
    <n v="30000"/>
    <x v="1"/>
    <x v="4"/>
    <x v="2"/>
    <x v="0"/>
    <x v="19"/>
    <x v="16"/>
    <x v="1"/>
    <n v="963"/>
    <x v="78"/>
    <n v="23.38"/>
    <n v="27.42"/>
    <n v="24.074999999999999"/>
    <n v="55.591363636363631"/>
    <n v="24.460199999999997"/>
  </r>
  <r>
    <x v="20"/>
    <x v="81"/>
    <x v="6"/>
    <x v="8"/>
    <n v="22000"/>
    <n v="30000"/>
    <x v="1"/>
    <x v="4"/>
    <x v="2"/>
    <x v="0"/>
    <x v="19"/>
    <x v="16"/>
    <x v="2"/>
    <n v="759"/>
    <x v="78"/>
    <n v="23.38"/>
    <n v="27.42"/>
    <n v="18.975000000000001"/>
    <n v="43.814999999999998"/>
    <n v="19.278599999999997"/>
  </r>
  <r>
    <x v="20"/>
    <x v="81"/>
    <x v="6"/>
    <x v="8"/>
    <n v="22000"/>
    <n v="30000"/>
    <x v="1"/>
    <x v="4"/>
    <x v="2"/>
    <x v="0"/>
    <x v="19"/>
    <x v="16"/>
    <x v="3"/>
    <n v="740"/>
    <x v="78"/>
    <n v="23.38"/>
    <n v="27.42"/>
    <n v="18.5"/>
    <n v="42.718181818181819"/>
    <n v="18.795999999999999"/>
  </r>
  <r>
    <x v="20"/>
    <x v="81"/>
    <x v="6"/>
    <x v="8"/>
    <n v="22000"/>
    <n v="30000"/>
    <x v="1"/>
    <x v="4"/>
    <x v="2"/>
    <x v="0"/>
    <x v="19"/>
    <x v="16"/>
    <x v="4"/>
    <n v="1018"/>
    <x v="78"/>
    <n v="23.38"/>
    <n v="27.42"/>
    <n v="25.45"/>
    <n v="58.766363636363636"/>
    <n v="25.857199999999999"/>
  </r>
  <r>
    <x v="20"/>
    <x v="82"/>
    <x v="0"/>
    <x v="18"/>
    <n v="80000"/>
    <n v="110000"/>
    <x v="0"/>
    <x v="3"/>
    <x v="0"/>
    <x v="1"/>
    <x v="22"/>
    <x v="18"/>
    <x v="0"/>
    <n v="1423"/>
    <x v="79"/>
    <n v="43.99"/>
    <n v="66.27"/>
    <n v="128.07"/>
    <n v="178.29543181818181"/>
    <n v="78.44999"/>
  </r>
  <r>
    <x v="20"/>
    <x v="82"/>
    <x v="0"/>
    <x v="18"/>
    <n v="80000"/>
    <n v="110000"/>
    <x v="0"/>
    <x v="3"/>
    <x v="0"/>
    <x v="1"/>
    <x v="22"/>
    <x v="18"/>
    <x v="1"/>
    <n v="1856"/>
    <x v="79"/>
    <n v="43.99"/>
    <n v="66.27"/>
    <n v="167.04"/>
    <n v="232.54836363636363"/>
    <n v="102.32128"/>
  </r>
  <r>
    <x v="20"/>
    <x v="82"/>
    <x v="0"/>
    <x v="18"/>
    <n v="80000"/>
    <n v="110000"/>
    <x v="0"/>
    <x v="3"/>
    <x v="0"/>
    <x v="1"/>
    <x v="22"/>
    <x v="18"/>
    <x v="2"/>
    <n v="867"/>
    <x v="79"/>
    <n v="43.99"/>
    <n v="66.27"/>
    <n v="78.03"/>
    <n v="108.63115909090909"/>
    <n v="47.797710000000002"/>
  </r>
  <r>
    <x v="20"/>
    <x v="82"/>
    <x v="0"/>
    <x v="18"/>
    <n v="80000"/>
    <n v="110000"/>
    <x v="0"/>
    <x v="3"/>
    <x v="0"/>
    <x v="1"/>
    <x v="22"/>
    <x v="18"/>
    <x v="3"/>
    <n v="744"/>
    <x v="79"/>
    <n v="43.99"/>
    <n v="66.27"/>
    <n v="66.959999999999994"/>
    <n v="93.219818181818184"/>
    <n v="41.016719999999999"/>
  </r>
  <r>
    <x v="20"/>
    <x v="82"/>
    <x v="0"/>
    <x v="18"/>
    <n v="80000"/>
    <n v="110000"/>
    <x v="0"/>
    <x v="3"/>
    <x v="0"/>
    <x v="1"/>
    <x v="22"/>
    <x v="18"/>
    <x v="4"/>
    <n v="1032"/>
    <x v="79"/>
    <n v="43.99"/>
    <n v="66.27"/>
    <n v="92.88"/>
    <n v="129.30490909090909"/>
    <n v="56.894160000000007"/>
  </r>
  <r>
    <x v="20"/>
    <x v="83"/>
    <x v="0"/>
    <x v="20"/>
    <n v="45000"/>
    <n v="60000"/>
    <x v="0"/>
    <x v="3"/>
    <x v="0"/>
    <x v="0"/>
    <x v="24"/>
    <x v="0"/>
    <x v="0"/>
    <n v="1453"/>
    <x v="80"/>
    <n v="24.11"/>
    <n v="27.33"/>
    <n v="72.650000000000006"/>
    <n v="84.934454545454543"/>
    <n v="37.371159999999996"/>
  </r>
  <r>
    <x v="20"/>
    <x v="83"/>
    <x v="0"/>
    <x v="20"/>
    <n v="45000"/>
    <n v="60000"/>
    <x v="0"/>
    <x v="3"/>
    <x v="0"/>
    <x v="0"/>
    <x v="24"/>
    <x v="0"/>
    <x v="1"/>
    <n v="3499"/>
    <x v="80"/>
    <n v="24.11"/>
    <n v="27.33"/>
    <n v="174.95"/>
    <n v="204.53245454545456"/>
    <n v="89.994280000000003"/>
  </r>
  <r>
    <x v="20"/>
    <x v="83"/>
    <x v="0"/>
    <x v="20"/>
    <n v="45000"/>
    <n v="60000"/>
    <x v="0"/>
    <x v="3"/>
    <x v="0"/>
    <x v="0"/>
    <x v="24"/>
    <x v="0"/>
    <x v="2"/>
    <n v="2279"/>
    <x v="80"/>
    <n v="24.11"/>
    <n v="27.33"/>
    <n v="113.95"/>
    <n v="133.21790909090907"/>
    <n v="58.615879999999997"/>
  </r>
  <r>
    <x v="20"/>
    <x v="83"/>
    <x v="0"/>
    <x v="20"/>
    <n v="45000"/>
    <n v="60000"/>
    <x v="0"/>
    <x v="3"/>
    <x v="0"/>
    <x v="0"/>
    <x v="24"/>
    <x v="0"/>
    <x v="3"/>
    <n v="1560"/>
    <x v="80"/>
    <n v="24.11"/>
    <n v="27.33"/>
    <n v="78"/>
    <n v="91.189090909090908"/>
    <n v="40.123199999999997"/>
  </r>
  <r>
    <x v="20"/>
    <x v="83"/>
    <x v="0"/>
    <x v="20"/>
    <n v="45000"/>
    <n v="60000"/>
    <x v="0"/>
    <x v="3"/>
    <x v="0"/>
    <x v="0"/>
    <x v="24"/>
    <x v="0"/>
    <x v="4"/>
    <n v="2288"/>
    <x v="80"/>
    <n v="24.11"/>
    <n v="27.33"/>
    <n v="114.4"/>
    <n v="133.744"/>
    <n v="58.847360000000002"/>
  </r>
  <r>
    <x v="20"/>
    <x v="84"/>
    <x v="0"/>
    <x v="15"/>
    <n v="20000"/>
    <n v="28000"/>
    <x v="0"/>
    <x v="0"/>
    <x v="2"/>
    <x v="0"/>
    <x v="19"/>
    <x v="16"/>
    <x v="0"/>
    <n v="1409"/>
    <x v="81"/>
    <n v="20.239999999999998"/>
    <n v="23.45"/>
    <n v="32.406999999999996"/>
    <n v="69.953647727272724"/>
    <n v="30.779605"/>
  </r>
  <r>
    <x v="20"/>
    <x v="84"/>
    <x v="0"/>
    <x v="15"/>
    <n v="20000"/>
    <n v="28000"/>
    <x v="0"/>
    <x v="0"/>
    <x v="2"/>
    <x v="0"/>
    <x v="19"/>
    <x v="16"/>
    <x v="1"/>
    <n v="942"/>
    <x v="81"/>
    <n v="20.239999999999998"/>
    <n v="23.45"/>
    <n v="21.666"/>
    <n v="46.768159090909087"/>
    <n v="20.577989999999996"/>
  </r>
  <r>
    <x v="20"/>
    <x v="84"/>
    <x v="0"/>
    <x v="15"/>
    <n v="20000"/>
    <n v="28000"/>
    <x v="0"/>
    <x v="0"/>
    <x v="2"/>
    <x v="0"/>
    <x v="19"/>
    <x v="16"/>
    <x v="2"/>
    <n v="3190"/>
    <x v="81"/>
    <n v="20.239999999999998"/>
    <n v="23.45"/>
    <n v="73.37"/>
    <n v="158.37624999999997"/>
    <n v="69.685550000000006"/>
  </r>
  <r>
    <x v="20"/>
    <x v="84"/>
    <x v="0"/>
    <x v="15"/>
    <n v="20000"/>
    <n v="28000"/>
    <x v="0"/>
    <x v="0"/>
    <x v="2"/>
    <x v="0"/>
    <x v="19"/>
    <x v="16"/>
    <x v="3"/>
    <n v="1657"/>
    <x v="81"/>
    <n v="20.239999999999998"/>
    <n v="23.45"/>
    <n v="38.110999999999997"/>
    <n v="82.266284090909082"/>
    <n v="36.197164999999998"/>
  </r>
  <r>
    <x v="20"/>
    <x v="84"/>
    <x v="0"/>
    <x v="15"/>
    <n v="20000"/>
    <n v="28000"/>
    <x v="0"/>
    <x v="0"/>
    <x v="2"/>
    <x v="0"/>
    <x v="19"/>
    <x v="16"/>
    <x v="4"/>
    <n v="1658"/>
    <x v="81"/>
    <n v="20.239999999999998"/>
    <n v="23.45"/>
    <n v="38.134"/>
    <n v="82.315931818181809"/>
    <n v="36.219009999999997"/>
  </r>
  <r>
    <x v="21"/>
    <x v="85"/>
    <x v="3"/>
    <x v="11"/>
    <n v="12000"/>
    <n v="16000"/>
    <x v="1"/>
    <x v="1"/>
    <x v="1"/>
    <x v="2"/>
    <x v="14"/>
    <x v="13"/>
    <x v="0"/>
    <n v="0"/>
    <x v="82"/>
    <n v="7.4459999999999997"/>
    <n v="8.3689999999999998"/>
    <n v="0"/>
    <n v="0"/>
    <n v="0"/>
  </r>
  <r>
    <x v="21"/>
    <x v="85"/>
    <x v="3"/>
    <x v="11"/>
    <n v="12000"/>
    <n v="16000"/>
    <x v="1"/>
    <x v="1"/>
    <x v="1"/>
    <x v="2"/>
    <x v="14"/>
    <x v="13"/>
    <x v="1"/>
    <n v="820"/>
    <x v="82"/>
    <n v="7.4459999999999997"/>
    <n v="8.3689999999999998"/>
    <n v="11.48"/>
    <n v="14.736704545454545"/>
    <n v="6.4841499999999996"/>
  </r>
  <r>
    <x v="21"/>
    <x v="85"/>
    <x v="3"/>
    <x v="11"/>
    <n v="12000"/>
    <n v="16000"/>
    <x v="1"/>
    <x v="1"/>
    <x v="1"/>
    <x v="2"/>
    <x v="14"/>
    <x v="13"/>
    <x v="2"/>
    <n v="2674"/>
    <x v="82"/>
    <n v="7.4459999999999997"/>
    <n v="8.3689999999999998"/>
    <n v="37.436"/>
    <n v="48.056034090909094"/>
    <n v="21.144655"/>
  </r>
  <r>
    <x v="21"/>
    <x v="85"/>
    <x v="3"/>
    <x v="11"/>
    <n v="12000"/>
    <n v="16000"/>
    <x v="1"/>
    <x v="1"/>
    <x v="1"/>
    <x v="2"/>
    <x v="14"/>
    <x v="13"/>
    <x v="3"/>
    <n v="1917"/>
    <x v="82"/>
    <n v="7.4459999999999997"/>
    <n v="8.3689999999999998"/>
    <n v="26.838000000000001"/>
    <n v="34.451539772727273"/>
    <n v="15.1586775"/>
  </r>
  <r>
    <x v="21"/>
    <x v="85"/>
    <x v="3"/>
    <x v="11"/>
    <n v="12000"/>
    <n v="16000"/>
    <x v="1"/>
    <x v="1"/>
    <x v="1"/>
    <x v="2"/>
    <x v="14"/>
    <x v="13"/>
    <x v="4"/>
    <n v="1285"/>
    <x v="82"/>
    <n v="7.4459999999999997"/>
    <n v="8.3689999999999998"/>
    <n v="17.989999999999998"/>
    <n v="23.093494318181818"/>
    <n v="10.161137499999999"/>
  </r>
  <r>
    <x v="21"/>
    <x v="86"/>
    <x v="0"/>
    <x v="8"/>
    <n v="22000"/>
    <n v="30000"/>
    <x v="0"/>
    <x v="0"/>
    <x v="2"/>
    <x v="0"/>
    <x v="25"/>
    <x v="11"/>
    <x v="0"/>
    <n v="0"/>
    <x v="83"/>
    <n v="17.657"/>
    <n v="20.081"/>
    <n v="0"/>
    <n v="0"/>
    <n v="0"/>
  </r>
  <r>
    <x v="21"/>
    <x v="86"/>
    <x v="0"/>
    <x v="8"/>
    <n v="22000"/>
    <n v="30000"/>
    <x v="0"/>
    <x v="0"/>
    <x v="2"/>
    <x v="0"/>
    <x v="25"/>
    <x v="11"/>
    <x v="1"/>
    <n v="0"/>
    <x v="83"/>
    <n v="17.657"/>
    <n v="20.081"/>
    <n v="0"/>
    <n v="0"/>
    <n v="0"/>
  </r>
  <r>
    <x v="21"/>
    <x v="86"/>
    <x v="0"/>
    <x v="8"/>
    <n v="22000"/>
    <n v="30000"/>
    <x v="0"/>
    <x v="0"/>
    <x v="2"/>
    <x v="0"/>
    <x v="25"/>
    <x v="11"/>
    <x v="2"/>
    <n v="1001"/>
    <x v="83"/>
    <n v="17.657"/>
    <n v="20.081"/>
    <n v="25.024999999999999"/>
    <n v="42.926974999999999"/>
    <n v="18.887868999999998"/>
  </r>
  <r>
    <x v="21"/>
    <x v="86"/>
    <x v="0"/>
    <x v="8"/>
    <n v="22000"/>
    <n v="30000"/>
    <x v="0"/>
    <x v="0"/>
    <x v="2"/>
    <x v="0"/>
    <x v="25"/>
    <x v="11"/>
    <x v="3"/>
    <n v="386"/>
    <x v="83"/>
    <n v="17.657"/>
    <n v="20.081"/>
    <n v="9.65"/>
    <n v="16.553259090909091"/>
    <n v="7.2834340000000006"/>
  </r>
  <r>
    <x v="21"/>
    <x v="86"/>
    <x v="0"/>
    <x v="8"/>
    <n v="22000"/>
    <n v="30000"/>
    <x v="0"/>
    <x v="0"/>
    <x v="2"/>
    <x v="0"/>
    <x v="25"/>
    <x v="11"/>
    <x v="4"/>
    <n v="259"/>
    <x v="83"/>
    <n v="17.657"/>
    <n v="20.081"/>
    <n v="6.4749999999999996"/>
    <n v="11.106979545454545"/>
    <n v="4.8870709999999997"/>
  </r>
  <r>
    <x v="22"/>
    <x v="87"/>
    <x v="0"/>
    <x v="7"/>
    <n v="8000"/>
    <n v="12000"/>
    <x v="2"/>
    <x v="1"/>
    <x v="1"/>
    <x v="0"/>
    <x v="6"/>
    <x v="5"/>
    <x v="0"/>
    <n v="0"/>
    <x v="84"/>
    <n v="12"/>
    <n v="12"/>
    <n v="0"/>
    <n v="0"/>
    <n v="0"/>
  </r>
  <r>
    <x v="22"/>
    <x v="87"/>
    <x v="0"/>
    <x v="7"/>
    <n v="8000"/>
    <n v="12000"/>
    <x v="2"/>
    <x v="1"/>
    <x v="1"/>
    <x v="0"/>
    <x v="6"/>
    <x v="5"/>
    <x v="1"/>
    <n v="544"/>
    <x v="84"/>
    <n v="12"/>
    <n v="12"/>
    <n v="5.44"/>
    <n v="14.836363636363636"/>
    <n v="6.5279999999999996"/>
  </r>
  <r>
    <x v="22"/>
    <x v="87"/>
    <x v="0"/>
    <x v="7"/>
    <n v="8000"/>
    <n v="12000"/>
    <x v="2"/>
    <x v="1"/>
    <x v="1"/>
    <x v="0"/>
    <x v="6"/>
    <x v="5"/>
    <x v="2"/>
    <n v="1014"/>
    <x v="84"/>
    <n v="12"/>
    <n v="12"/>
    <n v="10.14"/>
    <n v="27.654545454545453"/>
    <n v="12.167999999999999"/>
  </r>
  <r>
    <x v="22"/>
    <x v="87"/>
    <x v="0"/>
    <x v="7"/>
    <n v="8000"/>
    <n v="12000"/>
    <x v="2"/>
    <x v="1"/>
    <x v="1"/>
    <x v="0"/>
    <x v="6"/>
    <x v="5"/>
    <x v="3"/>
    <n v="1228"/>
    <x v="84"/>
    <n v="12"/>
    <n v="12"/>
    <n v="12.28"/>
    <n v="33.490909090909092"/>
    <n v="14.736000000000001"/>
  </r>
  <r>
    <x v="22"/>
    <x v="87"/>
    <x v="0"/>
    <x v="7"/>
    <n v="8000"/>
    <n v="12000"/>
    <x v="2"/>
    <x v="1"/>
    <x v="1"/>
    <x v="0"/>
    <x v="6"/>
    <x v="5"/>
    <x v="4"/>
    <n v="1175"/>
    <x v="84"/>
    <n v="12"/>
    <n v="12"/>
    <n v="11.75"/>
    <n v="32.045454545454547"/>
    <n v="14.1"/>
  </r>
  <r>
    <x v="22"/>
    <x v="88"/>
    <x v="0"/>
    <x v="6"/>
    <n v="10000"/>
    <n v="14000"/>
    <x v="2"/>
    <x v="1"/>
    <x v="1"/>
    <x v="0"/>
    <x v="2"/>
    <x v="2"/>
    <x v="0"/>
    <n v="0"/>
    <x v="85"/>
    <n v="10"/>
    <n v="10"/>
    <n v="0"/>
    <n v="0"/>
    <n v="0"/>
  </r>
  <r>
    <x v="22"/>
    <x v="88"/>
    <x v="0"/>
    <x v="6"/>
    <n v="10000"/>
    <n v="14000"/>
    <x v="2"/>
    <x v="1"/>
    <x v="1"/>
    <x v="0"/>
    <x v="2"/>
    <x v="2"/>
    <x v="1"/>
    <n v="0"/>
    <x v="85"/>
    <n v="10"/>
    <n v="10"/>
    <n v="0"/>
    <n v="0"/>
    <n v="0"/>
  </r>
  <r>
    <x v="22"/>
    <x v="88"/>
    <x v="0"/>
    <x v="6"/>
    <n v="10000"/>
    <n v="14000"/>
    <x v="2"/>
    <x v="1"/>
    <x v="1"/>
    <x v="0"/>
    <x v="2"/>
    <x v="2"/>
    <x v="2"/>
    <n v="0"/>
    <x v="85"/>
    <n v="10"/>
    <n v="10"/>
    <n v="0"/>
    <n v="0"/>
    <n v="0"/>
  </r>
  <r>
    <x v="22"/>
    <x v="88"/>
    <x v="0"/>
    <x v="6"/>
    <n v="10000"/>
    <n v="14000"/>
    <x v="2"/>
    <x v="1"/>
    <x v="1"/>
    <x v="0"/>
    <x v="2"/>
    <x v="2"/>
    <x v="3"/>
    <n v="0"/>
    <x v="85"/>
    <n v="10"/>
    <n v="10"/>
    <n v="0"/>
    <n v="0"/>
    <n v="0"/>
  </r>
  <r>
    <x v="22"/>
    <x v="88"/>
    <x v="0"/>
    <x v="6"/>
    <n v="10000"/>
    <n v="14000"/>
    <x v="2"/>
    <x v="1"/>
    <x v="1"/>
    <x v="0"/>
    <x v="2"/>
    <x v="2"/>
    <x v="4"/>
    <n v="217"/>
    <x v="85"/>
    <n v="10"/>
    <n v="10"/>
    <n v="2.6040000000000001"/>
    <n v="4.9318181818181817"/>
    <n v="2.17"/>
  </r>
  <r>
    <x v="22"/>
    <x v="89"/>
    <x v="0"/>
    <x v="11"/>
    <n v="12000"/>
    <n v="16000"/>
    <x v="2"/>
    <x v="1"/>
    <x v="1"/>
    <x v="0"/>
    <x v="11"/>
    <x v="10"/>
    <x v="0"/>
    <n v="0"/>
    <x v="86"/>
    <n v="9.77"/>
    <n v="9.77"/>
    <n v="0"/>
    <n v="0"/>
    <n v="0"/>
  </r>
  <r>
    <x v="22"/>
    <x v="89"/>
    <x v="0"/>
    <x v="11"/>
    <n v="12000"/>
    <n v="16000"/>
    <x v="2"/>
    <x v="1"/>
    <x v="1"/>
    <x v="0"/>
    <x v="11"/>
    <x v="10"/>
    <x v="1"/>
    <n v="0"/>
    <x v="86"/>
    <n v="9.77"/>
    <n v="9.77"/>
    <n v="0"/>
    <n v="0"/>
    <n v="0"/>
  </r>
  <r>
    <x v="22"/>
    <x v="89"/>
    <x v="0"/>
    <x v="11"/>
    <n v="12000"/>
    <n v="16000"/>
    <x v="2"/>
    <x v="1"/>
    <x v="1"/>
    <x v="0"/>
    <x v="11"/>
    <x v="10"/>
    <x v="2"/>
    <n v="463"/>
    <x v="86"/>
    <n v="9.77"/>
    <n v="9.77"/>
    <n v="6.4820000000000002"/>
    <n v="10.280704545454544"/>
    <n v="4.5235099999999999"/>
  </r>
  <r>
    <x v="22"/>
    <x v="89"/>
    <x v="0"/>
    <x v="11"/>
    <n v="12000"/>
    <n v="16000"/>
    <x v="2"/>
    <x v="1"/>
    <x v="1"/>
    <x v="0"/>
    <x v="11"/>
    <x v="10"/>
    <x v="3"/>
    <n v="501"/>
    <x v="86"/>
    <n v="9.77"/>
    <n v="9.77"/>
    <n v="7.0140000000000002"/>
    <n v="11.124477272727272"/>
    <n v="4.8947699999999994"/>
  </r>
  <r>
    <x v="22"/>
    <x v="89"/>
    <x v="0"/>
    <x v="11"/>
    <n v="12000"/>
    <n v="16000"/>
    <x v="2"/>
    <x v="1"/>
    <x v="1"/>
    <x v="0"/>
    <x v="11"/>
    <x v="10"/>
    <x v="4"/>
    <n v="633"/>
    <x v="86"/>
    <n v="9.77"/>
    <n v="9.77"/>
    <n v="8.8620000000000001"/>
    <n v="14.055477272727272"/>
    <n v="6.184409999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7E06E1-BFB5-4B21-8C80-2C742F4B608E}" name="Сводная таблица26" cacheId="0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Позиционирование" colHeaderCaption="Год">
  <location ref="Q4:R39" firstHeaderRow="1" firstDataRow="1" firstDataCol="1" rowPageCount="1" colPageCount="1"/>
  <pivotFields count="10">
    <pivotField axis="axisRow" showAll="0" sortType="descending">
      <items count="51">
        <item x="35"/>
        <item x="34"/>
        <item x="33"/>
        <item x="32"/>
        <item x="42"/>
        <item x="40"/>
        <item x="31"/>
        <item x="30"/>
        <item x="29"/>
        <item x="49"/>
        <item x="39"/>
        <item x="28"/>
        <item x="27"/>
        <item x="48"/>
        <item x="41"/>
        <item x="37"/>
        <item x="47"/>
        <item x="38"/>
        <item x="46"/>
        <item x="26"/>
        <item x="25"/>
        <item x="24"/>
        <item x="23"/>
        <item x="22"/>
        <item x="45"/>
        <item x="21"/>
        <item x="20"/>
        <item x="19"/>
        <item x="18"/>
        <item x="17"/>
        <item x="16"/>
        <item x="15"/>
        <item x="14"/>
        <item x="13"/>
        <item x="12"/>
        <item x="44"/>
        <item x="11"/>
        <item x="10"/>
        <item x="9"/>
        <item x="8"/>
        <item x="7"/>
        <item x="6"/>
        <item x="5"/>
        <item x="36"/>
        <item x="43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5">
        <item h="1"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sortType="descending">
      <items count="9">
        <item sd="0" x="6"/>
        <item sd="0" x="5"/>
        <item sd="0" x="4"/>
        <item sd="0" x="3"/>
        <item sd="0" x="2"/>
        <item sd="0" x="1"/>
        <item sd="0" x="7"/>
        <item sd="0" x="0"/>
        <item t="default"/>
      </items>
    </pivotField>
  </pivotFields>
  <rowFields count="1">
    <field x="0"/>
  </rowFields>
  <rowItems count="35">
    <i>
      <x v="6"/>
    </i>
    <i>
      <x v="19"/>
    </i>
    <i>
      <x v="25"/>
    </i>
    <i>
      <x v="45"/>
    </i>
    <i>
      <x v="26"/>
    </i>
    <i>
      <x v="5"/>
    </i>
    <i>
      <x v="22"/>
    </i>
    <i>
      <x v="28"/>
    </i>
    <i>
      <x v="17"/>
    </i>
    <i>
      <x v="39"/>
    </i>
    <i>
      <x v="46"/>
    </i>
    <i>
      <x v="34"/>
    </i>
    <i>
      <x v="2"/>
    </i>
    <i>
      <x v="49"/>
    </i>
    <i>
      <x v="42"/>
    </i>
    <i>
      <x v="31"/>
    </i>
    <i>
      <x v="33"/>
    </i>
    <i>
      <x v="37"/>
    </i>
    <i>
      <x v="48"/>
    </i>
    <i>
      <x v="3"/>
    </i>
    <i>
      <x v="20"/>
    </i>
    <i>
      <x v="4"/>
    </i>
    <i>
      <x v="10"/>
    </i>
    <i>
      <x v="1"/>
    </i>
    <i>
      <x v="14"/>
    </i>
    <i>
      <x v="30"/>
    </i>
    <i>
      <x v="27"/>
    </i>
    <i>
      <x v="21"/>
    </i>
    <i>
      <x v="12"/>
    </i>
    <i>
      <x v="8"/>
    </i>
    <i>
      <x v="47"/>
    </i>
    <i>
      <x v="7"/>
    </i>
    <i>
      <x v="32"/>
    </i>
    <i>
      <x v="23"/>
    </i>
    <i t="grand">
      <x/>
    </i>
  </rowItems>
  <colItems count="1">
    <i/>
  </colItems>
  <pageFields count="1">
    <pageField fld="9" item="2" hier="-1"/>
  </pageFields>
  <dataFields count="1">
    <dataField name="." fld="6" showDataAs="percentOfCol" baseField="2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49F526-9990-48DE-9065-3BEA04B2FFBB}" name="Сводная таблица3" cacheId="0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Позиционирование" colHeaderCaption="Год">
  <location ref="B31:I36" firstHeaderRow="1" firstDataRow="2" firstDataCol="1"/>
  <pivotFields count="10">
    <pivotField showAll="0"/>
    <pivotField showAll="0"/>
    <pivotField axis="axisRow" showAll="0" sortType="descending">
      <items count="5">
        <item h="1"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 sortType="descending">
      <items count="9">
        <item sd="0" x="6"/>
        <item sd="0" x="5"/>
        <item sd="0" x="4"/>
        <item sd="0" x="3"/>
        <item sd="0" x="2"/>
        <item sd="0" x="1"/>
        <item sd="0" x="7"/>
        <item sd="0" x="0"/>
        <item t="default"/>
      </items>
    </pivotField>
  </pivotFields>
  <rowFields count="1">
    <field x="2"/>
  </rowFields>
  <rowItems count="4">
    <i>
      <x v="2"/>
    </i>
    <i>
      <x v="1"/>
    </i>
    <i>
      <x v="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." fld="6" baseField="2" baseItem="2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A8F3EE-F9B1-45B7-9C2E-4C42CE71AA5E}" name="Сводная таблица24" cacheId="0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Позиционирование" colHeaderCaption="Год">
  <location ref="K4:L40" firstHeaderRow="1" firstDataRow="1" firstDataCol="1" rowPageCount="1" colPageCount="1"/>
  <pivotFields count="10">
    <pivotField axis="axisRow" showAll="0" sortType="descending">
      <items count="51">
        <item x="35"/>
        <item x="34"/>
        <item x="33"/>
        <item x="32"/>
        <item x="42"/>
        <item x="40"/>
        <item x="31"/>
        <item x="30"/>
        <item x="29"/>
        <item x="49"/>
        <item x="39"/>
        <item x="28"/>
        <item x="27"/>
        <item x="48"/>
        <item x="41"/>
        <item x="37"/>
        <item x="47"/>
        <item x="38"/>
        <item x="46"/>
        <item x="26"/>
        <item x="25"/>
        <item x="24"/>
        <item x="23"/>
        <item x="22"/>
        <item x="45"/>
        <item x="21"/>
        <item x="20"/>
        <item x="19"/>
        <item x="18"/>
        <item x="17"/>
        <item x="16"/>
        <item x="15"/>
        <item x="14"/>
        <item x="13"/>
        <item x="12"/>
        <item x="44"/>
        <item x="11"/>
        <item x="10"/>
        <item x="9"/>
        <item x="8"/>
        <item x="7"/>
        <item x="6"/>
        <item x="5"/>
        <item x="36"/>
        <item x="43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5">
        <item h="1"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sortType="descending">
      <items count="9">
        <item sd="0" x="6"/>
        <item sd="0" x="5"/>
        <item sd="0" x="4"/>
        <item sd="0" x="3"/>
        <item sd="0" x="2"/>
        <item sd="0" x="1"/>
        <item sd="0" x="7"/>
        <item sd="0" x="0"/>
        <item t="default"/>
      </items>
    </pivotField>
  </pivotFields>
  <rowFields count="1">
    <field x="0"/>
  </rowFields>
  <rowItems count="36">
    <i>
      <x v="19"/>
    </i>
    <i>
      <x v="25"/>
    </i>
    <i>
      <x v="5"/>
    </i>
    <i>
      <x v="6"/>
    </i>
    <i>
      <x v="22"/>
    </i>
    <i>
      <x v="17"/>
    </i>
    <i>
      <x v="24"/>
    </i>
    <i>
      <x v="45"/>
    </i>
    <i>
      <x v="4"/>
    </i>
    <i>
      <x v="14"/>
    </i>
    <i>
      <x v="28"/>
    </i>
    <i>
      <x v="42"/>
    </i>
    <i>
      <x v="26"/>
    </i>
    <i>
      <x v="9"/>
    </i>
    <i>
      <x v="44"/>
    </i>
    <i>
      <x v="35"/>
    </i>
    <i>
      <x v="33"/>
    </i>
    <i>
      <x v="13"/>
    </i>
    <i>
      <x v="31"/>
    </i>
    <i>
      <x v="1"/>
    </i>
    <i>
      <x v="10"/>
    </i>
    <i>
      <x v="8"/>
    </i>
    <i>
      <x v="46"/>
    </i>
    <i>
      <x v="18"/>
    </i>
    <i>
      <x v="37"/>
    </i>
    <i>
      <x v="3"/>
    </i>
    <i>
      <x v="2"/>
    </i>
    <i>
      <x v="27"/>
    </i>
    <i>
      <x v="16"/>
    </i>
    <i>
      <x v="20"/>
    </i>
    <i>
      <x v="39"/>
    </i>
    <i>
      <x v="23"/>
    </i>
    <i>
      <x v="12"/>
    </i>
    <i>
      <x v="32"/>
    </i>
    <i>
      <x v="34"/>
    </i>
    <i t="grand">
      <x/>
    </i>
  </rowItems>
  <colItems count="1">
    <i/>
  </colItems>
  <pageFields count="1">
    <pageField fld="9" item="0" hier="-1"/>
  </pageFields>
  <dataFields count="1">
    <dataField name="." fld="6" showDataAs="percentOfCol" baseField="2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A136DC-7E14-4EF7-8C4A-3595F1B9F1DD}" name="Сводная таблица20" cacheId="0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Позиционирование" colHeaderCaption="Год">
  <location ref="B2:I7" firstHeaderRow="1" firstDataRow="2" firstDataCol="1"/>
  <pivotFields count="10">
    <pivotField showAll="0"/>
    <pivotField showAll="0"/>
    <pivotField axis="axisRow" showAll="0" sortType="descending">
      <items count="5">
        <item h="1"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 sortType="descending">
      <items count="9">
        <item sd="0" x="6"/>
        <item sd="0" x="5"/>
        <item sd="0" x="4"/>
        <item sd="0" x="3"/>
        <item sd="0" x="2"/>
        <item sd="0" x="1"/>
        <item sd="0" x="7"/>
        <item sd="0" x="0"/>
        <item t="default"/>
      </items>
    </pivotField>
  </pivotFields>
  <rowFields count="1">
    <field x="2"/>
  </rowFields>
  <rowItems count="4">
    <i>
      <x v="2"/>
    </i>
    <i>
      <x v="1"/>
    </i>
    <i>
      <x v="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." fld="6" showDataAs="percentOfCol" baseField="2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DB6E9-2D89-4B9D-8FB2-569B119290AE}" name="Сводная таблица29" cacheId="0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Позиционирование" colHeaderCaption="Год">
  <location ref="Z4:AA41" firstHeaderRow="1" firstDataRow="1" firstDataCol="1" rowPageCount="1" colPageCount="1"/>
  <pivotFields count="10">
    <pivotField axis="axisRow" showAll="0" sortType="descending">
      <items count="51">
        <item x="35"/>
        <item x="34"/>
        <item x="33"/>
        <item x="32"/>
        <item x="42"/>
        <item x="40"/>
        <item x="31"/>
        <item x="30"/>
        <item x="29"/>
        <item x="49"/>
        <item x="39"/>
        <item x="28"/>
        <item x="27"/>
        <item x="48"/>
        <item x="41"/>
        <item x="37"/>
        <item x="47"/>
        <item x="38"/>
        <item x="46"/>
        <item x="26"/>
        <item x="25"/>
        <item x="24"/>
        <item x="23"/>
        <item x="22"/>
        <item x="45"/>
        <item x="21"/>
        <item x="20"/>
        <item x="19"/>
        <item x="18"/>
        <item x="17"/>
        <item x="16"/>
        <item x="15"/>
        <item x="14"/>
        <item x="13"/>
        <item x="12"/>
        <item x="44"/>
        <item x="11"/>
        <item x="10"/>
        <item x="9"/>
        <item x="8"/>
        <item x="7"/>
        <item x="6"/>
        <item x="5"/>
        <item x="36"/>
        <item x="43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5">
        <item h="1"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sortType="descending">
      <items count="9">
        <item sd="0" x="6"/>
        <item sd="0" x="5"/>
        <item sd="0" x="4"/>
        <item sd="0" x="3"/>
        <item sd="0" x="2"/>
        <item sd="0" x="1"/>
        <item sd="0" x="7"/>
        <item sd="0" x="0"/>
        <item t="default"/>
      </items>
    </pivotField>
  </pivotFields>
  <rowFields count="1">
    <field x="0"/>
  </rowFields>
  <rowItems count="37">
    <i>
      <x v="26"/>
    </i>
    <i>
      <x v="19"/>
    </i>
    <i>
      <x v="45"/>
    </i>
    <i>
      <x v="25"/>
    </i>
    <i>
      <x v="38"/>
    </i>
    <i>
      <x v="39"/>
    </i>
    <i>
      <x v="34"/>
    </i>
    <i>
      <x v="49"/>
    </i>
    <i>
      <x v="46"/>
    </i>
    <i>
      <x v="28"/>
    </i>
    <i>
      <x v="22"/>
    </i>
    <i>
      <x v="41"/>
    </i>
    <i>
      <x v="6"/>
    </i>
    <i>
      <x v="2"/>
    </i>
    <i>
      <x v="33"/>
    </i>
    <i>
      <x v="42"/>
    </i>
    <i>
      <x v="31"/>
    </i>
    <i>
      <x v="30"/>
    </i>
    <i>
      <x v="21"/>
    </i>
    <i>
      <x v="29"/>
    </i>
    <i>
      <x/>
    </i>
    <i>
      <x v="7"/>
    </i>
    <i>
      <x v="20"/>
    </i>
    <i>
      <x v="27"/>
    </i>
    <i>
      <x v="8"/>
    </i>
    <i>
      <x v="47"/>
    </i>
    <i>
      <x v="37"/>
    </i>
    <i>
      <x v="23"/>
    </i>
    <i>
      <x v="1"/>
    </i>
    <i>
      <x v="3"/>
    </i>
    <i>
      <x v="12"/>
    </i>
    <i>
      <x v="36"/>
    </i>
    <i>
      <x v="32"/>
    </i>
    <i>
      <x v="11"/>
    </i>
    <i>
      <x v="40"/>
    </i>
    <i>
      <x v="48"/>
    </i>
    <i t="grand">
      <x/>
    </i>
  </rowItems>
  <colItems count="1">
    <i/>
  </colItems>
  <pageFields count="1">
    <pageField fld="9" item="5" hier="-1"/>
  </pageFields>
  <dataFields count="1">
    <dataField name="." fld="6" showDataAs="percentOfCol" baseField="2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FA966A-C111-4025-9D4B-B2B2B53964FF}" name="Сводная таблица22" cacheId="0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Сборка в КЗ" colHeaderCaption="Год">
  <location ref="B9:I13" firstHeaderRow="1" firstDataRow="2" firstDataCol="1"/>
  <pivotFields count="10">
    <pivotField showAll="0"/>
    <pivotField showAll="0"/>
    <pivotField showAll="0" sortType="descending">
      <items count="5">
        <item h="1"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4">
        <item h="1" x="1"/>
        <item x="2"/>
        <item x="0"/>
        <item t="default"/>
      </items>
    </pivotField>
    <pivotField numFmtId="1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 sortType="descending">
      <items count="9">
        <item sd="0" x="6"/>
        <item sd="0" x="5"/>
        <item sd="0" x="4"/>
        <item sd="0" x="3"/>
        <item sd="0" x="2"/>
        <item sd="0" x="1"/>
        <item sd="0" x="7"/>
        <item sd="0" x="0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." fld="6" showDataAs="percentOfCol" baseField="2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BE1A2-464A-470D-8FFC-946EC062BD28}" name="Сводная таблица5" cacheId="0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Позиционирование" colHeaderCaption="Год">
  <location ref="B52:C56" firstHeaderRow="1" firstDataRow="1" firstDataCol="1" rowPageCount="2" colPageCount="1"/>
  <pivotFields count="10">
    <pivotField showAll="0"/>
    <pivotField showAll="0"/>
    <pivotField axis="axisRow" showAll="0" sortType="descending">
      <items count="5">
        <item h="1"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axis="axisPage" multipleItemSelectionAllowed="1" showAll="0">
      <items count="15">
        <item h="1" sd="0" x="0"/>
        <item sd="0" x="1"/>
        <item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sortType="descending">
      <items count="9">
        <item sd="0" x="6"/>
        <item sd="0" x="5"/>
        <item sd="0" x="4"/>
        <item sd="0" x="3"/>
        <item sd="0" x="2"/>
        <item sd="0" x="1"/>
        <item sd="0" x="7"/>
        <item sd="0" x="0"/>
        <item t="default"/>
      </items>
    </pivotField>
  </pivotFields>
  <rowFields count="1">
    <field x="2"/>
  </rowFields>
  <rowItems count="4">
    <i>
      <x v="2"/>
    </i>
    <i>
      <x v="1"/>
    </i>
    <i>
      <x v="3"/>
    </i>
    <i t="grand">
      <x/>
    </i>
  </rowItems>
  <colItems count="1">
    <i/>
  </colItems>
  <pageFields count="2">
    <pageField fld="9" item="2" hier="-1"/>
    <pageField fld="7" hier="-1"/>
  </pageFields>
  <dataFields count="1">
    <dataField name="." fld="6" baseField="2" baseItem="2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B1ACF-E517-4763-A9F1-5105CFDCA4E5}" name="Сводная таблица25" cacheId="0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Позиционирование" colHeaderCaption="Год">
  <location ref="N4:O42" firstHeaderRow="1" firstDataRow="1" firstDataCol="1" rowPageCount="1" colPageCount="1"/>
  <pivotFields count="10">
    <pivotField axis="axisRow" showAll="0" sortType="descending">
      <items count="51">
        <item x="35"/>
        <item x="34"/>
        <item x="33"/>
        <item x="32"/>
        <item x="42"/>
        <item x="40"/>
        <item x="31"/>
        <item x="30"/>
        <item x="29"/>
        <item x="49"/>
        <item x="39"/>
        <item x="28"/>
        <item x="27"/>
        <item x="48"/>
        <item x="41"/>
        <item x="37"/>
        <item x="47"/>
        <item x="38"/>
        <item x="46"/>
        <item x="26"/>
        <item x="25"/>
        <item x="24"/>
        <item x="23"/>
        <item x="22"/>
        <item x="45"/>
        <item x="21"/>
        <item x="20"/>
        <item x="19"/>
        <item x="18"/>
        <item x="17"/>
        <item x="16"/>
        <item x="15"/>
        <item x="14"/>
        <item x="13"/>
        <item x="12"/>
        <item x="44"/>
        <item x="11"/>
        <item x="10"/>
        <item x="9"/>
        <item x="8"/>
        <item x="7"/>
        <item x="6"/>
        <item x="5"/>
        <item x="36"/>
        <item x="43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5">
        <item h="1"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sortType="descending">
      <items count="9">
        <item sd="0" x="6"/>
        <item sd="0" x="5"/>
        <item sd="0" x="4"/>
        <item sd="0" x="3"/>
        <item sd="0" x="2"/>
        <item sd="0" x="1"/>
        <item sd="0" x="7"/>
        <item sd="0" x="0"/>
        <item t="default"/>
      </items>
    </pivotField>
  </pivotFields>
  <rowFields count="1">
    <field x="0"/>
  </rowFields>
  <rowItems count="38">
    <i>
      <x v="19"/>
    </i>
    <i>
      <x v="6"/>
    </i>
    <i>
      <x v="25"/>
    </i>
    <i>
      <x v="5"/>
    </i>
    <i>
      <x v="45"/>
    </i>
    <i>
      <x v="22"/>
    </i>
    <i>
      <x v="17"/>
    </i>
    <i>
      <x v="4"/>
    </i>
    <i>
      <x v="24"/>
    </i>
    <i>
      <x v="9"/>
    </i>
    <i>
      <x v="14"/>
    </i>
    <i>
      <x v="28"/>
    </i>
    <i>
      <x v="26"/>
    </i>
    <i>
      <x v="42"/>
    </i>
    <i>
      <x v="35"/>
    </i>
    <i>
      <x v="2"/>
    </i>
    <i>
      <x v="44"/>
    </i>
    <i>
      <x v="31"/>
    </i>
    <i>
      <x v="1"/>
    </i>
    <i>
      <x v="33"/>
    </i>
    <i>
      <x v="49"/>
    </i>
    <i>
      <x v="37"/>
    </i>
    <i>
      <x v="27"/>
    </i>
    <i>
      <x v="10"/>
    </i>
    <i>
      <x v="3"/>
    </i>
    <i>
      <x v="16"/>
    </i>
    <i>
      <x v="20"/>
    </i>
    <i>
      <x v="46"/>
    </i>
    <i>
      <x v="13"/>
    </i>
    <i>
      <x v="18"/>
    </i>
    <i>
      <x v="7"/>
    </i>
    <i>
      <x v="8"/>
    </i>
    <i>
      <x v="23"/>
    </i>
    <i>
      <x v="12"/>
    </i>
    <i>
      <x v="32"/>
    </i>
    <i>
      <x v="34"/>
    </i>
    <i>
      <x v="15"/>
    </i>
    <i t="grand">
      <x/>
    </i>
  </rowItems>
  <colItems count="1">
    <i/>
  </colItems>
  <pageFields count="1">
    <pageField fld="9" item="1" hier="-1"/>
  </pageFields>
  <dataFields count="1">
    <dataField name="." fld="6" showDataAs="percentOfCol" baseField="2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4D1C8A-42BD-450C-9CBC-18EE8809EE3F}" name="Сводная таблица27" cacheId="0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Позиционирование" colHeaderCaption="Год">
  <location ref="T4:U39" firstHeaderRow="1" firstDataRow="1" firstDataCol="1" rowPageCount="1" colPageCount="1"/>
  <pivotFields count="10">
    <pivotField axis="axisRow" showAll="0" sortType="descending">
      <items count="51">
        <item x="35"/>
        <item x="34"/>
        <item x="33"/>
        <item x="32"/>
        <item x="42"/>
        <item x="40"/>
        <item x="31"/>
        <item x="30"/>
        <item x="29"/>
        <item x="49"/>
        <item x="39"/>
        <item x="28"/>
        <item x="27"/>
        <item x="48"/>
        <item x="41"/>
        <item x="37"/>
        <item x="47"/>
        <item x="38"/>
        <item x="46"/>
        <item x="26"/>
        <item x="25"/>
        <item x="24"/>
        <item x="23"/>
        <item x="22"/>
        <item x="45"/>
        <item x="21"/>
        <item x="20"/>
        <item x="19"/>
        <item x="18"/>
        <item x="17"/>
        <item x="16"/>
        <item x="15"/>
        <item x="14"/>
        <item x="13"/>
        <item x="12"/>
        <item x="44"/>
        <item x="11"/>
        <item x="10"/>
        <item x="9"/>
        <item x="8"/>
        <item x="7"/>
        <item x="6"/>
        <item x="5"/>
        <item x="36"/>
        <item x="43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5">
        <item h="1"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sortType="descending">
      <items count="9">
        <item sd="0" x="6"/>
        <item sd="0" x="5"/>
        <item sd="0" x="4"/>
        <item sd="0" x="3"/>
        <item sd="0" x="2"/>
        <item sd="0" x="1"/>
        <item sd="0" x="7"/>
        <item sd="0" x="0"/>
        <item t="default"/>
      </items>
    </pivotField>
  </pivotFields>
  <rowFields count="1">
    <field x="0"/>
  </rowFields>
  <rowItems count="35">
    <i>
      <x v="6"/>
    </i>
    <i>
      <x v="19"/>
    </i>
    <i>
      <x v="45"/>
    </i>
    <i>
      <x v="25"/>
    </i>
    <i>
      <x v="26"/>
    </i>
    <i>
      <x v="46"/>
    </i>
    <i>
      <x v="34"/>
    </i>
    <i>
      <x v="22"/>
    </i>
    <i>
      <x v="39"/>
    </i>
    <i>
      <x v="28"/>
    </i>
    <i>
      <x v="49"/>
    </i>
    <i>
      <x v="2"/>
    </i>
    <i>
      <x v="33"/>
    </i>
    <i>
      <x v="17"/>
    </i>
    <i>
      <x v="42"/>
    </i>
    <i>
      <x v="31"/>
    </i>
    <i>
      <x v="48"/>
    </i>
    <i>
      <x v="30"/>
    </i>
    <i>
      <x v="20"/>
    </i>
    <i>
      <x v="41"/>
    </i>
    <i>
      <x v="27"/>
    </i>
    <i>
      <x v="1"/>
    </i>
    <i>
      <x v="3"/>
    </i>
    <i>
      <x v="37"/>
    </i>
    <i>
      <x v="21"/>
    </i>
    <i>
      <x v="47"/>
    </i>
    <i>
      <x v="23"/>
    </i>
    <i>
      <x v="32"/>
    </i>
    <i>
      <x v="5"/>
    </i>
    <i>
      <x v="38"/>
    </i>
    <i>
      <x v="8"/>
    </i>
    <i>
      <x v="10"/>
    </i>
    <i>
      <x v="7"/>
    </i>
    <i>
      <x v="15"/>
    </i>
    <i t="grand">
      <x/>
    </i>
  </rowItems>
  <colItems count="1">
    <i/>
  </colItems>
  <pageFields count="1">
    <pageField fld="9" item="3" hier="-1"/>
  </pageFields>
  <dataFields count="1">
    <dataField name="." fld="6" showDataAs="percentOfCol" baseField="2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755332-BF02-48B0-B992-D3B9A2438611}" name="Сводная таблица23" cacheId="0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Сборка в КЗ" colHeaderCaption="Год">
  <location ref="B15:I28" firstHeaderRow="1" firstDataRow="2" firstDataCol="1"/>
  <pivotFields count="10">
    <pivotField showAll="0"/>
    <pivotField axis="axisRow" showAll="0" sortType="descending">
      <items count="13">
        <item h="1" x="1"/>
        <item x="6"/>
        <item x="3"/>
        <item x="9"/>
        <item x="10"/>
        <item x="0"/>
        <item x="11"/>
        <item x="8"/>
        <item x="7"/>
        <item x="5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h="1"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h="1" x="1"/>
        <item x="2"/>
        <item x="0"/>
        <item t="default"/>
      </items>
    </pivotField>
    <pivotField numFmtId="1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 sortType="descending">
      <items count="9">
        <item sd="0" x="6"/>
        <item sd="0" x="5"/>
        <item sd="0" x="4"/>
        <item sd="0" x="3"/>
        <item sd="0" x="2"/>
        <item sd="0" x="1"/>
        <item sd="0" x="7"/>
        <item sd="0" x="0"/>
        <item t="default"/>
      </items>
    </pivotField>
  </pivotFields>
  <rowFields count="1">
    <field x="1"/>
  </rowFields>
  <rowItems count="12">
    <i>
      <x v="4"/>
    </i>
    <i>
      <x v="6"/>
    </i>
    <i>
      <x v="11"/>
    </i>
    <i>
      <x v="3"/>
    </i>
    <i>
      <x v="5"/>
    </i>
    <i>
      <x v="2"/>
    </i>
    <i>
      <x v="7"/>
    </i>
    <i>
      <x v="8"/>
    </i>
    <i>
      <x v="1"/>
    </i>
    <i>
      <x v="9"/>
    </i>
    <i>
      <x v="1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." fld="6" showDataAs="percentOfCol" baseField="2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3A42A-2A48-4564-B937-C7FEBF99064F}" name="Сводная таблица28" cacheId="0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Позиционирование" colHeaderCaption="Год">
  <location ref="W4:X38" firstHeaderRow="1" firstDataRow="1" firstDataCol="1" rowPageCount="1" colPageCount="1"/>
  <pivotFields count="10">
    <pivotField axis="axisRow" showAll="0" sortType="descending">
      <items count="51">
        <item x="35"/>
        <item x="34"/>
        <item x="33"/>
        <item x="32"/>
        <item x="42"/>
        <item x="40"/>
        <item x="31"/>
        <item x="30"/>
        <item x="29"/>
        <item x="49"/>
        <item x="39"/>
        <item x="28"/>
        <item x="27"/>
        <item x="48"/>
        <item x="41"/>
        <item x="37"/>
        <item x="47"/>
        <item x="38"/>
        <item x="46"/>
        <item x="26"/>
        <item x="25"/>
        <item x="24"/>
        <item x="23"/>
        <item x="22"/>
        <item x="45"/>
        <item x="21"/>
        <item x="20"/>
        <item x="19"/>
        <item x="18"/>
        <item x="17"/>
        <item x="16"/>
        <item x="15"/>
        <item x="14"/>
        <item x="13"/>
        <item x="12"/>
        <item x="44"/>
        <item x="11"/>
        <item x="10"/>
        <item x="9"/>
        <item x="8"/>
        <item x="7"/>
        <item x="6"/>
        <item x="5"/>
        <item x="36"/>
        <item x="43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5">
        <item h="1"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sortType="descending">
      <items count="9">
        <item sd="0" x="6"/>
        <item sd="0" x="5"/>
        <item sd="0" x="4"/>
        <item sd="0" x="3"/>
        <item sd="0" x="2"/>
        <item sd="0" x="1"/>
        <item sd="0" x="7"/>
        <item sd="0" x="0"/>
        <item t="default"/>
      </items>
    </pivotField>
  </pivotFields>
  <rowFields count="1">
    <field x="0"/>
  </rowFields>
  <rowItems count="34">
    <i>
      <x v="19"/>
    </i>
    <i>
      <x v="26"/>
    </i>
    <i>
      <x v="45"/>
    </i>
    <i>
      <x v="6"/>
    </i>
    <i>
      <x v="38"/>
    </i>
    <i>
      <x v="25"/>
    </i>
    <i>
      <x v="39"/>
    </i>
    <i>
      <x v="46"/>
    </i>
    <i>
      <x v="22"/>
    </i>
    <i>
      <x v="34"/>
    </i>
    <i>
      <x v="49"/>
    </i>
    <i>
      <x v="28"/>
    </i>
    <i>
      <x v="2"/>
    </i>
    <i>
      <x v="33"/>
    </i>
    <i>
      <x v="42"/>
    </i>
    <i>
      <x v="31"/>
    </i>
    <i>
      <x v="30"/>
    </i>
    <i>
      <x v="41"/>
    </i>
    <i>
      <x v="20"/>
    </i>
    <i>
      <x v="27"/>
    </i>
    <i>
      <x v="21"/>
    </i>
    <i>
      <x v="37"/>
    </i>
    <i>
      <x v="1"/>
    </i>
    <i>
      <x v="3"/>
    </i>
    <i>
      <x v="48"/>
    </i>
    <i>
      <x v="23"/>
    </i>
    <i>
      <x v="47"/>
    </i>
    <i>
      <x v="8"/>
    </i>
    <i>
      <x v="7"/>
    </i>
    <i>
      <x v="32"/>
    </i>
    <i>
      <x v="43"/>
    </i>
    <i>
      <x v="15"/>
    </i>
    <i>
      <x v="12"/>
    </i>
    <i t="grand">
      <x/>
    </i>
  </rowItems>
  <colItems count="1">
    <i/>
  </colItems>
  <pageFields count="1">
    <pageField fld="9" item="4" hier="-1"/>
  </pageFields>
  <dataFields count="1">
    <dataField name="." fld="6" showDataAs="percentOfCol" baseField="2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1ECC4-6353-43D3-83D2-53B406083BF3}" name="Сводная таблица8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Rows" colHeaderCaption="Год">
  <location ref="K10:Q16" firstHeaderRow="1" firstDataRow="2" firstDataCol="1"/>
  <pivotFields count="26">
    <pivotField showAll="0"/>
    <pivotField showAll="0"/>
    <pivotField showAll="0"/>
    <pivotField numFmtId="1" showAll="0">
      <items count="23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  <item t="default"/>
      </items>
    </pivotField>
    <pivotField numFmtId="1" showAll="0"/>
    <pivotField numFmtId="165" showAll="0"/>
    <pivotField showAll="0"/>
    <pivotField showAll="0"/>
    <pivotField showAll="0"/>
    <pivotField showAll="0"/>
    <pivotField axis="axisRow" showAll="0">
      <items count="28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  <item t="default"/>
      </items>
    </pivotField>
    <pivotField showAll="0">
      <items count="21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  <item t="default"/>
      </items>
    </pivotField>
    <pivotField axis="axisCol" showAll="0" sortType="descending">
      <items count="6">
        <item x="0"/>
        <item x="1"/>
        <item x="2"/>
        <item x="3"/>
        <item x="4"/>
        <item t="default"/>
      </items>
    </pivotField>
    <pivotField dataField="1" showAll="0"/>
    <pivotField numFmtId="166" showAll="0">
      <items count="88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  <item t="default"/>
      </items>
    </pivotField>
    <pivotField numFmtId="43" showAll="0"/>
    <pivotField numFmtId="43" showAll="0"/>
    <pivotField numFmtId="43" showAll="0"/>
    <pivotField numFmtId="166" showAll="0"/>
    <pivotField numFmtId="166" showAll="0"/>
    <pivotField axis="axisRow" showAll="0">
      <items count="5">
        <item n="до 100 л.с." sd="0" x="3"/>
        <item n="от 100 до 150 л.с." sd="0" x="2"/>
        <item n="от 150 до 250 л.с." sd="0" x="1"/>
        <item n="от 250 л.с." sd="0" x="0"/>
        <item t="default"/>
      </items>
    </pivotField>
    <pivotField showAll="0">
      <items count="6">
        <item x="0"/>
        <item x="1"/>
        <item x="4"/>
        <item x="3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20"/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." fld="13" showDataAs="percentOfCol" baseField="8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71D86C-8C14-4707-BC89-C96A4E01F64D}" name="Сводная таблица34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Rows" colHeaderCaption="Год">
  <location ref="B123:H125" firstHeaderRow="1" firstDataRow="2" firstDataCol="1"/>
  <pivotFields count="26">
    <pivotField showAll="0"/>
    <pivotField showAll="0"/>
    <pivotField showAll="0"/>
    <pivotField numFmtId="1" showAll="0">
      <items count="23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  <item t="default"/>
      </items>
    </pivotField>
    <pivotField numFmtId="1" showAll="0"/>
    <pivotField numFmtId="165" showAll="0"/>
    <pivotField showAll="0"/>
    <pivotField showAll="0"/>
    <pivotField showAll="0"/>
    <pivotField showAll="0"/>
    <pivotField showAll="0">
      <items count="28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  <item t="default"/>
      </items>
    </pivotField>
    <pivotField showAll="0">
      <items count="21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  <item t="default"/>
      </items>
    </pivotField>
    <pivotField axis="axisCol" showAll="0" sortType="descending">
      <items count="6">
        <item x="0"/>
        <item x="1"/>
        <item x="2"/>
        <item x="3"/>
        <item x="4"/>
        <item t="default"/>
      </items>
    </pivotField>
    <pivotField showAll="0"/>
    <pivotField numFmtId="166" showAll="0">
      <items count="88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  <item t="default"/>
      </items>
    </pivotField>
    <pivotField numFmtId="43" showAll="0"/>
    <pivotField numFmtId="43" showAll="0"/>
    <pivotField numFmtId="43" showAll="0"/>
    <pivotField numFmtId="166" showAll="0"/>
    <pivotField dataField="1" numFmtId="166" showAll="0"/>
    <pivotField showAll="0">
      <items count="5">
        <item x="3"/>
        <item x="2"/>
        <item x="1"/>
        <item x="0"/>
        <item t="default"/>
      </items>
    </pivotField>
    <pivotField showAll="0">
      <items count="6">
        <item n="до 10K$" sd="0" x="0"/>
        <item n="от 10К до 15K$" sd="0" x="1"/>
        <item n="от 15К до 20K$" sd="0" x="4"/>
        <item n="от 20К до 25K$" sd="0" x="3"/>
        <item n="от 25K$" sd="0" x="2"/>
        <item t="default" sd="0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n="до 10 млн. ₸ " sd="0" x="0"/>
        <item n="от 10 до 15 млн. ₸ " sd="0" x="1"/>
        <item n="от 15 до 20 млн. ₸ " sd="0" x="2"/>
        <item n="от 20 до 40 млн. ₸ " sd="0" x="3"/>
        <item n="от 40 млн. ₸ "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Объем рынка млрд. ₸" fld="19" baseField="12" baseItem="1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CB47F-05F5-46C7-8FE1-62EA80CABCD6}" name="Сводная таблица30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Rows" colHeaderCaption="Год">
  <location ref="K55:Q65" firstHeaderRow="1" firstDataRow="2" firstDataCol="1"/>
  <pivotFields count="26"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9">
        <item x="0"/>
        <item x="4"/>
        <item x="2"/>
        <item x="6"/>
        <item x="1"/>
        <item x="7"/>
        <item x="3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>
      <items count="23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  <item t="default"/>
      </items>
    </pivotField>
    <pivotField numFmtId="1" showAll="0"/>
    <pivotField numFmtId="165" showAll="0"/>
    <pivotField showAll="0"/>
    <pivotField showAll="0"/>
    <pivotField showAll="0"/>
    <pivotField showAll="0"/>
    <pivotField showAll="0">
      <items count="28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  <item t="default"/>
      </items>
    </pivotField>
    <pivotField showAll="0">
      <items count="21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  <item t="default"/>
      </items>
    </pivotField>
    <pivotField axis="axisCol" showAll="0" sortType="descending">
      <items count="6">
        <item x="0"/>
        <item x="1"/>
        <item x="2"/>
        <item x="3"/>
        <item x="4"/>
        <item t="default"/>
      </items>
    </pivotField>
    <pivotField dataField="1" showAll="0"/>
    <pivotField numFmtId="166" showAll="0">
      <items count="88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  <item t="default"/>
      </items>
    </pivotField>
    <pivotField numFmtId="43" showAll="0"/>
    <pivotField numFmtId="43" showAll="0"/>
    <pivotField numFmtId="43" showAll="0"/>
    <pivotField numFmtId="166" showAll="0"/>
    <pivotField numFmtId="166" showAll="0"/>
    <pivotField showAll="0">
      <items count="5">
        <item x="3"/>
        <item x="2"/>
        <item x="1"/>
        <item x="0"/>
        <item t="default"/>
      </items>
    </pivotField>
    <pivotField showAll="0">
      <items count="6">
        <item x="0"/>
        <item x="1"/>
        <item x="4"/>
        <item x="3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9">
    <i>
      <x v="4"/>
    </i>
    <i>
      <x/>
    </i>
    <i>
      <x v="6"/>
    </i>
    <i>
      <x v="1"/>
    </i>
    <i>
      <x v="5"/>
    </i>
    <i>
      <x v="3"/>
    </i>
    <i>
      <x v="2"/>
    </i>
    <i>
      <x v="7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." fld="13" showDataAs="percentOfCol" baseField="8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D178F-7646-49DB-8825-14DF3956A63F}" name="Сводная таблица2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Rows" colHeaderCaption="Год">
  <location ref="K126:Q136" firstHeaderRow="1" firstDataRow="2" firstDataCol="1" rowPageCount="1" colPageCount="1"/>
  <pivotFields count="26"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9">
        <item x="0"/>
        <item x="4"/>
        <item x="2"/>
        <item x="6"/>
        <item x="1"/>
        <item x="7"/>
        <item x="3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>
      <items count="23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  <item t="default"/>
      </items>
    </pivotField>
    <pivotField numFmtId="1" showAll="0"/>
    <pivotField numFmtId="165" showAll="0"/>
    <pivotField axis="axisPage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>
      <items count="28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  <item t="default"/>
      </items>
    </pivotField>
    <pivotField showAll="0">
      <items count="21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  <item t="default"/>
      </items>
    </pivotField>
    <pivotField axis="axisCol" showAll="0" sortType="descending">
      <items count="6">
        <item x="0"/>
        <item x="1"/>
        <item x="2"/>
        <item x="3"/>
        <item x="4"/>
        <item t="default"/>
      </items>
    </pivotField>
    <pivotField dataField="1" showAll="0"/>
    <pivotField numFmtId="166" showAll="0">
      <items count="88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  <item t="default"/>
      </items>
    </pivotField>
    <pivotField numFmtId="43" showAll="0"/>
    <pivotField numFmtId="43" showAll="0"/>
    <pivotField numFmtId="43" showAll="0"/>
    <pivotField numFmtId="166" showAll="0"/>
    <pivotField numFmtId="166" showAll="0"/>
    <pivotField showAll="0">
      <items count="5">
        <item x="3"/>
        <item x="2"/>
        <item x="1"/>
        <item x="0"/>
        <item t="default"/>
      </items>
    </pivotField>
    <pivotField showAll="0">
      <items count="6">
        <item x="0"/>
        <item x="1"/>
        <item x="4"/>
        <item x="3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9">
    <i>
      <x v="4"/>
    </i>
    <i>
      <x/>
    </i>
    <i>
      <x v="6"/>
    </i>
    <i>
      <x v="1"/>
    </i>
    <i>
      <x v="5"/>
    </i>
    <i>
      <x v="3"/>
    </i>
    <i>
      <x v="2"/>
    </i>
    <i>
      <x v="7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." fld="13" showDataAs="percentOfCol" baseField="8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6F363-5750-40A8-BE56-D537E962AF91}" name="Сводная таблица35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Rows" colHeaderCaption="Год">
  <location ref="B129:H131" firstHeaderRow="1" firstDataRow="2" firstDataCol="1"/>
  <pivotFields count="26">
    <pivotField showAll="0"/>
    <pivotField showAll="0"/>
    <pivotField showAll="0"/>
    <pivotField numFmtId="1" showAll="0">
      <items count="23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  <item t="default"/>
      </items>
    </pivotField>
    <pivotField numFmtId="1" showAll="0"/>
    <pivotField numFmtId="165" showAll="0"/>
    <pivotField showAll="0"/>
    <pivotField showAll="0"/>
    <pivotField showAll="0"/>
    <pivotField showAll="0"/>
    <pivotField showAll="0">
      <items count="28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  <item t="default"/>
      </items>
    </pivotField>
    <pivotField showAll="0">
      <items count="21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  <item t="default"/>
      </items>
    </pivotField>
    <pivotField axis="axisCol" showAll="0" sortType="descending">
      <items count="6">
        <item x="0"/>
        <item x="1"/>
        <item x="2"/>
        <item x="3"/>
        <item x="4"/>
        <item t="default"/>
      </items>
    </pivotField>
    <pivotField showAll="0"/>
    <pivotField numFmtId="166" showAll="0">
      <items count="88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  <item t="default"/>
      </items>
    </pivotField>
    <pivotField numFmtId="43" showAll="0"/>
    <pivotField numFmtId="43" showAll="0"/>
    <pivotField numFmtId="43" showAll="0"/>
    <pivotField dataField="1" numFmtId="166" showAll="0"/>
    <pivotField numFmtId="166" showAll="0"/>
    <pivotField showAll="0">
      <items count="5">
        <item x="3"/>
        <item x="2"/>
        <item x="1"/>
        <item x="0"/>
        <item t="default"/>
      </items>
    </pivotField>
    <pivotField showAll="0">
      <items count="6">
        <item n="до 10K$" sd="0" x="0"/>
        <item n="от 10К до 15K$" sd="0" x="1"/>
        <item n="от 15К до 20K$" sd="0" x="4"/>
        <item n="от 20К до 25K$" sd="0" x="3"/>
        <item n="от 25K$" sd="0" x="2"/>
        <item t="default" sd="0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n="до 10 млн. ₸ " sd="0" x="0"/>
        <item n="от 10 до 15 млн. ₸ " sd="0" x="1"/>
        <item n="от 15 до 20 млн. ₸ " sd="0" x="2"/>
        <item n="от 20 до 40 млн. ₸ " sd="0" x="3"/>
        <item n="от 40 млн. ₸ "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Объем рынка в млн. USD (local)" fld="18" baseField="12" baseItem="1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71689-E9A4-49A1-8614-BE4C9D074EA9}" name="Сводная таблица33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Rows" colHeaderCaption="Год">
  <location ref="K103:Q110" firstHeaderRow="1" firstDataRow="2" firstDataCol="1"/>
  <pivotFields count="26">
    <pivotField showAll="0"/>
    <pivotField showAll="0"/>
    <pivotField showAll="0"/>
    <pivotField numFmtId="1" showAll="0">
      <items count="23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  <item t="default"/>
      </items>
    </pivotField>
    <pivotField numFmtId="1" showAll="0"/>
    <pivotField numFmtId="165" showAll="0"/>
    <pivotField showAll="0"/>
    <pivotField showAll="0"/>
    <pivotField showAll="0"/>
    <pivotField showAll="0"/>
    <pivotField showAll="0">
      <items count="28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  <item t="default"/>
      </items>
    </pivotField>
    <pivotField showAll="0">
      <items count="21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  <item t="default"/>
      </items>
    </pivotField>
    <pivotField axis="axisCol" showAll="0" sortType="descending">
      <items count="6">
        <item x="0"/>
        <item x="1"/>
        <item x="2"/>
        <item x="3"/>
        <item x="4"/>
        <item t="default"/>
      </items>
    </pivotField>
    <pivotField dataField="1" showAll="0"/>
    <pivotField axis="axisRow" numFmtId="166" showAll="0">
      <items count="88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  <item t="default"/>
      </items>
    </pivotField>
    <pivotField numFmtId="43" showAll="0"/>
    <pivotField numFmtId="43" showAll="0"/>
    <pivotField numFmtId="43" showAll="0"/>
    <pivotField numFmtId="166" showAll="0"/>
    <pivotField numFmtId="166" showAll="0"/>
    <pivotField showAll="0">
      <items count="5">
        <item x="3"/>
        <item x="2"/>
        <item x="1"/>
        <item x="0"/>
        <item t="default"/>
      </items>
    </pivotField>
    <pivotField showAll="0">
      <items count="6">
        <item n="до 10K$" sd="0" x="0"/>
        <item n="от 10К до 15K$" sd="0" x="1"/>
        <item n="от 15К до 20K$" sd="0" x="4"/>
        <item n="от 20К до 25K$" sd="0" x="3"/>
        <item n="от 25K$" sd="0" x="2"/>
        <item t="default" sd="0"/>
      </items>
    </pivotField>
    <pivotField showAll="0">
      <items count="4">
        <item x="0"/>
        <item x="1"/>
        <item x="2"/>
        <item t="default"/>
      </items>
    </pivotField>
    <pivotField axis="axisRow" showAll="0">
      <items count="6">
        <item n="до 10 млн. ₸ " sd="0" x="0"/>
        <item n="от 10 до 15 млн. ₸ " sd="0" x="1"/>
        <item n="от 15 до 20 млн. ₸ " sd="0" x="2"/>
        <item n="от 20 до 40 млн. ₸ " sd="0" x="3"/>
        <item n="от 40 млн. ₸ "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." fld="13" showDataAs="percentOfCol" baseField="8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90FFA-9162-435B-A65B-914EAD4AB60D}" name="Сводная таблица9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Rows" colHeaderCaption="Год">
  <location ref="B10:H17" firstHeaderRow="1" firstDataRow="2" firstDataCol="1"/>
  <pivotFields count="26">
    <pivotField showAll="0"/>
    <pivotField showAll="0"/>
    <pivotField showAll="0"/>
    <pivotField axis="axisRow" numFmtId="1" showAll="0">
      <items count="23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  <item t="default"/>
      </items>
    </pivotField>
    <pivotField numFmtId="1" showAll="0"/>
    <pivotField numFmtId="165" showAll="0"/>
    <pivotField showAll="0"/>
    <pivotField showAll="0"/>
    <pivotField showAll="0"/>
    <pivotField showAll="0"/>
    <pivotField showAll="0">
      <items count="28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  <item t="default"/>
      </items>
    </pivotField>
    <pivotField showAll="0">
      <items count="21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  <item t="default"/>
      </items>
    </pivotField>
    <pivotField axis="axisCol" showAll="0" sortType="descending">
      <items count="6">
        <item x="0"/>
        <item x="1"/>
        <item x="2"/>
        <item x="3"/>
        <item x="4"/>
        <item t="default"/>
      </items>
    </pivotField>
    <pivotField dataField="1" showAll="0"/>
    <pivotField numFmtId="166" showAll="0">
      <items count="88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  <item t="default"/>
      </items>
    </pivotField>
    <pivotField numFmtId="43" showAll="0"/>
    <pivotField numFmtId="43" showAll="0"/>
    <pivotField numFmtId="43" showAll="0"/>
    <pivotField numFmtId="166" showAll="0"/>
    <pivotField numFmtId="166" showAll="0"/>
    <pivotField showAll="0">
      <items count="5">
        <item x="3"/>
        <item x="2"/>
        <item x="1"/>
        <item x="0"/>
        <item t="default"/>
      </items>
    </pivotField>
    <pivotField axis="axisRow" showAll="0">
      <items count="6">
        <item n="до 10K$" sd="0" x="0"/>
        <item n="от 10К до 15K$" sd="0" x="1"/>
        <item n="от 15К до 20K$" sd="0" x="4"/>
        <item n="от 20К до 25K$" sd="0" x="3"/>
        <item n="от 25K$" sd="0" x="2"/>
        <item t="default" sd="0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21"/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." fld="13" showDataAs="percentOfCol" baseField="8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FFF5E-00CB-432B-A779-F826E33DE336}" name="Сводная таблица32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Rows" colHeaderCaption="Год">
  <location ref="K77:Q82" firstHeaderRow="1" firstDataRow="2" firstDataCol="1"/>
  <pivotFields count="26"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>
      <items count="23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  <item t="default"/>
      </items>
    </pivotField>
    <pivotField numFmtId="1" showAll="0"/>
    <pivotField numFmtId="165" showAll="0"/>
    <pivotField showAll="0"/>
    <pivotField showAll="0"/>
    <pivotField showAll="0"/>
    <pivotField showAll="0"/>
    <pivotField showAll="0">
      <items count="28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  <item t="default"/>
      </items>
    </pivotField>
    <pivotField axis="axisRow" showAll="0" sortType="ascending">
      <items count="21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  <item t="default"/>
      </items>
    </pivotField>
    <pivotField axis="axisCol" showAll="0" sortType="descending">
      <items count="6">
        <item x="0"/>
        <item x="1"/>
        <item x="2"/>
        <item x="3"/>
        <item x="4"/>
        <item t="default"/>
      </items>
    </pivotField>
    <pivotField dataField="1" showAll="0"/>
    <pivotField numFmtId="166" showAll="0">
      <items count="88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  <item t="default"/>
      </items>
    </pivotField>
    <pivotField numFmtId="43" showAll="0"/>
    <pivotField numFmtId="43" showAll="0"/>
    <pivotField numFmtId="43" showAll="0"/>
    <pivotField numFmtId="166" showAll="0"/>
    <pivotField numFmtId="166" showAll="0"/>
    <pivotField showAll="0">
      <items count="5">
        <item x="3"/>
        <item x="2"/>
        <item x="1"/>
        <item x="0"/>
        <item t="default"/>
      </items>
    </pivotField>
    <pivotField showAll="0">
      <items count="6">
        <item x="0"/>
        <item x="1"/>
        <item x="4"/>
        <item x="3"/>
        <item x="2"/>
        <item t="default"/>
      </items>
    </pivotField>
    <pivotField axis="axisRow" showAll="0">
      <items count="4">
        <item n="до 10 л/км" sd="0" x="0"/>
        <item n="от 10 до 15 л/км" sd="0" x="1"/>
        <item n="от 15 л/км" sd="0" x="2"/>
        <item t="default" sd="0"/>
      </items>
    </pivotField>
    <pivotField showAll="0">
      <items count="6">
        <item x="0"/>
        <item x="1"/>
        <item x="2"/>
        <item x="3"/>
        <item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22"/>
    <field x="11"/>
  </rowFields>
  <rowItems count="4">
    <i>
      <x/>
    </i>
    <i>
      <x v="1"/>
    </i>
    <i>
      <x v="2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." fld="13" showDataAs="percentOfCol" baseField="8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957FE-5C94-4D93-BB78-4AAD65623C62}" name="Сводная таблица31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Rows" colHeaderCaption="Год">
  <location ref="K68:Q73" firstHeaderRow="1" firstDataRow="2" firstDataCol="1"/>
  <pivotFields count="26"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>
      <items count="23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  <item t="default"/>
      </items>
    </pivotField>
    <pivotField numFmtId="1" showAll="0"/>
    <pivotField numFmtId="165"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>
      <items count="28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  <item t="default"/>
      </items>
    </pivotField>
    <pivotField showAll="0">
      <items count="21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  <item t="default"/>
      </items>
    </pivotField>
    <pivotField axis="axisCol" showAll="0" sortType="descending">
      <items count="6">
        <item x="0"/>
        <item x="1"/>
        <item x="2"/>
        <item x="3"/>
        <item x="4"/>
        <item t="default"/>
      </items>
    </pivotField>
    <pivotField dataField="1" showAll="0"/>
    <pivotField numFmtId="166" showAll="0">
      <items count="88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  <item t="default"/>
      </items>
    </pivotField>
    <pivotField numFmtId="43" showAll="0"/>
    <pivotField numFmtId="43" showAll="0"/>
    <pivotField numFmtId="43" showAll="0"/>
    <pivotField numFmtId="166" showAll="0"/>
    <pivotField numFmtId="166" showAll="0"/>
    <pivotField showAll="0">
      <items count="5">
        <item x="3"/>
        <item x="2"/>
        <item x="1"/>
        <item x="0"/>
        <item t="default"/>
      </items>
    </pivotField>
    <pivotField showAll="0">
      <items count="6">
        <item x="0"/>
        <item x="1"/>
        <item x="4"/>
        <item x="3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." fld="13" showDataAs="percentOfCol" baseField="8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19324-0C61-4C8E-81A1-8FE848696E9F}" name="Сводная таблица12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Rows" colHeaderCaption="Год">
  <location ref="K26:Q51" firstHeaderRow="1" firstDataRow="2" firstDataCol="1"/>
  <pivotFields count="26">
    <pivotField axis="axisRow" showAll="0" sortType="descending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" showAll="0">
      <items count="23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  <item t="default"/>
      </items>
    </pivotField>
    <pivotField numFmtId="1" showAll="0"/>
    <pivotField numFmtId="165" showAll="0"/>
    <pivotField showAll="0"/>
    <pivotField showAll="0"/>
    <pivotField showAll="0"/>
    <pivotField showAll="0"/>
    <pivotField showAll="0">
      <items count="28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  <item t="default"/>
      </items>
    </pivotField>
    <pivotField showAll="0">
      <items count="21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  <item t="default"/>
      </items>
    </pivotField>
    <pivotField axis="axisCol" showAll="0" sortType="descending">
      <items count="6">
        <item x="0"/>
        <item x="1"/>
        <item x="2"/>
        <item x="3"/>
        <item x="4"/>
        <item t="default"/>
      </items>
    </pivotField>
    <pivotField dataField="1" showAll="0"/>
    <pivotField numFmtId="166" showAll="0">
      <items count="88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  <item t="default"/>
      </items>
    </pivotField>
    <pivotField numFmtId="43" showAll="0"/>
    <pivotField numFmtId="43" showAll="0"/>
    <pivotField numFmtId="43" showAll="0"/>
    <pivotField numFmtId="166" showAll="0"/>
    <pivotField numFmtId="166" showAll="0"/>
    <pivotField showAll="0">
      <items count="5">
        <item x="3"/>
        <item x="2"/>
        <item x="1"/>
        <item x="0"/>
        <item t="default"/>
      </items>
    </pivotField>
    <pivotField showAll="0">
      <items count="6">
        <item x="0"/>
        <item x="1"/>
        <item x="4"/>
        <item x="3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4">
    <i>
      <x v="6"/>
    </i>
    <i>
      <x v="3"/>
    </i>
    <i>
      <x v="9"/>
    </i>
    <i>
      <x v="20"/>
    </i>
    <i>
      <x v="10"/>
    </i>
    <i>
      <x v="2"/>
    </i>
    <i>
      <x v="7"/>
    </i>
    <i>
      <x v="16"/>
    </i>
    <i>
      <x v="5"/>
    </i>
    <i>
      <x v="17"/>
    </i>
    <i>
      <x v="14"/>
    </i>
    <i>
      <x v="11"/>
    </i>
    <i>
      <x v="21"/>
    </i>
    <i>
      <x v="22"/>
    </i>
    <i>
      <x v="1"/>
    </i>
    <i>
      <x v="8"/>
    </i>
    <i>
      <x v="19"/>
    </i>
    <i>
      <x v="13"/>
    </i>
    <i>
      <x v="4"/>
    </i>
    <i>
      <x/>
    </i>
    <i>
      <x v="15"/>
    </i>
    <i>
      <x v="18"/>
    </i>
    <i>
      <x v="12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." fld="13" showDataAs="percentOfCol" baseField="8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310BA-736A-48A8-AE98-3530DD45D16B}" name="Сводная таблица4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Rows" colHeaderCaption="Год">
  <location ref="B116:H118" firstHeaderRow="1" firstDataRow="2" firstDataCol="1"/>
  <pivotFields count="26">
    <pivotField showAll="0"/>
    <pivotField showAll="0"/>
    <pivotField showAll="0"/>
    <pivotField numFmtId="1" showAll="0">
      <items count="23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  <item t="default"/>
      </items>
    </pivotField>
    <pivotField numFmtId="1" showAll="0"/>
    <pivotField numFmtId="165" showAll="0"/>
    <pivotField showAll="0"/>
    <pivotField showAll="0"/>
    <pivotField showAll="0"/>
    <pivotField showAll="0"/>
    <pivotField showAll="0">
      <items count="28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  <item t="default"/>
      </items>
    </pivotField>
    <pivotField showAll="0">
      <items count="21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  <item t="default"/>
      </items>
    </pivotField>
    <pivotField axis="axisCol" showAll="0" sortType="descending">
      <items count="6">
        <item x="0"/>
        <item x="1"/>
        <item x="2"/>
        <item x="3"/>
        <item x="4"/>
        <item t="default"/>
      </items>
    </pivotField>
    <pivotField dataField="1" showAll="0"/>
    <pivotField numFmtId="166" showAll="0">
      <items count="88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  <item t="default"/>
      </items>
    </pivotField>
    <pivotField numFmtId="43" showAll="0"/>
    <pivotField numFmtId="43" showAll="0"/>
    <pivotField numFmtId="43" showAll="0"/>
    <pivotField numFmtId="166" showAll="0"/>
    <pivotField numFmtId="166" showAll="0"/>
    <pivotField showAll="0">
      <items count="5">
        <item x="3"/>
        <item x="2"/>
        <item x="1"/>
        <item x="0"/>
        <item t="default"/>
      </items>
    </pivotField>
    <pivotField showAll="0">
      <items count="6">
        <item n="до 10K$" sd="0" x="0"/>
        <item n="от 10К до 15K$" sd="0" x="1"/>
        <item n="от 15К до 20K$" sd="0" x="4"/>
        <item n="от 20К до 25K$" sd="0" x="3"/>
        <item n="от 25K$" sd="0" x="2"/>
        <item t="default" sd="0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n="до 10 млн. ₸ " sd="0" x="0"/>
        <item n="от 10 до 15 млн. ₸ " sd="0" x="1"/>
        <item n="от 15 до 20 млн. ₸ " sd="0" x="2"/>
        <item n="от 20 до 40 млн. ₸ " sd="0" x="3"/>
        <item n="от 40 млн. ₸ "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Сумма по полю Кол-во проданных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362F2-1E07-4D9D-A2E6-4CBEE0FD7D11}" name="Сводная таблица11" cacheId="1" applyNumberFormats="0" applyBorderFormats="0" applyFontFormats="0" applyPatternFormats="0" applyAlignmentFormats="0" applyWidthHeightFormats="1" dataCaption="Значения" updatedVersion="8" minRefreshableVersion="3" pageOverThenDown="1" itemPrintTitles="1" createdVersion="8" indent="0" compact="0" compactData="0" gridDropZones="1" rowHeaderCaption="Rows" colHeaderCaption="Cols">
  <location ref="B19:I111" firstHeaderRow="1" firstDataRow="2" firstDataCol="2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Цена" axis="axisRow" compact="0" numFmtId="1" outline="0" showAll="0" defaultSubtotal="0">
      <items count="22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7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0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Год" axis="axisCol" compact="0" outline="0" showAll="0" sortType="descending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ubtotalTop="0" showAll="0" defaultSubtotal="0">
      <items count="87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4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3"/>
  </rowFields>
  <rowItems count="91">
    <i>
      <x v="9"/>
      <x v="3"/>
    </i>
    <i>
      <x v="36"/>
      <x v="11"/>
    </i>
    <i>
      <x v="14"/>
      <x v="2"/>
    </i>
    <i>
      <x v="25"/>
      <x v="6"/>
    </i>
    <i>
      <x v="78"/>
      <x v="10"/>
    </i>
    <i>
      <x v="26"/>
      <x v="8"/>
    </i>
    <i>
      <x v="53"/>
      <x/>
    </i>
    <i>
      <x v="52"/>
      <x v="11"/>
    </i>
    <i>
      <x v="33"/>
      <x v="13"/>
    </i>
    <i>
      <x v="57"/>
      <x v="2"/>
    </i>
    <i>
      <x v="34"/>
      <x v="10"/>
    </i>
    <i>
      <x v="47"/>
      <x v="5"/>
    </i>
    <i>
      <x v="28"/>
      <x v="8"/>
    </i>
    <i>
      <x v="83"/>
      <x v="18"/>
    </i>
    <i>
      <x v="84"/>
      <x v="11"/>
    </i>
    <i>
      <x v="69"/>
      <x/>
    </i>
    <i>
      <x v="56"/>
      <x v="5"/>
    </i>
    <i>
      <x v="54"/>
      <x v="2"/>
    </i>
    <i>
      <x v="50"/>
      <x v="13"/>
    </i>
    <i>
      <x v="85"/>
      <x v="5"/>
    </i>
    <i>
      <x v="7"/>
      <x v="8"/>
    </i>
    <i>
      <x v="37"/>
      <x v="8"/>
    </i>
    <i>
      <x v="16"/>
      <x v="3"/>
    </i>
    <i>
      <x v="82"/>
      <x v="21"/>
    </i>
    <i>
      <x v="45"/>
      <x v="8"/>
    </i>
    <i>
      <x v="62"/>
      <x v="18"/>
    </i>
    <i>
      <x v="27"/>
      <x v="7"/>
    </i>
    <i>
      <x v="46"/>
      <x v="10"/>
    </i>
    <i>
      <x v="79"/>
      <x v="8"/>
    </i>
    <i>
      <x v="44"/>
      <x v="8"/>
    </i>
    <i>
      <x v="87"/>
      <x v="2"/>
    </i>
    <i>
      <x v="5"/>
      <x v="4"/>
    </i>
    <i>
      <x v="8"/>
      <x v="10"/>
    </i>
    <i>
      <x v="81"/>
      <x v="12"/>
    </i>
    <i>
      <x v="67"/>
      <x v="12"/>
    </i>
    <i>
      <x v="73"/>
      <x v="8"/>
    </i>
    <i>
      <x v="3"/>
      <x v="8"/>
    </i>
    <i>
      <x v="18"/>
      <x v="8"/>
    </i>
    <i>
      <x v="65"/>
      <x v="9"/>
    </i>
    <i>
      <x v="10"/>
      <x v="2"/>
    </i>
    <i>
      <x v="77"/>
      <x v="12"/>
    </i>
    <i>
      <x v="66"/>
      <x v="8"/>
    </i>
    <i>
      <x v="49"/>
      <x v="9"/>
    </i>
    <i>
      <x v="30"/>
      <x v="5"/>
    </i>
    <i>
      <x v="31"/>
      <x v="8"/>
    </i>
    <i>
      <x v="32"/>
      <x v="15"/>
    </i>
    <i>
      <x v="60"/>
      <x v="21"/>
    </i>
    <i>
      <x v="24"/>
      <x v="8"/>
    </i>
    <i>
      <x v="41"/>
      <x v="8"/>
    </i>
    <i>
      <x v="38"/>
      <x v="3"/>
    </i>
    <i>
      <x v="39"/>
      <x v="7"/>
    </i>
    <i>
      <x v="6"/>
      <x v="6"/>
    </i>
    <i>
      <x v="42"/>
      <x v="9"/>
    </i>
    <i>
      <x v="22"/>
      <x v="9"/>
    </i>
    <i>
      <x v="17"/>
      <x v="2"/>
    </i>
    <i>
      <x v="12"/>
      <x v="4"/>
    </i>
    <i>
      <x v="64"/>
      <x v="12"/>
    </i>
    <i>
      <x v="75"/>
      <x v="3"/>
    </i>
    <i>
      <x v="70"/>
      <x v="1"/>
    </i>
    <i>
      <x v="20"/>
      <x v="9"/>
    </i>
    <i>
      <x v="23"/>
      <x v="8"/>
    </i>
    <i>
      <x v="86"/>
      <x v="12"/>
    </i>
    <i>
      <x v="89"/>
      <x v="5"/>
    </i>
    <i>
      <x v="74"/>
      <x v="2"/>
    </i>
    <i>
      <x v="11"/>
      <x v="12"/>
    </i>
    <i>
      <x v="15"/>
      <x v="6"/>
    </i>
    <i>
      <x v="4"/>
      <x v="10"/>
    </i>
    <i>
      <x v="19"/>
      <x v="8"/>
    </i>
    <i>
      <x v="21"/>
      <x v="10"/>
    </i>
    <i>
      <x v="71"/>
      <x v="9"/>
    </i>
    <i>
      <x v="72"/>
      <x v="9"/>
    </i>
    <i>
      <x v="43"/>
      <x v="10"/>
    </i>
    <i>
      <x v="58"/>
      <x v="3"/>
    </i>
    <i>
      <x v="40"/>
      <x v="9"/>
    </i>
    <i>
      <x v="29"/>
      <x v="12"/>
    </i>
    <i>
      <x v="68"/>
      <x v="8"/>
    </i>
    <i>
      <x v="48"/>
      <x v="13"/>
    </i>
    <i>
      <x v="51"/>
      <x v="8"/>
    </i>
    <i>
      <x v="2"/>
      <x v="6"/>
    </i>
    <i>
      <x v="55"/>
      <x v="3"/>
    </i>
    <i>
      <x v="13"/>
      <x v="10"/>
    </i>
    <i>
      <x/>
      <x v="19"/>
    </i>
    <i>
      <x v="76"/>
      <x v="10"/>
    </i>
    <i>
      <x v="35"/>
      <x v="14"/>
    </i>
    <i>
      <x v="1"/>
      <x v="20"/>
    </i>
    <i>
      <x v="80"/>
      <x v="15"/>
    </i>
    <i>
      <x v="61"/>
      <x v="16"/>
    </i>
    <i>
      <x v="63"/>
      <x v="12"/>
    </i>
    <i>
      <x v="59"/>
      <x v="17"/>
    </i>
    <i>
      <x v="88"/>
      <x v="3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." fld="13" showDataAs="percentOfCol" baseField="8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8C613-D3CF-469F-A598-36ABD9328082}" name="Сводная таблица7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Rows" colHeaderCaption="Год">
  <location ref="B2:H7" firstHeaderRow="1" firstDataRow="2" firstDataCol="1"/>
  <pivotFields count="26">
    <pivotField showAll="0"/>
    <pivotField showAll="0"/>
    <pivotField showAll="0"/>
    <pivotField numFmtId="1" showAll="0">
      <items count="23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  <item t="default"/>
      </items>
    </pivotField>
    <pivotField numFmtId="1" showAll="0"/>
    <pivotField numFmtId="165"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>
      <items count="28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  <item t="default"/>
      </items>
    </pivotField>
    <pivotField showAll="0">
      <items count="21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  <item t="default"/>
      </items>
    </pivotField>
    <pivotField axis="axisCol" showAll="0" sortType="descending">
      <items count="6">
        <item x="0"/>
        <item x="1"/>
        <item x="2"/>
        <item x="3"/>
        <item x="4"/>
        <item t="default"/>
      </items>
    </pivotField>
    <pivotField dataField="1" showAll="0"/>
    <pivotField numFmtId="166" showAll="0">
      <items count="88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  <item t="default"/>
      </items>
    </pivotField>
    <pivotField numFmtId="43" showAll="0"/>
    <pivotField numFmtId="43" showAll="0"/>
    <pivotField numFmtId="43" showAll="0"/>
    <pivotField numFmtId="166" showAll="0"/>
    <pivotField numFmtId="166" showAll="0"/>
    <pivotField showAll="0">
      <items count="5">
        <item x="3"/>
        <item x="2"/>
        <item x="1"/>
        <item x="0"/>
        <item t="default"/>
      </items>
    </pivotField>
    <pivotField showAll="0">
      <items count="6">
        <item x="0"/>
        <item x="1"/>
        <item x="4"/>
        <item x="3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." fld="13" showDataAs="percentOfCol" baseField="8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BD1B16-3838-40BA-BCB7-93C64D3A60C2}" name="Сводная таблица36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Rows" colHeaderCaption="Год">
  <location ref="B135:H137" firstHeaderRow="1" firstDataRow="2" firstDataCol="1"/>
  <pivotFields count="26">
    <pivotField showAll="0"/>
    <pivotField showAll="0"/>
    <pivotField showAll="0"/>
    <pivotField numFmtId="1" showAll="0">
      <items count="23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  <item t="default"/>
      </items>
    </pivotField>
    <pivotField numFmtId="1" showAll="0"/>
    <pivotField numFmtId="165" showAll="0"/>
    <pivotField showAll="0"/>
    <pivotField showAll="0"/>
    <pivotField showAll="0"/>
    <pivotField showAll="0"/>
    <pivotField showAll="0">
      <items count="28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  <item t="default"/>
      </items>
    </pivotField>
    <pivotField showAll="0">
      <items count="21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  <item t="default"/>
      </items>
    </pivotField>
    <pivotField axis="axisCol" showAll="0" sortType="descending">
      <items count="6">
        <item x="0"/>
        <item x="1"/>
        <item x="2"/>
        <item x="3"/>
        <item x="4"/>
        <item t="default"/>
      </items>
    </pivotField>
    <pivotField showAll="0"/>
    <pivotField numFmtId="166" showAll="0">
      <items count="88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  <item t="default"/>
      </items>
    </pivotField>
    <pivotField numFmtId="43" showAll="0"/>
    <pivotField numFmtId="43" showAll="0"/>
    <pivotField dataField="1" numFmtId="43" showAll="0"/>
    <pivotField numFmtId="166" showAll="0"/>
    <pivotField numFmtId="166" showAll="0"/>
    <pivotField showAll="0">
      <items count="5">
        <item x="3"/>
        <item x="2"/>
        <item x="1"/>
        <item x="0"/>
        <item t="default"/>
      </items>
    </pivotField>
    <pivotField showAll="0">
      <items count="6">
        <item n="до 10K$" sd="0" x="0"/>
        <item n="от 10К до 15K$" sd="0" x="1"/>
        <item n="от 15К до 20K$" sd="0" x="4"/>
        <item n="от 20К до 25K$" sd="0" x="3"/>
        <item n="от 25K$" sd="0" x="2"/>
        <item t="default" sd="0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n="до 10 млн. ₸ " sd="0" x="0"/>
        <item n="от 10 до 15 млн. ₸ " sd="0" x="1"/>
        <item n="от 15 до 20 млн. ₸ " sd="0" x="2"/>
        <item n="от 20 до 40 млн. ₸ " sd="0" x="3"/>
        <item n="от 40 млн. ₸ "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Объем рынка в млн. USD (global)" fld="17" baseField="12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823A8E-8088-4C9E-BD75-014535E2681E}" name="Сводная таблица10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 rowHeaderCaption="Rows" colHeaderCaption="Год">
  <location ref="K2:Q7" firstHeaderRow="1" firstDataRow="2" firstDataCol="1"/>
  <pivotFields count="26">
    <pivotField showAll="0"/>
    <pivotField showAll="0"/>
    <pivotField showAll="0"/>
    <pivotField numFmtId="1" showAll="0">
      <items count="23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  <item t="default"/>
      </items>
    </pivotField>
    <pivotField numFmtId="1" showAll="0"/>
    <pivotField numFmtId="165"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>
      <items count="28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  <item t="default"/>
      </items>
    </pivotField>
    <pivotField showAll="0">
      <items count="21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  <item t="default"/>
      </items>
    </pivotField>
    <pivotField axis="axisCol" showAll="0" sortType="descending">
      <items count="6">
        <item x="0"/>
        <item x="1"/>
        <item x="2"/>
        <item x="3"/>
        <item x="4"/>
        <item t="default"/>
      </items>
    </pivotField>
    <pivotField dataField="1" showAll="0"/>
    <pivotField numFmtId="166" showAll="0">
      <items count="88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  <item t="default"/>
      </items>
    </pivotField>
    <pivotField numFmtId="43" showAll="0"/>
    <pivotField numFmtId="43" showAll="0"/>
    <pivotField numFmtId="43" showAll="0"/>
    <pivotField numFmtId="166" showAll="0"/>
    <pivotField numFmtId="166" showAll="0"/>
    <pivotField showAll="0">
      <items count="5">
        <item x="3"/>
        <item x="2"/>
        <item x="1"/>
        <item x="0"/>
        <item t="default"/>
      </items>
    </pivotField>
    <pivotField showAll="0">
      <items count="6">
        <item x="0"/>
        <item x="1"/>
        <item x="4"/>
        <item x="3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." fld="13" showDataAs="percentOfCol" baseField="8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D687D-C57D-4470-9F21-EF12A68000EF}" name="Сводная таблица18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compact="0" compactData="0" gridDropZones="1" multipleFieldFilters="0">
  <location ref="AL50:AP57" firstHeaderRow="1" firstDataRow="2" firstDataCol="1" rowPageCount="5" colPageCount="1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rankBy="0" defaultSubtota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rankBy="0" defaultSubtotal="0">
      <items count="8">
        <item h="1" x="0"/>
        <item h="1" x="4"/>
        <item h="1" x="5"/>
        <item h="1" x="2"/>
        <item x="6"/>
        <item h="1" x="1"/>
        <item h="1" x="7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items count="22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1"/>
        <item x="3"/>
        <item x="4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3">
        <item h="1" x="1"/>
        <item h="1"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rankBy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7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0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sortType="ascending" defaultSubtotal="0">
      <items count="5"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66" outline="0" showAll="0" defaultSubtotal="0">
      <items count="87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2" hier="-1"/>
    <pageField fld="9" item="2" hier="-1"/>
    <pageField fld="8" hier="-1"/>
    <pageField fld="1" hier="-1"/>
    <pageField fld="14" hier="-1"/>
  </pageFields>
  <dataFields count="4">
    <dataField name="Кол-во" fld="13" baseField="14" baseItem="10" numFmtId="3"/>
    <dataField name="Прирост количества" fld="13" showDataAs="percentDiff" baseField="12" baseItem="1048828" numFmtId="10"/>
    <dataField name="Объем сегмента, в млрд. ₸" fld="19" baseField="12" baseItem="0" numFmtId="167"/>
    <dataField name="Прирост объема" fld="19" showDataAs="percentDiff" baseField="12" baseItem="1048828" numFmtId="10"/>
  </dataFields>
  <formats count="5">
    <format dxfId="119">
      <pivotArea type="all" dataOnly="0" outline="0" fieldPosition="0"/>
    </format>
    <format dxfId="118">
      <pivotArea outline="0" fieldPosition="0">
        <references count="1">
          <reference field="4294967294" count="1">
            <x v="0"/>
          </reference>
        </references>
      </pivotArea>
    </format>
    <format dxfId="117">
      <pivotArea outline="0" fieldPosition="0">
        <references count="1">
          <reference field="4294967294" count="1">
            <x v="1"/>
          </reference>
        </references>
      </pivotArea>
    </format>
    <format dxfId="116">
      <pivotArea outline="0" fieldPosition="0">
        <references count="1">
          <reference field="4294967294" count="1">
            <x v="2"/>
          </reference>
        </references>
      </pivotArea>
    </format>
    <format dxfId="115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E7014-EDB1-4C06-9B52-40E128AFBD94}" name="Сводная таблица7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compact="0" compactData="0" gridDropZones="1" multipleFieldFilters="0">
  <location ref="B39:F46" firstHeaderRow="1" firstDataRow="2" firstDataCol="1" rowPageCount="5" colPageCount="1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rankBy="0" defaultSubtota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rankBy="0" defaultSubtotal="0">
      <items count="8">
        <item h="1" x="0"/>
        <item h="1" x="4"/>
        <item h="1" x="5"/>
        <item h="1" x="2"/>
        <item h="1" x="6"/>
        <item x="1"/>
        <item h="1" x="7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items count="22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1"/>
        <item x="3"/>
        <item x="4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3">
        <item x="1"/>
        <item h="1" x="0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rankBy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7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0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sortType="ascending" defaultSubtotal="0">
      <items count="5"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66" outline="0" showAll="0" defaultSubtotal="0">
      <items count="87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2" hier="-1"/>
    <pageField fld="9" item="1" hier="-1"/>
    <pageField fld="8" hier="-1"/>
    <pageField fld="1" hier="-1"/>
    <pageField fld="14" hier="-1"/>
  </pageFields>
  <dataFields count="4">
    <dataField name="Кол-во" fld="13" baseField="14" baseItem="10" numFmtId="3"/>
    <dataField name="Прирост количества" fld="13" showDataAs="percentDiff" baseField="12" baseItem="1048828" numFmtId="10"/>
    <dataField name="Объем сегмента, в млрд. ₸" fld="19" baseField="12" baseItem="0" numFmtId="167"/>
    <dataField name="Прирост объема" fld="19" showDataAs="percentDiff" baseField="12" baseItem="1048828" numFmtId="10"/>
  </dataFields>
  <formats count="6">
    <format dxfId="125">
      <pivotArea type="all" dataOnly="0" outline="0" fieldPosition="0"/>
    </format>
    <format dxfId="124">
      <pivotArea outline="0" fieldPosition="0">
        <references count="1">
          <reference field="4294967294" count="1">
            <x v="0"/>
          </reference>
        </references>
      </pivotArea>
    </format>
    <format dxfId="123">
      <pivotArea outline="0" fieldPosition="0">
        <references count="1">
          <reference field="4294967294" count="1">
            <x v="1"/>
          </reference>
        </references>
      </pivotArea>
    </format>
    <format dxfId="122">
      <pivotArea outline="0" fieldPosition="0">
        <references count="2">
          <reference field="4294967294" count="1" selected="0">
            <x v="2"/>
          </reference>
          <reference field="12" count="1" selected="0">
            <x v="0"/>
          </reference>
        </references>
      </pivotArea>
    </format>
    <format dxfId="121">
      <pivotArea outline="0" fieldPosition="0">
        <references count="1">
          <reference field="4294967294" count="1">
            <x v="2"/>
          </reference>
        </references>
      </pivotArea>
    </format>
    <format dxfId="120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3C0B3-EDDE-41E9-8EBB-BFF600998B31}" name="Сводная таблица6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compact="0" compactData="0" gridDropZones="1" multipleFieldFilters="0">
  <location ref="T25:W30" firstHeaderRow="1" firstDataRow="2" firstDataCol="2" rowPageCount="4" colPageCount="1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sortType="descending" defaultSubtota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8">
        <item x="0"/>
        <item h="1" x="4"/>
        <item h="1" x="5"/>
        <item h="1" x="2"/>
        <item h="1" x="6"/>
        <item h="1" x="1"/>
        <item h="1" x="7"/>
        <item h="1"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items count="22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1"/>
        <item x="3"/>
        <item x="4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3">
        <item h="1" x="1"/>
        <item x="0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3">
        <item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7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0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5">
        <item x="0"/>
        <item x="1"/>
        <item h="1" x="2"/>
        <item h="1" x="3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 defaultSubtotal="0">
      <items count="87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14"/>
  </rowFields>
  <rowItems count="4">
    <i>
      <x v="82"/>
      <x v="84"/>
    </i>
    <i>
      <x v="32"/>
      <x v="78"/>
    </i>
    <i>
      <x v="60"/>
      <x v="86"/>
    </i>
    <i t="grand">
      <x/>
    </i>
  </rowItems>
  <colFields count="1">
    <field x="-2"/>
  </colFields>
  <colItems count="2">
    <i>
      <x/>
    </i>
    <i i="1">
      <x v="1"/>
    </i>
  </colItems>
  <pageFields count="4">
    <pageField fld="12" hier="-1"/>
    <pageField fld="2" hier="-1"/>
    <pageField fld="9" item="0" hier="-1"/>
    <pageField fld="8" hier="-1"/>
  </pageFields>
  <dataFields count="2">
    <dataField name="Кол-во" fld="13" baseField="14" baseItem="10" numFmtId="3"/>
    <dataField name="Доля" fld="13" showDataAs="percentOfCol" baseField="8" baseItem="2" numFmtId="10"/>
  </dataFields>
  <formats count="2">
    <format dxfId="127">
      <pivotArea type="all" dataOnly="0" outline="0" fieldPosition="0"/>
    </format>
    <format dxfId="12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valueGreaterThan" evalOrder="-1" id="3" iMeasureFld="0">
      <autoFilter ref="A1">
        <filterColumn colId="0">
          <customFilters>
            <customFilter operator="greaterThan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60D6F-73D1-4145-9193-2CABCC325773}" name="Сводная таблица5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compact="0" compactData="0" gridDropZones="1" multipleFieldFilters="0">
  <location ref="N31:Q48" firstHeaderRow="1" firstDataRow="2" firstDataCol="2" rowPageCount="4" colPageCount="1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sortType="descending" defaultSubtota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8">
        <item x="0"/>
        <item h="1" x="4"/>
        <item h="1" x="5"/>
        <item h="1" x="2"/>
        <item h="1" x="6"/>
        <item h="1" x="1"/>
        <item h="1" x="7"/>
        <item h="1"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items count="22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1"/>
        <item x="3"/>
        <item x="4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3">
        <item h="1" x="1"/>
        <item h="1"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3">
        <item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7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0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5">
        <item x="0"/>
        <item x="1"/>
        <item h="1" x="2"/>
        <item h="1" x="3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 defaultSubtotal="0">
      <items count="87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14"/>
  </rowFields>
  <rowItems count="16">
    <i>
      <x v="36"/>
      <x v="58"/>
    </i>
    <i>
      <x v="52"/>
      <x v="63"/>
    </i>
    <i>
      <x v="33"/>
      <x v="73"/>
    </i>
    <i>
      <x v="7"/>
      <x v="44"/>
    </i>
    <i>
      <x v="50"/>
      <x v="67"/>
    </i>
    <i>
      <x v="8"/>
      <x v="54"/>
    </i>
    <i>
      <x v="84"/>
      <x v="72"/>
    </i>
    <i>
      <x v="22"/>
      <x v="38"/>
    </i>
    <i>
      <x v="20"/>
      <x v="59"/>
    </i>
    <i>
      <x v="4"/>
      <x v="51"/>
    </i>
    <i>
      <x v="77"/>
      <x v="71"/>
    </i>
    <i>
      <x v="43"/>
      <x v="49"/>
    </i>
    <i>
      <x v="11"/>
      <x v="52"/>
    </i>
    <i>
      <x v="73"/>
      <x v="31"/>
    </i>
    <i>
      <x v="67"/>
      <x v="70"/>
    </i>
    <i t="grand">
      <x/>
    </i>
  </rowItems>
  <colFields count="1">
    <field x="-2"/>
  </colFields>
  <colItems count="2">
    <i>
      <x/>
    </i>
    <i i="1">
      <x v="1"/>
    </i>
  </colItems>
  <pageFields count="4">
    <pageField fld="12" hier="-1"/>
    <pageField fld="2" hier="-1"/>
    <pageField fld="9" item="2" hier="-1"/>
    <pageField fld="8" hier="-1"/>
  </pageFields>
  <dataFields count="2">
    <dataField name="Кол-во" fld="13" baseField="14" baseItem="10" numFmtId="3"/>
    <dataField name="Доля" fld="13" showDataAs="percentOfCol" baseField="8" baseItem="2" numFmtId="10"/>
  </dataFields>
  <formats count="2">
    <format dxfId="129">
      <pivotArea type="all" dataOnly="0" outline="0" fieldPosition="0"/>
    </format>
    <format dxfId="12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valueGreaterThan" evalOrder="-1" id="3" iMeasureFld="0">
      <autoFilter ref="A1">
        <filterColumn colId="0">
          <customFilters>
            <customFilter operator="greaterThan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8D52EE-4FFC-4503-98F6-8D93633A4F0E}" name="Сводная таблица12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compact="0" compactData="0" gridDropZones="1" multipleFieldFilters="0">
  <location ref="AF21:AI29" firstHeaderRow="1" firstDataRow="2" firstDataCol="2" rowPageCount="4" colPageCount="1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sortType="descending" defaultSubtota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8">
        <item x="0"/>
        <item x="4"/>
        <item x="5"/>
        <item x="2"/>
        <item x="6"/>
        <item x="1"/>
        <item x="7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items count="22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1"/>
        <item x="3"/>
        <item x="4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3">
        <item h="1" x="1"/>
        <item h="1"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3">
        <item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7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0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5">
        <item x="0"/>
        <item x="1"/>
        <item h="1" x="2"/>
        <item h="1" x="3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 defaultSubtotal="0">
      <items count="87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14"/>
  </rowFields>
  <rowItems count="7">
    <i>
      <x v="49"/>
      <x v="46"/>
    </i>
    <i>
      <x v="28"/>
      <x v="37"/>
    </i>
    <i>
      <x v="23"/>
      <x v="31"/>
    </i>
    <i>
      <x v="19"/>
      <x v="48"/>
    </i>
    <i>
      <x v="68"/>
      <x v="47"/>
    </i>
    <i>
      <x v="21"/>
      <x v="39"/>
    </i>
    <i t="grand">
      <x/>
    </i>
  </rowItems>
  <colFields count="1">
    <field x="-2"/>
  </colFields>
  <colItems count="2">
    <i>
      <x/>
    </i>
    <i i="1">
      <x v="1"/>
    </i>
  </colItems>
  <pageFields count="4">
    <pageField fld="12" hier="-1"/>
    <pageField fld="2" item="1" hier="-1"/>
    <pageField fld="9" item="2" hier="-1"/>
    <pageField fld="8" hier="-1"/>
  </pageFields>
  <dataFields count="2">
    <dataField name="Кол-во" fld="13" baseField="14" baseItem="10" numFmtId="3"/>
    <dataField name="Доля" fld="13" showDataAs="percentOfCol" baseField="8" baseItem="2" numFmtId="10"/>
  </dataFields>
  <formats count="2">
    <format dxfId="131">
      <pivotArea type="all" dataOnly="0" outline="0" fieldPosition="0"/>
    </format>
    <format dxfId="13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valueGreaterThan" evalOrder="-1" id="3" iMeasureFld="0">
      <autoFilter ref="A1">
        <filterColumn colId="0">
          <customFilters>
            <customFilter operator="greaterThan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11BB50-81EE-45A7-A84A-3AEFF70C5C9C}" name="Сводная таблица9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compact="0" compactData="0" gridDropZones="1" multipleFieldFilters="0">
  <location ref="N60:R67" firstHeaderRow="1" firstDataRow="2" firstDataCol="1" rowPageCount="5" colPageCount="1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rankBy="0" defaultSubtota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rankBy="0" defaultSubtotal="0">
      <items count="8">
        <item x="0"/>
        <item h="1" x="4"/>
        <item h="1" x="5"/>
        <item h="1" x="2"/>
        <item h="1" x="6"/>
        <item h="1" x="1"/>
        <item h="1" x="7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items count="22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1"/>
        <item x="3"/>
        <item x="4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3">
        <item h="1" x="1"/>
        <item h="1"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rankBy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7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0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sortType="ascending" defaultSubtotal="0">
      <items count="5"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66" outline="0" showAll="0" defaultSubtotal="0">
      <items count="87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2" hier="-1"/>
    <pageField fld="9" item="2" hier="-1"/>
    <pageField fld="8" hier="-1"/>
    <pageField fld="1" hier="-1"/>
    <pageField fld="14" hier="-1"/>
  </pageFields>
  <dataFields count="4">
    <dataField name="Кол-во" fld="13" baseField="14" baseItem="10" numFmtId="3"/>
    <dataField name="Прирост количества" fld="13" showDataAs="percentDiff" baseField="12" baseItem="1048828" numFmtId="10"/>
    <dataField name="Объем сегмента, в млрд. ₸" fld="19" baseField="12" baseItem="0" numFmtId="167"/>
    <dataField name="Прирост объема" fld="19" showDataAs="percentDiff" baseField="12" baseItem="1048828" numFmtId="10"/>
  </dataFields>
  <formats count="6">
    <format dxfId="137">
      <pivotArea type="all" dataOnly="0" outline="0" fieldPosition="0"/>
    </format>
    <format dxfId="136">
      <pivotArea outline="0" fieldPosition="0">
        <references count="1">
          <reference field="4294967294" count="1">
            <x v="0"/>
          </reference>
        </references>
      </pivotArea>
    </format>
    <format dxfId="135">
      <pivotArea outline="0" fieldPosition="0">
        <references count="1">
          <reference field="4294967294" count="1">
            <x v="1"/>
          </reference>
        </references>
      </pivotArea>
    </format>
    <format dxfId="134">
      <pivotArea outline="0" fieldPosition="0">
        <references count="2">
          <reference field="4294967294" count="1" selected="0">
            <x v="2"/>
          </reference>
          <reference field="12" count="1" selected="0">
            <x v="0"/>
          </reference>
        </references>
      </pivotArea>
    </format>
    <format dxfId="133">
      <pivotArea outline="0" fieldPosition="0">
        <references count="1">
          <reference field="4294967294" count="1">
            <x v="3"/>
          </reference>
        </references>
      </pivotArea>
    </format>
    <format dxfId="132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B4814D-6151-446E-9191-CC3B9834B648}" name="Сводная таблица10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compact="0" compactData="0" gridDropZones="1" multipleFieldFilters="0">
  <location ref="T54:X61" firstHeaderRow="1" firstDataRow="2" firstDataCol="1" rowPageCount="5" colPageCount="1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rankBy="0" defaultSubtota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rankBy="0" defaultSubtotal="0">
      <items count="8">
        <item x="0"/>
        <item h="1" x="4"/>
        <item h="1" x="5"/>
        <item h="1" x="2"/>
        <item h="1" x="6"/>
        <item h="1" x="1"/>
        <item h="1" x="7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items count="22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1"/>
        <item x="3"/>
        <item x="4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3">
        <item h="1" x="1"/>
        <item x="0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rankBy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7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0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sortType="ascending" defaultSubtotal="0">
      <items count="5"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66" outline="0" showAll="0" defaultSubtotal="0">
      <items count="87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2" hier="-1"/>
    <pageField fld="9" item="0" hier="-1"/>
    <pageField fld="8" hier="-1"/>
    <pageField fld="1" hier="-1"/>
    <pageField fld="14" hier="-1"/>
  </pageFields>
  <dataFields count="4">
    <dataField name="Кол-во" fld="13" baseField="14" baseItem="10" numFmtId="3"/>
    <dataField name="Прирост количества" fld="13" showDataAs="percentDiff" baseField="12" baseItem="1048828" numFmtId="10"/>
    <dataField name="Объем сегмента, в млрд. ₸" fld="19" baseField="12" baseItem="0" numFmtId="167"/>
    <dataField name="Прирост объема" fld="19" showDataAs="percentDiff" baseField="12" baseItem="1048828" numFmtId="10"/>
  </dataFields>
  <formats count="6">
    <format dxfId="143">
      <pivotArea type="all" dataOnly="0" outline="0" fieldPosition="0"/>
    </format>
    <format dxfId="142">
      <pivotArea outline="0" fieldPosition="0">
        <references count="1">
          <reference field="4294967294" count="1">
            <x v="0"/>
          </reference>
        </references>
      </pivotArea>
    </format>
    <format dxfId="141">
      <pivotArea outline="0" fieldPosition="0">
        <references count="1">
          <reference field="4294967294" count="1">
            <x v="1"/>
          </reference>
        </references>
      </pivotArea>
    </format>
    <format dxfId="140">
      <pivotArea outline="0" fieldPosition="0">
        <references count="2">
          <reference field="4294967294" count="1" selected="0">
            <x v="2"/>
          </reference>
          <reference field="12" count="1" selected="0">
            <x v="0"/>
          </reference>
        </references>
      </pivotArea>
    </format>
    <format dxfId="139">
      <pivotArea outline="0" fieldPosition="0">
        <references count="1">
          <reference field="4294967294" count="1">
            <x v="2"/>
          </reference>
        </references>
      </pivotArea>
    </format>
    <format dxfId="138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887C8-F8A5-4F16-BFE3-0D29B2E32A66}" name="Сводная таблица8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compact="0" compactData="0" gridDropZones="1" multipleFieldFilters="0">
  <location ref="H44:L51" firstHeaderRow="1" firstDataRow="2" firstDataCol="1" rowPageCount="5" colPageCount="1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rankBy="0" defaultSubtota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rankBy="0" defaultSubtotal="0">
      <items count="8">
        <item h="1" x="0"/>
        <item h="1" x="4"/>
        <item h="1" x="5"/>
        <item h="1" x="2"/>
        <item h="1" x="6"/>
        <item x="1"/>
        <item h="1" x="7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items count="22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1"/>
        <item x="3"/>
        <item x="4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3">
        <item h="1" x="1"/>
        <item h="1"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rankBy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7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0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sortType="ascending" defaultSubtotal="0">
      <items count="5"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66" outline="0" showAll="0" defaultSubtotal="0">
      <items count="87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2" hier="-1"/>
    <pageField fld="9" item="2" hier="-1"/>
    <pageField fld="8" hier="-1"/>
    <pageField fld="1" hier="-1"/>
    <pageField fld="14" hier="-1"/>
  </pageFields>
  <dataFields count="4">
    <dataField name="Кол-во" fld="13" baseField="14" baseItem="10" numFmtId="3"/>
    <dataField name="Прирост количества" fld="13" showDataAs="percentDiff" baseField="12" baseItem="1048828" numFmtId="10"/>
    <dataField name="Объем сегмента, в млрд. ₸" fld="19" baseField="0" baseItem="0"/>
    <dataField name="Прирост объема" fld="19" showDataAs="percentDiff" baseField="12" baseItem="1048828" numFmtId="10"/>
  </dataFields>
  <formats count="5">
    <format dxfId="148">
      <pivotArea type="all" dataOnly="0" outline="0" fieldPosition="0"/>
    </format>
    <format dxfId="147">
      <pivotArea outline="0" fieldPosition="0">
        <references count="1">
          <reference field="4294967294" count="1">
            <x v="0"/>
          </reference>
        </references>
      </pivotArea>
    </format>
    <format dxfId="146">
      <pivotArea outline="0" fieldPosition="0">
        <references count="1">
          <reference field="4294967294" count="1">
            <x v="1"/>
          </reference>
        </references>
      </pivotArea>
    </format>
    <format dxfId="145">
      <pivotArea outline="0" fieldPosition="0">
        <references count="2">
          <reference field="4294967294" count="1" selected="0">
            <x v="2"/>
          </reference>
          <reference field="12" count="1" selected="0">
            <x v="0"/>
          </reference>
        </references>
      </pivotArea>
    </format>
    <format dxfId="144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EAC9E0-D587-4119-A77F-76183DFDC201}" name="Сводная таблица11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compact="0" compactData="0" gridDropZones="1" multipleFieldFilters="0">
  <location ref="Z21:AC26" firstHeaderRow="1" firstDataRow="2" firstDataCol="2" rowPageCount="4" colPageCount="1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sortType="descending" defaultSubtota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8">
        <item x="0"/>
        <item x="4"/>
        <item x="5"/>
        <item x="2"/>
        <item x="6"/>
        <item x="1"/>
        <item x="7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items count="22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1"/>
        <item x="3"/>
        <item x="4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3">
        <item h="1" x="1"/>
        <item h="1"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3">
        <item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7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0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5">
        <item x="0"/>
        <item x="1"/>
        <item h="1" x="2"/>
        <item h="1" x="3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 defaultSubtotal="0">
      <items count="87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14"/>
  </rowFields>
  <rowItems count="4">
    <i>
      <x v="44"/>
      <x v="40"/>
    </i>
    <i>
      <x v="31"/>
      <x v="41"/>
    </i>
    <i>
      <x v="51"/>
      <x v="45"/>
    </i>
    <i t="grand">
      <x/>
    </i>
  </rowItems>
  <colFields count="1">
    <field x="-2"/>
  </colFields>
  <colItems count="2">
    <i>
      <x/>
    </i>
    <i i="1">
      <x v="1"/>
    </i>
  </colItems>
  <pageFields count="4">
    <pageField fld="12" hier="-1"/>
    <pageField fld="2" item="7" hier="-1"/>
    <pageField fld="9" item="2" hier="-1"/>
    <pageField fld="8" hier="-1"/>
  </pageFields>
  <dataFields count="2">
    <dataField name="Кол-во" fld="13" baseField="14" baseItem="10" numFmtId="3"/>
    <dataField name="Доля" fld="13" showDataAs="percentOfCol" baseField="8" baseItem="2" numFmtId="10"/>
  </dataFields>
  <formats count="2">
    <format dxfId="150">
      <pivotArea type="all" dataOnly="0" outline="0" fieldPosition="0"/>
    </format>
    <format dxfId="14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valueGreaterThan" evalOrder="-1" id="3" iMeasureFld="0">
      <autoFilter ref="A1">
        <filterColumn colId="0">
          <customFilters>
            <customFilter operator="greaterThan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1FB63-EE93-4078-A789-37AAE6609919}" name="Сводная таблица13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compact="0" compactData="0" gridDropZones="1" multipleFieldFilters="0">
  <location ref="AL21:AO25" firstHeaderRow="1" firstDataRow="2" firstDataCol="2" rowPageCount="4" colPageCount="1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sortType="descending" defaultSubtota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8">
        <item x="0"/>
        <item x="4"/>
        <item x="5"/>
        <item x="2"/>
        <item x="6"/>
        <item x="1"/>
        <item x="7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items count="22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1"/>
        <item x="3"/>
        <item x="4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3">
        <item h="1" x="1"/>
        <item h="1"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3">
        <item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7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0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5">
        <item x="0"/>
        <item x="1"/>
        <item h="1" x="2"/>
        <item h="1" x="3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 defaultSubtotal="0">
      <items count="87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14"/>
  </rowFields>
  <rowItems count="3">
    <i>
      <x v="41"/>
      <x v="53"/>
    </i>
    <i>
      <x v="81"/>
      <x v="76"/>
    </i>
    <i t="grand">
      <x/>
    </i>
  </rowItems>
  <colFields count="1">
    <field x="-2"/>
  </colFields>
  <colItems count="2">
    <i>
      <x/>
    </i>
    <i i="1">
      <x v="1"/>
    </i>
  </colItems>
  <pageFields count="4">
    <pageField fld="12" hier="-1"/>
    <pageField fld="2" item="4" hier="-1"/>
    <pageField fld="9" item="2" hier="-1"/>
    <pageField fld="8" hier="-1"/>
  </pageFields>
  <dataFields count="2">
    <dataField name="Кол-во" fld="13" baseField="14" baseItem="10" numFmtId="3"/>
    <dataField name="Доля" fld="13" showDataAs="percentOfCol" baseField="8" baseItem="2" numFmtId="10"/>
  </dataFields>
  <formats count="2">
    <format dxfId="152">
      <pivotArea type="all" dataOnly="0" outline="0" fieldPosition="0"/>
    </format>
    <format dxfId="15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valueGreaterThan" evalOrder="-1" id="3" iMeasureFld="0">
      <autoFilter ref="A1">
        <filterColumn colId="0">
          <customFilters>
            <customFilter operator="greaterThan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D32D54-9F8A-478B-8B3A-9BE85DA45816}" name="Сводная таблица16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compact="0" compactData="0" gridDropZones="1" multipleFieldFilters="0">
  <location ref="AF50:AJ57" firstHeaderRow="1" firstDataRow="2" firstDataCol="1" rowPageCount="5" colPageCount="1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rankBy="0" defaultSubtota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rankBy="0" defaultSubtotal="0">
      <items count="8">
        <item h="1" x="0"/>
        <item x="4"/>
        <item h="1" x="5"/>
        <item h="1" x="2"/>
        <item h="1" x="6"/>
        <item h="1" x="1"/>
        <item h="1" x="7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items count="22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1"/>
        <item x="3"/>
        <item x="4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3">
        <item h="1" x="1"/>
        <item h="1"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rankBy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7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0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sortType="ascending" defaultSubtotal="0">
      <items count="5"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66" outline="0" showAll="0" defaultSubtotal="0">
      <items count="87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2" hier="-1"/>
    <pageField fld="9" item="2" hier="-1"/>
    <pageField fld="8" hier="-1"/>
    <pageField fld="1" hier="-1"/>
    <pageField fld="14" hier="-1"/>
  </pageFields>
  <dataFields count="4">
    <dataField name="Кол-во" fld="13" baseField="14" baseItem="10" numFmtId="3"/>
    <dataField name="Прирост количества" fld="13" showDataAs="percentDiff" baseField="12" baseItem="1048828" numFmtId="10"/>
    <dataField name="Объем сегмента, в млрд. ₸" fld="19" baseField="12" baseItem="2" numFmtId="167"/>
    <dataField name="Прирост объема" fld="19" showDataAs="percentDiff" baseField="12" baseItem="1048828" numFmtId="10"/>
  </dataFields>
  <formats count="5">
    <format dxfId="157">
      <pivotArea type="all" dataOnly="0" outline="0" fieldPosition="0"/>
    </format>
    <format dxfId="156">
      <pivotArea outline="0" fieldPosition="0">
        <references count="1">
          <reference field="4294967294" count="1">
            <x v="0"/>
          </reference>
        </references>
      </pivotArea>
    </format>
    <format dxfId="155">
      <pivotArea outline="0" fieldPosition="0">
        <references count="1">
          <reference field="4294967294" count="1">
            <x v="1"/>
          </reference>
        </references>
      </pivotArea>
    </format>
    <format dxfId="154">
      <pivotArea outline="0" fieldPosition="0">
        <references count="1">
          <reference field="4294967294" count="1">
            <x v="2"/>
          </reference>
        </references>
      </pivotArea>
    </format>
    <format dxfId="153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D4750-6CC6-4CD4-AD7A-534A21264835}" name="Сводная таблица15" cacheId="1" applyNumberFormats="0" applyBorderFormats="0" applyFontFormats="0" applyPatternFormats="0" applyAlignmentFormats="0" applyWidthHeightFormats="1" dataCaption="Значения" showError="1" updatedVersion="8" minRefreshableVersion="3" itemPrintTitles="1" createdVersion="8" indent="0" compact="0" compactData="0" gridDropZones="1" multipleFieldFilters="0">
  <location ref="Z50:AD57" firstHeaderRow="1" firstDataRow="2" firstDataCol="1" rowPageCount="5" colPageCount="1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rankBy="0" defaultSubtota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rankBy="0" defaultSubtotal="0">
      <items count="8">
        <item h="1" x="0"/>
        <item h="1" x="4"/>
        <item h="1" x="5"/>
        <item h="1" x="2"/>
        <item h="1" x="6"/>
        <item h="1" x="1"/>
        <item h="1" x="7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items count="22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1"/>
        <item x="3"/>
        <item x="4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3">
        <item h="1" x="1"/>
        <item h="1"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rankBy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7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0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sortType="ascending" defaultSubtotal="0">
      <items count="5"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66" outline="0" showAll="0" defaultSubtotal="0">
      <items count="87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2" hier="-1"/>
    <pageField fld="9" item="2" hier="-1"/>
    <pageField fld="8" hier="-1"/>
    <pageField fld="1" hier="-1"/>
    <pageField fld="14" hier="-1"/>
  </pageFields>
  <dataFields count="4">
    <dataField name="Кол-во" fld="13" baseField="14" baseItem="10" numFmtId="3"/>
    <dataField name="Прирост количества" fld="13" showDataAs="percentDiff" baseField="12" baseItem="1048828" numFmtId="10"/>
    <dataField name="Объем сегмента, в млрд. ₸" fld="19" baseField="12" baseItem="0" numFmtId="167"/>
    <dataField name="Прирост объема" fld="19" showDataAs="percentDiff" baseField="12" baseItem="1048828" numFmtId="10"/>
  </dataFields>
  <formats count="5">
    <format dxfId="162">
      <pivotArea type="all" dataOnly="0" outline="0" fieldPosition="0"/>
    </format>
    <format dxfId="161">
      <pivotArea outline="0" fieldPosition="0">
        <references count="1">
          <reference field="4294967294" count="1">
            <x v="0"/>
          </reference>
        </references>
      </pivotArea>
    </format>
    <format dxfId="160">
      <pivotArea outline="0" fieldPosition="0">
        <references count="1">
          <reference field="4294967294" count="1">
            <x v="1"/>
          </reference>
        </references>
      </pivotArea>
    </format>
    <format dxfId="159">
      <pivotArea outline="0" fieldPosition="0">
        <references count="1">
          <reference field="4294967294" count="1">
            <x v="2"/>
          </reference>
        </references>
      </pivotArea>
    </format>
    <format dxfId="158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BC741-2224-4D39-AD3F-29FF533AA08F}" name="Сводная таблица3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compact="0" compactData="0" gridDropZones="1" multipleFieldFilters="0">
  <location ref="B21:E29" firstHeaderRow="1" firstDataRow="2" firstDataCol="2" rowPageCount="4" colPageCount="1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sortType="descending" defaultSubtota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8">
        <item h="1" x="0"/>
        <item h="1" x="4"/>
        <item h="1" x="5"/>
        <item h="1" x="2"/>
        <item h="1" x="6"/>
        <item x="1"/>
        <item h="1" x="7"/>
        <item h="1"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items count="22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1"/>
        <item x="3"/>
        <item x="4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3">
        <item x="1"/>
        <item h="1" x="0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3">
        <item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7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0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5">
        <item x="0"/>
        <item x="1"/>
        <item h="1" x="2"/>
        <item h="1" x="3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 defaultSubtotal="0">
      <items count="87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14"/>
  </rowFields>
  <rowItems count="7">
    <i>
      <x v="9"/>
      <x v="10"/>
    </i>
    <i>
      <x v="14"/>
      <x v="4"/>
    </i>
    <i>
      <x v="25"/>
      <x v="33"/>
    </i>
    <i>
      <x v="53"/>
      <x v="3"/>
    </i>
    <i>
      <x v="12"/>
      <x v="14"/>
    </i>
    <i>
      <x v="57"/>
      <x v="12"/>
    </i>
    <i t="grand">
      <x/>
    </i>
  </rowItems>
  <colFields count="1">
    <field x="-2"/>
  </colFields>
  <colItems count="2">
    <i>
      <x/>
    </i>
    <i i="1">
      <x v="1"/>
    </i>
  </colItems>
  <pageFields count="4">
    <pageField fld="12" hier="-1"/>
    <pageField fld="2" hier="-1"/>
    <pageField fld="9" item="1" hier="-1"/>
    <pageField fld="8" hier="-1"/>
  </pageFields>
  <dataFields count="2">
    <dataField name="Кол-во" fld="13" baseField="14" baseItem="10" numFmtId="3"/>
    <dataField name="Доля" fld="13" showDataAs="percentOfCol" baseField="8" baseItem="2" numFmtId="10"/>
  </dataFields>
  <formats count="2">
    <format dxfId="164">
      <pivotArea type="all" dataOnly="0" outline="0" fieldPosition="0"/>
    </format>
    <format dxfId="16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valueGreaterThan" evalOrder="-1" id="1" iMeasureFld="0">
      <autoFilter ref="A1">
        <filterColumn colId="0">
          <customFilters>
            <customFilter operator="greaterThan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EC328D-A437-4ACC-B1C1-8AC51950150C}" name="Сводная таблица4" cacheId="1" applyNumberFormats="0" applyBorderFormats="0" applyFontFormats="0" applyPatternFormats="0" applyAlignmentFormats="0" applyWidthHeightFormats="1" dataCaption="Значения" updatedVersion="8" minRefreshableVersion="3" itemPrintTitles="1" createdVersion="8" indent="0" compact="0" compactData="0" gridDropZones="1" multipleFieldFilters="0">
  <location ref="H21:K31" firstHeaderRow="1" firstDataRow="2" firstDataCol="2" rowPageCount="4" colPageCount="1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sortType="descending" defaultSubtota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8">
        <item h="1" x="0"/>
        <item h="1" x="4"/>
        <item h="1" x="5"/>
        <item h="1" x="2"/>
        <item h="1" x="6"/>
        <item x="1"/>
        <item h="1" x="7"/>
        <item h="1"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items count="22">
        <item x="16"/>
        <item x="21"/>
        <item x="7"/>
        <item x="6"/>
        <item x="5"/>
        <item x="11"/>
        <item x="2"/>
        <item x="10"/>
        <item x="3"/>
        <item x="9"/>
        <item x="4"/>
        <item x="15"/>
        <item x="8"/>
        <item x="13"/>
        <item x="14"/>
        <item x="12"/>
        <item x="19"/>
        <item x="17"/>
        <item x="20"/>
        <item x="0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1"/>
        <item x="3"/>
        <item x="4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3">
        <item h="1" x="1"/>
        <item h="1"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3">
        <item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7">
        <item x="7"/>
        <item x="10"/>
        <item x="26"/>
        <item x="5"/>
        <item x="6"/>
        <item x="8"/>
        <item x="14"/>
        <item x="2"/>
        <item x="13"/>
        <item x="20"/>
        <item x="11"/>
        <item x="3"/>
        <item x="12"/>
        <item x="9"/>
        <item x="4"/>
        <item x="17"/>
        <item x="25"/>
        <item x="19"/>
        <item x="18"/>
        <item x="16"/>
        <item x="23"/>
        <item x="15"/>
        <item x="21"/>
        <item x="0"/>
        <item x="24"/>
        <item x="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0">
        <item x="18"/>
        <item x="1"/>
        <item x="0"/>
        <item x="14"/>
        <item x="17"/>
        <item x="15"/>
        <item x="16"/>
        <item x="11"/>
        <item x="4"/>
        <item x="8"/>
        <item x="3"/>
        <item x="10"/>
        <item x="12"/>
        <item x="2"/>
        <item x="13"/>
        <item x="5"/>
        <item x="6"/>
        <item x="19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descending" defaultSubtotal="0">
      <items count="5">
        <item x="0"/>
        <item x="1"/>
        <item h="1" x="2"/>
        <item h="1" x="3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 defaultSubtotal="0">
      <items count="87">
        <item x="10"/>
        <item x="17"/>
        <item x="37"/>
        <item x="52"/>
        <item x="14"/>
        <item x="67"/>
        <item x="54"/>
        <item x="53"/>
        <item x="57"/>
        <item x="68"/>
        <item x="9"/>
        <item x="5"/>
        <item x="56"/>
        <item x="15"/>
        <item x="12"/>
        <item x="55"/>
        <item x="82"/>
        <item x="38"/>
        <item x="16"/>
        <item x="72"/>
        <item x="30"/>
        <item x="46"/>
        <item x="24"/>
        <item x="70"/>
        <item x="18"/>
        <item x="71"/>
        <item x="2"/>
        <item x="41"/>
        <item x="86"/>
        <item x="27"/>
        <item x="6"/>
        <item x="23"/>
        <item x="85"/>
        <item x="25"/>
        <item x="3"/>
        <item x="69"/>
        <item x="26"/>
        <item x="28"/>
        <item x="22"/>
        <item x="21"/>
        <item x="43"/>
        <item x="31"/>
        <item x="65"/>
        <item x="84"/>
        <item x="7"/>
        <item x="50"/>
        <item x="48"/>
        <item x="44"/>
        <item x="19"/>
        <item x="42"/>
        <item x="76"/>
        <item x="4"/>
        <item x="11"/>
        <item x="40"/>
        <item x="8"/>
        <item x="34"/>
        <item x="73"/>
        <item x="39"/>
        <item x="36"/>
        <item x="20"/>
        <item x="45"/>
        <item x="13"/>
        <item x="64"/>
        <item x="51"/>
        <item x="62"/>
        <item x="75"/>
        <item x="63"/>
        <item x="49"/>
        <item x="29"/>
        <item x="83"/>
        <item x="66"/>
        <item x="74"/>
        <item x="81"/>
        <item x="33"/>
        <item x="35"/>
        <item x="47"/>
        <item x="78"/>
        <item x="80"/>
        <item x="32"/>
        <item x="58"/>
        <item x="60"/>
        <item x="77"/>
        <item x="61"/>
        <item x="0"/>
        <item x="79"/>
        <item x="1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14"/>
  </rowFields>
  <rowItems count="9">
    <i>
      <x v="26"/>
      <x v="36"/>
    </i>
    <i>
      <x v="34"/>
      <x v="55"/>
    </i>
    <i>
      <x v="37"/>
      <x v="14"/>
    </i>
    <i>
      <x v="78"/>
      <x v="65"/>
    </i>
    <i>
      <x v="46"/>
      <x v="60"/>
    </i>
    <i>
      <x v="45"/>
      <x v="47"/>
    </i>
    <i>
      <x v="3"/>
      <x v="34"/>
    </i>
    <i>
      <x v="79"/>
      <x v="50"/>
    </i>
    <i t="grand">
      <x/>
    </i>
  </rowItems>
  <colFields count="1">
    <field x="-2"/>
  </colFields>
  <colItems count="2">
    <i>
      <x/>
    </i>
    <i i="1">
      <x v="1"/>
    </i>
  </colItems>
  <pageFields count="4">
    <pageField fld="12" hier="-1"/>
    <pageField fld="2" hier="-1"/>
    <pageField fld="9" item="2" hier="-1"/>
    <pageField fld="8" hier="-1"/>
  </pageFields>
  <dataFields count="2">
    <dataField name="Кол-во" fld="13" baseField="14" baseItem="10" numFmtId="3"/>
    <dataField name="Доля" fld="13" showDataAs="percentOfCol" baseField="8" baseItem="2" numFmtId="10"/>
  </dataFields>
  <formats count="2">
    <format dxfId="166">
      <pivotArea type="all" dataOnly="0" outline="0" fieldPosition="0"/>
    </format>
    <format dxfId="16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valueGreaterThan" evalOrder="-1" id="1" iMeasureFld="0">
      <autoFilter ref="A1">
        <filterColumn colId="0">
          <customFilters>
            <customFilter operator="greaterThan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E5D03E5-9B7E-4651-8D43-CF1A0E00A1F0}" name="Таблица1_113" displayName="Таблица1_113" ref="AD1:AJ2159" totalsRowShown="0" headerRowDxfId="212">
  <autoFilter ref="AD1:AJ2159" xr:uid="{8E5D03E5-9B7E-4651-8D43-CF1A0E00A1F0}"/>
  <sortState xmlns:xlrd2="http://schemas.microsoft.com/office/spreadsheetml/2017/richdata2" ref="AD2:AJ2159">
    <sortCondition ref="AI1:AI2159"/>
  </sortState>
  <tableColumns count="7">
    <tableColumn id="1" xr3:uid="{53100E22-D24E-45B5-BFBA-3761E3286540}" name="Марка" dataDxfId="211"/>
    <tableColumn id="5" xr3:uid="{6356A60C-920D-4B43-9266-03682B52DBFA}" name="Страна" dataDxfId="210"/>
    <tableColumn id="7" xr3:uid="{DF52B2BA-C6B8-478D-9E5C-52096D1A2F06}" name="Позиционирование" dataDxfId="209"/>
    <tableColumn id="6" xr3:uid="{C9088CBD-36D0-4C65-BB2E-A7D423C423F7}" name="Год основания" dataDxfId="208"/>
    <tableColumn id="8" xr3:uid="{81B15E17-E2B1-4894-BCB0-D20E184E861A}" name="Сборка в Казахстане" dataDxfId="207"/>
    <tableColumn id="2" xr3:uid="{438ED400-2DA1-4AA0-BA9F-87CACFBAE92A}" name="Дата" dataDxfId="206"/>
    <tableColumn id="3" xr3:uid="{4E593134-1308-4276-89C0-844E3D09DC52}" name="Количество, шт.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E6B57C2-62E7-4339-AA6F-CEE89EB65AF2}" name="Таблица13" displayName="Таблица13" ref="AM1:AQ51" totalsRowShown="0" headerRowDxfId="205">
  <autoFilter ref="AM1:AQ51" xr:uid="{7E6B57C2-62E7-4339-AA6F-CEE89EB65AF2}"/>
  <sortState xmlns:xlrd2="http://schemas.microsoft.com/office/spreadsheetml/2017/richdata2" ref="AM2:AQ51">
    <sortCondition ref="AQ1:AQ51"/>
  </sortState>
  <tableColumns count="5">
    <tableColumn id="1" xr3:uid="{712B51A6-AABF-43F2-A013-38E2B492A01D}" name="Марка" dataDxfId="204"/>
    <tableColumn id="3" xr3:uid="{59885296-1C77-497F-9550-CB37761B1516}" name="Позиционирование" dataDxfId="203"/>
    <tableColumn id="4" xr3:uid="{19DC51FF-CF7C-403A-A1E7-A8D629778E89}" name="Год основания" dataDxfId="202"/>
    <tableColumn id="2" xr3:uid="{AEDE8DDF-F34E-4687-86DD-CC9717EE19A3}" name="Страна"/>
    <tableColumn id="6" xr3:uid="{A851DB36-8786-40C4-9182-942ECECF211D}" name="Есть ли производство" dataDxfId="20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B38F492-B57F-483C-ABD6-AAF31ADAC928}" name="Таблица14" displayName="Таблица14" ref="AP1:BE91" totalsRowShown="0" headerRowDxfId="200">
  <autoFilter ref="AP1:BE91" xr:uid="{DB38F492-B57F-483C-ABD6-AAF31ADAC928}"/>
  <sortState xmlns:xlrd2="http://schemas.microsoft.com/office/spreadsheetml/2017/richdata2" ref="AP2:BE91">
    <sortCondition descending="1" ref="AP1:AP91"/>
  </sortState>
  <tableColumns count="16">
    <tableColumn id="1" xr3:uid="{4534D814-6D44-48C4-9F54-E6F1DFE69AEB}" name="Car Model" dataDxfId="199"/>
    <tableColumn id="2" xr3:uid="{810A8615-65D8-46EA-8604-ABD09B2DE46A}" name="Тип" dataDxfId="198"/>
    <tableColumn id="3" xr3:uid="{202F5024-AE35-4BCA-88DB-A026A3F83862}" name="Средняя цена (USD)" dataDxfId="197"/>
    <tableColumn id="4" xr3:uid="{8E028A83-D7BF-42D9-8866-A750AF411D90}" name="Мин. (USD)" dataDxfId="196"/>
    <tableColumn id="12" xr3:uid="{D05AC2FE-221E-44A1-827D-1A8F98A18968}" name="Макс. (USD)" dataDxfId="195"/>
    <tableColumn id="5" xr3:uid="{5D9F999F-61B8-4392-AC8B-B3A710071718}" name="Трансмиссия" dataDxfId="194"/>
    <tableColumn id="6" xr3:uid="{5D4A9493-6A49-49F0-8BBD-3CD72D514EF9}" name="Топливо" dataDxfId="193"/>
    <tableColumn id="7" xr3:uid="{D80B3E4E-3626-45FF-8612-725110A3A475}" name="Класс" dataDxfId="192"/>
    <tableColumn id="8" xr3:uid="{728CA9A8-9E0B-469E-8EC8-1AC7B4779736}" name="Размер" dataDxfId="191"/>
    <tableColumn id="9" xr3:uid="{05D304C6-95AE-428C-98C0-46928F6F12F4}" name="Мощность л.с." dataDxfId="190"/>
    <tableColumn id="10" xr3:uid="{C7FE2C65-E7A2-4406-AB89-2A6D329665E8}" name="Расход топлива (km/L)" dataDxfId="189"/>
    <tableColumn id="13" xr3:uid="{871222E4-0046-4985-8997-86828154AA67}" name="Средняя цена ₸" dataDxfId="188">
      <calculatedColumnFormula>AVERAGE(Таблица14[[#This Row],[Мин. ₸]],Таблица14[[#This Row],[Макс. ₸]])</calculatedColumnFormula>
    </tableColumn>
    <tableColumn id="14" xr3:uid="{988BBBA3-8896-4CE9-8F36-7A05A57845D4}" name="Мин. ₸" dataDxfId="187"/>
    <tableColumn id="15" xr3:uid="{E21CF5F6-739D-4EC6-9779-D5C61F6F6750}" name="Макс. ₸" dataDxfId="186"/>
    <tableColumn id="16" xr3:uid="{AC14BB87-EE50-4845-A680-56340BC70EDD}" name="Перевод в USD из ₸" dataDxfId="185">
      <calculatedColumnFormula>Таблица14[[#This Row],[Средняя цена ₸]]/$BI$2</calculatedColumnFormula>
    </tableColumn>
    <tableColumn id="17" xr3:uid="{D220D92D-99F3-4673-B6D1-814366EDA963}" name="Разница с  глобальными ценами" dataDxfId="184">
      <calculatedColumnFormula>Таблица14[[#This Row],[Перевод в USD из ₸]]/Таблица14[[#This Row],[Средняя цена (USD)]]-1</calculatedColumnFormula>
    </tableColumn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6DEB15A-654C-45EE-BF17-3EE315E2842F}" name="Таблица15" displayName="Таблица15" ref="T1:AM451" totalsRowShown="0" headerRowDxfId="183">
  <autoFilter ref="T1:AM451" xr:uid="{56DEB15A-654C-45EE-BF17-3EE315E2842F}"/>
  <tableColumns count="20">
    <tableColumn id="1" xr3:uid="{1C80484C-FFF5-4932-BCDD-F8D2769BD2FE}" name="Марка"/>
    <tableColumn id="2" xr3:uid="{165E4051-8BAB-4547-A470-64D739BE7F24}" name="Модель"/>
    <tableColumn id="11" xr3:uid="{26695FB7-B144-4FB7-A354-BC60AB8FC129}" name="Тип" dataDxfId="182">
      <calculatedColumnFormula>VLOOKUP(Таблица15[[#This Row],[Модель]],Таблица14[#All],2,0)</calculatedColumnFormula>
    </tableColumn>
    <tableColumn id="12" xr3:uid="{5B91A280-6416-4AD5-BFF8-61E7E7DD15E4}" name="Средняя цена (USD)" dataDxfId="181">
      <calculatedColumnFormula>VLOOKUP(Таблица15[[#This Row],[Модель]],Таблица14[#All],3,0)</calculatedColumnFormula>
    </tableColumn>
    <tableColumn id="13" xr3:uid="{4F38B701-8D47-44F4-8E52-5E516A99E828}" name="Мин. (USD)" dataDxfId="180">
      <calculatedColumnFormula>VLOOKUP(Таблица15[[#This Row],[Модель]],Таблица14[#All],4,0)</calculatedColumnFormula>
    </tableColumn>
    <tableColumn id="14" xr3:uid="{75B27FAD-C938-41FA-B13D-9FEE33C73FF7}" name="Макс. (USD)" dataDxfId="179">
      <calculatedColumnFormula>VLOOKUP(Таблица15[[#This Row],[Модель]],Таблица14[#All],5,0)</calculatedColumnFormula>
    </tableColumn>
    <tableColumn id="9" xr3:uid="{1E98B56A-A9FB-43D7-B1A8-ED6E5C619352}" name="Трансмиссия" dataDxfId="178">
      <calculatedColumnFormula>VLOOKUP(Таблица15[[#This Row],[Модель]],Таблица14[#All],6,0)</calculatedColumnFormula>
    </tableColumn>
    <tableColumn id="10" xr3:uid="{2CB596F8-6BAF-4CB3-8637-C8430AB222C1}" name="Топливо" dataDxfId="177">
      <calculatedColumnFormula>VLOOKUP(Таблица15[[#This Row],[Модель]],Таблица14[#All],7,0)</calculatedColumnFormula>
    </tableColumn>
    <tableColumn id="7" xr3:uid="{2A74DD69-CB34-4F57-AB86-C6E31C88C494}" name="Класс" dataDxfId="176">
      <calculatedColumnFormula>VLOOKUP(Таблица15[[#This Row],[Модель]],Таблица14[#All],8,0)</calculatedColumnFormula>
    </tableColumn>
    <tableColumn id="8" xr3:uid="{E6624FE7-8C5F-4CFE-8F34-C7C394CD9394}" name="Размер" dataDxfId="175">
      <calculatedColumnFormula>VLOOKUP(Таблица15[[#This Row],[Модель]],Таблица14[#All],9,0)</calculatedColumnFormula>
    </tableColumn>
    <tableColumn id="5" xr3:uid="{373725A6-83F5-4E41-916E-C3CE724976C0}" name="Мощность л.с." dataDxfId="174">
      <calculatedColumnFormula>VLOOKUP(Таблица15[[#This Row],[Модель]],Таблица14[#All],10,0)</calculatedColumnFormula>
    </tableColumn>
    <tableColumn id="6" xr3:uid="{F5B3D196-39DC-4747-9C4A-94BE5727C934}" name="Расход топлива (km/L)" dataDxfId="173">
      <calculatedColumnFormula>VLOOKUP(Таблица15[[#This Row],[Модель]],Таблица14[#All],11,0)</calculatedColumnFormula>
    </tableColumn>
    <tableColumn id="3" xr3:uid="{09B39C59-BE20-460E-AB83-2D7381E9D005}" name="Год продаж"/>
    <tableColumn id="4" xr3:uid="{8D0239F1-AE8D-41A1-88A5-7AFB204BBDC6}" name="Кол-во проданных"/>
    <tableColumn id="15" xr3:uid="{1354EA7E-C330-4C35-B711-631AEEF10855}" name="Средняя цена млн. ₸" dataDxfId="172">
      <calculatedColumnFormula>VLOOKUP(Таблица15[[#This Row],[Модель]],Таблица14[#All],12,0)/1000000</calculatedColumnFormula>
    </tableColumn>
    <tableColumn id="16" xr3:uid="{23C9371F-E76D-405A-9F2A-63EFBC2BDC26}" name="Мин. млн. ₸" dataDxfId="171">
      <calculatedColumnFormula>VLOOKUP(Таблица15[[#This Row],[Модель]],Таблица14[#All],13,0)/1000000</calculatedColumnFormula>
    </tableColumn>
    <tableColumn id="17" xr3:uid="{E76D1F29-98AA-4FD9-A255-B003548CB78E}" name="Макс. млн. ₸" dataDxfId="170">
      <calculatedColumnFormula>VLOOKUP(Таблица15[[#This Row],[Модель]],Таблица14[#All],14,0)/1000000</calculatedColumnFormula>
    </tableColumn>
    <tableColumn id="18" xr3:uid="{DB1D02D7-AE90-4884-B7F9-F81AAEA7F0DD}" name="Сумма проданных в млн. USD (global)" dataDxfId="169">
      <calculatedColumnFormula>Таблица15[[#This Row],[Средняя цена (USD)]]*Таблица15[[#This Row],[Кол-во проданных]]/1000000</calculatedColumnFormula>
    </tableColumn>
    <tableColumn id="19" xr3:uid="{1277D731-AD16-4429-8055-AA829EC48649}" name="Сумма проданных в млн. USD (local)" dataDxfId="168">
      <calculatedColumnFormula>Таблица15[[#This Row],[Средняя цена млн. ₸]]/440*Таблица15[[#This Row],[Кол-во проданных]]</calculatedColumnFormula>
    </tableColumn>
    <tableColumn id="20" xr3:uid="{9814B155-ED26-482B-896F-1150CA370EFD}" name="Сумма проданных в  млрд. ₸" dataDxfId="167">
      <calculatedColumnFormula>Таблица15[[#This Row],[Средняя цена млн. ₸]]*Таблица15[[#This Row],[Кол-во проданных]]/1000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A42C2F-ED38-BB40-A881-903399A15830}" name="Table1" displayName="Table1" ref="A3:F4" totalsRowShown="0" headerRowDxfId="114" dataDxfId="112" headerRowBorderDxfId="113" tableBorderDxfId="111" totalsRowBorderDxfId="110">
  <autoFilter ref="A3:F4" xr:uid="{9EA42C2F-ED38-BB40-A881-903399A15830}"/>
  <tableColumns count="6">
    <tableColumn id="1" xr3:uid="{0956DAAD-6A94-BF47-9E34-7C02A313EC7A}" name="Сегмент" dataDxfId="109"/>
    <tableColumn id="2" xr3:uid="{941D7185-E4AC-8F45-950B-1D317290FDF7}" name="Количество моделей в сегменте" dataDxfId="108">
      <calculatedColumnFormula>COUNTA(SAM_Segmentation!B4:B10)</calculatedColumnFormula>
    </tableColumn>
    <tableColumn id="3" xr3:uid="{3E6D2237-0DBA-9046-9BAA-0DA275B8BCE7}" name="Модели MG" dataDxfId="107"/>
    <tableColumn id="4" xr3:uid="{C0C481DB-4EFE-3B48-9AF9-E897D17B7BB6}" name="SAM по сегменту, шт. в год" dataDxfId="106">
      <calculatedColumnFormula>SAM_Segmentation!E17</calculatedColumnFormula>
    </tableColumn>
    <tableColumn id="5" xr3:uid="{D11EA187-0213-2A44-B5A4-BA14EA9382E8}" name="Общий балл" dataDxfId="105">
      <calculatedColumnFormula>ROUND('SOM (баллы MG по Benchmark)'!M83,2)</calculatedColumnFormula>
    </tableColumn>
    <tableColumn id="6" xr3:uid="{358E2CF4-5DAB-724B-BAC5-C858613A0C4C}" name="Доля рынка по сегменту" dataDxfId="104" dataCellStyle="Процентный">
      <calculatedColumnFormula>A4/B4*IFERROR(VLOOKUP(E4,SOM_forecast!$B$13:$C$62,2,0),
IFERROR(VLOOKUP(E4,SOM_forecast!$D$13:$E$62,2,0),
IFERROR(VLOOKUP(E4,SOM_forecast!$F$13:$G$62,2,0),
IFERROR(VLOOKUP(E4,SOM_forecast!$H$13:$I$62,2,0),
IFERROR(VLOOKUP(E4,SOM_forecast!$J$13:$K$62,2,0),
IFERROR(VLOOKUP(E4,SOM_forecast!$L$13:$M$62,2,0),
IFERROR(VLOOKUP(E4,SOM_forecast!$N$13:$O$62,2,0),
IFERROR(VLOOKUP(E4,SOM_forecast!$P$13:$Q$62,2,0),"?"))))))))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9DB07F-FDC9-FD4A-A990-7326041D3C42}" name="Table13" displayName="Table13" ref="A8:F9" totalsRowShown="0" headerRowDxfId="103" dataDxfId="101" headerRowBorderDxfId="102" tableBorderDxfId="100" totalsRowBorderDxfId="99">
  <autoFilter ref="A8:F9" xr:uid="{849DB07F-FDC9-FD4A-A990-7326041D3C42}"/>
  <tableColumns count="6">
    <tableColumn id="1" xr3:uid="{9D127323-AE08-0B4B-BC35-9CEABF8864B0}" name="Сегмент" dataDxfId="98"/>
    <tableColumn id="2" xr3:uid="{571000E6-E964-A240-92E8-5AFC46645933}" name="Количество моделей в сегменте" dataDxfId="97">
      <calculatedColumnFormula>COUNTA(SAM_Segmentation!H4:H12)</calculatedColumnFormula>
    </tableColumn>
    <tableColumn id="3" xr3:uid="{0F175934-B74B-7545-AD92-0DBFD90A209E}" name="Модели MG" dataDxfId="96"/>
    <tableColumn id="4" xr3:uid="{EFD507FC-5244-7D40-B075-1BF13621A977}" name="SAM по сегменту, шт. в год" dataDxfId="95">
      <calculatedColumnFormula>SAM_Segmentation!K17</calculatedColumnFormula>
    </tableColumn>
    <tableColumn id="5" xr3:uid="{730020D4-4C2F-E548-9EB0-7DCF950F9E83}" name="Общий балл" dataDxfId="94">
      <calculatedColumnFormula>ROUND('SOM (баллы MG по Benchmark)'!M74,2)</calculatedColumnFormula>
    </tableColumn>
    <tableColumn id="6" xr3:uid="{8A5D3367-C1D4-3545-AA67-C0EDFAF9A37B}" name="Доля рынка по сегменту" dataDxfId="93" dataCellStyle="Процентный">
      <calculatedColumnFormula>1/B9*IFERROR(VLOOKUP(E9,SOM_forecast!$B$13:$C$62,2,0),
IFERROR(VLOOKUP(E9,SOM_forecast!$D$13:$E$62,2,0),
IFERROR(VLOOKUP(E9,SOM_forecast!$F$13:$G$62,2,0),
IFERROR(VLOOKUP(E9,SOM_forecast!$H$13:$I$62,2,0),
IFERROR(VLOOKUP(E9,SOM_forecast!$J$13:$K$62,2,0),
IFERROR(VLOOKUP(E9,SOM_forecast!$L$13:$M$62,2,0),
IFERROR(VLOOKUP(E9,SOM_forecast!$N$13:$O$62,2,0),
IFERROR(VLOOKUP(E9,SOM_forecast!$P$13:$Q$62,2,0),"?"))))))))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DD8E6E-ECAA-8343-B4E4-F932B05B2700}" name="Table134" displayName="Table134" ref="A13:F17" totalsRowCount="1" headerRowDxfId="92" dataDxfId="90" headerRowBorderDxfId="91" tableBorderDxfId="89" totalsRowBorderDxfId="88">
  <autoFilter ref="A13:F16" xr:uid="{7EDD8E6E-ECAA-8343-B4E4-F932B05B2700}"/>
  <tableColumns count="6">
    <tableColumn id="1" xr3:uid="{D1318634-482D-FA48-9094-D47AB03ACAA6}" name="Сегмент" totalsRowLabel="Итого" dataDxfId="87" totalsRowDxfId="86"/>
    <tableColumn id="2" xr3:uid="{0502697D-53B9-664A-8519-BA6AE3A4DA11}" name="Количество моделей в сегменте" dataDxfId="85" totalsRowDxfId="84"/>
    <tableColumn id="3" xr3:uid="{A83E4BBD-47A8-1A49-B48A-B9554FD7E8E5}" name="Модели MG" dataDxfId="83" totalsRowDxfId="82"/>
    <tableColumn id="4" xr3:uid="{098D0E3A-52C1-6249-9A03-7EA5FB45C186}" name="SAM по сегменту, шт. в год" dataDxfId="81" totalsRowDxfId="80"/>
    <tableColumn id="5" xr3:uid="{BAF13D45-A2E0-514C-9642-11BFCF1397F4}" name="Общий балл" dataDxfId="79" totalsRowDxfId="78"/>
    <tableColumn id="6" xr3:uid="{536F367F-95E6-564A-B8C6-DD5E09E1BE87}" name="Доля рынка по сегменту" totalsRowFunction="sum" dataDxfId="77" totalsRowDxfId="76" dataCellStyle="Процентный">
      <calculatedColumnFormula>1/B14*IFERROR(VLOOKUP(E14,SOM_forecast!$B$13:$C$62,2,0),
IFERROR(VLOOKUP(E14,SOM_forecast!$D$13:$E$62,2,0),
IFERROR(VLOOKUP(E14,SOM_forecast!$F$13:$G$62,2,0),
IFERROR(VLOOKUP(E14,SOM_forecast!$H$13:$I$62,2,0),
IFERROR(VLOOKUP(E14,SOM_forecast!$J$13:$K$62,2,0),
IFERROR(VLOOKUP(E14,SOM_forecast!$L$13:$M$62,2,0),
IFERROR(VLOOKUP(E14,SOM_forecast!$N$13:$O$62,2,0),
IFERROR(VLOOKUP(E14,SOM_forecast!$P$13:$Q$62,2,0),"?"))))))))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F6667B-3CB6-7546-9729-68B2EFFBEBE3}" name="Table4" displayName="Table4" ref="A21:F27" totalsRowCount="1" headerRowDxfId="75" dataDxfId="73" totalsRowDxfId="71" headerRowBorderDxfId="74" tableBorderDxfId="72" totalsRowBorderDxfId="70">
  <autoFilter ref="A21:F26" xr:uid="{66F6667B-3CB6-7546-9729-68B2EFFBEBE3}"/>
  <tableColumns count="6">
    <tableColumn id="1" xr3:uid="{41783D57-4C08-F748-B1BB-2E290661407F}" name="Сегмент" totalsRowLabel="Итого" dataDxfId="69" totalsRowDxfId="68"/>
    <tableColumn id="2" xr3:uid="{D5C8FEC9-A18F-AB47-97D9-5058ED4999A6}" name="Количество моделей в сегменте" dataDxfId="67" totalsRowDxfId="66"/>
    <tableColumn id="3" xr3:uid="{E5A011FF-1CD0-FD4F-A81D-9FCA2147CAAD}" name="Модели MG" dataDxfId="65" totalsRowDxfId="64"/>
    <tableColumn id="4" xr3:uid="{2F26C8C6-1C48-0146-8E95-5F8060E3B16F}" name="SAM по сегменту, шт. в год" dataDxfId="63" totalsRowDxfId="62"/>
    <tableColumn id="5" xr3:uid="{2D246753-8F9E-2945-8FC5-3FA8F94F5ACD}" name="Общий балл" dataDxfId="61" totalsRowDxfId="60"/>
    <tableColumn id="6" xr3:uid="{6A092B4C-49AB-F34C-8B83-DA97889A14E2}" name="Доля рынка по сегменту" totalsRowFunction="sum" dataDxfId="59" totalsRowDxfId="58" dataCellStyle="Процентный">
      <calculatedColumnFormula>1/B22*IFERROR(VLOOKUP(E22,SOM_forecast!$B$13:$C$62,2,0),
IFERROR(VLOOKUP(E22,SOM_forecast!$D$13:$E$62,2,0),
IFERROR(VLOOKUP(E22,SOM_forecast!$F$13:$G$62,2,0),
IFERROR(VLOOKUP(E22,SOM_forecast!$H$13:$I$62,2,0),
IFERROR(VLOOKUP(E22,SOM_forecast!$J$13:$K$62,2,0),
IFERROR(VLOOKUP(E22,SOM_forecast!$L$13:$M$62,2,0),
IFERROR(VLOOKUP(E22,SOM_forecast!$N$13:$O$62,2,0),
IFERROR(VLOOKUP(E22,SOM_forecast!$P$13:$Q$62,2,0),"?"))))))))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28763E2-6DC0-4C4F-A53D-316E5F96D6EA}" name="Table136" displayName="Table136" ref="A31:F32" totalsRowShown="0" headerRowDxfId="57" dataDxfId="55" headerRowBorderDxfId="56" tableBorderDxfId="54" totalsRowBorderDxfId="53">
  <autoFilter ref="A31:F32" xr:uid="{E28763E2-6DC0-4C4F-A53D-316E5F96D6EA}"/>
  <tableColumns count="6">
    <tableColumn id="1" xr3:uid="{07D03472-B2E1-4541-95B7-B616628D010C}" name="Сегмент" dataDxfId="52"/>
    <tableColumn id="2" xr3:uid="{EDEF7AFA-FF53-3E49-B318-4E679B0B1E90}" name="Количество моделей в сегменте" dataDxfId="51">
      <calculatedColumnFormula>COUNTA(SAM_Segmentation!Z4:Z7)</calculatedColumnFormula>
    </tableColumn>
    <tableColumn id="3" xr3:uid="{60652BB1-B947-5D40-8018-37D338D7E8DA}" name="Модели MG" dataDxfId="50"/>
    <tableColumn id="4" xr3:uid="{72CC450A-C890-7842-AF57-469081DBC821}" name="SAM по сегменту, шт. в год" dataDxfId="49">
      <calculatedColumnFormula>SAM_Segmentation!AC17</calculatedColumnFormula>
    </tableColumn>
    <tableColumn id="5" xr3:uid="{B57BF48D-9B83-2044-B83B-EAB68258EDF2}" name="Общий балл" dataDxfId="48">
      <calculatedColumnFormula>ROUND('SOM (баллы MG по Benchmark)'!M24,2)</calculatedColumnFormula>
    </tableColumn>
    <tableColumn id="6" xr3:uid="{78728505-742A-3640-BB25-679453DFFF52}" name="Доля рынка по сегменту" dataDxfId="47" dataCellStyle="Процентный">
      <calculatedColumnFormula>1/B32*IFERROR(VLOOKUP(E32,SOM_forecast!$B$13:$C$62,2,0),
IFERROR(VLOOKUP(E32,SOM_forecast!$D$13:$E$62,2,0),
IFERROR(VLOOKUP(E32,SOM_forecast!$F$13:$G$62,2,0),
IFERROR(VLOOKUP(E32,SOM_forecast!$H$13:$I$62,2,0),
IFERROR(VLOOKUP(E32,SOM_forecast!$J$13:$K$62,2,0),
IFERROR(VLOOKUP(E32,SOM_forecast!$L$13:$M$62,2,0),
IFERROR(VLOOKUP(E32,SOM_forecast!$N$13:$O$62,2,0),
IFERROR(VLOOKUP(E32,SOM_forecast!$P$13:$Q$62,2,0),"?"))))))))</calculatedColumnFormula>
    </tableColumn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7910154-0558-3242-8535-9929A0811ED9}" name="Table1368" displayName="Table1368" ref="A36:F37" totalsRowShown="0" headerRowDxfId="46" dataDxfId="44" headerRowBorderDxfId="45" tableBorderDxfId="43" totalsRowBorderDxfId="42">
  <autoFilter ref="A36:F37" xr:uid="{E7910154-0558-3242-8535-9929A0811ED9}"/>
  <tableColumns count="6">
    <tableColumn id="1" xr3:uid="{0204278E-1174-3849-999E-3C998DF41098}" name="Сегмент" dataDxfId="41"/>
    <tableColumn id="2" xr3:uid="{192A94F9-0458-8F42-9A81-7A60B256DAF3}" name="Количество моделей в сегменте" dataDxfId="40">
      <calculatedColumnFormula>COUNTA(SAM_Segmentation!AF4:AF10)</calculatedColumnFormula>
    </tableColumn>
    <tableColumn id="3" xr3:uid="{9AC68213-88B5-4540-A478-51CC0B927849}" name="Модели MG" dataDxfId="39"/>
    <tableColumn id="4" xr3:uid="{206CA5DB-6B8C-F147-9925-57F6164E6198}" name="SAM по сегменту, шт. в год" dataDxfId="38">
      <calculatedColumnFormula>SAM_Segmentation!AI17</calculatedColumnFormula>
    </tableColumn>
    <tableColumn id="5" xr3:uid="{A6DDA1EA-B306-FC46-B527-A01407D69503}" name="Общий балл" dataDxfId="37">
      <calculatedColumnFormula>ROUND('SOM (баллы MG по Benchmark)'!M15,2)</calculatedColumnFormula>
    </tableColumn>
    <tableColumn id="6" xr3:uid="{224E2F0A-C206-8D4D-A624-5944A66E5A96}" name="Доля рынка по сегменту" dataDxfId="36" dataCellStyle="Процентный">
      <calculatedColumnFormula>1/B37*IFERROR(VLOOKUP(E37,SOM_forecast!$B$13:$C$62,2,0),
IFERROR(VLOOKUP(E37,SOM_forecast!$D$13:$E$62,2,0),
IFERROR(VLOOKUP(E37,SOM_forecast!$F$13:$G$62,2,0),
IFERROR(VLOOKUP(E37,SOM_forecast!$H$13:$I$62,2,0),
IFERROR(VLOOKUP(E37,SOM_forecast!$J$13:$K$62,2,0),
IFERROR(VLOOKUP(E37,SOM_forecast!$L$13:$M$62,2,0),
IFERROR(VLOOKUP(E37,SOM_forecast!$N$13:$O$62,2,0),
IFERROR(VLOOKUP(E37,SOM_forecast!$P$13:$Q$62,2,0),"?"))))))))</calculatedColumnFormula>
    </tableColumn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67E775-D7C6-AD41-B3DA-3D4222BE7EDA}" name="Table13689" displayName="Table13689" ref="A41:F42" totalsRowShown="0" headerRowDxfId="35" dataDxfId="33" headerRowBorderDxfId="34" tableBorderDxfId="32" totalsRowBorderDxfId="31">
  <autoFilter ref="A41:F42" xr:uid="{ED67E775-D7C6-AD41-B3DA-3D4222BE7EDA}"/>
  <tableColumns count="6">
    <tableColumn id="1" xr3:uid="{07FF7889-0C7B-EC44-85F1-D47C4D82D502}" name="Сегмент" dataDxfId="30"/>
    <tableColumn id="2" xr3:uid="{B2687A83-E67F-194D-8844-0EBCEFF8F5CE}" name="Количество моделей в сегменте" dataDxfId="29">
      <calculatedColumnFormula>COUNTA(SAM_Segmentation!AL4:AL6)</calculatedColumnFormula>
    </tableColumn>
    <tableColumn id="3" xr3:uid="{CDFCB5FF-DC73-BC44-9F15-AD38CEE88E63}" name="Модели MG" dataDxfId="28"/>
    <tableColumn id="4" xr3:uid="{80911379-AB8B-B64F-B4F6-20ECDC6B9464}" name="SAM по сегменту, шт. в год" dataDxfId="27">
      <calculatedColumnFormula>SAM_Segmentation!AO17</calculatedColumnFormula>
    </tableColumn>
    <tableColumn id="5" xr3:uid="{E06B3CCE-B469-2146-8676-0DB25F00D959}" name="Общий балл" dataDxfId="26">
      <calculatedColumnFormula>ROUND('SOM (баллы MG по Benchmark)'!M5,2)</calculatedColumnFormula>
    </tableColumn>
    <tableColumn id="6" xr3:uid="{89E6AF63-63F4-8E46-AFEF-47EA2AACBB55}" name="Доля рынка по сегменту" dataDxfId="25" dataCellStyle="Процентный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CAE1862-7AC7-4D08-AEC8-FAC160E415C1}" name="Таблица18" displayName="Таблица18" ref="A1:X24" totalsRowShown="0" headerRowDxfId="24">
  <autoFilter ref="A1:X24" xr:uid="{8CAE1862-7AC7-4D08-AEC8-FAC160E415C1}"/>
  <sortState xmlns:xlrd2="http://schemas.microsoft.com/office/spreadsheetml/2017/richdata2" ref="A2:X23">
    <sortCondition descending="1" ref="F1:F24"/>
  </sortState>
  <tableColumns count="24">
    <tableColumn id="1" xr3:uid="{954FF96F-89C9-4466-9F9A-CFE52C0CE4C2}" name="Model Name" dataDxfId="23"/>
    <tableColumn id="2" xr3:uid="{4E980281-DEB0-4236-A381-E51175453679}" name="Car Type" dataDxfId="22"/>
    <tableColumn id="6" xr3:uid="{CF0917C6-234C-4CBA-ACA3-4E275AC4E617}" name="Transmission" dataDxfId="21"/>
    <tableColumn id="7" xr3:uid="{49D041FC-B7B8-48FA-AB4F-DE09E4D52BBA}" name="Fuel Type" dataDxfId="20"/>
    <tableColumn id="8" xr3:uid="{29820482-23CA-4454-ADC3-02E869CE0A4D}" name="Car Class" dataDxfId="19"/>
    <tableColumn id="9" xr3:uid="{2A0FFBA5-269D-4771-91BF-971ADE4B1698}" name="Size" dataDxfId="18"/>
    <tableColumn id="10" xr3:uid="{DD6EF8CF-982C-49B7-9479-F65A9FC90CED}" name="HP" dataDxfId="17"/>
    <tableColumn id="11" xr3:uid="{65AC9868-AF90-4B7F-B8AA-F778663B774E}" name="Fuel Use (km/L)" dataDxfId="16"/>
    <tableColumn id="12" xr3:uid="{C500A1B9-79E3-4954-AB71-0A01DBE570E7}" name="First Mfg." dataDxfId="15"/>
    <tableColumn id="13" xr3:uid="{C0A87E2C-8BBF-41EE-A322-F954079237C4}" name="Main Factory" dataDxfId="14"/>
    <tableColumn id="14" xr3:uid="{8680B702-31E1-4C30-8289-E6941C5E0952}" name="Wholesale Min. Price in China, CNY" dataDxfId="13"/>
    <tableColumn id="15" xr3:uid="{F93060A3-0D7C-49D3-9C87-B8C722310CB1}" name="Wholesale Max. Price in China, CNY" dataDxfId="12"/>
    <tableColumn id="16" xr3:uid="{06A2816C-55B3-4B69-9C32-B13687987E40}" name=" Wholesale Average price in China, CNY" dataDxfId="11">
      <calculatedColumnFormula>AVERAGE(Таблица18[[#This Row],[Wholesale Min. Price in China, CNY]],Таблица18[[#This Row],[Wholesale Max. Price in China, CNY]])</calculatedColumnFormula>
    </tableColumn>
    <tableColumn id="17" xr3:uid="{EC05FE04-E9CE-48BC-A967-1E1D3430FE5B}" name="Wholesale Price in China, USD" dataDxfId="10">
      <calculatedColumnFormula>Таблица18[[#This Row],[ Wholesale Average price in China, CNY]]*$Z$2</calculatedColumnFormula>
    </tableColumn>
    <tableColumn id="23" xr3:uid="{9B9FD080-3D0C-454D-9803-0F9052964AE0}" name="Скидка для дистрибьютора от производителя" dataDxfId="9"/>
    <tableColumn id="24" xr3:uid="{7086967C-0C2B-4B1B-89BE-F32BA79FAA46}" name="Стоимость авто в Китае с учетом скидки, USD" dataDxfId="8">
      <calculatedColumnFormula>Таблица18[[#This Row],[Wholesale Price in China, USD]]*(1-Таблица18[[#This Row],[Скидка для дистрибьютора от производителя]])</calculatedColumnFormula>
    </tableColumn>
    <tableColumn id="25" xr3:uid="{7C51B738-4F44-4A04-8E26-413A9E948E50}" name="Стоимость авто в Китае с учетом скидки, KZT" dataDxfId="7">
      <calculatedColumnFormula>Таблица18[[#This Row],[Стоимость авто в Китае с учетом скидки, USD]]*Sales_by_models!$BI$2</calculatedColumnFormula>
    </tableColumn>
    <tableColumn id="3" xr3:uid="{14533E96-7DC2-4674-BCAD-244CFBC8B48D}" name="Стоимость авто в Казахстане для дистрибьютора, KZT" dataDxfId="6">
      <calculatedColumnFormula>((Таблица18[[#This Row],[Стоимость авто в Китае с учетом скидки, KZT]]+Таблица18[[#This Row],[Стоимость авто в Китае с учетом скидки, KZT]]*0.15+1320000+30000)*1.15*1.12+733125+923+264000)*1.03</calculatedColumnFormula>
    </tableColumn>
    <tableColumn id="26" xr3:uid="{77FDB4A3-97E9-4D4B-994A-AA3D9CBE9BBE}" name="Стоимость авто в Казахстане для дилера, KZT" dataDxfId="5">
      <calculatedColumnFormula>Таблица18[[#This Row],[Стоимость авто в Казахстане для дистрибьютора, KZT]]*1.08</calculatedColumnFormula>
    </tableColumn>
    <tableColumn id="28" xr3:uid="{1B1F3BA5-4AC5-496D-BCB3-C048DABDF763}" name="Стоимость авто в Казахстане для дилера, USD" dataDxfId="4">
      <calculatedColumnFormula>Таблица18[[#This Row],[Стоимость авто в Казахстане для дилера, KZT]]/Sales_by_models!$BI$2</calculatedColumnFormula>
    </tableColumn>
    <tableColumn id="27" xr3:uid="{192C65C5-1E48-425E-B075-2DB6F4B78179}" name="Стоимость авто в Казахстане для потребителя, KZT" dataDxfId="3">
      <calculatedColumnFormula>Таблица18[[#This Row],[Стоимость авто в Казахстане для дилера, KZT]]*1.08</calculatedColumnFormula>
    </tableColumn>
    <tableColumn id="29" xr3:uid="{6197BC4F-8632-450C-8662-EC79D4688389}" name="Стоимость авто в Казахстане для потребителя, USD" dataDxfId="2">
      <calculatedColumnFormula>Таблица18[[#This Row],[Стоимость авто в Казахстане для потребителя, KZT]]/Sales_by_models!$BI$2</calculatedColumnFormula>
    </tableColumn>
    <tableColumn id="30" xr3:uid="{DAE0823C-F907-4487-9F35-00D422A254A1}" name="Стоимость авто в России для потребителя, руб." dataDxfId="1"/>
    <tableColumn id="31" xr3:uid="{7CFF22AC-815B-4EE1-B7A9-5B947DFBB185}" name="Стоимость авто в России для потребителя, USD" dataDxfId="0">
      <calculatedColumnFormula>Таблица18[[#This Row],[Стоимость авто в России для потребителя, руб.]]/92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25" dT="2024-05-13T00:20:29.27" personId="{E4125E83-76CE-46CE-903B-11605365AA45}" id="{D04A50F4-7FCA-46DD-AC8D-53308FCB3E06}">
    <text>Официальная статистика за 5 лет</text>
  </threadedComment>
  <threadedComment ref="I26" dT="2024-05-13T00:20:29.27" personId="{E4125E83-76CE-46CE-903B-11605365AA45}" id="{49D29FC5-A412-4F69-AAEE-F7708E4BDABD}">
    <text>Официальная статистика за 5 лет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table" Target="../tables/table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9.xml"/><Relationship Id="rId13" Type="http://schemas.openxmlformats.org/officeDocument/2006/relationships/pivotTable" Target="../pivotTables/pivotTable24.xml"/><Relationship Id="rId3" Type="http://schemas.openxmlformats.org/officeDocument/2006/relationships/pivotTable" Target="../pivotTables/pivotTable14.xml"/><Relationship Id="rId7" Type="http://schemas.openxmlformats.org/officeDocument/2006/relationships/pivotTable" Target="../pivotTables/pivotTable18.xml"/><Relationship Id="rId12" Type="http://schemas.openxmlformats.org/officeDocument/2006/relationships/pivotTable" Target="../pivotTables/pivotTable23.xml"/><Relationship Id="rId17" Type="http://schemas.openxmlformats.org/officeDocument/2006/relationships/table" Target="../tables/table4.xml"/><Relationship Id="rId2" Type="http://schemas.openxmlformats.org/officeDocument/2006/relationships/pivotTable" Target="../pivotTables/pivotTable13.xml"/><Relationship Id="rId16" Type="http://schemas.openxmlformats.org/officeDocument/2006/relationships/table" Target="../tables/table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11" Type="http://schemas.openxmlformats.org/officeDocument/2006/relationships/pivotTable" Target="../pivotTables/pivotTable22.xml"/><Relationship Id="rId5" Type="http://schemas.openxmlformats.org/officeDocument/2006/relationships/pivotTable" Target="../pivotTables/pivotTable16.xml"/><Relationship Id="rId15" Type="http://schemas.openxmlformats.org/officeDocument/2006/relationships/pivotTable" Target="../pivotTables/pivotTable26.xml"/><Relationship Id="rId10" Type="http://schemas.openxmlformats.org/officeDocument/2006/relationships/pivotTable" Target="../pivotTables/pivotTable21.xml"/><Relationship Id="rId4" Type="http://schemas.openxmlformats.org/officeDocument/2006/relationships/pivotTable" Target="../pivotTables/pivotTable15.xml"/><Relationship Id="rId9" Type="http://schemas.openxmlformats.org/officeDocument/2006/relationships/pivotTable" Target="../pivotTables/pivotTable20.xml"/><Relationship Id="rId14" Type="http://schemas.openxmlformats.org/officeDocument/2006/relationships/pivotTable" Target="../pivotTables/pivotTable25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4.xml"/><Relationship Id="rId13" Type="http://schemas.openxmlformats.org/officeDocument/2006/relationships/pivotTable" Target="../pivotTables/pivotTable39.xml"/><Relationship Id="rId3" Type="http://schemas.openxmlformats.org/officeDocument/2006/relationships/pivotTable" Target="../pivotTables/pivotTable29.xml"/><Relationship Id="rId7" Type="http://schemas.openxmlformats.org/officeDocument/2006/relationships/pivotTable" Target="../pivotTables/pivotTable33.xml"/><Relationship Id="rId12" Type="http://schemas.openxmlformats.org/officeDocument/2006/relationships/pivotTable" Target="../pivotTables/pivotTable38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Relationship Id="rId6" Type="http://schemas.openxmlformats.org/officeDocument/2006/relationships/pivotTable" Target="../pivotTables/pivotTable32.xml"/><Relationship Id="rId11" Type="http://schemas.openxmlformats.org/officeDocument/2006/relationships/pivotTable" Target="../pivotTables/pivotTable37.xml"/><Relationship Id="rId5" Type="http://schemas.openxmlformats.org/officeDocument/2006/relationships/pivotTable" Target="../pivotTables/pivotTable31.xml"/><Relationship Id="rId10" Type="http://schemas.openxmlformats.org/officeDocument/2006/relationships/pivotTable" Target="../pivotTables/pivotTable36.xml"/><Relationship Id="rId4" Type="http://schemas.openxmlformats.org/officeDocument/2006/relationships/pivotTable" Target="../pivotTables/pivotTable30.xml"/><Relationship Id="rId9" Type="http://schemas.openxmlformats.org/officeDocument/2006/relationships/pivotTable" Target="../pivotTables/pivotTable35.xml"/><Relationship Id="rId14" Type="http://schemas.openxmlformats.org/officeDocument/2006/relationships/pivotTable" Target="../pivotTables/pivotTable4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7" Type="http://schemas.openxmlformats.org/officeDocument/2006/relationships/table" Target="../tables/table11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B1:BP88"/>
  <sheetViews>
    <sheetView showGridLines="0" zoomScale="85" zoomScaleNormal="85" workbookViewId="0">
      <pane ySplit="4" topLeftCell="A65" activePane="bottomLeft" state="frozen"/>
      <selection activeCell="C1" sqref="C1"/>
      <selection pane="bottomLeft" activeCell="F5" sqref="C5:F5"/>
    </sheetView>
  </sheetViews>
  <sheetFormatPr defaultColWidth="8.77734375" defaultRowHeight="29.55" customHeight="1"/>
  <cols>
    <col min="1" max="1" width="3.44140625" style="9" customWidth="1"/>
    <col min="2" max="2" width="65" style="9" customWidth="1"/>
    <col min="3" max="6" width="12.33203125" style="9" customWidth="1"/>
    <col min="7" max="7" width="3.109375" style="9" customWidth="1"/>
    <col min="8" max="8" width="50.6640625" style="9" customWidth="1"/>
    <col min="9" max="9" width="29.109375" style="9" customWidth="1"/>
    <col min="10" max="10" width="2.44140625" style="9" customWidth="1"/>
    <col min="11" max="11" width="65" style="9" customWidth="1"/>
    <col min="12" max="15" width="12.33203125" style="9" customWidth="1"/>
    <col min="16" max="16" width="3.109375" style="9" customWidth="1"/>
    <col min="17" max="17" width="65" style="9" customWidth="1"/>
    <col min="18" max="22" width="12.33203125" style="9" customWidth="1"/>
    <col min="23" max="23" width="3.109375" style="9" customWidth="1"/>
    <col min="24" max="24" width="63.33203125" style="9" customWidth="1"/>
    <col min="25" max="27" width="11.109375" style="9" customWidth="1"/>
    <col min="28" max="28" width="11.6640625" style="9" customWidth="1"/>
    <col min="29" max="29" width="12.6640625" style="9" customWidth="1"/>
    <col min="30" max="30" width="11.6640625" style="9" customWidth="1"/>
    <col min="31" max="31" width="12.77734375" style="9" customWidth="1"/>
    <col min="32" max="32" width="3.109375" style="9" customWidth="1"/>
    <col min="33" max="33" width="63.33203125" style="9" customWidth="1"/>
    <col min="34" max="35" width="11.109375" style="9" customWidth="1"/>
    <col min="36" max="36" width="11.6640625" style="9" customWidth="1"/>
    <col min="37" max="37" width="12.6640625" style="9" customWidth="1"/>
    <col min="38" max="38" width="11.6640625" style="9" customWidth="1"/>
    <col min="39" max="39" width="12.77734375" style="9" customWidth="1"/>
    <col min="40" max="40" width="3.109375" style="9" customWidth="1"/>
    <col min="41" max="41" width="63.33203125" style="9" customWidth="1"/>
    <col min="42" max="42" width="11.109375" style="9" customWidth="1"/>
    <col min="43" max="45" width="17" style="9" bestFit="1" customWidth="1"/>
    <col min="46" max="47" width="15.44140625" style="9" bestFit="1" customWidth="1"/>
    <col min="48" max="48" width="3.44140625" style="9" customWidth="1"/>
    <col min="49" max="49" width="63.33203125" style="9" customWidth="1"/>
    <col min="50" max="50" width="11.109375" style="9" customWidth="1"/>
    <col min="51" max="53" width="17" style="9" bestFit="1" customWidth="1"/>
    <col min="54" max="55" width="15.44140625" style="9" bestFit="1" customWidth="1"/>
    <col min="56" max="60" width="10.6640625" style="9" bestFit="1" customWidth="1"/>
    <col min="61" max="61" width="9.6640625" style="9" bestFit="1" customWidth="1"/>
    <col min="62" max="67" width="10.6640625" style="9" bestFit="1" customWidth="1"/>
    <col min="68" max="16384" width="8.77734375" style="9"/>
  </cols>
  <sheetData>
    <row r="1" spans="2:68" ht="7.8" customHeight="1"/>
    <row r="2" spans="2:68" ht="29.55" customHeight="1">
      <c r="B2" s="260" t="s">
        <v>894</v>
      </c>
      <c r="C2" s="260"/>
      <c r="D2" s="260"/>
      <c r="E2" s="260"/>
      <c r="F2" s="260"/>
      <c r="H2" s="261" t="s">
        <v>893</v>
      </c>
      <c r="I2" s="262"/>
      <c r="K2" s="260" t="s">
        <v>895</v>
      </c>
      <c r="L2" s="260"/>
      <c r="M2" s="260"/>
      <c r="N2" s="260"/>
      <c r="O2" s="260"/>
      <c r="Q2" s="260" t="s">
        <v>851</v>
      </c>
      <c r="R2" s="260"/>
      <c r="S2" s="260"/>
      <c r="T2" s="260"/>
      <c r="U2" s="260"/>
      <c r="V2" s="260"/>
      <c r="X2" s="260" t="s">
        <v>852</v>
      </c>
      <c r="Y2" s="260"/>
      <c r="Z2" s="260"/>
      <c r="AA2" s="260"/>
      <c r="AB2" s="260"/>
      <c r="AC2" s="260"/>
      <c r="AD2" s="260"/>
      <c r="AE2" s="260"/>
      <c r="AG2" s="260" t="s">
        <v>602</v>
      </c>
      <c r="AH2" s="260"/>
      <c r="AI2" s="260"/>
      <c r="AJ2" s="260"/>
      <c r="AK2" s="260"/>
      <c r="AL2" s="260"/>
      <c r="AM2" s="260"/>
      <c r="AO2" s="260" t="s">
        <v>828</v>
      </c>
      <c r="AP2" s="260"/>
      <c r="AQ2" s="260"/>
      <c r="AR2" s="260"/>
      <c r="AS2" s="260"/>
      <c r="AT2" s="260"/>
      <c r="AU2" s="260"/>
      <c r="AW2" s="260" t="s">
        <v>642</v>
      </c>
      <c r="AX2" s="260"/>
      <c r="AY2" s="260"/>
      <c r="AZ2" s="260"/>
      <c r="BA2" s="260"/>
      <c r="BB2" s="260"/>
      <c r="BC2" s="260"/>
    </row>
    <row r="3" spans="2:68" ht="9.4499999999999993" customHeight="1"/>
    <row r="4" spans="2:68" s="6" customFormat="1" ht="29.55" customHeight="1">
      <c r="B4" s="40"/>
      <c r="C4" s="41">
        <v>2027</v>
      </c>
      <c r="D4" s="41">
        <v>2026</v>
      </c>
      <c r="E4" s="41">
        <v>2025</v>
      </c>
      <c r="F4" s="41">
        <v>2024</v>
      </c>
      <c r="H4" s="40" t="s">
        <v>853</v>
      </c>
      <c r="I4" s="41" t="s">
        <v>325</v>
      </c>
      <c r="K4" s="40"/>
      <c r="L4" s="41">
        <v>2027</v>
      </c>
      <c r="M4" s="41">
        <v>2026</v>
      </c>
      <c r="N4" s="41">
        <v>2025</v>
      </c>
      <c r="O4" s="41">
        <v>2024</v>
      </c>
      <c r="Q4" s="40"/>
      <c r="R4" s="41">
        <v>2023</v>
      </c>
      <c r="S4" s="41">
        <v>2022</v>
      </c>
      <c r="T4" s="41">
        <v>2021</v>
      </c>
      <c r="U4" s="41">
        <v>2020</v>
      </c>
      <c r="V4" s="41">
        <v>2019</v>
      </c>
      <c r="X4" s="40" t="s">
        <v>151</v>
      </c>
      <c r="Y4" s="40" t="s">
        <v>152</v>
      </c>
      <c r="Z4" s="40" t="s">
        <v>638</v>
      </c>
      <c r="AA4" s="40">
        <v>2023</v>
      </c>
      <c r="AB4" s="40">
        <v>2022</v>
      </c>
      <c r="AC4" s="40">
        <v>2021</v>
      </c>
      <c r="AD4" s="40">
        <v>2020</v>
      </c>
      <c r="AE4" s="40">
        <v>2019</v>
      </c>
      <c r="AG4" s="40" t="s">
        <v>151</v>
      </c>
      <c r="AH4" s="40" t="s">
        <v>152</v>
      </c>
      <c r="AI4" s="40">
        <v>2023</v>
      </c>
      <c r="AJ4" s="40">
        <v>2022</v>
      </c>
      <c r="AK4" s="40">
        <v>2021</v>
      </c>
      <c r="AL4" s="40">
        <v>2020</v>
      </c>
      <c r="AM4" s="40">
        <v>2019</v>
      </c>
      <c r="AO4" s="40" t="s">
        <v>151</v>
      </c>
      <c r="AP4" s="40" t="s">
        <v>152</v>
      </c>
      <c r="AQ4" s="40">
        <v>2023</v>
      </c>
      <c r="AR4" s="40">
        <v>2022</v>
      </c>
      <c r="AS4" s="40">
        <v>2021</v>
      </c>
      <c r="AT4" s="40">
        <v>2020</v>
      </c>
      <c r="AU4" s="40">
        <v>2019</v>
      </c>
      <c r="AW4" s="40" t="s">
        <v>151</v>
      </c>
      <c r="AX4" s="40" t="s">
        <v>152</v>
      </c>
      <c r="AY4" s="40">
        <v>2023</v>
      </c>
      <c r="AZ4" s="40">
        <v>2022</v>
      </c>
      <c r="BA4" s="40">
        <v>2021</v>
      </c>
      <c r="BB4" s="40">
        <v>2020</v>
      </c>
      <c r="BC4" s="40">
        <v>2019</v>
      </c>
      <c r="BP4" s="9"/>
    </row>
    <row r="5" spans="2:68" s="6" customFormat="1" ht="29.55" customHeight="1">
      <c r="B5" s="189" t="s">
        <v>846</v>
      </c>
      <c r="C5" s="242">
        <f>SUM(C9:C15)</f>
        <v>13194.969192512532</v>
      </c>
      <c r="D5" s="242">
        <f>SUM(D9:D15)</f>
        <v>6156.1095005743528</v>
      </c>
      <c r="E5" s="242">
        <f>SUM(E9:E15)</f>
        <v>2303.8929633458647</v>
      </c>
      <c r="F5" s="242">
        <f>SUM(F9:F15)</f>
        <v>540.3849260912699</v>
      </c>
      <c r="H5" s="189" t="s">
        <v>857</v>
      </c>
      <c r="I5" s="41" t="s">
        <v>858</v>
      </c>
      <c r="K5" s="151" t="s">
        <v>804</v>
      </c>
      <c r="L5" s="250">
        <f t="shared" ref="L5:M5" si="0">M5*(1+$I$7)</f>
        <v>233362.61392500001</v>
      </c>
      <c r="M5" s="250">
        <f t="shared" si="0"/>
        <v>222250.1085</v>
      </c>
      <c r="N5" s="250">
        <f>O5*(1+$I$7)</f>
        <v>211666.77</v>
      </c>
      <c r="O5" s="250">
        <f>AA5*(1+$I$7)</f>
        <v>201587.4</v>
      </c>
      <c r="Q5" s="189" t="s">
        <v>816</v>
      </c>
      <c r="R5" s="188">
        <f>SUM(R8:R14)</f>
        <v>134189</v>
      </c>
      <c r="S5" s="188">
        <f>SUM(S8:S14)</f>
        <v>90464</v>
      </c>
      <c r="T5" s="188">
        <f t="shared" ref="T5" si="1">SUM(T8:T14)</f>
        <v>83468</v>
      </c>
      <c r="U5" s="188">
        <f>SUM(U8:U14)</f>
        <v>61612</v>
      </c>
      <c r="V5" s="188">
        <f>SUM(V8:V14)</f>
        <v>47828</v>
      </c>
      <c r="X5" s="151" t="s">
        <v>804</v>
      </c>
      <c r="Y5" s="152">
        <v>22466</v>
      </c>
      <c r="Z5" s="152">
        <v>22999</v>
      </c>
      <c r="AA5" s="152">
        <v>191988</v>
      </c>
      <c r="AB5" s="152">
        <v>119796</v>
      </c>
      <c r="AC5" s="152">
        <v>114478</v>
      </c>
      <c r="AD5" s="152">
        <v>88148</v>
      </c>
      <c r="AE5" s="152">
        <v>71516</v>
      </c>
      <c r="AG5" s="47" t="s">
        <v>536</v>
      </c>
      <c r="AH5" s="118">
        <v>4740013</v>
      </c>
      <c r="AI5" s="118">
        <v>4690898</v>
      </c>
      <c r="AJ5" s="118">
        <v>4449291</v>
      </c>
      <c r="AK5" s="118">
        <v>3798071</v>
      </c>
      <c r="AL5" s="118">
        <v>3870318</v>
      </c>
      <c r="AM5" s="118">
        <v>3776893</v>
      </c>
      <c r="AO5" s="47" t="s">
        <v>538</v>
      </c>
      <c r="AP5" s="118">
        <v>259563</v>
      </c>
      <c r="AQ5" s="118">
        <v>1749231</v>
      </c>
      <c r="AR5" s="118">
        <v>1106752</v>
      </c>
      <c r="AS5" s="118">
        <v>799152</v>
      </c>
      <c r="AT5" s="118">
        <v>763802</v>
      </c>
      <c r="AU5" s="118">
        <v>871078</v>
      </c>
      <c r="AW5" s="47" t="s">
        <v>614</v>
      </c>
      <c r="AX5" s="120">
        <v>15.392000000000001</v>
      </c>
      <c r="AY5" s="120">
        <v>14.8</v>
      </c>
      <c r="AZ5" s="120">
        <v>13.245749999999999</v>
      </c>
      <c r="BA5" s="120">
        <v>11.3</v>
      </c>
      <c r="BB5" s="120">
        <v>10.3</v>
      </c>
      <c r="BC5" s="120">
        <v>8.4</v>
      </c>
      <c r="BP5" s="9"/>
    </row>
    <row r="6" spans="2:68" s="6" customFormat="1" ht="29.55" customHeight="1">
      <c r="B6" s="189" t="s">
        <v>1020</v>
      </c>
      <c r="C6" s="243">
        <f>C5/L9</f>
        <v>7.8091399514529231E-2</v>
      </c>
      <c r="D6" s="243">
        <f t="shared" ref="D6:F6" si="2">D5/M9</f>
        <v>3.8594305138385146E-2</v>
      </c>
      <c r="E6" s="243">
        <f t="shared" si="2"/>
        <v>1.5300346029695365E-2</v>
      </c>
      <c r="F6" s="243">
        <f t="shared" si="2"/>
        <v>3.8015809703342146E-3</v>
      </c>
      <c r="H6" s="189" t="s">
        <v>855</v>
      </c>
      <c r="I6" s="40" t="s">
        <v>884</v>
      </c>
      <c r="K6" s="151" t="s">
        <v>805</v>
      </c>
      <c r="L6" s="250">
        <f t="shared" ref="L6:M6" si="3">M6*(1+$I$7)*(1+$I$25)</f>
        <v>4423.3224894093546</v>
      </c>
      <c r="M6" s="250">
        <f t="shared" si="3"/>
        <v>3860.6012510555047</v>
      </c>
      <c r="N6" s="250">
        <f>O6*(1+$I$7)*(1+$I$25)</f>
        <v>3369.4676468505659</v>
      </c>
      <c r="O6" s="250">
        <f>AA7*(1+$I$7)*(1+$I$25)</f>
        <v>2940.8145221080904</v>
      </c>
      <c r="Q6" s="189" t="s">
        <v>826</v>
      </c>
      <c r="R6" s="210">
        <f>R5/AA5</f>
        <v>0.69894472571202371</v>
      </c>
      <c r="S6" s="210">
        <f>S5/AB5</f>
        <v>0.75515042238472074</v>
      </c>
      <c r="T6" s="210">
        <f>T5/AC5</f>
        <v>0.72911825853002321</v>
      </c>
      <c r="U6" s="210">
        <f>U5/AD5</f>
        <v>0.69896083858964464</v>
      </c>
      <c r="V6" s="210">
        <f>V5/AE5</f>
        <v>0.66877342133228923</v>
      </c>
      <c r="X6" s="47" t="s">
        <v>639</v>
      </c>
      <c r="Y6" s="136">
        <v>-2.317492064872384E-2</v>
      </c>
      <c r="Z6" s="136">
        <v>1.01427570502715</v>
      </c>
      <c r="AA6" s="53">
        <v>0.60262446158469407</v>
      </c>
      <c r="AB6" s="53">
        <v>4.6454340571987718E-2</v>
      </c>
      <c r="AC6" s="53">
        <v>0.29870218269274407</v>
      </c>
      <c r="AD6" s="53">
        <v>0.23256334246881827</v>
      </c>
      <c r="AE6" s="53">
        <v>0.14557570321009794</v>
      </c>
      <c r="AG6" s="47" t="s">
        <v>535</v>
      </c>
      <c r="AH6" s="118">
        <f t="shared" ref="AH6:AL6" si="4">(AH5-AI5)</f>
        <v>49115</v>
      </c>
      <c r="AI6" s="118">
        <f t="shared" si="4"/>
        <v>241607</v>
      </c>
      <c r="AJ6" s="118">
        <f t="shared" si="4"/>
        <v>651220</v>
      </c>
      <c r="AK6" s="118">
        <f t="shared" si="4"/>
        <v>-72247</v>
      </c>
      <c r="AL6" s="118">
        <f t="shared" si="4"/>
        <v>93425</v>
      </c>
      <c r="AM6" s="118">
        <f>(AM5-3847981)</f>
        <v>-71088</v>
      </c>
      <c r="AO6" s="47" t="s">
        <v>537</v>
      </c>
      <c r="AP6" s="118">
        <v>7338</v>
      </c>
      <c r="AQ6" s="118">
        <v>44544</v>
      </c>
      <c r="AR6" s="118">
        <v>40026</v>
      </c>
      <c r="AS6" s="124">
        <v>28936</v>
      </c>
      <c r="AT6" s="124">
        <v>30552</v>
      </c>
      <c r="AU6" s="124">
        <v>35888</v>
      </c>
      <c r="AV6" s="126"/>
      <c r="AW6" s="47" t="s">
        <v>615</v>
      </c>
      <c r="AX6" s="53">
        <f t="shared" ref="AX6" si="5">AX5/AY5-1</f>
        <v>4.0000000000000036E-2</v>
      </c>
      <c r="AY6" s="53">
        <f t="shared" ref="AY6" si="6">AY5/AZ5-1</f>
        <v>0.11733952399826375</v>
      </c>
      <c r="AZ6" s="53">
        <f t="shared" ref="AZ6" si="7">AZ5/BA5-1</f>
        <v>0.17219026548672556</v>
      </c>
      <c r="BA6" s="53">
        <f t="shared" ref="BA6" si="8">BA5/BB5-1</f>
        <v>9.7087378640776656E-2</v>
      </c>
      <c r="BB6" s="53">
        <f>BB5/BC5-1</f>
        <v>0.22619047619047628</v>
      </c>
      <c r="BC6" s="53">
        <v>0.09</v>
      </c>
      <c r="BP6" s="9"/>
    </row>
    <row r="7" spans="2:68" s="6" customFormat="1" ht="29.55" customHeight="1">
      <c r="B7" s="189" t="s">
        <v>1023</v>
      </c>
      <c r="C7" s="243">
        <f>C5/L5</f>
        <v>5.6542772514337876E-2</v>
      </c>
      <c r="D7" s="243">
        <f t="shared" ref="D7:F7" si="9">D5/M5</f>
        <v>2.7699016851433181E-2</v>
      </c>
      <c r="E7" s="243">
        <f t="shared" si="9"/>
        <v>1.0884528371391811E-2</v>
      </c>
      <c r="F7" s="243">
        <f t="shared" si="9"/>
        <v>2.6806483247031805E-3</v>
      </c>
      <c r="H7" s="151" t="s">
        <v>859</v>
      </c>
      <c r="I7" s="52">
        <v>0.05</v>
      </c>
      <c r="K7" s="151" t="s">
        <v>897</v>
      </c>
      <c r="L7" s="250">
        <f t="shared" ref="L7:M7" si="10">M7*(1+$I$26)</f>
        <v>506.44059005856019</v>
      </c>
      <c r="M7" s="250">
        <f t="shared" si="10"/>
        <v>488.94448139487366</v>
      </c>
      <c r="N7" s="250">
        <f>O7*(1+$I$26)</f>
        <v>472.05281444533989</v>
      </c>
      <c r="O7" s="250">
        <f>440*(1+$I$26)</f>
        <v>455.74470743602666</v>
      </c>
      <c r="Q7" s="189" t="s">
        <v>844</v>
      </c>
      <c r="R7" s="183">
        <f>R5/S5-1</f>
        <v>0.4833414396887159</v>
      </c>
      <c r="S7" s="183">
        <f>S5/T5-1</f>
        <v>8.3816552451238868E-2</v>
      </c>
      <c r="T7" s="183">
        <f>T5/U5-1</f>
        <v>0.35473609037200537</v>
      </c>
      <c r="U7" s="183">
        <f>U5/V5-1</f>
        <v>0.28819938111566445</v>
      </c>
      <c r="V7" s="153" t="s">
        <v>627</v>
      </c>
      <c r="X7" s="151" t="s">
        <v>805</v>
      </c>
      <c r="Y7" s="155">
        <v>312.36256996032051</v>
      </c>
      <c r="Z7" s="156" t="s">
        <v>627</v>
      </c>
      <c r="AA7" s="155">
        <v>2566.6933058477257</v>
      </c>
      <c r="AB7" s="155">
        <v>1620.3180678529732</v>
      </c>
      <c r="AC7" s="155">
        <v>1424.6823275787215</v>
      </c>
      <c r="AD7" s="155">
        <v>1043.4305105369669</v>
      </c>
      <c r="AE7" s="155">
        <v>1011.2500612691026</v>
      </c>
      <c r="AG7" s="47" t="s">
        <v>534</v>
      </c>
      <c r="AH7" s="58">
        <f t="shared" ref="AH7:AK7" si="11">AH5/AI5-1</f>
        <v>1.0470276693289815E-2</v>
      </c>
      <c r="AI7" s="58">
        <f t="shared" si="11"/>
        <v>5.4302359634377684E-2</v>
      </c>
      <c r="AJ7" s="58">
        <f t="shared" si="11"/>
        <v>0.17146072308811489</v>
      </c>
      <c r="AK7" s="58">
        <f t="shared" si="11"/>
        <v>-1.8666941579477458E-2</v>
      </c>
      <c r="AL7" s="58">
        <f>AL5/AM5-1</f>
        <v>2.4735940361561681E-2</v>
      </c>
      <c r="AM7" s="58">
        <f>AM5/3847981-1</f>
        <v>-1.8474103692299959E-2</v>
      </c>
      <c r="AO7" s="47" t="s">
        <v>543</v>
      </c>
      <c r="AP7" s="118">
        <v>43329</v>
      </c>
      <c r="AQ7" s="118">
        <v>305341</v>
      </c>
      <c r="AR7" s="118">
        <v>155581</v>
      </c>
      <c r="AS7" s="118">
        <f>8611+98572</f>
        <v>107183</v>
      </c>
      <c r="AT7" s="118">
        <f>7785+82546</f>
        <v>90331</v>
      </c>
      <c r="AU7" s="118">
        <f>8174+88564</f>
        <v>96738</v>
      </c>
      <c r="AW7" s="47" t="s">
        <v>616</v>
      </c>
      <c r="AX7" s="53">
        <v>0.1</v>
      </c>
      <c r="AY7" s="53">
        <v>0.1</v>
      </c>
      <c r="AZ7" s="53">
        <v>0.1</v>
      </c>
      <c r="BA7" s="53">
        <v>0.1</v>
      </c>
      <c r="BB7" s="53">
        <v>0.1</v>
      </c>
      <c r="BC7" s="53">
        <v>0.1</v>
      </c>
      <c r="BP7" s="9"/>
    </row>
    <row r="8" spans="2:68" s="6" customFormat="1" ht="28.8" customHeight="1">
      <c r="B8" s="189" t="s">
        <v>847</v>
      </c>
      <c r="C8" s="244">
        <f>C5/D5-1</f>
        <v>1.1433941666049745</v>
      </c>
      <c r="D8" s="244">
        <f>D5/E5-1</f>
        <v>1.6720466612450808</v>
      </c>
      <c r="E8" s="244">
        <f>E5/F5-1</f>
        <v>3.2634293669337877</v>
      </c>
      <c r="F8" s="153" t="s">
        <v>627</v>
      </c>
      <c r="H8" s="189" t="s">
        <v>856</v>
      </c>
      <c r="I8" s="40" t="s">
        <v>892</v>
      </c>
      <c r="K8" s="151" t="s">
        <v>806</v>
      </c>
      <c r="L8" s="251">
        <f t="shared" ref="L8:N8" si="12">L6/L7</f>
        <v>8.7341389616852823</v>
      </c>
      <c r="M8" s="251">
        <f t="shared" si="12"/>
        <v>7.8957865319225613</v>
      </c>
      <c r="N8" s="251">
        <f t="shared" si="12"/>
        <v>7.1379039457897875</v>
      </c>
      <c r="O8" s="251">
        <f>O6/O7</f>
        <v>6.4527672491312371</v>
      </c>
      <c r="Q8" s="146" t="s">
        <v>861</v>
      </c>
      <c r="R8" s="186">
        <v>40395</v>
      </c>
      <c r="S8" s="186">
        <v>37978</v>
      </c>
      <c r="T8" s="186">
        <v>41365</v>
      </c>
      <c r="U8" s="186">
        <v>32119</v>
      </c>
      <c r="V8" s="186">
        <v>16250</v>
      </c>
      <c r="X8" s="151" t="s">
        <v>806</v>
      </c>
      <c r="Y8" s="157">
        <v>0.68261051127692374</v>
      </c>
      <c r="Z8" s="156" t="s">
        <v>627</v>
      </c>
      <c r="AA8" s="158">
        <v>5.8333938769266469</v>
      </c>
      <c r="AB8" s="158">
        <v>3.6825410633022111</v>
      </c>
      <c r="AC8" s="158">
        <v>3.2379143808607314</v>
      </c>
      <c r="AD8" s="158">
        <v>2.371432978493107</v>
      </c>
      <c r="AE8" s="158">
        <v>2.2982955937934144</v>
      </c>
      <c r="AG8" s="47" t="s">
        <v>533</v>
      </c>
      <c r="AH8" s="136">
        <v>5.1499999999999997E-2</v>
      </c>
      <c r="AI8" s="136">
        <v>5.1700000000000003E-2</v>
      </c>
      <c r="AJ8" s="136">
        <v>5.7599999999999998E-2</v>
      </c>
      <c r="AK8" s="136">
        <v>5.4699999999999999E-2</v>
      </c>
      <c r="AL8" s="136">
        <v>5.4399999999999997E-2</v>
      </c>
      <c r="AM8" s="136">
        <v>5.5199999999999999E-2</v>
      </c>
      <c r="AO8" s="47" t="s">
        <v>544</v>
      </c>
      <c r="AP8" s="118">
        <v>110278</v>
      </c>
      <c r="AQ8" s="118">
        <v>745875</v>
      </c>
      <c r="AR8" s="118">
        <v>509059</v>
      </c>
      <c r="AS8" s="118">
        <f>373561</f>
        <v>373561</v>
      </c>
      <c r="AT8" s="118">
        <v>368073</v>
      </c>
      <c r="AU8" s="118">
        <v>429319</v>
      </c>
      <c r="AW8" s="47" t="s">
        <v>617</v>
      </c>
      <c r="AX8" s="118">
        <f>AP5*(1-AX7)</f>
        <v>233606.7</v>
      </c>
      <c r="AY8" s="118">
        <f t="shared" ref="AY8:BC8" si="13">AQ5*(1-AY7)</f>
        <v>1574307.9000000001</v>
      </c>
      <c r="AZ8" s="118">
        <f t="shared" si="13"/>
        <v>996076.8</v>
      </c>
      <c r="BA8" s="118">
        <f t="shared" si="13"/>
        <v>719236.8</v>
      </c>
      <c r="BB8" s="118">
        <f t="shared" si="13"/>
        <v>687421.8</v>
      </c>
      <c r="BC8" s="118">
        <f t="shared" si="13"/>
        <v>783970.20000000007</v>
      </c>
      <c r="BP8" s="9"/>
    </row>
    <row r="9" spans="2:68" s="6" customFormat="1" ht="29.55" customHeight="1">
      <c r="B9" s="146" t="s">
        <v>1000</v>
      </c>
      <c r="C9" s="245">
        <f t="shared" ref="C9:F15" si="14">L11*C29</f>
        <v>2654.8325</v>
      </c>
      <c r="D9" s="245">
        <f t="shared" si="14"/>
        <v>1283.8025</v>
      </c>
      <c r="E9" s="245">
        <f t="shared" si="14"/>
        <v>496.63900000000007</v>
      </c>
      <c r="F9" s="245">
        <f t="shared" si="14"/>
        <v>120.08012500000001</v>
      </c>
      <c r="H9" s="189" t="s">
        <v>882</v>
      </c>
      <c r="I9" s="208">
        <f>(R6/V6)^(1/5)-1</f>
        <v>8.8643260400476098E-3</v>
      </c>
      <c r="K9" s="189" t="s">
        <v>816</v>
      </c>
      <c r="L9" s="242">
        <f>L5*L10</f>
        <v>168968.27659052968</v>
      </c>
      <c r="M9" s="242">
        <f>M5*M10</f>
        <v>159508.23517875973</v>
      </c>
      <c r="N9" s="242">
        <f>N5*N10</f>
        <v>150577.8339178997</v>
      </c>
      <c r="O9" s="242">
        <f>O5*O10</f>
        <v>142147.41979933737</v>
      </c>
      <c r="Q9" s="146" t="s">
        <v>862</v>
      </c>
      <c r="R9" s="186">
        <v>28220</v>
      </c>
      <c r="S9" s="186">
        <v>16114</v>
      </c>
      <c r="T9" s="186">
        <v>14757</v>
      </c>
      <c r="U9" s="186">
        <v>8600</v>
      </c>
      <c r="V9" s="186">
        <v>11612</v>
      </c>
      <c r="X9" s="49" t="s">
        <v>526</v>
      </c>
      <c r="Y9" s="53">
        <v>0.64742277218908573</v>
      </c>
      <c r="Z9" s="153" t="s">
        <v>627</v>
      </c>
      <c r="AA9" s="53">
        <v>0.73841073400420865</v>
      </c>
      <c r="AB9" s="53">
        <v>0.7997595913052189</v>
      </c>
      <c r="AC9" s="53">
        <v>0.76040811334928982</v>
      </c>
      <c r="AD9" s="53">
        <v>0.72126423741888646</v>
      </c>
      <c r="AE9" s="53">
        <v>0.73143072878796356</v>
      </c>
      <c r="AG9" s="47" t="s">
        <v>558</v>
      </c>
      <c r="AH9" s="118">
        <v>885130</v>
      </c>
      <c r="AI9" s="118">
        <v>871873</v>
      </c>
      <c r="AJ9" s="118">
        <v>688528</v>
      </c>
      <c r="AK9" s="124">
        <f>47018+634621</f>
        <v>681639</v>
      </c>
      <c r="AL9" s="118">
        <f>47808+655217</f>
        <v>703025</v>
      </c>
      <c r="AM9" s="124">
        <f>44091+660457</f>
        <v>704548</v>
      </c>
      <c r="AO9" s="47" t="s">
        <v>546</v>
      </c>
      <c r="AP9" s="118">
        <v>50657</v>
      </c>
      <c r="AQ9" s="118">
        <v>339148</v>
      </c>
      <c r="AR9" s="118">
        <v>201366</v>
      </c>
      <c r="AS9" s="118">
        <f>147353</f>
        <v>147353</v>
      </c>
      <c r="AT9" s="118">
        <f>141516</f>
        <v>141516</v>
      </c>
      <c r="AU9" s="118">
        <v>160301</v>
      </c>
      <c r="AW9" s="47" t="s">
        <v>618</v>
      </c>
      <c r="AX9" s="120">
        <f>AX8*AX5/1000</f>
        <v>3595.6743264000006</v>
      </c>
      <c r="AY9" s="120">
        <f t="shared" ref="AY9" si="15">AY8*AY5/1000</f>
        <v>23299.756920000003</v>
      </c>
      <c r="AZ9" s="120">
        <f t="shared" ref="AZ9" si="16">AZ8*AZ5/1000</f>
        <v>13193.784273599998</v>
      </c>
      <c r="BA9" s="120">
        <f t="shared" ref="BA9" si="17">BA8*BA5/1000</f>
        <v>8127.3758400000006</v>
      </c>
      <c r="BB9" s="120">
        <f t="shared" ref="BB9" si="18">BB8*BB5/1000</f>
        <v>7080.4445400000013</v>
      </c>
      <c r="BC9" s="120">
        <f t="shared" ref="BC9" si="19">BC8*BC5/1000</f>
        <v>6585.3496800000003</v>
      </c>
      <c r="BP9" s="9"/>
    </row>
    <row r="10" spans="2:68" s="6" customFormat="1" ht="29.55" customHeight="1">
      <c r="B10" s="146" t="s">
        <v>1001</v>
      </c>
      <c r="C10" s="245">
        <f t="shared" si="14"/>
        <v>2067.8041666666668</v>
      </c>
      <c r="D10" s="245">
        <f t="shared" si="14"/>
        <v>1004.4618055555557</v>
      </c>
      <c r="E10" s="245">
        <f t="shared" si="14"/>
        <v>390.33500000000004</v>
      </c>
      <c r="F10" s="245">
        <f t="shared" si="14"/>
        <v>94.806180555555557</v>
      </c>
      <c r="H10" s="189" t="s">
        <v>883</v>
      </c>
      <c r="I10" s="208">
        <f>(R17/V17)^(1/5)-1</f>
        <v>8.7615239948048984E-3</v>
      </c>
      <c r="K10" s="189" t="s">
        <v>826</v>
      </c>
      <c r="L10" s="243">
        <f t="shared" ref="L10:M10" si="20">M10*(1+$I$9)</f>
        <v>0.72405889593280826</v>
      </c>
      <c r="M10" s="243">
        <f t="shared" si="20"/>
        <v>0.71769699576439006</v>
      </c>
      <c r="N10" s="243">
        <f>O10*(1+$I$9)</f>
        <v>0.7113909940511669</v>
      </c>
      <c r="O10" s="243">
        <f>R6*(1+$I$9)</f>
        <v>0.70514039964470676</v>
      </c>
      <c r="Q10" s="146" t="s">
        <v>863</v>
      </c>
      <c r="R10" s="186">
        <v>50213</v>
      </c>
      <c r="S10" s="186">
        <v>24429</v>
      </c>
      <c r="T10" s="186">
        <v>17652</v>
      </c>
      <c r="U10" s="186">
        <v>14275</v>
      </c>
      <c r="V10" s="186">
        <v>13139</v>
      </c>
      <c r="X10" s="49" t="s">
        <v>527</v>
      </c>
      <c r="Y10" s="53">
        <v>0.87296358942401853</v>
      </c>
      <c r="Z10" s="153" t="s">
        <v>627</v>
      </c>
      <c r="AA10" s="53">
        <v>0.89627476717294829</v>
      </c>
      <c r="AB10" s="53">
        <v>0.94268589936224911</v>
      </c>
      <c r="AC10" s="53">
        <v>0.93215290274113805</v>
      </c>
      <c r="AD10" s="53">
        <v>0.91600490084857289</v>
      </c>
      <c r="AE10" s="53">
        <v>0.89384193746853846</v>
      </c>
      <c r="AG10" s="47" t="s">
        <v>559</v>
      </c>
      <c r="AH10" s="118">
        <v>2110250</v>
      </c>
      <c r="AI10" s="118">
        <v>2093649</v>
      </c>
      <c r="AJ10" s="118">
        <v>1794153</v>
      </c>
      <c r="AK10" s="124">
        <v>1747249</v>
      </c>
      <c r="AL10" s="118">
        <v>1792641</v>
      </c>
      <c r="AM10" s="124">
        <v>1754208</v>
      </c>
      <c r="AO10" s="47" t="s">
        <v>545</v>
      </c>
      <c r="AP10" s="118">
        <v>44577</v>
      </c>
      <c r="AQ10" s="118">
        <v>291682</v>
      </c>
      <c r="AR10" s="118">
        <v>190281</v>
      </c>
      <c r="AS10" s="118">
        <f>101667+35486</f>
        <v>137153</v>
      </c>
      <c r="AT10" s="118">
        <f>99068+34498</f>
        <v>133566</v>
      </c>
      <c r="AU10" s="118">
        <f>116936+36856</f>
        <v>153792</v>
      </c>
      <c r="AW10" s="47" t="s">
        <v>612</v>
      </c>
      <c r="AX10" s="118">
        <f>118.7+124.2</f>
        <v>242.9</v>
      </c>
      <c r="AY10" s="118">
        <v>1635</v>
      </c>
      <c r="AZ10" s="118">
        <v>832.1</v>
      </c>
      <c r="BA10" s="118">
        <v>634.9</v>
      </c>
      <c r="BB10" s="118">
        <v>379</v>
      </c>
      <c r="BC10" s="118">
        <v>360.3</v>
      </c>
      <c r="BP10" s="9"/>
    </row>
    <row r="11" spans="2:68" s="6" customFormat="1" ht="29.55" customHeight="1">
      <c r="B11" s="146" t="s">
        <v>1002</v>
      </c>
      <c r="C11" s="245">
        <f t="shared" si="14"/>
        <v>5763.2160526315793</v>
      </c>
      <c r="D11" s="245">
        <f t="shared" si="14"/>
        <v>2557.2215789473685</v>
      </c>
      <c r="E11" s="245">
        <f t="shared" si="14"/>
        <v>907.74105263157901</v>
      </c>
      <c r="F11" s="245">
        <f t="shared" si="14"/>
        <v>201.38725000000002</v>
      </c>
      <c r="H11" s="189" t="s">
        <v>868</v>
      </c>
      <c r="I11" s="207">
        <f>((R8/$R$5)/(V8/$V$5))^(1/5)-1</f>
        <v>-2.3914389900909994E-2</v>
      </c>
      <c r="K11" s="146" t="s">
        <v>1000</v>
      </c>
      <c r="L11" s="245">
        <f t="shared" ref="L11:O17" si="21">ROUND(L$9*L18,0)</f>
        <v>46171</v>
      </c>
      <c r="M11" s="245">
        <f t="shared" si="21"/>
        <v>44654</v>
      </c>
      <c r="N11" s="245">
        <f t="shared" si="21"/>
        <v>43186</v>
      </c>
      <c r="O11" s="245">
        <f t="shared" si="21"/>
        <v>41767</v>
      </c>
      <c r="Q11" s="146" t="s">
        <v>864</v>
      </c>
      <c r="R11" s="186">
        <v>4001</v>
      </c>
      <c r="S11" s="186">
        <v>3669</v>
      </c>
      <c r="T11" s="186">
        <v>1274</v>
      </c>
      <c r="U11" s="186">
        <v>1042</v>
      </c>
      <c r="V11" s="186">
        <v>1709</v>
      </c>
      <c r="X11" s="49" t="s">
        <v>528</v>
      </c>
      <c r="Y11" s="153" t="s">
        <v>627</v>
      </c>
      <c r="Z11" s="153" t="s">
        <v>627</v>
      </c>
      <c r="AA11" s="53">
        <v>0.35855886826259975</v>
      </c>
      <c r="AB11" s="53">
        <v>0.40690006344118335</v>
      </c>
      <c r="AC11" s="53">
        <v>0.4022344904697846</v>
      </c>
      <c r="AD11" s="53">
        <v>0.32291146707809593</v>
      </c>
      <c r="AE11" s="53">
        <v>0.33037362268583254</v>
      </c>
      <c r="AG11" s="47" t="s">
        <v>560</v>
      </c>
      <c r="AH11" s="118">
        <v>824671</v>
      </c>
      <c r="AI11" s="118">
        <v>815028</v>
      </c>
      <c r="AJ11" s="118">
        <v>672399</v>
      </c>
      <c r="AK11" s="124">
        <f>643668</f>
        <v>643668</v>
      </c>
      <c r="AL11" s="118">
        <v>652636</v>
      </c>
      <c r="AM11" s="124">
        <v>643602</v>
      </c>
      <c r="AO11" s="47" t="s">
        <v>548</v>
      </c>
      <c r="AP11" s="118">
        <v>6852</v>
      </c>
      <c r="AQ11" s="118">
        <v>42346</v>
      </c>
      <c r="AR11" s="118">
        <v>32913</v>
      </c>
      <c r="AS11" s="118">
        <v>21171</v>
      </c>
      <c r="AT11" s="118">
        <v>20735</v>
      </c>
      <c r="AU11" s="118">
        <v>23401</v>
      </c>
      <c r="AW11" s="47" t="s">
        <v>613</v>
      </c>
      <c r="AX11" s="120">
        <v>0.53821098579690241</v>
      </c>
      <c r="AY11" s="120">
        <f>AY10/AY14</f>
        <v>3.5830904429006596</v>
      </c>
      <c r="AZ11" s="120">
        <f t="shared" ref="AZ11" si="22">AZ10/AZ14</f>
        <v>1.80702744961779</v>
      </c>
      <c r="BA11" s="120">
        <f t="shared" ref="BA11" si="23">BA10/BA14</f>
        <v>1.490270638217966</v>
      </c>
      <c r="BB11" s="120">
        <f t="shared" ref="BB11" si="24">BB10/BB14</f>
        <v>0.91778665698026396</v>
      </c>
      <c r="BC11" s="120">
        <f t="shared" ref="BC11" si="25">BC10/BC14</f>
        <v>0.94134552580013064</v>
      </c>
      <c r="BP11" s="9"/>
    </row>
    <row r="12" spans="2:68" s="6" customFormat="1" ht="29.55" customHeight="1">
      <c r="B12" s="146" t="s">
        <v>1003</v>
      </c>
      <c r="C12" s="245">
        <f t="shared" si="14"/>
        <v>1507.9415625000001</v>
      </c>
      <c r="D12" s="245">
        <f t="shared" si="14"/>
        <v>737.88468750000004</v>
      </c>
      <c r="E12" s="245">
        <f t="shared" si="14"/>
        <v>288.92700000000002</v>
      </c>
      <c r="F12" s="245">
        <f t="shared" si="14"/>
        <v>70.709625000000003</v>
      </c>
      <c r="H12" s="189" t="s">
        <v>869</v>
      </c>
      <c r="I12" s="207">
        <f>((R9/$R$5)/(V9/$V$5))^(1/5)-1</f>
        <v>-2.8320462030036575E-2</v>
      </c>
      <c r="K12" s="146" t="s">
        <v>1001</v>
      </c>
      <c r="L12" s="245">
        <f t="shared" si="21"/>
        <v>31677</v>
      </c>
      <c r="M12" s="245">
        <f t="shared" si="21"/>
        <v>30775</v>
      </c>
      <c r="N12" s="245">
        <f t="shared" si="21"/>
        <v>29898</v>
      </c>
      <c r="O12" s="245">
        <f t="shared" si="21"/>
        <v>29047</v>
      </c>
      <c r="Q12" s="146" t="s">
        <v>865</v>
      </c>
      <c r="R12" s="186">
        <v>4835</v>
      </c>
      <c r="S12" s="186">
        <v>2993</v>
      </c>
      <c r="T12" s="186">
        <v>0</v>
      </c>
      <c r="U12" s="186">
        <v>0</v>
      </c>
      <c r="V12" s="186">
        <v>0</v>
      </c>
      <c r="X12" s="49" t="s">
        <v>529</v>
      </c>
      <c r="Y12" s="153" t="s">
        <v>627</v>
      </c>
      <c r="Z12" s="153" t="s">
        <v>627</v>
      </c>
      <c r="AA12" s="53">
        <v>0.48260828801800115</v>
      </c>
      <c r="AB12" s="53">
        <v>0.53644529032688903</v>
      </c>
      <c r="AC12" s="53">
        <v>0.55484896661367245</v>
      </c>
      <c r="AD12" s="53">
        <v>0.53335299723192808</v>
      </c>
      <c r="AE12" s="53">
        <v>0.53080429554225628</v>
      </c>
      <c r="AG12" s="47" t="s">
        <v>561</v>
      </c>
      <c r="AH12" s="118">
        <v>714089</v>
      </c>
      <c r="AI12" s="118">
        <v>707374</v>
      </c>
      <c r="AJ12" s="118">
        <v>592166</v>
      </c>
      <c r="AK12" s="124">
        <f>433754+130066</f>
        <v>563820</v>
      </c>
      <c r="AL12" s="118">
        <f>438118+128660</f>
        <v>566778</v>
      </c>
      <c r="AM12" s="124">
        <f>437146+125241</f>
        <v>562387</v>
      </c>
      <c r="AO12" s="47" t="s">
        <v>554</v>
      </c>
      <c r="AP12" s="118">
        <v>227241</v>
      </c>
      <c r="AQ12" s="118">
        <v>1528726</v>
      </c>
      <c r="AR12" s="118">
        <v>939477</v>
      </c>
      <c r="AS12" s="153" t="s">
        <v>627</v>
      </c>
      <c r="AT12" s="153" t="s">
        <v>627</v>
      </c>
      <c r="AU12" s="153" t="s">
        <v>627</v>
      </c>
      <c r="AW12" s="47" t="s">
        <v>605</v>
      </c>
      <c r="AX12" s="118">
        <f>13700+14300</f>
        <v>28000</v>
      </c>
      <c r="AY12" s="118">
        <v>208400</v>
      </c>
      <c r="AZ12" s="118">
        <v>107303</v>
      </c>
      <c r="BA12" s="118">
        <v>109233</v>
      </c>
      <c r="BB12" s="118">
        <v>85883</v>
      </c>
      <c r="BC12" s="118">
        <v>87113</v>
      </c>
      <c r="BP12" s="9"/>
    </row>
    <row r="13" spans="2:68" s="6" customFormat="1" ht="29.55" customHeight="1">
      <c r="B13" s="146" t="s">
        <v>1004</v>
      </c>
      <c r="C13" s="245">
        <f t="shared" si="14"/>
        <v>907.13812499999995</v>
      </c>
      <c r="D13" s="245">
        <f t="shared" si="14"/>
        <v>410.29124999999993</v>
      </c>
      <c r="E13" s="245">
        <f t="shared" si="14"/>
        <v>148.46362499999998</v>
      </c>
      <c r="F13" s="245">
        <f t="shared" si="14"/>
        <v>33.573281250000001</v>
      </c>
      <c r="H13" s="189" t="s">
        <v>870</v>
      </c>
      <c r="I13" s="207">
        <f>((R10/$R$5)/(V10/$V$5))^(1/5)-1</f>
        <v>6.3760432081697571E-2</v>
      </c>
      <c r="K13" s="146" t="s">
        <v>1002</v>
      </c>
      <c r="L13" s="245">
        <f t="shared" si="21"/>
        <v>80962</v>
      </c>
      <c r="M13" s="245">
        <f t="shared" si="21"/>
        <v>71848</v>
      </c>
      <c r="N13" s="245">
        <f t="shared" si="21"/>
        <v>63760</v>
      </c>
      <c r="O13" s="245">
        <f t="shared" si="21"/>
        <v>56582</v>
      </c>
      <c r="Q13" s="146" t="s">
        <v>866</v>
      </c>
      <c r="R13" s="186">
        <v>5401</v>
      </c>
      <c r="S13" s="186">
        <v>3518</v>
      </c>
      <c r="T13" s="186">
        <v>7243</v>
      </c>
      <c r="U13" s="186">
        <v>4836</v>
      </c>
      <c r="V13" s="186">
        <v>4100</v>
      </c>
      <c r="X13" s="49" t="s">
        <v>530</v>
      </c>
      <c r="Y13" s="153" t="s">
        <v>627</v>
      </c>
      <c r="Z13" s="153" t="s">
        <v>627</v>
      </c>
      <c r="AA13" s="53">
        <v>0.5763328958059879</v>
      </c>
      <c r="AB13" s="53">
        <v>0.62602257170523223</v>
      </c>
      <c r="AC13" s="53">
        <v>0.65991718932895405</v>
      </c>
      <c r="AD13" s="53">
        <v>0.67308390434269638</v>
      </c>
      <c r="AE13" s="53">
        <v>0.6601459813188657</v>
      </c>
      <c r="AG13" s="47" t="s">
        <v>562</v>
      </c>
      <c r="AH13" s="118">
        <v>91067</v>
      </c>
      <c r="AI13" s="118">
        <v>90432</v>
      </c>
      <c r="AJ13" s="118">
        <v>77473</v>
      </c>
      <c r="AK13" s="124">
        <v>72794</v>
      </c>
      <c r="AL13" s="118">
        <v>74013</v>
      </c>
      <c r="AM13" s="124">
        <v>74265</v>
      </c>
      <c r="AO13" s="47" t="s">
        <v>555</v>
      </c>
      <c r="AP13" s="118">
        <v>3932</v>
      </c>
      <c r="AQ13" s="118">
        <v>28024</v>
      </c>
      <c r="AR13" s="118">
        <v>21533</v>
      </c>
      <c r="AS13" s="153" t="s">
        <v>627</v>
      </c>
      <c r="AT13" s="153" t="s">
        <v>627</v>
      </c>
      <c r="AU13" s="153" t="s">
        <v>627</v>
      </c>
      <c r="AW13" s="47" t="s">
        <v>606</v>
      </c>
      <c r="AX13" s="49">
        <v>8.6</v>
      </c>
      <c r="AY13" s="49">
        <v>7.8</v>
      </c>
      <c r="AZ13" s="154">
        <v>7.7546760109223412</v>
      </c>
      <c r="BA13" s="154">
        <v>5.8123460858897955</v>
      </c>
      <c r="BB13" s="154">
        <v>4.4129804501472938</v>
      </c>
      <c r="BC13" s="154">
        <v>4.1360072549447269</v>
      </c>
      <c r="BP13" s="9"/>
    </row>
    <row r="14" spans="2:68" s="6" customFormat="1" ht="29.55" customHeight="1">
      <c r="B14" s="146" t="s">
        <v>1005</v>
      </c>
      <c r="C14" s="245">
        <f t="shared" si="14"/>
        <v>245.38928571428571</v>
      </c>
      <c r="D14" s="245">
        <f t="shared" si="14"/>
        <v>134.75267857142856</v>
      </c>
      <c r="E14" s="245">
        <f t="shared" si="14"/>
        <v>59.186785714285719</v>
      </c>
      <c r="F14" s="245">
        <f t="shared" si="14"/>
        <v>16.246964285714288</v>
      </c>
      <c r="H14" s="189" t="s">
        <v>871</v>
      </c>
      <c r="I14" s="207">
        <f>((R11/$R$5)/(V11/$V$5))^(1/5)-1</f>
        <v>-3.5553017683437216E-2</v>
      </c>
      <c r="K14" s="146" t="s">
        <v>1003</v>
      </c>
      <c r="L14" s="245">
        <f t="shared" si="21"/>
        <v>4359</v>
      </c>
      <c r="M14" s="245">
        <f t="shared" si="21"/>
        <v>4266</v>
      </c>
      <c r="N14" s="245">
        <f t="shared" si="21"/>
        <v>4176</v>
      </c>
      <c r="O14" s="245">
        <f t="shared" si="21"/>
        <v>4088</v>
      </c>
      <c r="Q14" s="146" t="s">
        <v>867</v>
      </c>
      <c r="R14" s="186">
        <v>1124</v>
      </c>
      <c r="S14" s="186">
        <v>1763</v>
      </c>
      <c r="T14" s="186">
        <v>1177</v>
      </c>
      <c r="U14" s="186">
        <v>740</v>
      </c>
      <c r="V14" s="186">
        <v>1018</v>
      </c>
      <c r="X14" s="47" t="s">
        <v>587</v>
      </c>
      <c r="Y14" s="53">
        <v>1.1803709346923763</v>
      </c>
      <c r="Z14" s="153" t="s">
        <v>627</v>
      </c>
      <c r="AA14" s="53">
        <v>1.723983728886614</v>
      </c>
      <c r="AB14" s="53">
        <v>0.63455640483719744</v>
      </c>
      <c r="AC14" s="53">
        <v>0.77853946491478621</v>
      </c>
      <c r="AD14" s="53">
        <v>0.73586669783283798</v>
      </c>
      <c r="AE14" s="53">
        <v>0.75696730421160707</v>
      </c>
      <c r="AG14" s="47" t="s">
        <v>563</v>
      </c>
      <c r="AH14" s="118">
        <v>4150758</v>
      </c>
      <c r="AI14" s="118">
        <v>4107974</v>
      </c>
      <c r="AJ14" s="118">
        <v>3451775</v>
      </c>
      <c r="AK14" s="124">
        <v>3343736</v>
      </c>
      <c r="AL14" s="118">
        <v>3426786</v>
      </c>
      <c r="AM14" s="124">
        <v>3362957</v>
      </c>
      <c r="AO14" s="47" t="s">
        <v>556</v>
      </c>
      <c r="AP14" s="118">
        <v>728</v>
      </c>
      <c r="AQ14" s="118">
        <v>4124</v>
      </c>
      <c r="AR14" s="118">
        <v>1335</v>
      </c>
      <c r="AS14" s="153" t="s">
        <v>627</v>
      </c>
      <c r="AT14" s="153" t="s">
        <v>627</v>
      </c>
      <c r="AU14" s="153" t="s">
        <v>627</v>
      </c>
      <c r="AW14" s="146" t="s">
        <v>539</v>
      </c>
      <c r="AX14" s="69">
        <v>451.31</v>
      </c>
      <c r="AY14" s="69">
        <v>456.31</v>
      </c>
      <c r="AZ14" s="69">
        <v>460.48</v>
      </c>
      <c r="BA14" s="69">
        <v>426.03</v>
      </c>
      <c r="BB14" s="69">
        <v>412.95</v>
      </c>
      <c r="BC14" s="69">
        <v>382.75</v>
      </c>
      <c r="BP14" s="9"/>
    </row>
    <row r="15" spans="2:68" s="6" customFormat="1" ht="29.55" customHeight="1">
      <c r="B15" s="146" t="s">
        <v>1006</v>
      </c>
      <c r="C15" s="245">
        <f t="shared" si="14"/>
        <v>48.647499999999994</v>
      </c>
      <c r="D15" s="245">
        <f t="shared" si="14"/>
        <v>27.694999999999997</v>
      </c>
      <c r="E15" s="245">
        <f t="shared" si="14"/>
        <v>12.600499999999998</v>
      </c>
      <c r="F15" s="245">
        <f t="shared" si="14"/>
        <v>3.5814999999999997</v>
      </c>
      <c r="H15" s="189" t="s">
        <v>872</v>
      </c>
      <c r="I15" s="207">
        <f>((R12/$R$5)/(S12/$S$5))^(1/2)-1</f>
        <v>4.3576560495885097E-2</v>
      </c>
      <c r="K15" s="146" t="s">
        <v>1004</v>
      </c>
      <c r="L15" s="245">
        <f t="shared" si="21"/>
        <v>7221</v>
      </c>
      <c r="M15" s="245">
        <f t="shared" si="21"/>
        <v>6532</v>
      </c>
      <c r="N15" s="245">
        <f t="shared" si="21"/>
        <v>5909</v>
      </c>
      <c r="O15" s="245">
        <f t="shared" si="21"/>
        <v>5345</v>
      </c>
      <c r="Q15" s="189" t="s">
        <v>817</v>
      </c>
      <c r="R15" s="187">
        <f>SUM(R19:R25)</f>
        <v>1840.2454586000003</v>
      </c>
      <c r="S15" s="187">
        <f>SUM(S19:S25)</f>
        <v>1202.2051225</v>
      </c>
      <c r="T15" s="187">
        <f t="shared" ref="T15" si="26">SUM(T19:T25)</f>
        <v>1037.3428113999998</v>
      </c>
      <c r="U15" s="187">
        <f>SUM(U19:U25)</f>
        <v>746.81563900000026</v>
      </c>
      <c r="V15" s="187">
        <f>SUM(V19:V25)</f>
        <v>694.09320400000001</v>
      </c>
      <c r="X15" s="47" t="s">
        <v>619</v>
      </c>
      <c r="Y15" s="53">
        <f>Y7/AX9</f>
        <v>8.6871763570717714E-2</v>
      </c>
      <c r="Z15" s="153" t="s">
        <v>627</v>
      </c>
      <c r="AA15" s="53">
        <f>AA7/AY9</f>
        <v>0.11015966023424614</v>
      </c>
      <c r="AB15" s="53">
        <f t="shared" ref="AB15:AE15" si="27">AB7/AZ9</f>
        <v>0.12280919819911988</v>
      </c>
      <c r="AC15" s="53">
        <f t="shared" si="27"/>
        <v>0.17529425925733014</v>
      </c>
      <c r="AD15" s="53">
        <f t="shared" si="27"/>
        <v>0.14736793779574844</v>
      </c>
      <c r="AE15" s="53">
        <f t="shared" si="27"/>
        <v>0.15356057163377582</v>
      </c>
      <c r="AG15" s="47" t="s">
        <v>564</v>
      </c>
      <c r="AH15" s="118">
        <v>87273</v>
      </c>
      <c r="AI15" s="118">
        <v>86772</v>
      </c>
      <c r="AJ15" s="118">
        <v>75982</v>
      </c>
      <c r="AK15" s="124">
        <v>73867</v>
      </c>
      <c r="AL15" s="124">
        <v>75758</v>
      </c>
      <c r="AM15" s="124">
        <v>74226</v>
      </c>
      <c r="AO15" s="47" t="s">
        <v>557</v>
      </c>
      <c r="AP15" s="118">
        <v>23864</v>
      </c>
      <c r="AQ15" s="118">
        <v>163487</v>
      </c>
      <c r="AR15" s="118">
        <v>127063</v>
      </c>
      <c r="AS15" s="153" t="s">
        <v>627</v>
      </c>
      <c r="AT15" s="153" t="s">
        <v>627</v>
      </c>
      <c r="AU15" s="153" t="s">
        <v>627</v>
      </c>
      <c r="AW15" s="47" t="s">
        <v>620</v>
      </c>
      <c r="AX15" s="53">
        <f>AX10/Market_Size!AX9</f>
        <v>6.755339275767841E-2</v>
      </c>
      <c r="AY15" s="53">
        <f>AY10/Market_Size!AY9</f>
        <v>7.0172405901649193E-2</v>
      </c>
      <c r="AZ15" s="53">
        <f>AZ10/Market_Size!AZ9</f>
        <v>6.3067576575811093E-2</v>
      </c>
      <c r="BA15" s="53">
        <f>BA10/Market_Size!BA9</f>
        <v>7.8118695689604029E-2</v>
      </c>
      <c r="BB15" s="53">
        <f>BB10/Market_Size!BB9</f>
        <v>5.3527712541054651E-2</v>
      </c>
      <c r="BC15" s="53">
        <f>BC10/Market_Size!BC9</f>
        <v>5.471235659577002E-2</v>
      </c>
      <c r="BP15" s="9"/>
    </row>
    <row r="16" spans="2:68" s="6" customFormat="1" ht="29.55" customHeight="1">
      <c r="B16" s="189" t="s">
        <v>848</v>
      </c>
      <c r="C16" s="246">
        <f>SUM(C21:C27)</f>
        <v>258.67692346135954</v>
      </c>
      <c r="D16" s="246">
        <f>SUM(D21:D27)</f>
        <v>110.95476679354374</v>
      </c>
      <c r="E16" s="246">
        <f>SUM(E21:E27)</f>
        <v>38.180332461824896</v>
      </c>
      <c r="F16" s="246">
        <f>SUM(F21:F27)</f>
        <v>8.2347854563210845</v>
      </c>
      <c r="H16" s="189" t="s">
        <v>873</v>
      </c>
      <c r="I16" s="207">
        <f>((R13/$R$5)/(V13/$V$5))^(1/5)-1</f>
        <v>-0.140331279615176</v>
      </c>
      <c r="K16" s="146" t="s">
        <v>1005</v>
      </c>
      <c r="L16" s="245">
        <f t="shared" si="21"/>
        <v>3714</v>
      </c>
      <c r="M16" s="245">
        <f t="shared" si="21"/>
        <v>4079</v>
      </c>
      <c r="N16" s="245">
        <f t="shared" si="21"/>
        <v>4479</v>
      </c>
      <c r="O16" s="245">
        <f t="shared" si="21"/>
        <v>4918</v>
      </c>
      <c r="Q16" s="189" t="s">
        <v>825</v>
      </c>
      <c r="R16" s="185">
        <f>R15/440</f>
        <v>4.1823760422727281</v>
      </c>
      <c r="S16" s="185">
        <f t="shared" ref="S16:V16" si="28">S15/440</f>
        <v>2.7322843693181817</v>
      </c>
      <c r="T16" s="185">
        <f t="shared" si="28"/>
        <v>2.3575972986363634</v>
      </c>
      <c r="U16" s="185">
        <f t="shared" si="28"/>
        <v>1.6973082704545461</v>
      </c>
      <c r="V16" s="185">
        <f t="shared" si="28"/>
        <v>1.5774845545454546</v>
      </c>
      <c r="X16" s="9"/>
      <c r="Y16" s="135"/>
      <c r="Z16" s="135"/>
      <c r="AA16" s="9"/>
      <c r="AB16" s="9"/>
      <c r="AC16" s="9"/>
      <c r="AD16" s="9"/>
      <c r="AE16" s="9"/>
      <c r="AG16" s="47" t="s">
        <v>565</v>
      </c>
      <c r="AH16" s="118">
        <v>7034</v>
      </c>
      <c r="AI16" s="118">
        <v>6782</v>
      </c>
      <c r="AJ16" s="118">
        <v>4160</v>
      </c>
      <c r="AK16" s="124">
        <v>3886</v>
      </c>
      <c r="AL16" s="124">
        <v>3951</v>
      </c>
      <c r="AM16" s="124">
        <v>3623</v>
      </c>
      <c r="AO16" s="47" t="s">
        <v>547</v>
      </c>
      <c r="AP16" s="118">
        <v>1367</v>
      </c>
      <c r="AQ16" s="118">
        <v>9586</v>
      </c>
      <c r="AR16" s="118">
        <v>258</v>
      </c>
      <c r="AS16" s="153" t="s">
        <v>627</v>
      </c>
      <c r="AT16" s="153" t="s">
        <v>627</v>
      </c>
      <c r="AU16" s="153" t="s">
        <v>627</v>
      </c>
      <c r="AW16" s="47" t="s">
        <v>621</v>
      </c>
      <c r="AX16" s="118">
        <v>9800</v>
      </c>
      <c r="AY16" s="118">
        <v>157100</v>
      </c>
      <c r="AZ16" s="118">
        <v>67400</v>
      </c>
      <c r="BA16" s="118">
        <v>80200</v>
      </c>
      <c r="BB16" s="118">
        <v>49500</v>
      </c>
      <c r="BC16" s="118">
        <v>39900</v>
      </c>
      <c r="BP16" s="9"/>
    </row>
    <row r="17" spans="2:68" s="6" customFormat="1" ht="29.55" customHeight="1">
      <c r="B17" s="189" t="s">
        <v>849</v>
      </c>
      <c r="C17" s="185">
        <f>C16/L7</f>
        <v>0.51077446898845225</v>
      </c>
      <c r="D17" s="185">
        <f>D16/M7</f>
        <v>0.22692712775284643</v>
      </c>
      <c r="E17" s="185">
        <f>E16/N7</f>
        <v>8.0881484642108592E-2</v>
      </c>
      <c r="F17" s="258">
        <f>F16/O7</f>
        <v>1.806885592297747E-2</v>
      </c>
      <c r="H17" s="189" t="s">
        <v>874</v>
      </c>
      <c r="I17" s="207">
        <f>((R14/$R$5)/(V14/$V$5))^(1/5)-1</f>
        <v>-0.17015540919153826</v>
      </c>
      <c r="K17" s="146" t="s">
        <v>1006</v>
      </c>
      <c r="L17" s="245">
        <f t="shared" si="21"/>
        <v>671</v>
      </c>
      <c r="M17" s="245">
        <f t="shared" si="21"/>
        <v>764</v>
      </c>
      <c r="N17" s="245">
        <f t="shared" si="21"/>
        <v>869</v>
      </c>
      <c r="O17" s="245">
        <f t="shared" si="21"/>
        <v>988</v>
      </c>
      <c r="Q17" s="189" t="s">
        <v>827</v>
      </c>
      <c r="R17" s="209">
        <f>R15/AA7</f>
        <v>0.71697130872915316</v>
      </c>
      <c r="S17" s="209">
        <f t="shared" ref="S17:V17" si="29">S15/AB7</f>
        <v>0.74195625312812807</v>
      </c>
      <c r="T17" s="209">
        <f t="shared" si="29"/>
        <v>0.72812218648278348</v>
      </c>
      <c r="U17" s="209">
        <f t="shared" si="29"/>
        <v>0.71573107308859152</v>
      </c>
      <c r="V17" s="209">
        <f t="shared" si="29"/>
        <v>0.68637148276552307</v>
      </c>
      <c r="X17" s="9"/>
      <c r="Y17" s="135"/>
      <c r="Z17" s="135"/>
      <c r="AA17" s="9"/>
      <c r="AB17" s="9"/>
      <c r="AC17" s="9"/>
      <c r="AD17" s="9"/>
      <c r="AE17" s="9"/>
      <c r="AG17" s="47" t="s">
        <v>566</v>
      </c>
      <c r="AH17" s="118">
        <v>389111</v>
      </c>
      <c r="AI17" s="118">
        <v>385847</v>
      </c>
      <c r="AJ17" s="118">
        <v>322350</v>
      </c>
      <c r="AK17" s="124">
        <v>297120</v>
      </c>
      <c r="AL17" s="124">
        <v>292437</v>
      </c>
      <c r="AM17" s="124">
        <v>276273</v>
      </c>
      <c r="AO17" s="47" t="s">
        <v>549</v>
      </c>
      <c r="AP17" s="118">
        <v>19033</v>
      </c>
      <c r="AQ17" s="118">
        <v>111363</v>
      </c>
      <c r="AR17" s="118">
        <v>188787</v>
      </c>
      <c r="AS17" s="118">
        <v>147042</v>
      </c>
      <c r="AT17" s="118">
        <v>119788</v>
      </c>
      <c r="AU17" s="118">
        <v>94477</v>
      </c>
      <c r="AW17" s="47" t="s">
        <v>622</v>
      </c>
      <c r="AX17" s="50">
        <v>0.2</v>
      </c>
      <c r="AY17" s="50">
        <v>3.1</v>
      </c>
      <c r="AZ17" s="50">
        <v>1.4</v>
      </c>
      <c r="BA17" s="50">
        <v>1.39</v>
      </c>
      <c r="BB17" s="50">
        <v>0.83</v>
      </c>
      <c r="BC17" s="50">
        <v>0.94</v>
      </c>
      <c r="BP17" s="9"/>
    </row>
    <row r="18" spans="2:68" s="6" customFormat="1" ht="29.55" customHeight="1">
      <c r="B18" s="189" t="s">
        <v>1021</v>
      </c>
      <c r="C18" s="247">
        <f>C16/L25</f>
        <v>7.8768626109006951E-2</v>
      </c>
      <c r="D18" s="247">
        <f>D16/M25</f>
        <v>3.9050240585012122E-2</v>
      </c>
      <c r="E18" s="247">
        <f>E16/N25</f>
        <v>1.5531007168920096E-2</v>
      </c>
      <c r="F18" s="247">
        <f>F16/O25</f>
        <v>3.871634656201826E-3</v>
      </c>
      <c r="H18" s="189" t="s">
        <v>875</v>
      </c>
      <c r="I18" s="207">
        <f>((R19/$R$15)/(V19/$V$15))^(1/5)-1</f>
        <v>-1.9865421112191362E-2</v>
      </c>
      <c r="K18" s="146" t="s">
        <v>885</v>
      </c>
      <c r="L18" s="252">
        <f t="shared" ref="L18:N24" si="30">M18*(1+$I11)</f>
        <v>0.27325136305386627</v>
      </c>
      <c r="M18" s="252">
        <f t="shared" si="30"/>
        <v>0.27994610331989878</v>
      </c>
      <c r="N18" s="252">
        <f t="shared" si="30"/>
        <v>0.28680486672831829</v>
      </c>
      <c r="O18" s="252">
        <f t="shared" ref="O18:O24" si="31">R8/$R$5*(1+$I11)</f>
        <v>0.29383167189525772</v>
      </c>
      <c r="Q18" s="189" t="s">
        <v>845</v>
      </c>
      <c r="R18" s="183">
        <f>R15/S15-1</f>
        <v>0.53072501868332411</v>
      </c>
      <c r="S18" s="183">
        <f t="shared" ref="S18:U18" si="32">S15/T15-1</f>
        <v>0.15892751102935931</v>
      </c>
      <c r="T18" s="183">
        <f t="shared" si="32"/>
        <v>0.38902127543689469</v>
      </c>
      <c r="U18" s="183">
        <f t="shared" si="32"/>
        <v>7.5958725278054029E-2</v>
      </c>
      <c r="V18" s="153" t="s">
        <v>627</v>
      </c>
      <c r="X18" s="9"/>
      <c r="Y18" s="135"/>
      <c r="Z18" s="135"/>
      <c r="AA18" s="9"/>
      <c r="AB18" s="9"/>
      <c r="AC18" s="9"/>
      <c r="AD18" s="9"/>
      <c r="AE18" s="9"/>
      <c r="AG18" s="47" t="s">
        <v>567</v>
      </c>
      <c r="AH18" s="118">
        <v>8684</v>
      </c>
      <c r="AI18" s="118">
        <v>7997</v>
      </c>
      <c r="AJ18" s="118">
        <v>812</v>
      </c>
      <c r="AK18" s="124">
        <v>491</v>
      </c>
      <c r="AL18" s="124">
        <v>550</v>
      </c>
      <c r="AM18" s="124">
        <v>613</v>
      </c>
      <c r="AO18" s="47" t="s">
        <v>550</v>
      </c>
      <c r="AP18" s="118">
        <v>48540</v>
      </c>
      <c r="AQ18" s="118">
        <v>301273</v>
      </c>
      <c r="AR18" s="118">
        <v>72782</v>
      </c>
      <c r="AS18" s="118">
        <v>78600</v>
      </c>
      <c r="AT18" s="118">
        <v>112153</v>
      </c>
      <c r="AU18" s="118">
        <v>163463</v>
      </c>
      <c r="AW18" s="47" t="s">
        <v>623</v>
      </c>
      <c r="AX18" s="118">
        <v>9854</v>
      </c>
      <c r="AY18" s="118">
        <v>12135</v>
      </c>
      <c r="AZ18" s="118">
        <v>8753</v>
      </c>
      <c r="BA18" s="118">
        <v>9839</v>
      </c>
      <c r="BB18" s="118">
        <v>5592</v>
      </c>
      <c r="BC18" s="118">
        <v>3838</v>
      </c>
      <c r="BP18" s="9"/>
    </row>
    <row r="19" spans="2:68" s="6" customFormat="1" ht="29.55" customHeight="1">
      <c r="B19" s="189" t="s">
        <v>1022</v>
      </c>
      <c r="C19" s="247">
        <f>C16/L6</f>
        <v>5.8480231563649933E-2</v>
      </c>
      <c r="D19" s="247">
        <f t="shared" ref="D19:F19" si="33">D16/M6</f>
        <v>2.874028152045183E-2</v>
      </c>
      <c r="E19" s="247">
        <f t="shared" si="33"/>
        <v>1.1331265488633484E-2</v>
      </c>
      <c r="F19" s="247">
        <f t="shared" si="33"/>
        <v>2.8001716512260928E-3</v>
      </c>
      <c r="H19" s="189" t="s">
        <v>876</v>
      </c>
      <c r="I19" s="207">
        <f>((R20/$R$15)/(V20/$V$15))^(1/5)-1</f>
        <v>-5.3447096398009819E-2</v>
      </c>
      <c r="K19" s="146" t="s">
        <v>886</v>
      </c>
      <c r="L19" s="252">
        <f t="shared" si="30"/>
        <v>0.18747023424699549</v>
      </c>
      <c r="M19" s="252">
        <f t="shared" si="30"/>
        <v>0.19293422051333819</v>
      </c>
      <c r="N19" s="252">
        <f t="shared" si="30"/>
        <v>0.1985574595060601</v>
      </c>
      <c r="O19" s="252">
        <f t="shared" si="31"/>
        <v>0.20434459278713135</v>
      </c>
      <c r="Q19" s="146" t="s">
        <v>818</v>
      </c>
      <c r="R19" s="184">
        <v>291.24505999999997</v>
      </c>
      <c r="S19" s="184">
        <v>269.810025</v>
      </c>
      <c r="T19" s="184">
        <v>313.08661749999999</v>
      </c>
      <c r="U19" s="184">
        <v>232.01666150000003</v>
      </c>
      <c r="V19" s="184">
        <v>121.44287750000001</v>
      </c>
      <c r="X19" s="9"/>
      <c r="Y19" s="135"/>
      <c r="Z19" s="135"/>
      <c r="AA19" s="9"/>
      <c r="AB19" s="9"/>
      <c r="AC19" s="9"/>
      <c r="AD19" s="9"/>
      <c r="AE19" s="9"/>
      <c r="AG19" s="47" t="s">
        <v>568</v>
      </c>
      <c r="AH19" s="118">
        <v>291708</v>
      </c>
      <c r="AI19" s="118">
        <v>286195</v>
      </c>
      <c r="AJ19" s="118">
        <v>319818</v>
      </c>
      <c r="AK19" s="124">
        <v>516842</v>
      </c>
      <c r="AL19" s="124">
        <v>462594</v>
      </c>
      <c r="AM19" s="124">
        <v>401148</v>
      </c>
      <c r="AO19" s="47" t="s">
        <v>551</v>
      </c>
      <c r="AP19" s="118">
        <v>21655</v>
      </c>
      <c r="AQ19" s="118">
        <v>201927</v>
      </c>
      <c r="AR19" s="118">
        <v>166565</v>
      </c>
      <c r="AS19" s="118">
        <v>105888</v>
      </c>
      <c r="AT19" s="118">
        <v>72229</v>
      </c>
      <c r="AU19" s="118">
        <v>50562</v>
      </c>
      <c r="AW19" s="47" t="s">
        <v>625</v>
      </c>
      <c r="AX19" s="119">
        <f t="shared" ref="AX19" si="34">AX18/AY18-1</f>
        <v>-0.18796868562010716</v>
      </c>
      <c r="AY19" s="119">
        <f t="shared" ref="AY19" si="35">AY18/AZ18-1</f>
        <v>0.3863818119501885</v>
      </c>
      <c r="AZ19" s="119">
        <f t="shared" ref="AZ19" si="36">AZ18/BA18-1</f>
        <v>-0.11037707084053261</v>
      </c>
      <c r="BA19" s="119">
        <f t="shared" ref="BA19" si="37">BA18/BB18-1</f>
        <v>0.75947782546494991</v>
      </c>
      <c r="BB19" s="119">
        <f>BB18/BC18-1</f>
        <v>0.45700885878061492</v>
      </c>
      <c r="BC19" s="153" t="s">
        <v>627</v>
      </c>
      <c r="BP19" s="9"/>
    </row>
    <row r="20" spans="2:68" s="6" customFormat="1" ht="29.55" customHeight="1">
      <c r="B20" s="189" t="s">
        <v>850</v>
      </c>
      <c r="C20" s="244">
        <f>C16/D16-1</f>
        <v>1.3313727831332027</v>
      </c>
      <c r="D20" s="244">
        <f>D16/E16-1</f>
        <v>1.9060712581401251</v>
      </c>
      <c r="E20" s="244">
        <f>E16/F16-1</f>
        <v>3.6364696037730262</v>
      </c>
      <c r="F20" s="153" t="s">
        <v>627</v>
      </c>
      <c r="H20" s="189" t="s">
        <v>877</v>
      </c>
      <c r="I20" s="207">
        <f>((R21/$R$15)/(V21/$V$15))^(1/5)-1</f>
        <v>7.8084054981396367E-2</v>
      </c>
      <c r="K20" s="146" t="s">
        <v>887</v>
      </c>
      <c r="L20" s="252">
        <f t="shared" si="30"/>
        <v>0.47915340798650752</v>
      </c>
      <c r="M20" s="252">
        <f t="shared" si="30"/>
        <v>0.45043356900278858</v>
      </c>
      <c r="N20" s="252">
        <f t="shared" si="30"/>
        <v>0.42343516022806438</v>
      </c>
      <c r="O20" s="252">
        <f t="shared" si="31"/>
        <v>0.39805500134972521</v>
      </c>
      <c r="Q20" s="146" t="s">
        <v>819</v>
      </c>
      <c r="R20" s="184">
        <v>357.42347360000002</v>
      </c>
      <c r="S20" s="184">
        <v>209.72200199999997</v>
      </c>
      <c r="T20" s="184">
        <v>212.15454640000002</v>
      </c>
      <c r="U20" s="184">
        <v>130.64529400000004</v>
      </c>
      <c r="V20" s="184">
        <v>177.41921299999998</v>
      </c>
      <c r="X20" s="9"/>
      <c r="Y20" s="135"/>
      <c r="Z20" s="135"/>
      <c r="AA20" s="9"/>
      <c r="AB20" s="9"/>
      <c r="AC20" s="9"/>
      <c r="AD20" s="9"/>
      <c r="AE20" s="9"/>
      <c r="AG20" s="47" t="s">
        <v>569</v>
      </c>
      <c r="AH20" s="118">
        <v>575067</v>
      </c>
      <c r="AI20" s="118">
        <v>549619</v>
      </c>
      <c r="AJ20" s="118">
        <v>250272</v>
      </c>
      <c r="AK20" s="124">
        <v>494726</v>
      </c>
      <c r="AL20" s="124">
        <v>570920</v>
      </c>
      <c r="AM20" s="124">
        <v>593038</v>
      </c>
      <c r="AO20" s="47" t="s">
        <v>552</v>
      </c>
      <c r="AP20" s="118">
        <v>170335</v>
      </c>
      <c r="AQ20" s="118">
        <v>1134668</v>
      </c>
      <c r="AR20" s="118">
        <v>678618</v>
      </c>
      <c r="AS20" s="118">
        <v>467622</v>
      </c>
      <c r="AT20" s="118">
        <v>459630</v>
      </c>
      <c r="AU20" s="118">
        <v>554577</v>
      </c>
      <c r="AW20" s="47" t="s">
        <v>624</v>
      </c>
      <c r="AX20" s="118">
        <v>209</v>
      </c>
      <c r="AY20" s="118">
        <v>354.9</v>
      </c>
      <c r="AZ20" s="118">
        <v>184.8</v>
      </c>
      <c r="BA20" s="118">
        <v>170.6</v>
      </c>
      <c r="BB20" s="118">
        <v>94.3</v>
      </c>
      <c r="BC20" s="118">
        <v>90</v>
      </c>
      <c r="BP20" s="9"/>
    </row>
    <row r="21" spans="2:68" s="6" customFormat="1" ht="29.55" customHeight="1">
      <c r="B21" s="146" t="s">
        <v>993</v>
      </c>
      <c r="C21" s="184">
        <f>C63/1000</f>
        <v>38.01683243507879</v>
      </c>
      <c r="D21" s="184">
        <f>D63/1000</f>
        <v>16.847391292996331</v>
      </c>
      <c r="E21" s="184">
        <f>E63/1000</f>
        <v>5.9727028587100168</v>
      </c>
      <c r="F21" s="184">
        <f>F63/1000</f>
        <v>1.3234174672400001</v>
      </c>
      <c r="H21" s="189" t="s">
        <v>878</v>
      </c>
      <c r="I21" s="207">
        <f>((R22/$R$15)/(V22/$V$15))^(1/5)-1</f>
        <v>-4.6758796193022034E-2</v>
      </c>
      <c r="K21" s="146" t="s">
        <v>888</v>
      </c>
      <c r="L21" s="252">
        <f t="shared" si="30"/>
        <v>2.5796754410184516E-2</v>
      </c>
      <c r="M21" s="252">
        <f t="shared" si="30"/>
        <v>2.6747716445980008E-2</v>
      </c>
      <c r="N21" s="252">
        <f t="shared" si="30"/>
        <v>2.7733734395366215E-2</v>
      </c>
      <c r="O21" s="252">
        <f t="shared" si="31"/>
        <v>2.8756100546606413E-2</v>
      </c>
      <c r="Q21" s="146" t="s">
        <v>820</v>
      </c>
      <c r="R21" s="184">
        <v>847.11264000000017</v>
      </c>
      <c r="S21" s="184">
        <v>408.33867250000003</v>
      </c>
      <c r="T21" s="184">
        <v>320.01724649999994</v>
      </c>
      <c r="U21" s="184">
        <v>241.9493415</v>
      </c>
      <c r="V21" s="184">
        <v>219.39164549999998</v>
      </c>
      <c r="X21" s="9"/>
      <c r="Y21" s="135"/>
      <c r="Z21" s="135"/>
      <c r="AA21" s="9"/>
      <c r="AB21" s="9"/>
      <c r="AC21" s="9"/>
      <c r="AD21" s="9"/>
      <c r="AE21" s="9"/>
      <c r="AG21" s="47" t="s">
        <v>570</v>
      </c>
      <c r="AH21" s="118">
        <v>613413</v>
      </c>
      <c r="AI21" s="118">
        <v>620071</v>
      </c>
      <c r="AJ21" s="118">
        <v>571976</v>
      </c>
      <c r="AK21" s="124">
        <v>317340</v>
      </c>
      <c r="AL21" s="124">
        <v>268324</v>
      </c>
      <c r="AM21" s="124">
        <v>240156</v>
      </c>
      <c r="AO21" s="47" t="s">
        <v>532</v>
      </c>
      <c r="AP21" s="53">
        <f>AP6/AP$5</f>
        <v>2.8270593266374638E-2</v>
      </c>
      <c r="AQ21" s="53">
        <f t="shared" ref="AQ21:AU21" si="38">AQ6/AQ$5</f>
        <v>2.5464904292228984E-2</v>
      </c>
      <c r="AR21" s="53">
        <f t="shared" si="38"/>
        <v>3.6165283640779505E-2</v>
      </c>
      <c r="AS21" s="53">
        <f t="shared" si="38"/>
        <v>3.6208380883736763E-2</v>
      </c>
      <c r="AT21" s="53">
        <f t="shared" si="38"/>
        <v>3.9999895260813663E-2</v>
      </c>
      <c r="AU21" s="53">
        <f t="shared" si="38"/>
        <v>4.1199525186033856E-2</v>
      </c>
      <c r="AW21" s="47" t="s">
        <v>626</v>
      </c>
      <c r="AX21" s="119">
        <f t="shared" ref="AX21" si="39">AX20/AY20-1</f>
        <v>-0.41110171879402646</v>
      </c>
      <c r="AY21" s="119">
        <f t="shared" ref="AY21" si="40">AY20/AZ20-1</f>
        <v>0.92045454545454519</v>
      </c>
      <c r="AZ21" s="119">
        <f t="shared" ref="AZ21" si="41">AZ20/BA20-1</f>
        <v>8.3235638921453692E-2</v>
      </c>
      <c r="BA21" s="119">
        <f t="shared" ref="BA21" si="42">BA20/BB20-1</f>
        <v>0.80911983032873813</v>
      </c>
      <c r="BB21" s="119">
        <f>BB20/BC20-1</f>
        <v>4.7777777777777697E-2</v>
      </c>
      <c r="BC21" s="153" t="s">
        <v>627</v>
      </c>
      <c r="BP21" s="9"/>
    </row>
    <row r="22" spans="2:68" s="6" customFormat="1" ht="29.55" customHeight="1">
      <c r="B22" s="146" t="s">
        <v>994</v>
      </c>
      <c r="C22" s="184">
        <f>C64/1000</f>
        <v>37.233216557800958</v>
      </c>
      <c r="D22" s="184">
        <f>D64/1000</f>
        <v>16.574873415954148</v>
      </c>
      <c r="E22" s="184">
        <f>E64/1000</f>
        <v>5.9026893876684801</v>
      </c>
      <c r="F22" s="184">
        <f>F64/1000</f>
        <v>1.3138468036222222</v>
      </c>
      <c r="H22" s="189" t="s">
        <v>879</v>
      </c>
      <c r="I22" s="207">
        <f>((R23/$R$15)/(S23/$S$15))^(1/2)-1</f>
        <v>1.9221305421346591E-2</v>
      </c>
      <c r="K22" s="146" t="s">
        <v>889</v>
      </c>
      <c r="L22" s="252">
        <f t="shared" si="30"/>
        <v>4.2734322761011564E-2</v>
      </c>
      <c r="M22" s="252">
        <f t="shared" si="30"/>
        <v>4.094986834574469E-2</v>
      </c>
      <c r="N22" s="252">
        <f t="shared" si="30"/>
        <v>3.9239927280741334E-2</v>
      </c>
      <c r="O22" s="252">
        <f t="shared" si="31"/>
        <v>3.7601388116742837E-2</v>
      </c>
      <c r="Q22" s="146" t="s">
        <v>821</v>
      </c>
      <c r="R22" s="184">
        <v>209.35896</v>
      </c>
      <c r="S22" s="184">
        <v>203.02473000000003</v>
      </c>
      <c r="T22" s="184">
        <v>79.401260000000008</v>
      </c>
      <c r="U22" s="184">
        <v>66.456980000000001</v>
      </c>
      <c r="V22" s="184">
        <v>100.32740000000001</v>
      </c>
      <c r="X22" s="9"/>
      <c r="Y22" s="135"/>
      <c r="Z22" s="135"/>
      <c r="AA22" s="9"/>
      <c r="AB22" s="9"/>
      <c r="AC22" s="9"/>
      <c r="AD22" s="9"/>
      <c r="AE22" s="9"/>
      <c r="AG22" s="47" t="s">
        <v>571</v>
      </c>
      <c r="AH22" s="118">
        <f>1117151+2136656</f>
        <v>3253807</v>
      </c>
      <c r="AI22" s="118">
        <f>1103114+2125843</f>
        <v>3228957</v>
      </c>
      <c r="AJ22" s="118">
        <f>815968+1945197</f>
        <v>2761165</v>
      </c>
      <c r="AK22" s="124">
        <v>2406979</v>
      </c>
      <c r="AL22" s="124">
        <v>2495407</v>
      </c>
      <c r="AM22" s="124">
        <v>2459007</v>
      </c>
      <c r="AO22" s="47" t="s">
        <v>586</v>
      </c>
      <c r="AP22" s="53">
        <f t="shared" ref="AP22:AU22" si="43">AP7/AP$5</f>
        <v>0.16693057176870355</v>
      </c>
      <c r="AQ22" s="53">
        <f t="shared" si="43"/>
        <v>0.17455727688338477</v>
      </c>
      <c r="AR22" s="53">
        <f t="shared" si="43"/>
        <v>0.14057440149193315</v>
      </c>
      <c r="AS22" s="53">
        <f t="shared" si="43"/>
        <v>0.13412091817326366</v>
      </c>
      <c r="AT22" s="53">
        <f t="shared" si="43"/>
        <v>0.11826494300879023</v>
      </c>
      <c r="AU22" s="53">
        <f t="shared" si="43"/>
        <v>0.11105549675230002</v>
      </c>
      <c r="AW22" s="47" t="s">
        <v>640</v>
      </c>
      <c r="AX22" s="153" t="s">
        <v>627</v>
      </c>
      <c r="AY22" s="118">
        <v>148900</v>
      </c>
      <c r="AZ22" s="118">
        <v>114000</v>
      </c>
      <c r="BA22" s="118">
        <v>80000</v>
      </c>
      <c r="BB22" s="118">
        <v>77500</v>
      </c>
      <c r="BC22" s="118">
        <v>50000</v>
      </c>
      <c r="BP22" s="9"/>
    </row>
    <row r="23" spans="2:68" s="6" customFormat="1" ht="29.55" customHeight="1">
      <c r="B23" s="146" t="s">
        <v>995</v>
      </c>
      <c r="C23" s="184">
        <f>(C65+C66+C67)/1000</f>
        <v>108.03242527519731</v>
      </c>
      <c r="D23" s="184">
        <f>(D65+D66+D67)/1000</f>
        <v>43.929193321485229</v>
      </c>
      <c r="E23" s="184">
        <f>(E65+E66+E67)/1000</f>
        <v>14.29033755083791</v>
      </c>
      <c r="F23" s="184">
        <f>(F65+F66+F67)/1000</f>
        <v>2.9054146676517201</v>
      </c>
      <c r="H23" s="189" t="s">
        <v>880</v>
      </c>
      <c r="I23" s="207">
        <f>((R24/$R$15)/(V24/$V$15))^(1/5)-1</f>
        <v>-0.13522138501017011</v>
      </c>
      <c r="K23" s="146" t="s">
        <v>890</v>
      </c>
      <c r="L23" s="252">
        <f t="shared" si="30"/>
        <v>2.1982736822071552E-2</v>
      </c>
      <c r="M23" s="252">
        <f t="shared" si="30"/>
        <v>2.5571172128062484E-2</v>
      </c>
      <c r="N23" s="252">
        <f t="shared" si="30"/>
        <v>2.9745379262625431E-2</v>
      </c>
      <c r="O23" s="252">
        <f t="shared" si="31"/>
        <v>3.4600978908840771E-2</v>
      </c>
      <c r="Q23" s="146" t="s">
        <v>822</v>
      </c>
      <c r="R23" s="184">
        <v>55.652949999999997</v>
      </c>
      <c r="S23" s="184">
        <v>34.998869999999997</v>
      </c>
      <c r="T23" s="184">
        <v>0</v>
      </c>
      <c r="U23" s="184">
        <v>0</v>
      </c>
      <c r="V23" s="184">
        <v>0</v>
      </c>
      <c r="X23" s="9"/>
      <c r="Y23" s="9"/>
      <c r="Z23" s="9"/>
      <c r="AA23" s="9"/>
      <c r="AB23" s="9"/>
      <c r="AC23" s="9"/>
      <c r="AD23" s="9"/>
      <c r="AE23" s="9"/>
      <c r="AG23" s="47" t="s">
        <v>531</v>
      </c>
      <c r="AH23" s="45">
        <v>22.5</v>
      </c>
      <c r="AI23" s="45">
        <v>22.3</v>
      </c>
      <c r="AJ23" s="45">
        <v>18.600000000000001</v>
      </c>
      <c r="AK23" s="45">
        <v>18.893875910396762</v>
      </c>
      <c r="AL23" s="45">
        <v>19.511223968266442</v>
      </c>
      <c r="AM23" s="45">
        <v>19.273290610674607</v>
      </c>
      <c r="AO23" s="47" t="s">
        <v>572</v>
      </c>
      <c r="AP23" s="53">
        <f t="shared" ref="AP23:AU23" si="44">AP8/AP$5</f>
        <v>0.42486024587479726</v>
      </c>
      <c r="AQ23" s="53">
        <f t="shared" si="44"/>
        <v>0.42640165878606084</v>
      </c>
      <c r="AR23" s="53">
        <f t="shared" si="44"/>
        <v>0.45995760567859828</v>
      </c>
      <c r="AS23" s="53">
        <f t="shared" si="44"/>
        <v>0.46744674354816107</v>
      </c>
      <c r="AT23" s="53">
        <f t="shared" si="44"/>
        <v>0.48189583164223188</v>
      </c>
      <c r="AU23" s="53">
        <f t="shared" si="44"/>
        <v>0.49285942246274156</v>
      </c>
      <c r="AW23" s="47" t="s">
        <v>641</v>
      </c>
      <c r="AX23" s="153" t="s">
        <v>627</v>
      </c>
      <c r="AY23" s="53">
        <v>0.30614035087719293</v>
      </c>
      <c r="AZ23" s="53">
        <v>0.42500000000000004</v>
      </c>
      <c r="BA23" s="53">
        <v>3.2258064516129004E-2</v>
      </c>
      <c r="BB23" s="53">
        <v>0.55000000000000004</v>
      </c>
      <c r="BC23" s="53">
        <v>0.54798761609907132</v>
      </c>
      <c r="BP23" s="9"/>
    </row>
    <row r="24" spans="2:68" ht="29.55" customHeight="1">
      <c r="B24" s="146" t="s">
        <v>996</v>
      </c>
      <c r="C24" s="184">
        <f>(C68+C69+C70+C71+C72)/1000</f>
        <v>53.150515837039023</v>
      </c>
      <c r="D24" s="184">
        <f>(D68+D69+D70+D71+D72)/1000</f>
        <v>23.834558568362166</v>
      </c>
      <c r="E24" s="184">
        <f>(E68+E69+E70+E71+E72)/1000</f>
        <v>8.5526832038123501</v>
      </c>
      <c r="F24" s="184">
        <f>(F68+F69+F70+F71+F72)/1000</f>
        <v>1.9181759181199998</v>
      </c>
      <c r="H24" s="189" t="s">
        <v>881</v>
      </c>
      <c r="I24" s="207">
        <f>((R25/$R$15)/(V25/$V$15))^(1/5)-1</f>
        <v>-0.25454953088260479</v>
      </c>
      <c r="K24" s="146" t="s">
        <v>891</v>
      </c>
      <c r="L24" s="252">
        <f t="shared" si="30"/>
        <v>3.9722490023725177E-3</v>
      </c>
      <c r="M24" s="252">
        <f t="shared" si="30"/>
        <v>4.7867384403899324E-3</v>
      </c>
      <c r="N24" s="252">
        <f t="shared" si="30"/>
        <v>5.7682347916813382E-3</v>
      </c>
      <c r="O24" s="252">
        <f t="shared" si="31"/>
        <v>6.950981973699118E-3</v>
      </c>
      <c r="Q24" s="146" t="s">
        <v>823</v>
      </c>
      <c r="R24" s="184">
        <v>63.671414999999996</v>
      </c>
      <c r="S24" s="184">
        <v>40.618622999999999</v>
      </c>
      <c r="T24" s="184">
        <v>87.535820999999999</v>
      </c>
      <c r="U24" s="184">
        <v>56.951361999999996</v>
      </c>
      <c r="V24" s="184">
        <v>49.654867999999993</v>
      </c>
      <c r="AG24" s="47" t="s">
        <v>601</v>
      </c>
      <c r="AH24" s="58">
        <f>AH9/AH$5</f>
        <v>0.18673577477530126</v>
      </c>
      <c r="AI24" s="58">
        <f t="shared" ref="AI24:AM24" si="45">AI9/AI$5</f>
        <v>0.18586483867268058</v>
      </c>
      <c r="AJ24" s="58">
        <f t="shared" si="45"/>
        <v>0.15475004894038175</v>
      </c>
      <c r="AK24" s="58">
        <f t="shared" si="45"/>
        <v>0.17946978874275915</v>
      </c>
      <c r="AL24" s="58">
        <f t="shared" si="45"/>
        <v>0.1816452808270535</v>
      </c>
      <c r="AM24" s="58">
        <f t="shared" si="45"/>
        <v>0.18654168916090555</v>
      </c>
      <c r="AO24" s="47" t="s">
        <v>573</v>
      </c>
      <c r="AP24" s="53">
        <f t="shared" ref="AP24:AU24" si="46">AP9/AP$5</f>
        <v>0.19516263874281004</v>
      </c>
      <c r="AQ24" s="53">
        <f t="shared" si="46"/>
        <v>0.19388405533631636</v>
      </c>
      <c r="AR24" s="53">
        <f t="shared" si="46"/>
        <v>0.18194319956051583</v>
      </c>
      <c r="AS24" s="53">
        <f t="shared" si="46"/>
        <v>0.18438669990189602</v>
      </c>
      <c r="AT24" s="53">
        <f t="shared" si="46"/>
        <v>0.18527838366487651</v>
      </c>
      <c r="AU24" s="53">
        <f t="shared" si="46"/>
        <v>0.18402599996785593</v>
      </c>
      <c r="AV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</row>
    <row r="25" spans="2:68" ht="29.55" customHeight="1">
      <c r="B25" s="146" t="s">
        <v>997</v>
      </c>
      <c r="C25" s="184">
        <f>(C73)/1000</f>
        <v>16.334075924805507</v>
      </c>
      <c r="D25" s="184">
        <f>(D73)/1000</f>
        <v>6.7703176913355181</v>
      </c>
      <c r="E25" s="184">
        <f>(E73)/1000</f>
        <v>2.245083489162623</v>
      </c>
      <c r="F25" s="184">
        <f>(F73)/1000</f>
        <v>0.46526658914999997</v>
      </c>
      <c r="H25" s="151" t="s">
        <v>860</v>
      </c>
      <c r="I25" s="136">
        <f>Economy!K8</f>
        <v>9.1199999999999989E-2</v>
      </c>
      <c r="K25" s="189" t="s">
        <v>817</v>
      </c>
      <c r="L25" s="246">
        <f>L6*L27</f>
        <v>3284.0095890891844</v>
      </c>
      <c r="M25" s="246">
        <f>M6*M27</f>
        <v>2841.3337570096637</v>
      </c>
      <c r="N25" s="246">
        <f>N6*N27</f>
        <v>2458.3294596778978</v>
      </c>
      <c r="O25" s="246">
        <f>O6*O27</f>
        <v>2126.9531315745639</v>
      </c>
      <c r="Q25" s="146" t="s">
        <v>824</v>
      </c>
      <c r="R25" s="184">
        <v>15.780959999999999</v>
      </c>
      <c r="S25" s="184">
        <v>35.6922</v>
      </c>
      <c r="T25" s="184">
        <v>25.147319999999997</v>
      </c>
      <c r="U25" s="184">
        <v>18.795999999999999</v>
      </c>
      <c r="V25" s="184">
        <v>25.857199999999999</v>
      </c>
      <c r="X25" s="135"/>
      <c r="Y25" s="135"/>
      <c r="Z25" s="135"/>
      <c r="AA25" s="135"/>
      <c r="AB25" s="135"/>
      <c r="AC25" s="135"/>
      <c r="AG25" s="47" t="s">
        <v>588</v>
      </c>
      <c r="AH25" s="58">
        <f t="shared" ref="AH25:AM25" si="47">AH10/AH$5</f>
        <v>0.44519920093046156</v>
      </c>
      <c r="AI25" s="58">
        <f t="shared" si="47"/>
        <v>0.44632157851225929</v>
      </c>
      <c r="AJ25" s="58">
        <f t="shared" si="47"/>
        <v>0.40324469673932317</v>
      </c>
      <c r="AK25" s="58">
        <f t="shared" si="47"/>
        <v>0.46003589716990545</v>
      </c>
      <c r="AL25" s="58">
        <f t="shared" si="47"/>
        <v>0.46317666920392586</v>
      </c>
      <c r="AM25" s="58">
        <f t="shared" si="47"/>
        <v>0.46445795525581479</v>
      </c>
      <c r="AO25" s="47" t="s">
        <v>574</v>
      </c>
      <c r="AP25" s="53">
        <f t="shared" ref="AP25:AU25" si="48">AP10/AP$5</f>
        <v>0.17173865304376973</v>
      </c>
      <c r="AQ25" s="53">
        <f t="shared" si="48"/>
        <v>0.16674870271565048</v>
      </c>
      <c r="AR25" s="53">
        <f t="shared" si="48"/>
        <v>0.17192740559764066</v>
      </c>
      <c r="AS25" s="53">
        <f t="shared" si="48"/>
        <v>0.17162317056079443</v>
      </c>
      <c r="AT25" s="53">
        <f t="shared" si="48"/>
        <v>0.17486992702297191</v>
      </c>
      <c r="AU25" s="53">
        <f t="shared" si="48"/>
        <v>0.17655364961576345</v>
      </c>
      <c r="AV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</row>
    <row r="26" spans="2:68" ht="29.55" customHeight="1">
      <c r="B26" s="146" t="s">
        <v>998</v>
      </c>
      <c r="C26" s="184">
        <f>(C74)/1000</f>
        <v>4.5924766506824133</v>
      </c>
      <c r="D26" s="184">
        <f>(D74)/1000</f>
        <v>2.311130185328218</v>
      </c>
      <c r="E26" s="184">
        <f>(E74)/1000</f>
        <v>0.93026654117156571</v>
      </c>
      <c r="F26" s="184">
        <f>(F74)/1000</f>
        <v>0.23401867405714288</v>
      </c>
      <c r="H26" s="151" t="s">
        <v>896</v>
      </c>
      <c r="I26" s="136">
        <f>Economy!R8</f>
        <v>3.5783425990969731E-2</v>
      </c>
      <c r="K26" s="189" t="s">
        <v>825</v>
      </c>
      <c r="L26" s="185">
        <f t="shared" ref="L26:N26" si="49">L25/L7</f>
        <v>6.4844912780578099</v>
      </c>
      <c r="M26" s="185">
        <f t="shared" si="49"/>
        <v>5.8111582503269741</v>
      </c>
      <c r="N26" s="185">
        <f t="shared" si="49"/>
        <v>5.2077424060407838</v>
      </c>
      <c r="O26" s="185">
        <f>O25/O7</f>
        <v>4.6669837232791709</v>
      </c>
      <c r="Q26" s="6"/>
      <c r="R26" s="6"/>
      <c r="S26" s="6"/>
      <c r="T26" s="6"/>
      <c r="U26" s="6"/>
      <c r="V26" s="6"/>
      <c r="AG26" s="47" t="s">
        <v>589</v>
      </c>
      <c r="AH26" s="58">
        <f t="shared" ref="AH26:AM26" si="50">AH11/AH$5</f>
        <v>0.17398074646630715</v>
      </c>
      <c r="AI26" s="58">
        <f t="shared" si="50"/>
        <v>0.17374668986620473</v>
      </c>
      <c r="AJ26" s="58">
        <f t="shared" si="50"/>
        <v>0.15112497699071606</v>
      </c>
      <c r="AK26" s="58">
        <f t="shared" si="50"/>
        <v>0.16947234530370811</v>
      </c>
      <c r="AL26" s="58">
        <f t="shared" si="50"/>
        <v>0.16862593719689184</v>
      </c>
      <c r="AM26" s="58">
        <f t="shared" si="50"/>
        <v>0.17040514518150235</v>
      </c>
      <c r="AO26" s="47" t="s">
        <v>575</v>
      </c>
      <c r="AP26" s="53">
        <f t="shared" ref="AP26:AU26" si="51">AP11/AP$5</f>
        <v>2.639821546214214E-2</v>
      </c>
      <c r="AQ26" s="53">
        <f t="shared" si="51"/>
        <v>2.4208352127306227E-2</v>
      </c>
      <c r="AR26" s="53">
        <f t="shared" si="51"/>
        <v>2.9738369571502922E-2</v>
      </c>
      <c r="AS26" s="53">
        <f t="shared" si="51"/>
        <v>2.6491831341221694E-2</v>
      </c>
      <c r="AT26" s="53">
        <f t="shared" si="51"/>
        <v>2.7147087857847977E-2</v>
      </c>
      <c r="AU26" s="53">
        <f t="shared" si="51"/>
        <v>2.6864413979000731E-2</v>
      </c>
      <c r="AV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</row>
    <row r="27" spans="2:68" ht="29.55" customHeight="1">
      <c r="B27" s="146" t="s">
        <v>999</v>
      </c>
      <c r="C27" s="184">
        <f>(C75)/1000</f>
        <v>1.3173807807554885</v>
      </c>
      <c r="D27" s="184">
        <f>(D75)/1000</f>
        <v>0.68730231808211339</v>
      </c>
      <c r="E27" s="184">
        <f>(E75)/1000</f>
        <v>0.28656943046195199</v>
      </c>
      <c r="F27" s="184">
        <f>(F75)/1000</f>
        <v>7.4645336479999991E-2</v>
      </c>
      <c r="H27" s="6"/>
      <c r="I27" s="6"/>
      <c r="K27" s="189" t="s">
        <v>827</v>
      </c>
      <c r="L27" s="247">
        <f t="shared" ref="L27:M27" si="52">M27*(1+$I$10)</f>
        <v>0.74243051392974457</v>
      </c>
      <c r="M27" s="247">
        <f t="shared" si="52"/>
        <v>0.73598218832696882</v>
      </c>
      <c r="N27" s="247">
        <f>O27*(1+$I$10)</f>
        <v>0.72958986918176616</v>
      </c>
      <c r="O27" s="247">
        <f>R17*(1+$I$10)</f>
        <v>0.72325307005417028</v>
      </c>
      <c r="Y27" s="135"/>
      <c r="Z27" s="135"/>
      <c r="AG27" s="47" t="s">
        <v>590</v>
      </c>
      <c r="AH27" s="58">
        <f t="shared" ref="AH27:AM27" si="53">AH12/AH$5</f>
        <v>0.15065127458511191</v>
      </c>
      <c r="AI27" s="58">
        <f t="shared" si="53"/>
        <v>0.15079713948160886</v>
      </c>
      <c r="AJ27" s="58">
        <f t="shared" si="53"/>
        <v>0.13309221626546791</v>
      </c>
      <c r="AK27" s="58">
        <f t="shared" si="53"/>
        <v>0.14844904163192316</v>
      </c>
      <c r="AL27" s="58">
        <f t="shared" si="53"/>
        <v>0.14644223032836062</v>
      </c>
      <c r="AM27" s="58">
        <f t="shared" si="53"/>
        <v>0.14890202078798631</v>
      </c>
      <c r="AO27" s="47" t="s">
        <v>576</v>
      </c>
      <c r="AP27" s="53">
        <f t="shared" ref="AP27:AR31" si="54">AP12/AP$5</f>
        <v>0.87547531813085844</v>
      </c>
      <c r="AQ27" s="53">
        <f t="shared" si="54"/>
        <v>0.87394174926010348</v>
      </c>
      <c r="AR27" s="53">
        <f t="shared" si="54"/>
        <v>0.8488595457699647</v>
      </c>
      <c r="AS27" s="153" t="s">
        <v>627</v>
      </c>
      <c r="AT27" s="153" t="s">
        <v>627</v>
      </c>
      <c r="AU27" s="153" t="s">
        <v>627</v>
      </c>
      <c r="AV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</row>
    <row r="28" spans="2:68" ht="29.55" customHeight="1">
      <c r="B28" s="146" t="s">
        <v>958</v>
      </c>
      <c r="C28" s="248">
        <v>1</v>
      </c>
      <c r="D28" s="248">
        <v>0.5</v>
      </c>
      <c r="E28" s="248">
        <v>0.2</v>
      </c>
      <c r="F28" s="248">
        <v>0.05</v>
      </c>
      <c r="H28" s="6"/>
      <c r="I28" s="6"/>
      <c r="K28" s="146" t="s">
        <v>993</v>
      </c>
      <c r="L28" s="184">
        <f t="shared" ref="L28:O34" si="55">L$25*L35</f>
        <v>901.08249849625167</v>
      </c>
      <c r="M28" s="184">
        <f t="shared" si="55"/>
        <v>798.71985197897493</v>
      </c>
      <c r="N28" s="184">
        <f t="shared" si="55"/>
        <v>707.98556515074665</v>
      </c>
      <c r="O28" s="184">
        <f t="shared" si="55"/>
        <v>329.93352304858348</v>
      </c>
      <c r="Y28" s="135"/>
      <c r="Z28" s="135"/>
      <c r="AG28" s="47" t="s">
        <v>591</v>
      </c>
      <c r="AH28" s="58">
        <f t="shared" ref="AH28:AM28" si="56">AH13/AH$5</f>
        <v>1.9212394565162584E-2</v>
      </c>
      <c r="AI28" s="58">
        <f t="shared" si="56"/>
        <v>1.9278185115088838E-2</v>
      </c>
      <c r="AJ28" s="58">
        <f t="shared" si="56"/>
        <v>1.7412437172574236E-2</v>
      </c>
      <c r="AK28" s="58">
        <f t="shared" si="56"/>
        <v>1.9166045079199414E-2</v>
      </c>
      <c r="AL28" s="58">
        <f t="shared" si="56"/>
        <v>1.912323483496705E-2</v>
      </c>
      <c r="AM28" s="58">
        <f t="shared" si="56"/>
        <v>1.9662987540287745E-2</v>
      </c>
      <c r="AO28" s="47" t="s">
        <v>577</v>
      </c>
      <c r="AP28" s="53">
        <f t="shared" si="54"/>
        <v>1.5148538119839884E-2</v>
      </c>
      <c r="AQ28" s="53">
        <f t="shared" si="54"/>
        <v>1.6020754262873228E-2</v>
      </c>
      <c r="AR28" s="53">
        <f t="shared" si="54"/>
        <v>1.945602989648991E-2</v>
      </c>
      <c r="AS28" s="153" t="s">
        <v>627</v>
      </c>
      <c r="AT28" s="153" t="s">
        <v>627</v>
      </c>
      <c r="AU28" s="153" t="s">
        <v>627</v>
      </c>
      <c r="AV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</row>
    <row r="29" spans="2:68" ht="29.55" customHeight="1">
      <c r="B29" s="146" t="s">
        <v>959</v>
      </c>
      <c r="C29" s="249" cm="1">
        <f t="array" ref="C29">Table1[Доля рынка по сегменту]</f>
        <v>5.7500000000000002E-2</v>
      </c>
      <c r="D29" s="249">
        <f t="shared" ref="D29:F35" si="57">$C29*D$28</f>
        <v>2.8750000000000001E-2</v>
      </c>
      <c r="E29" s="249">
        <f t="shared" si="57"/>
        <v>1.1500000000000002E-2</v>
      </c>
      <c r="F29" s="249">
        <f t="shared" si="57"/>
        <v>2.8750000000000004E-3</v>
      </c>
      <c r="H29" s="6"/>
      <c r="I29" s="6"/>
      <c r="K29" s="146" t="s">
        <v>994</v>
      </c>
      <c r="L29" s="184">
        <f t="shared" si="55"/>
        <v>599.73386591941733</v>
      </c>
      <c r="M29" s="184">
        <f t="shared" si="55"/>
        <v>534.01487025719689</v>
      </c>
      <c r="N29" s="184">
        <f t="shared" si="55"/>
        <v>475.49737952288268</v>
      </c>
      <c r="O29" s="184">
        <f t="shared" si="55"/>
        <v>391.03004569387787</v>
      </c>
      <c r="Y29" s="135"/>
      <c r="Z29" s="135"/>
      <c r="AG29" s="47" t="s">
        <v>592</v>
      </c>
      <c r="AH29" s="58">
        <f t="shared" ref="AH29:AM29" si="58">AH14/AH$5</f>
        <v>0.87568494010459463</v>
      </c>
      <c r="AI29" s="58">
        <f t="shared" si="58"/>
        <v>0.87573296200428996</v>
      </c>
      <c r="AJ29" s="58">
        <f t="shared" si="58"/>
        <v>0.77580338080831301</v>
      </c>
      <c r="AK29" s="58">
        <f t="shared" si="58"/>
        <v>0.88037743370252952</v>
      </c>
      <c r="AL29" s="58">
        <f t="shared" si="58"/>
        <v>0.88540166466941472</v>
      </c>
      <c r="AM29" s="58">
        <f t="shared" si="58"/>
        <v>0.89040303762907769</v>
      </c>
      <c r="AO29" s="47" t="s">
        <v>578</v>
      </c>
      <c r="AP29" s="53">
        <f t="shared" si="54"/>
        <v>2.8047140771219319E-3</v>
      </c>
      <c r="AQ29" s="53">
        <f t="shared" si="54"/>
        <v>2.3576074286357834E-3</v>
      </c>
      <c r="AR29" s="53">
        <f t="shared" si="54"/>
        <v>1.2062322905221766E-3</v>
      </c>
      <c r="AS29" s="153" t="s">
        <v>627</v>
      </c>
      <c r="AT29" s="153" t="s">
        <v>627</v>
      </c>
      <c r="AU29" s="153" t="s">
        <v>627</v>
      </c>
      <c r="AV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</row>
    <row r="30" spans="2:68" ht="29.55" customHeight="1">
      <c r="B30" s="146" t="s">
        <v>960</v>
      </c>
      <c r="C30" s="249" cm="1">
        <f t="array" ref="C30">Table13[Доля рынка по сегменту]</f>
        <v>6.5277777777777782E-2</v>
      </c>
      <c r="D30" s="249">
        <f t="shared" si="57"/>
        <v>3.2638888888888891E-2</v>
      </c>
      <c r="E30" s="249">
        <f t="shared" si="57"/>
        <v>1.3055555555555556E-2</v>
      </c>
      <c r="F30" s="249">
        <f t="shared" si="57"/>
        <v>3.2638888888888891E-3</v>
      </c>
      <c r="H30" s="6"/>
      <c r="I30" s="6"/>
      <c r="K30" s="146" t="s">
        <v>995</v>
      </c>
      <c r="L30" s="184">
        <f t="shared" si="55"/>
        <v>1594.7322928168001</v>
      </c>
      <c r="M30" s="184">
        <f t="shared" si="55"/>
        <v>1297.06515088522</v>
      </c>
      <c r="N30" s="184">
        <f t="shared" si="55"/>
        <v>1054.9595146589077</v>
      </c>
      <c r="O30" s="184">
        <f t="shared" si="55"/>
        <v>1055.5430493509891</v>
      </c>
      <c r="Y30" s="135"/>
      <c r="Z30" s="135"/>
      <c r="AG30" s="47" t="s">
        <v>593</v>
      </c>
      <c r="AH30" s="58">
        <f t="shared" ref="AH30:AM30" si="59">AH15/AH$5</f>
        <v>1.8411974819478344E-2</v>
      </c>
      <c r="AI30" s="58">
        <f t="shared" si="59"/>
        <v>1.8497950712209048E-2</v>
      </c>
      <c r="AJ30" s="58">
        <f t="shared" si="59"/>
        <v>1.7077327601184099E-2</v>
      </c>
      <c r="AK30" s="58">
        <f t="shared" si="59"/>
        <v>1.9448556912179893E-2</v>
      </c>
      <c r="AL30" s="58">
        <f t="shared" si="59"/>
        <v>1.9574102179717532E-2</v>
      </c>
      <c r="AM30" s="58">
        <f t="shared" si="59"/>
        <v>1.9652661592478263E-2</v>
      </c>
      <c r="AO30" s="47" t="s">
        <v>579</v>
      </c>
      <c r="AP30" s="53">
        <f t="shared" si="54"/>
        <v>9.1939143868733211E-2</v>
      </c>
      <c r="AQ30" s="53">
        <f t="shared" si="54"/>
        <v>9.3462212823806581E-2</v>
      </c>
      <c r="AR30" s="53">
        <f t="shared" si="54"/>
        <v>0.11480711125889088</v>
      </c>
      <c r="AS30" s="153" t="s">
        <v>627</v>
      </c>
      <c r="AT30" s="153" t="s">
        <v>627</v>
      </c>
      <c r="AU30" s="153" t="s">
        <v>627</v>
      </c>
      <c r="AV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</row>
    <row r="31" spans="2:68" ht="29.55" customHeight="1">
      <c r="B31" s="146" t="s">
        <v>961</v>
      </c>
      <c r="C31" s="249">
        <f>Table134[[#Totals],[Доля рынка по сегменту]]</f>
        <v>7.1184210526315794E-2</v>
      </c>
      <c r="D31" s="249">
        <f t="shared" si="57"/>
        <v>3.5592105263157897E-2</v>
      </c>
      <c r="E31" s="249">
        <f t="shared" si="57"/>
        <v>1.4236842105263159E-2</v>
      </c>
      <c r="F31" s="249">
        <f t="shared" si="57"/>
        <v>3.5592105263157897E-3</v>
      </c>
      <c r="H31" s="6"/>
      <c r="I31" s="6"/>
      <c r="K31" s="146" t="s">
        <v>996</v>
      </c>
      <c r="L31" s="184">
        <f t="shared" si="55"/>
        <v>83.732475985843024</v>
      </c>
      <c r="M31" s="184">
        <f t="shared" si="55"/>
        <v>75.116165397382503</v>
      </c>
      <c r="N31" s="184">
        <f t="shared" si="55"/>
        <v>67.386497742654996</v>
      </c>
      <c r="O31" s="184">
        <f t="shared" si="55"/>
        <v>230.66225006927016</v>
      </c>
      <c r="AG31" s="47" t="s">
        <v>594</v>
      </c>
      <c r="AH31" s="58">
        <f t="shared" ref="AH31:AM31" si="60">AH16/AH$5</f>
        <v>1.4839621747872844E-3</v>
      </c>
      <c r="AI31" s="58">
        <f t="shared" si="60"/>
        <v>1.4457786121122224E-3</v>
      </c>
      <c r="AJ31" s="58">
        <f t="shared" si="60"/>
        <v>9.3498042721862872E-4</v>
      </c>
      <c r="AK31" s="58">
        <f t="shared" si="60"/>
        <v>1.0231509626860583E-3</v>
      </c>
      <c r="AL31" s="58">
        <f t="shared" si="60"/>
        <v>1.0208463490596897E-3</v>
      </c>
      <c r="AM31" s="58">
        <f t="shared" si="60"/>
        <v>9.5925407471167433E-4</v>
      </c>
      <c r="AO31" s="47" t="s">
        <v>580</v>
      </c>
      <c r="AP31" s="53">
        <f t="shared" si="54"/>
        <v>5.2665441530572541E-3</v>
      </c>
      <c r="AQ31" s="53">
        <f t="shared" si="54"/>
        <v>5.4801224080753197E-3</v>
      </c>
      <c r="AR31" s="53">
        <f t="shared" si="54"/>
        <v>2.3311455502226334E-4</v>
      </c>
      <c r="AS31" s="153" t="s">
        <v>627</v>
      </c>
      <c r="AT31" s="153" t="s">
        <v>627</v>
      </c>
      <c r="AU31" s="153" t="s">
        <v>627</v>
      </c>
      <c r="AV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</row>
    <row r="32" spans="2:68" ht="29.55" customHeight="1">
      <c r="B32" s="146" t="s">
        <v>962</v>
      </c>
      <c r="C32" s="249">
        <f>Table4[[#Totals],[Доля рынка по сегменту]]</f>
        <v>0.34593750000000001</v>
      </c>
      <c r="D32" s="249">
        <f t="shared" si="57"/>
        <v>0.17296875</v>
      </c>
      <c r="E32" s="249">
        <f t="shared" si="57"/>
        <v>6.9187499999999999E-2</v>
      </c>
      <c r="F32" s="249">
        <f t="shared" si="57"/>
        <v>1.7296875E-2</v>
      </c>
      <c r="H32" s="6"/>
      <c r="I32" s="6"/>
      <c r="K32" s="146" t="s">
        <v>997</v>
      </c>
      <c r="L32" s="184">
        <f t="shared" si="55"/>
        <v>137.06463686545322</v>
      </c>
      <c r="M32" s="184">
        <f t="shared" si="55"/>
        <v>113.63678504237323</v>
      </c>
      <c r="N32" s="184">
        <f t="shared" si="55"/>
        <v>94.213352255422691</v>
      </c>
      <c r="O32" s="184">
        <f t="shared" si="55"/>
        <v>65.559985501572697</v>
      </c>
      <c r="AG32" s="47" t="s">
        <v>595</v>
      </c>
      <c r="AH32" s="58">
        <f t="shared" ref="AH32:AM32" si="61">AH17/AH$5</f>
        <v>8.2090703126763573E-2</v>
      </c>
      <c r="AI32" s="58">
        <f t="shared" si="61"/>
        <v>8.2254399903813724E-2</v>
      </c>
      <c r="AJ32" s="58">
        <f t="shared" si="61"/>
        <v>7.2449745363924276E-2</v>
      </c>
      <c r="AK32" s="58">
        <f t="shared" si="61"/>
        <v>7.8229185289058575E-2</v>
      </c>
      <c r="AL32" s="58">
        <f t="shared" si="61"/>
        <v>7.5558907562634392E-2</v>
      </c>
      <c r="AM32" s="58">
        <f t="shared" si="61"/>
        <v>7.3148219978696777E-2</v>
      </c>
      <c r="AO32" s="47" t="s">
        <v>581</v>
      </c>
      <c r="AP32" s="53">
        <f t="shared" ref="AP32:AU32" si="62">AP17/AP$5</f>
        <v>7.3327092073985897E-2</v>
      </c>
      <c r="AQ32" s="53">
        <f t="shared" si="62"/>
        <v>6.3663975769924039E-2</v>
      </c>
      <c r="AR32" s="53">
        <f t="shared" si="62"/>
        <v>0.17057750968600011</v>
      </c>
      <c r="AS32" s="53">
        <f t="shared" si="62"/>
        <v>0.18399753738963301</v>
      </c>
      <c r="AT32" s="53">
        <f t="shared" si="62"/>
        <v>0.15683122065666233</v>
      </c>
      <c r="AU32" s="53">
        <f t="shared" si="62"/>
        <v>0.108459862377422</v>
      </c>
      <c r="AV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</row>
    <row r="33" spans="2:67" ht="29.55" customHeight="1">
      <c r="B33" s="146" t="s">
        <v>963</v>
      </c>
      <c r="C33" s="249" cm="1">
        <f t="array" ref="C33">Table136[Доля рынка по сегменту]</f>
        <v>0.12562499999999999</v>
      </c>
      <c r="D33" s="249">
        <f t="shared" si="57"/>
        <v>6.2812499999999993E-2</v>
      </c>
      <c r="E33" s="249">
        <f t="shared" si="57"/>
        <v>2.5124999999999998E-2</v>
      </c>
      <c r="F33" s="249">
        <f t="shared" si="57"/>
        <v>6.2812499999999995E-3</v>
      </c>
      <c r="H33" s="6"/>
      <c r="I33" s="6"/>
      <c r="K33" s="146" t="s">
        <v>998</v>
      </c>
      <c r="L33" s="184">
        <f t="shared" si="55"/>
        <v>72.620626897015583</v>
      </c>
      <c r="M33" s="184">
        <f t="shared" si="55"/>
        <v>73.088105237740564</v>
      </c>
      <c r="N33" s="184">
        <f t="shared" si="55"/>
        <v>73.558592861204943</v>
      </c>
      <c r="O33" s="184">
        <f t="shared" si="55"/>
        <v>63.64021064187402</v>
      </c>
      <c r="AG33" s="47" t="s">
        <v>596</v>
      </c>
      <c r="AH33" s="58">
        <f t="shared" ref="AH33:AM33" si="63">AH18/AH$5</f>
        <v>1.8320624859045746E-3</v>
      </c>
      <c r="AI33" s="58">
        <f t="shared" si="63"/>
        <v>1.7047908524124805E-3</v>
      </c>
      <c r="AJ33" s="58">
        <f t="shared" si="63"/>
        <v>1.8250098723594389E-4</v>
      </c>
      <c r="AK33" s="58">
        <f t="shared" si="63"/>
        <v>1.2927615097242784E-4</v>
      </c>
      <c r="AL33" s="58">
        <f t="shared" si="63"/>
        <v>1.4210718602450755E-4</v>
      </c>
      <c r="AM33" s="58">
        <f t="shared" si="63"/>
        <v>1.6230271813366171E-4</v>
      </c>
      <c r="AO33" s="47" t="s">
        <v>582</v>
      </c>
      <c r="AP33" s="53">
        <f t="shared" ref="AP33:AU33" si="64">AP18/AP$5</f>
        <v>0.18700662266964091</v>
      </c>
      <c r="AQ33" s="53">
        <f t="shared" si="64"/>
        <v>0.17223168352264509</v>
      </c>
      <c r="AR33" s="53">
        <f t="shared" si="64"/>
        <v>6.5761796680737866E-2</v>
      </c>
      <c r="AS33" s="53">
        <f t="shared" si="64"/>
        <v>9.8354255510841496E-2</v>
      </c>
      <c r="AT33" s="53">
        <f t="shared" si="64"/>
        <v>0.14683517456094641</v>
      </c>
      <c r="AU33" s="53">
        <f t="shared" si="64"/>
        <v>0.18765598488309887</v>
      </c>
      <c r="AV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</row>
    <row r="34" spans="2:67" ht="29.55" customHeight="1">
      <c r="B34" s="146" t="s">
        <v>964</v>
      </c>
      <c r="C34" s="249" cm="1">
        <f t="array" ref="C34">Table1368[Доля рынка по сегменту]</f>
        <v>6.6071428571428573E-2</v>
      </c>
      <c r="D34" s="249">
        <f t="shared" si="57"/>
        <v>3.3035714285714286E-2</v>
      </c>
      <c r="E34" s="249">
        <f t="shared" si="57"/>
        <v>1.3214285714285715E-2</v>
      </c>
      <c r="F34" s="249">
        <f t="shared" si="57"/>
        <v>3.3035714285714287E-3</v>
      </c>
      <c r="H34" s="6"/>
      <c r="I34" s="6"/>
      <c r="K34" s="146" t="s">
        <v>999</v>
      </c>
      <c r="L34" s="184">
        <f t="shared" si="55"/>
        <v>11.718253966438006</v>
      </c>
      <c r="M34" s="184">
        <f t="shared" si="55"/>
        <v>12.217545727506192</v>
      </c>
      <c r="N34" s="184">
        <f t="shared" si="55"/>
        <v>12.738111328805573</v>
      </c>
      <c r="O34" s="184">
        <f t="shared" si="55"/>
        <v>13.596726974207687</v>
      </c>
      <c r="AG34" s="47" t="s">
        <v>597</v>
      </c>
      <c r="AH34" s="58">
        <f t="shared" ref="AH34:AM34" si="65">AH19/AH$5</f>
        <v>6.1541603366910599E-2</v>
      </c>
      <c r="AI34" s="58">
        <f t="shared" si="65"/>
        <v>6.1010706265623341E-2</v>
      </c>
      <c r="AJ34" s="138">
        <f t="shared" si="65"/>
        <v>7.1880665930819085E-2</v>
      </c>
      <c r="AK34" s="58">
        <f t="shared" si="65"/>
        <v>0.13608013120344511</v>
      </c>
      <c r="AL34" s="58">
        <f t="shared" si="65"/>
        <v>0.11952351202149281</v>
      </c>
      <c r="AM34" s="58">
        <f t="shared" si="65"/>
        <v>0.10621111056098227</v>
      </c>
      <c r="AO34" s="47" t="s">
        <v>583</v>
      </c>
      <c r="AP34" s="53">
        <f t="shared" ref="AP34:AU34" si="66">AP19/AP$5</f>
        <v>8.3428685906697025E-2</v>
      </c>
      <c r="AQ34" s="53">
        <f t="shared" si="66"/>
        <v>0.11543758371535835</v>
      </c>
      <c r="AR34" s="53">
        <f t="shared" si="66"/>
        <v>0.15049893743133061</v>
      </c>
      <c r="AS34" s="53">
        <f t="shared" si="66"/>
        <v>0.13250045047750617</v>
      </c>
      <c r="AT34" s="53">
        <f t="shared" si="66"/>
        <v>9.4565083621147891E-2</v>
      </c>
      <c r="AU34" s="53">
        <f t="shared" si="66"/>
        <v>5.8045318559302381E-2</v>
      </c>
      <c r="AV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</row>
    <row r="35" spans="2:67" ht="29.55" customHeight="1">
      <c r="B35" s="146" t="s">
        <v>965</v>
      </c>
      <c r="C35" s="249" cm="1">
        <f t="array" ref="C35">Table13689[Доля рынка по сегменту]</f>
        <v>7.2499999999999995E-2</v>
      </c>
      <c r="D35" s="249">
        <f t="shared" si="57"/>
        <v>3.6249999999999998E-2</v>
      </c>
      <c r="E35" s="249">
        <f t="shared" si="57"/>
        <v>1.4499999999999999E-2</v>
      </c>
      <c r="F35" s="249">
        <f t="shared" si="57"/>
        <v>3.6249999999999998E-3</v>
      </c>
      <c r="I35" s="6"/>
      <c r="K35" s="146" t="s">
        <v>885</v>
      </c>
      <c r="L35" s="252">
        <f t="shared" ref="L35:N41" si="67">M18*(1+$I18)</f>
        <v>0.27438485608873198</v>
      </c>
      <c r="M35" s="252">
        <f t="shared" si="67"/>
        <v>0.28110736727373431</v>
      </c>
      <c r="N35" s="252">
        <f t="shared" si="67"/>
        <v>0.28799458199695915</v>
      </c>
      <c r="O35" s="252">
        <f t="shared" ref="O35:O41" si="68">R19/$R$15*(1+$I18)</f>
        <v>0.15512026012737606</v>
      </c>
      <c r="AG35" s="47" t="s">
        <v>598</v>
      </c>
      <c r="AH35" s="58">
        <f t="shared" ref="AH35:AM35" si="69">AH20/AH$5</f>
        <v>0.1213218191595677</v>
      </c>
      <c r="AI35" s="58">
        <f t="shared" si="69"/>
        <v>0.11716711810830251</v>
      </c>
      <c r="AJ35" s="138">
        <f t="shared" si="69"/>
        <v>5.6249860932899194E-2</v>
      </c>
      <c r="AK35" s="58">
        <f t="shared" si="69"/>
        <v>0.13025717528713918</v>
      </c>
      <c r="AL35" s="58">
        <f t="shared" si="69"/>
        <v>0.1475124266274761</v>
      </c>
      <c r="AM35" s="58">
        <f t="shared" si="69"/>
        <v>0.15701742146256195</v>
      </c>
      <c r="AO35" s="47" t="s">
        <v>584</v>
      </c>
      <c r="AP35" s="53">
        <f t="shared" ref="AP35:AU35" si="70">AP20/AP$5</f>
        <v>0.65623759934967618</v>
      </c>
      <c r="AQ35" s="53">
        <f t="shared" si="70"/>
        <v>0.64866675699207255</v>
      </c>
      <c r="AR35" s="53">
        <f t="shared" si="70"/>
        <v>0.61316175620193136</v>
      </c>
      <c r="AS35" s="53">
        <f t="shared" si="70"/>
        <v>0.58514775662201934</v>
      </c>
      <c r="AT35" s="53">
        <f t="shared" si="70"/>
        <v>0.60176590268158503</v>
      </c>
      <c r="AU35" s="53">
        <f t="shared" si="70"/>
        <v>0.6366559596270368</v>
      </c>
      <c r="AV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</row>
    <row r="36" spans="2:67" ht="29.55" customHeight="1">
      <c r="B36" s="146" t="s">
        <v>1007</v>
      </c>
      <c r="C36" s="249" cm="1">
        <f t="array" ref="C36">Table1[Доля рынка по сегменту]</f>
        <v>5.7500000000000002E-2</v>
      </c>
      <c r="D36" s="249">
        <f t="shared" ref="D36:F48" si="71">$C36*D$28</f>
        <v>2.8750000000000001E-2</v>
      </c>
      <c r="E36" s="249">
        <f t="shared" si="71"/>
        <v>1.1500000000000002E-2</v>
      </c>
      <c r="F36" s="249">
        <f t="shared" si="71"/>
        <v>2.8750000000000004E-3</v>
      </c>
      <c r="H36" s="6"/>
      <c r="I36" s="6"/>
      <c r="K36" s="146" t="s">
        <v>886</v>
      </c>
      <c r="L36" s="252">
        <f t="shared" si="67"/>
        <v>0.18262244663108693</v>
      </c>
      <c r="M36" s="252">
        <f t="shared" si="67"/>
        <v>0.18794513982729577</v>
      </c>
      <c r="N36" s="252">
        <f t="shared" si="67"/>
        <v>0.19342296763802547</v>
      </c>
      <c r="O36" s="252">
        <f t="shared" si="68"/>
        <v>0.18384516324739225</v>
      </c>
      <c r="AG36" s="47" t="s">
        <v>599</v>
      </c>
      <c r="AH36" s="58">
        <f t="shared" ref="AH36:AM36" si="72">AH21/AH$5</f>
        <v>0.12941167038993354</v>
      </c>
      <c r="AI36" s="58">
        <f t="shared" si="72"/>
        <v>0.13218599082734264</v>
      </c>
      <c r="AJ36" s="138">
        <f t="shared" si="72"/>
        <v>0.12855441462471212</v>
      </c>
      <c r="AK36" s="58">
        <f t="shared" si="72"/>
        <v>8.3552940426864064E-2</v>
      </c>
      <c r="AL36" s="58">
        <f t="shared" si="72"/>
        <v>6.932867015061811E-2</v>
      </c>
      <c r="AM36" s="58">
        <f t="shared" si="72"/>
        <v>6.3585598003438271E-2</v>
      </c>
      <c r="AV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</row>
    <row r="37" spans="2:67" ht="29.55" customHeight="1">
      <c r="B37" s="146" t="s">
        <v>1008</v>
      </c>
      <c r="C37" s="249" cm="1">
        <f t="array" ref="C37">Table13[Доля рынка по сегменту]</f>
        <v>6.5277777777777782E-2</v>
      </c>
      <c r="D37" s="249">
        <f t="shared" si="71"/>
        <v>3.2638888888888891E-2</v>
      </c>
      <c r="E37" s="249">
        <f t="shared" si="71"/>
        <v>1.3055555555555556E-2</v>
      </c>
      <c r="F37" s="249">
        <f t="shared" si="71"/>
        <v>3.2638888888888891E-3</v>
      </c>
      <c r="H37" s="6"/>
      <c r="I37" s="6"/>
      <c r="K37" s="146" t="s">
        <v>887</v>
      </c>
      <c r="L37" s="252">
        <f t="shared" si="67"/>
        <v>0.48560524857026893</v>
      </c>
      <c r="M37" s="252">
        <f t="shared" si="67"/>
        <v>0.45649869456036896</v>
      </c>
      <c r="N37" s="252">
        <f t="shared" si="67"/>
        <v>0.42913674996073697</v>
      </c>
      <c r="O37" s="252">
        <f t="shared" si="68"/>
        <v>0.49627000881283184</v>
      </c>
      <c r="AG37" s="47" t="s">
        <v>600</v>
      </c>
      <c r="AH37" s="58">
        <f t="shared" ref="AH37:AM37" si="73">AH22/AH$5</f>
        <v>0.68645529031249497</v>
      </c>
      <c r="AI37" s="58">
        <f t="shared" si="73"/>
        <v>0.68834517399440365</v>
      </c>
      <c r="AJ37" s="138">
        <f t="shared" si="73"/>
        <v>0.62058539214450126</v>
      </c>
      <c r="AK37" s="58">
        <f t="shared" si="73"/>
        <v>0.63373723134717597</v>
      </c>
      <c r="AL37" s="58">
        <f t="shared" si="73"/>
        <v>0.64475503046519689</v>
      </c>
      <c r="AM37" s="58">
        <f t="shared" si="73"/>
        <v>0.65106610115775054</v>
      </c>
      <c r="AV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</row>
    <row r="38" spans="2:67" ht="29.55" customHeight="1">
      <c r="B38" s="146" t="s">
        <v>1009</v>
      </c>
      <c r="C38" s="249">
        <f>'SOM (доля рынка по сегментам)'!F14</f>
        <v>1.9078947368421049E-2</v>
      </c>
      <c r="D38" s="249">
        <f t="shared" si="71"/>
        <v>9.5394736842105247E-3</v>
      </c>
      <c r="E38" s="249">
        <f t="shared" si="71"/>
        <v>3.8157894736842099E-3</v>
      </c>
      <c r="F38" s="249">
        <f t="shared" si="71"/>
        <v>9.5394736842105247E-4</v>
      </c>
      <c r="H38" s="6"/>
      <c r="I38" s="6"/>
      <c r="K38" s="146" t="s">
        <v>888</v>
      </c>
      <c r="L38" s="252">
        <f t="shared" si="67"/>
        <v>2.5497025424053684E-2</v>
      </c>
      <c r="M38" s="252">
        <f t="shared" si="67"/>
        <v>2.6436938361101881E-2</v>
      </c>
      <c r="N38" s="252">
        <f t="shared" si="67"/>
        <v>2.7411499901841593E-2</v>
      </c>
      <c r="O38" s="252">
        <f t="shared" si="68"/>
        <v>0.10844726507843311</v>
      </c>
      <c r="AH38" s="135"/>
      <c r="AV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</row>
    <row r="39" spans="2:67" ht="29.55" customHeight="1">
      <c r="B39" s="146" t="s">
        <v>1010</v>
      </c>
      <c r="C39" s="249">
        <f>'SOM (доля рынка по сегментам)'!F15</f>
        <v>2.013157894736842E-2</v>
      </c>
      <c r="D39" s="249">
        <f t="shared" si="71"/>
        <v>1.006578947368421E-2</v>
      </c>
      <c r="E39" s="249">
        <f t="shared" si="71"/>
        <v>4.0263157894736843E-3</v>
      </c>
      <c r="F39" s="249">
        <f t="shared" si="71"/>
        <v>1.0065789473684211E-3</v>
      </c>
      <c r="H39" s="6"/>
      <c r="I39" s="6"/>
      <c r="K39" s="146" t="s">
        <v>889</v>
      </c>
      <c r="L39" s="252">
        <f t="shared" si="67"/>
        <v>4.1736978272182181E-2</v>
      </c>
      <c r="M39" s="252">
        <f t="shared" si="67"/>
        <v>3.9994169907715892E-2</v>
      </c>
      <c r="N39" s="252">
        <f t="shared" si="67"/>
        <v>3.8324135882001342E-2</v>
      </c>
      <c r="O39" s="252">
        <f t="shared" si="68"/>
        <v>3.0823427431632796E-2</v>
      </c>
      <c r="AH39" s="135"/>
      <c r="AJ39" s="137"/>
    </row>
    <row r="40" spans="2:67" ht="29.55" customHeight="1">
      <c r="B40" s="146" t="s">
        <v>1011</v>
      </c>
      <c r="C40" s="249">
        <f>'SOM (доля рынка по сегментам)'!F16</f>
        <v>3.1973684210526314E-2</v>
      </c>
      <c r="D40" s="249">
        <f t="shared" si="71"/>
        <v>1.5986842105263157E-2</v>
      </c>
      <c r="E40" s="249">
        <f t="shared" si="71"/>
        <v>6.3947368421052629E-3</v>
      </c>
      <c r="F40" s="249">
        <f t="shared" si="71"/>
        <v>1.5986842105263157E-3</v>
      </c>
      <c r="H40" s="6"/>
      <c r="I40" s="6"/>
      <c r="K40" s="146" t="s">
        <v>890</v>
      </c>
      <c r="L40" s="252">
        <f t="shared" si="67"/>
        <v>2.2113402816572415E-2</v>
      </c>
      <c r="M40" s="252">
        <f t="shared" si="67"/>
        <v>2.5723167881080429E-2</v>
      </c>
      <c r="N40" s="252">
        <f t="shared" si="67"/>
        <v>2.9922186618079636E-2</v>
      </c>
      <c r="O40" s="252">
        <f t="shared" si="68"/>
        <v>2.9920833560992365E-2</v>
      </c>
      <c r="AH40" s="135"/>
      <c r="AJ40" s="137"/>
    </row>
    <row r="41" spans="2:67" ht="29.55" customHeight="1">
      <c r="B41" s="146" t="s">
        <v>1012</v>
      </c>
      <c r="C41" s="249">
        <f>'SOM (доля рынка по сегментам)'!F22</f>
        <v>6.4687499999999995E-2</v>
      </c>
      <c r="D41" s="249">
        <f t="shared" si="71"/>
        <v>3.2343749999999998E-2</v>
      </c>
      <c r="E41" s="249">
        <f t="shared" si="71"/>
        <v>1.2937499999999999E-2</v>
      </c>
      <c r="F41" s="249">
        <f t="shared" si="71"/>
        <v>3.2343749999999998E-3</v>
      </c>
      <c r="H41" s="6"/>
      <c r="I41" s="6"/>
      <c r="K41" s="146" t="s">
        <v>891</v>
      </c>
      <c r="L41" s="252">
        <f t="shared" si="67"/>
        <v>3.5682764159309438E-3</v>
      </c>
      <c r="M41" s="252">
        <f t="shared" si="67"/>
        <v>4.2999333314381336E-3</v>
      </c>
      <c r="N41" s="252">
        <f t="shared" si="67"/>
        <v>5.1816127731205653E-3</v>
      </c>
      <c r="O41" s="252">
        <f t="shared" si="68"/>
        <v>6.3925841958455167E-3</v>
      </c>
      <c r="AH41" s="135"/>
      <c r="AJ41" s="137"/>
    </row>
    <row r="42" spans="2:67" ht="29.55" customHeight="1">
      <c r="B42" s="146" t="s">
        <v>1013</v>
      </c>
      <c r="C42" s="249">
        <f>'SOM (доля рынка по сегментам)'!F23</f>
        <v>6.6562499999999997E-2</v>
      </c>
      <c r="D42" s="249">
        <f t="shared" si="71"/>
        <v>3.3281249999999998E-2</v>
      </c>
      <c r="E42" s="249">
        <f t="shared" si="71"/>
        <v>1.33125E-2</v>
      </c>
      <c r="F42" s="249">
        <f t="shared" si="71"/>
        <v>3.3281249999999999E-3</v>
      </c>
      <c r="AJ42" s="137"/>
    </row>
    <row r="43" spans="2:67" ht="29.55" customHeight="1">
      <c r="B43" s="146" t="s">
        <v>1014</v>
      </c>
      <c r="C43" s="249">
        <f>'SOM (доля рынка по сегментам)'!F24</f>
        <v>6.9062499999999999E-2</v>
      </c>
      <c r="D43" s="249">
        <f t="shared" si="71"/>
        <v>3.4531249999999999E-2</v>
      </c>
      <c r="E43" s="249">
        <f t="shared" si="71"/>
        <v>1.38125E-2</v>
      </c>
      <c r="F43" s="249">
        <f t="shared" si="71"/>
        <v>3.453125E-3</v>
      </c>
    </row>
    <row r="44" spans="2:67" ht="29.55" customHeight="1">
      <c r="B44" s="146" t="s">
        <v>1015</v>
      </c>
      <c r="C44" s="249">
        <f>'SOM (доля рынка по сегментам)'!F25</f>
        <v>7.6562500000000006E-2</v>
      </c>
      <c r="D44" s="249">
        <f t="shared" si="71"/>
        <v>3.8281250000000003E-2</v>
      </c>
      <c r="E44" s="249">
        <f t="shared" si="71"/>
        <v>1.5312500000000001E-2</v>
      </c>
      <c r="F44" s="249">
        <f t="shared" si="71"/>
        <v>3.8281250000000004E-3</v>
      </c>
      <c r="AG44" s="135"/>
      <c r="AH44" s="135"/>
      <c r="AI44" s="135"/>
      <c r="AJ44" s="135"/>
      <c r="AK44" s="135"/>
    </row>
    <row r="45" spans="2:67" ht="29.55" customHeight="1">
      <c r="B45" s="146" t="s">
        <v>1016</v>
      </c>
      <c r="C45" s="249">
        <f>'SOM (доля рынка по сегментам)'!F26</f>
        <v>6.9062499999999999E-2</v>
      </c>
      <c r="D45" s="249">
        <f t="shared" si="71"/>
        <v>3.4531249999999999E-2</v>
      </c>
      <c r="E45" s="249">
        <f t="shared" si="71"/>
        <v>1.38125E-2</v>
      </c>
      <c r="F45" s="249">
        <f t="shared" si="71"/>
        <v>3.453125E-3</v>
      </c>
    </row>
    <row r="46" spans="2:67" ht="29.55" customHeight="1">
      <c r="B46" s="146" t="s">
        <v>1017</v>
      </c>
      <c r="C46" s="249" cm="1">
        <f t="array" ref="C46">Table136[Доля рынка по сегменту]</f>
        <v>0.12562499999999999</v>
      </c>
      <c r="D46" s="249">
        <f t="shared" si="71"/>
        <v>6.2812499999999993E-2</v>
      </c>
      <c r="E46" s="249">
        <f t="shared" si="71"/>
        <v>2.5124999999999998E-2</v>
      </c>
      <c r="F46" s="249">
        <f t="shared" si="71"/>
        <v>6.2812499999999995E-3</v>
      </c>
      <c r="AH46" s="135"/>
    </row>
    <row r="47" spans="2:67" ht="29.55" customHeight="1">
      <c r="B47" s="146" t="s">
        <v>1018</v>
      </c>
      <c r="C47" s="249" cm="1">
        <f t="array" ref="C47">Table1368[Доля рынка по сегменту]</f>
        <v>6.6071428571428573E-2</v>
      </c>
      <c r="D47" s="249">
        <f t="shared" si="71"/>
        <v>3.3035714285714286E-2</v>
      </c>
      <c r="E47" s="249">
        <f t="shared" si="71"/>
        <v>1.3214285714285715E-2</v>
      </c>
      <c r="F47" s="249">
        <f t="shared" si="71"/>
        <v>3.3035714285714287E-3</v>
      </c>
      <c r="AH47" s="135"/>
    </row>
    <row r="48" spans="2:67" ht="29.55" customHeight="1">
      <c r="B48" s="146" t="s">
        <v>1019</v>
      </c>
      <c r="C48" s="249" cm="1">
        <f t="array" ref="C48">Table13689[Доля рынка по сегменту]</f>
        <v>7.2499999999999995E-2</v>
      </c>
      <c r="D48" s="249">
        <f t="shared" si="71"/>
        <v>3.6249999999999998E-2</v>
      </c>
      <c r="E48" s="249">
        <f t="shared" si="71"/>
        <v>1.4499999999999999E-2</v>
      </c>
      <c r="F48" s="249">
        <f t="shared" si="71"/>
        <v>3.6249999999999998E-3</v>
      </c>
      <c r="AH48" s="135"/>
    </row>
    <row r="49" spans="2:34" ht="29.55" customHeight="1">
      <c r="B49" s="146" t="s">
        <v>979</v>
      </c>
      <c r="C49" s="253">
        <f>D49*(1+Market_Size!$I$25)</f>
        <v>14.31986102139355</v>
      </c>
      <c r="D49" s="253">
        <f>E49*(1+Market_Size!$I$25)</f>
        <v>13.123039792332799</v>
      </c>
      <c r="E49" s="253">
        <f>F49*(1+Market_Size!$I$25)</f>
        <v>12.026246144</v>
      </c>
      <c r="F49" s="253">
        <f>SAM_Segmentation!C10*(1+Market_Size!$I$25)</f>
        <v>11.02112</v>
      </c>
      <c r="AH49" s="135"/>
    </row>
    <row r="50" spans="2:34" ht="29.55" customHeight="1">
      <c r="B50" s="146" t="s">
        <v>980</v>
      </c>
      <c r="C50" s="253">
        <f>D50*(1+Market_Size!$I$25)</f>
        <v>18.006161878385949</v>
      </c>
      <c r="D50" s="253">
        <f>E50*(1+Market_Size!$I$25)</f>
        <v>16.501248055705599</v>
      </c>
      <c r="E50" s="253">
        <f>F50*(1+Market_Size!$I$25)</f>
        <v>15.122111487999998</v>
      </c>
      <c r="F50" s="253">
        <f>SAM_Segmentation!I12*(1+Market_Size!$I$25)</f>
        <v>13.858239999999999</v>
      </c>
    </row>
    <row r="51" spans="2:34" ht="29.55" customHeight="1">
      <c r="B51" s="146" t="s">
        <v>981</v>
      </c>
      <c r="C51" s="253">
        <f>D51*(1+Market_Size!$I$25)</f>
        <v>23.311748114922619</v>
      </c>
      <c r="D51" s="253">
        <f>E51*(1+Market_Size!$I$25)</f>
        <v>21.363405530537591</v>
      </c>
      <c r="E51" s="253">
        <f>F51*(1+Market_Size!$I$25)</f>
        <v>19.577900962736063</v>
      </c>
      <c r="F51" s="253">
        <f>SAM_Segmentation!O4*(1+Market_Size!$I$25)</f>
        <v>17.941624782566041</v>
      </c>
    </row>
    <row r="52" spans="2:34" ht="29.55" customHeight="1">
      <c r="B52" s="146" t="s">
        <v>982</v>
      </c>
      <c r="C52" s="253">
        <f>D52*(1+Market_Size!$I$25)</f>
        <v>21.421885841720407</v>
      </c>
      <c r="D52" s="253">
        <f>E52*(1+Market_Size!$I$25)</f>
        <v>19.6314936232775</v>
      </c>
      <c r="E52" s="253">
        <f>F52*(1+Market_Size!$I$25)</f>
        <v>17.990738291126743</v>
      </c>
      <c r="F52" s="253">
        <f>SAM_Segmentation!O5*(1+Market_Size!$I$25)</f>
        <v>16.487113536589757</v>
      </c>
    </row>
    <row r="53" spans="2:34" ht="29.55" customHeight="1">
      <c r="B53" s="146" t="s">
        <v>983</v>
      </c>
      <c r="C53" s="253">
        <f>D53*(1+Market_Size!$I$25)</f>
        <v>20.825087229130236</v>
      </c>
      <c r="D53" s="253">
        <f>E53*(1+Market_Size!$I$25)</f>
        <v>19.08457407361642</v>
      </c>
      <c r="E53" s="253">
        <f>F53*(1+Market_Size!$I$25)</f>
        <v>17.489529026408011</v>
      </c>
      <c r="F53" s="253">
        <f>SAM_Segmentation!O6*(1+Market_Size!$I$25)</f>
        <v>16.027794195755142</v>
      </c>
    </row>
    <row r="54" spans="2:34" ht="29.55" customHeight="1">
      <c r="B54" s="146" t="s">
        <v>984</v>
      </c>
      <c r="C54" s="253">
        <f>D54*(1+Market_Size!$I$25)</f>
        <v>14.334902317212144</v>
      </c>
      <c r="D54" s="253">
        <f>E54*(1+Market_Size!$I$25)</f>
        <v>13.136823971052186</v>
      </c>
      <c r="E54" s="253">
        <f>F54*(1+Market_Size!$I$25)</f>
        <v>12.038878272591813</v>
      </c>
      <c r="F54" s="253">
        <f>SAM_Segmentation!O7*(1+Market_Size!$I$25)</f>
        <v>11.032696364178715</v>
      </c>
    </row>
    <row r="55" spans="2:34" ht="29.55" customHeight="1">
      <c r="B55" s="146" t="s">
        <v>985</v>
      </c>
      <c r="C55" s="253">
        <f>D55*(1+Market_Size!$I$25)</f>
        <v>55.57807445927002</v>
      </c>
      <c r="D55" s="253">
        <f>E55*(1+Market_Size!$I$25)</f>
        <v>50.932986124697599</v>
      </c>
      <c r="E55" s="253">
        <f>F55*(1+Market_Size!$I$25)</f>
        <v>46.676123648000001</v>
      </c>
      <c r="F55" s="253">
        <f>SAM_Segmentation!U4*(1+Market_Size!$I$25)</f>
        <v>42.775040000000004</v>
      </c>
    </row>
    <row r="56" spans="2:34" ht="29.55" customHeight="1">
      <c r="B56" s="146" t="s">
        <v>986</v>
      </c>
      <c r="C56" s="253">
        <f>D56*(1+Market_Size!$I$25)</f>
        <v>33.176707712931588</v>
      </c>
      <c r="D56" s="253">
        <f>E56*(1+Market_Size!$I$25)</f>
        <v>30.403874370355194</v>
      </c>
      <c r="E56" s="253">
        <f>F56*(1+Market_Size!$I$25)</f>
        <v>27.862788095999996</v>
      </c>
      <c r="F56" s="253">
        <f>SAM_Segmentation!U5*(1+Market_Size!$I$25)</f>
        <v>25.534079999999996</v>
      </c>
    </row>
    <row r="57" spans="2:34" ht="29.55" customHeight="1">
      <c r="B57" s="146" t="s">
        <v>987</v>
      </c>
      <c r="C57" s="253">
        <f>D57*(1+Market_Size!$I$25)</f>
        <v>30.766434075667327</v>
      </c>
      <c r="D57" s="253">
        <f>E57*(1+Market_Size!$I$25)</f>
        <v>28.195045890457596</v>
      </c>
      <c r="E57" s="253">
        <f>F57*(1+Market_Size!$I$25)</f>
        <v>25.838568447999997</v>
      </c>
      <c r="F57" s="253">
        <f>SAM_Segmentation!U6*(1+Market_Size!$I$25)</f>
        <v>23.679039999999997</v>
      </c>
    </row>
    <row r="58" spans="2:34" ht="29.55" customHeight="1">
      <c r="B58" s="146" t="s">
        <v>988</v>
      </c>
      <c r="C58" s="253">
        <f>D58*(1+Market_Size!$I$25)</f>
        <v>30.766434075667327</v>
      </c>
      <c r="D58" s="253">
        <f>E58*(1+Market_Size!$I$25)</f>
        <v>28.195045890457596</v>
      </c>
      <c r="E58" s="253">
        <f>F58*(1+Market_Size!$I$25)</f>
        <v>25.838568447999997</v>
      </c>
      <c r="F58" s="253">
        <f>SAM_Segmentation!U7*(1+Market_Size!$I$25)</f>
        <v>23.679039999999997</v>
      </c>
    </row>
    <row r="59" spans="2:34" ht="29.55" customHeight="1">
      <c r="B59" s="146" t="s">
        <v>989</v>
      </c>
      <c r="C59" s="253">
        <f>D59*(1+Market_Size!$I$25)</f>
        <v>27.64725642744299</v>
      </c>
      <c r="D59" s="253">
        <f>E59*(1+Market_Size!$I$25)</f>
        <v>25.336561975295997</v>
      </c>
      <c r="E59" s="253">
        <f>F59*(1+Market_Size!$I$25)</f>
        <v>23.218990079999998</v>
      </c>
      <c r="F59" s="253">
        <f>SAM_Segmentation!U8*(1+Market_Size!$I$25)</f>
        <v>21.278399999999998</v>
      </c>
    </row>
    <row r="60" spans="2:34" ht="29.55" customHeight="1">
      <c r="B60" s="146" t="s">
        <v>990</v>
      </c>
      <c r="C60" s="253">
        <f>D60*(1+Market_Size!$I$25)</f>
        <v>18.006161878385949</v>
      </c>
      <c r="D60" s="253">
        <f>E60*(1+Market_Size!$I$25)</f>
        <v>16.501248055705599</v>
      </c>
      <c r="E60" s="253">
        <f>F60*(1+Market_Size!$I$25)</f>
        <v>15.122111487999998</v>
      </c>
      <c r="F60" s="253">
        <f>SAM_Segmentation!AA4*(1+Market_Size!$I$25)</f>
        <v>13.858239999999999</v>
      </c>
    </row>
    <row r="61" spans="2:34" ht="29.55" customHeight="1">
      <c r="B61" s="146" t="s">
        <v>991</v>
      </c>
      <c r="C61" s="253">
        <f>D61*(1+Market_Size!$I$25)</f>
        <v>18.715065889346022</v>
      </c>
      <c r="D61" s="253">
        <f>E61*(1+Market_Size!$I$25)</f>
        <v>17.150903490969597</v>
      </c>
      <c r="E61" s="253">
        <f>F61*(1+Market_Size!$I$25)</f>
        <v>15.717470207999998</v>
      </c>
      <c r="F61" s="253">
        <f>SAM_Segmentation!AG4*(1+Market_Size!$I$25)</f>
        <v>14.403839999999999</v>
      </c>
    </row>
    <row r="62" spans="2:34" ht="29.55" customHeight="1">
      <c r="B62" s="146" t="s">
        <v>992</v>
      </c>
      <c r="C62" s="253">
        <f>D62*(1+Market_Size!$I$25)</f>
        <v>27.080133218674931</v>
      </c>
      <c r="D62" s="253">
        <f>E62*(1+Market_Size!$I$25)</f>
        <v>24.816837627084798</v>
      </c>
      <c r="E62" s="253">
        <f>F62*(1+Market_Size!$I$25)</f>
        <v>22.742703104</v>
      </c>
      <c r="F62" s="253">
        <f>SAM_Segmentation!AM4*(1+Market_Size!$I$25)</f>
        <v>20.841920000000002</v>
      </c>
    </row>
    <row r="63" spans="2:34" ht="29.55" customHeight="1">
      <c r="B63" s="146" t="s">
        <v>966</v>
      </c>
      <c r="C63" s="254">
        <f>L11*C36*C49</f>
        <v>38016.832435078788</v>
      </c>
      <c r="D63" s="254">
        <f>M11*D36*D49</f>
        <v>16847.39129299633</v>
      </c>
      <c r="E63" s="254">
        <f>N11*E36*E49</f>
        <v>5972.7028587100167</v>
      </c>
      <c r="F63" s="254">
        <f>O11*F36*F49</f>
        <v>1323.4174672400002</v>
      </c>
    </row>
    <row r="64" spans="2:34" ht="29.55" customHeight="1">
      <c r="B64" s="146" t="s">
        <v>967</v>
      </c>
      <c r="C64" s="254">
        <f>L12*C37*C50</f>
        <v>37233.216557800959</v>
      </c>
      <c r="D64" s="254">
        <f>M12*D37*D50</f>
        <v>16574.873415954149</v>
      </c>
      <c r="E64" s="254">
        <f>N12*E37*E50</f>
        <v>5902.6893876684799</v>
      </c>
      <c r="F64" s="254">
        <f>O12*F37*F50</f>
        <v>1313.8468036222221</v>
      </c>
    </row>
    <row r="65" spans="2:6" ht="29.55" customHeight="1">
      <c r="B65" s="146" t="s">
        <v>968</v>
      </c>
      <c r="C65" s="254">
        <f>L$13*C38*C51</f>
        <v>36008.95182600696</v>
      </c>
      <c r="D65" s="254">
        <f>M$13*D38*D51</f>
        <v>14642.309492165747</v>
      </c>
      <c r="E65" s="254">
        <f>N$13*E38*E51</f>
        <v>4763.2002626496687</v>
      </c>
      <c r="F65" s="254">
        <f>O$13*F38*F51</f>
        <v>968.42162466998013</v>
      </c>
    </row>
    <row r="66" spans="2:6" ht="29.55" customHeight="1">
      <c r="B66" s="146" t="s">
        <v>969</v>
      </c>
      <c r="C66" s="254">
        <f>L$13*C39*C52</f>
        <v>34915.379525283846</v>
      </c>
      <c r="D66" s="254">
        <f>M$13*D39*D52</f>
        <v>14197.63050910013</v>
      </c>
      <c r="E66" s="254">
        <f>N$13*E39*E52</f>
        <v>4618.5444588595492</v>
      </c>
      <c r="F66" s="254">
        <f>O$13*F39*F52</f>
        <v>939.01118614131713</v>
      </c>
    </row>
    <row r="67" spans="2:6" ht="29.55" customHeight="1">
      <c r="B67" s="146" t="s">
        <v>970</v>
      </c>
      <c r="C67" s="254">
        <f>L13*C40*C54</f>
        <v>37108.093923906512</v>
      </c>
      <c r="D67" s="254">
        <f>M13*D40*D54</f>
        <v>15089.253320219357</v>
      </c>
      <c r="E67" s="254">
        <f>N13*E40*E54</f>
        <v>4908.5928293286925</v>
      </c>
      <c r="F67" s="254">
        <f>O13*F40*F54</f>
        <v>997.98185684042301</v>
      </c>
    </row>
    <row r="68" spans="2:6" ht="29.55" customHeight="1">
      <c r="B68" s="146" t="s">
        <v>971</v>
      </c>
      <c r="C68" s="254">
        <f>L$14*C41*C55</f>
        <v>15671.505968614783</v>
      </c>
      <c r="D68" s="254">
        <f t="shared" ref="D68:F68" si="74">M$14*D41*D55</f>
        <v>7027.6538426949537</v>
      </c>
      <c r="E68" s="254">
        <f t="shared" si="74"/>
        <v>2521.7709323304957</v>
      </c>
      <c r="F68" s="254">
        <f t="shared" si="74"/>
        <v>565.57692576000011</v>
      </c>
    </row>
    <row r="69" spans="2:6" ht="29.55" customHeight="1">
      <c r="B69" s="146" t="s">
        <v>972</v>
      </c>
      <c r="C69" s="254">
        <f t="shared" ref="C69:C71" si="75">L$14*C42*C56</f>
        <v>9626.0869625320174</v>
      </c>
      <c r="D69" s="254">
        <f t="shared" ref="D69:D71" si="76">M$14*D42*D56</f>
        <v>4316.675574627845</v>
      </c>
      <c r="E69" s="254">
        <f t="shared" ref="E69:E71" si="77">N$14*E42*E56</f>
        <v>1548.9759786209277</v>
      </c>
      <c r="F69" s="254">
        <f t="shared" ref="F69:F71" si="78">O$14*F42*F56</f>
        <v>347.40073367999997</v>
      </c>
    </row>
    <row r="70" spans="2:6" ht="29.55" customHeight="1">
      <c r="B70" s="146" t="s">
        <v>973</v>
      </c>
      <c r="C70" s="254">
        <f t="shared" si="75"/>
        <v>9262.0330737560271</v>
      </c>
      <c r="D70" s="254">
        <f t="shared" si="76"/>
        <v>4153.4210210751498</v>
      </c>
      <c r="E70" s="254">
        <f t="shared" si="77"/>
        <v>1490.3944666490877</v>
      </c>
      <c r="F70" s="254">
        <f t="shared" si="78"/>
        <v>334.26220827999992</v>
      </c>
    </row>
    <row r="71" spans="2:6" ht="29.55" customHeight="1">
      <c r="B71" s="146" t="s">
        <v>974</v>
      </c>
      <c r="C71" s="254">
        <f t="shared" si="75"/>
        <v>10267.864719774783</v>
      </c>
      <c r="D71" s="254">
        <f t="shared" si="76"/>
        <v>4604.471267707745</v>
      </c>
      <c r="E71" s="254">
        <f t="shared" si="77"/>
        <v>1652.2472594073599</v>
      </c>
      <c r="F71" s="254">
        <f t="shared" si="78"/>
        <v>370.56217659999999</v>
      </c>
    </row>
    <row r="72" spans="2:6" ht="29.55" customHeight="1">
      <c r="B72" s="146" t="s">
        <v>975</v>
      </c>
      <c r="C72" s="254">
        <f>L14*C45*C59</f>
        <v>8323.0251123614071</v>
      </c>
      <c r="D72" s="254">
        <f>M14*D45*D59</f>
        <v>3732.3368622564708</v>
      </c>
      <c r="E72" s="254">
        <f>N14*E45*E59</f>
        <v>1339.2945668044797</v>
      </c>
      <c r="F72" s="254">
        <f>O14*F45*F59</f>
        <v>300.37387379999996</v>
      </c>
    </row>
    <row r="73" spans="2:6" ht="29.55" customHeight="1">
      <c r="B73" s="146" t="s">
        <v>976</v>
      </c>
      <c r="C73" s="254">
        <f>L15*C46*C60</f>
        <v>16334.075924805507</v>
      </c>
      <c r="D73" s="254">
        <f>M15*D46*D60</f>
        <v>6770.3176913355182</v>
      </c>
      <c r="E73" s="254">
        <f>N15*E46*E60</f>
        <v>2245.0834891626232</v>
      </c>
      <c r="F73" s="254">
        <f>O15*F46*F60</f>
        <v>465.26658914999996</v>
      </c>
    </row>
    <row r="74" spans="2:6" ht="29.55" customHeight="1">
      <c r="B74" s="146" t="s">
        <v>977</v>
      </c>
      <c r="C74" s="254">
        <f>L16*C47*C61</f>
        <v>4592.4766506824135</v>
      </c>
      <c r="D74" s="254">
        <f>M16*D47*D61</f>
        <v>2311.130185328218</v>
      </c>
      <c r="E74" s="254">
        <f>N16*E47*E61</f>
        <v>930.26654117156568</v>
      </c>
      <c r="F74" s="254">
        <f>O16*F47*F61</f>
        <v>234.01867405714287</v>
      </c>
    </row>
    <row r="75" spans="2:6" ht="29.55" customHeight="1">
      <c r="B75" s="146" t="s">
        <v>978</v>
      </c>
      <c r="C75" s="254">
        <f>L17*C48*C62</f>
        <v>1317.3807807554886</v>
      </c>
      <c r="D75" s="254">
        <f>M17*D48*D62</f>
        <v>687.3023180821134</v>
      </c>
      <c r="E75" s="254">
        <f>N17*E48*E62</f>
        <v>286.56943046195198</v>
      </c>
      <c r="F75" s="254">
        <f>O17*F48*F62</f>
        <v>74.645336479999997</v>
      </c>
    </row>
    <row r="76" spans="2:6" ht="29.55" customHeight="1">
      <c r="B76" s="146" t="s">
        <v>1024</v>
      </c>
      <c r="C76" s="254">
        <f>L11*C36</f>
        <v>2654.8325</v>
      </c>
      <c r="D76" s="254">
        <f>M11*D36</f>
        <v>1283.8025</v>
      </c>
      <c r="E76" s="254">
        <f>N11*E36</f>
        <v>496.63900000000007</v>
      </c>
      <c r="F76" s="254">
        <f>O11*F36</f>
        <v>120.08012500000001</v>
      </c>
    </row>
    <row r="77" spans="2:6" ht="29.55" customHeight="1">
      <c r="B77" s="146" t="s">
        <v>1025</v>
      </c>
      <c r="C77" s="254">
        <f>L12*C37</f>
        <v>2067.8041666666668</v>
      </c>
      <c r="D77" s="254">
        <f>M12*D37</f>
        <v>1004.4618055555557</v>
      </c>
      <c r="E77" s="254">
        <f>N12*E37</f>
        <v>390.33500000000004</v>
      </c>
      <c r="F77" s="254">
        <f>O12*F37</f>
        <v>94.806180555555557</v>
      </c>
    </row>
    <row r="78" spans="2:6" ht="29.55" customHeight="1">
      <c r="B78" s="146" t="s">
        <v>1026</v>
      </c>
      <c r="C78" s="254">
        <f>L$13*C38</f>
        <v>1544.6697368421051</v>
      </c>
      <c r="D78" s="254">
        <f>M$13*D38</f>
        <v>685.39210526315776</v>
      </c>
      <c r="E78" s="254">
        <f>N$13*E38</f>
        <v>243.29473684210521</v>
      </c>
      <c r="F78" s="254">
        <f>O$13*F38</f>
        <v>53.976249999999993</v>
      </c>
    </row>
    <row r="79" spans="2:6" ht="29.55" customHeight="1">
      <c r="B79" s="146" t="s">
        <v>1027</v>
      </c>
      <c r="C79" s="254">
        <f>L$13*C39</f>
        <v>1629.892894736842</v>
      </c>
      <c r="D79" s="254">
        <f>M$13*D39</f>
        <v>723.20684210526315</v>
      </c>
      <c r="E79" s="254">
        <f>N$13*E39</f>
        <v>256.71789473684208</v>
      </c>
      <c r="F79" s="254">
        <f>O$13*F39</f>
        <v>56.954250000000002</v>
      </c>
    </row>
    <row r="80" spans="2:6" ht="29.55" customHeight="1">
      <c r="B80" s="146" t="s">
        <v>1028</v>
      </c>
      <c r="C80" s="254">
        <f>L13*C40</f>
        <v>2588.6534210526315</v>
      </c>
      <c r="D80" s="254">
        <f>M13*D40</f>
        <v>1148.6226315789472</v>
      </c>
      <c r="E80" s="254">
        <f>N13*E40</f>
        <v>407.72842105263157</v>
      </c>
      <c r="F80" s="254">
        <f>O13*F40</f>
        <v>90.45675</v>
      </c>
    </row>
    <row r="81" spans="2:6" ht="29.55" customHeight="1">
      <c r="B81" s="146" t="s">
        <v>1029</v>
      </c>
      <c r="C81" s="254">
        <f>L$14*C41</f>
        <v>281.97281249999997</v>
      </c>
      <c r="D81" s="254">
        <f t="shared" ref="D81:F81" si="79">M$14*D41</f>
        <v>137.97843749999998</v>
      </c>
      <c r="E81" s="254">
        <f t="shared" si="79"/>
        <v>54.026999999999994</v>
      </c>
      <c r="F81" s="254">
        <f t="shared" si="79"/>
        <v>13.222125</v>
      </c>
    </row>
    <row r="82" spans="2:6" ht="29.55" customHeight="1">
      <c r="B82" s="146" t="s">
        <v>1030</v>
      </c>
      <c r="C82" s="254">
        <f t="shared" ref="C82:C84" si="80">L$14*C42</f>
        <v>290.1459375</v>
      </c>
      <c r="D82" s="254">
        <f t="shared" ref="D82:D84" si="81">M$14*D42</f>
        <v>141.9778125</v>
      </c>
      <c r="E82" s="254">
        <f t="shared" ref="E82:E84" si="82">N$14*E42</f>
        <v>55.592999999999996</v>
      </c>
      <c r="F82" s="254">
        <f t="shared" ref="F82:F84" si="83">O$14*F42</f>
        <v>13.605375</v>
      </c>
    </row>
    <row r="83" spans="2:6" ht="29.55" customHeight="1">
      <c r="B83" s="146" t="s">
        <v>1031</v>
      </c>
      <c r="C83" s="254">
        <f t="shared" si="80"/>
        <v>301.04343749999998</v>
      </c>
      <c r="D83" s="254">
        <f t="shared" si="81"/>
        <v>147.31031250000001</v>
      </c>
      <c r="E83" s="254">
        <f t="shared" si="82"/>
        <v>57.680999999999997</v>
      </c>
      <c r="F83" s="254">
        <f t="shared" si="83"/>
        <v>14.116375</v>
      </c>
    </row>
    <row r="84" spans="2:6" ht="29.55" customHeight="1">
      <c r="B84" s="146" t="s">
        <v>1032</v>
      </c>
      <c r="C84" s="254">
        <f t="shared" si="80"/>
        <v>333.73593750000003</v>
      </c>
      <c r="D84" s="254">
        <f t="shared" si="81"/>
        <v>163.30781250000001</v>
      </c>
      <c r="E84" s="254">
        <f t="shared" si="82"/>
        <v>63.945000000000007</v>
      </c>
      <c r="F84" s="254">
        <f t="shared" si="83"/>
        <v>15.649375000000001</v>
      </c>
    </row>
    <row r="85" spans="2:6" ht="29.55" customHeight="1">
      <c r="B85" s="146" t="s">
        <v>1033</v>
      </c>
      <c r="C85" s="254">
        <f>L14*C45</f>
        <v>301.04343749999998</v>
      </c>
      <c r="D85" s="254">
        <f>M14*D45</f>
        <v>147.31031250000001</v>
      </c>
      <c r="E85" s="254">
        <f>N14*E45</f>
        <v>57.680999999999997</v>
      </c>
      <c r="F85" s="254">
        <f>O14*F45</f>
        <v>14.116375</v>
      </c>
    </row>
    <row r="86" spans="2:6" ht="29.55" customHeight="1">
      <c r="B86" s="146" t="s">
        <v>1034</v>
      </c>
      <c r="C86" s="254">
        <f>L15*C46</f>
        <v>907.13812499999995</v>
      </c>
      <c r="D86" s="254">
        <f>M15*D46</f>
        <v>410.29124999999993</v>
      </c>
      <c r="E86" s="254">
        <f>N15*E46</f>
        <v>148.46362499999998</v>
      </c>
      <c r="F86" s="254">
        <f>O15*F46</f>
        <v>33.573281250000001</v>
      </c>
    </row>
    <row r="87" spans="2:6" ht="29.55" customHeight="1">
      <c r="B87" s="146" t="s">
        <v>1035</v>
      </c>
      <c r="C87" s="254">
        <f>L16*C47</f>
        <v>245.38928571428571</v>
      </c>
      <c r="D87" s="254">
        <f>M16*D47</f>
        <v>134.75267857142856</v>
      </c>
      <c r="E87" s="254">
        <f>N16*E47</f>
        <v>59.186785714285719</v>
      </c>
      <c r="F87" s="254">
        <f>O16*F47</f>
        <v>16.246964285714288</v>
      </c>
    </row>
    <row r="88" spans="2:6" ht="29.55" customHeight="1">
      <c r="B88" s="146" t="s">
        <v>1036</v>
      </c>
      <c r="C88" s="254">
        <f>L17*C48</f>
        <v>48.647499999999994</v>
      </c>
      <c r="D88" s="254">
        <f>M17*D48</f>
        <v>27.694999999999997</v>
      </c>
      <c r="E88" s="254">
        <f>N17*E48</f>
        <v>12.600499999999998</v>
      </c>
      <c r="F88" s="254">
        <f>O17*F48</f>
        <v>3.5814999999999997</v>
      </c>
    </row>
  </sheetData>
  <mergeCells count="8">
    <mergeCell ref="B2:F2"/>
    <mergeCell ref="X2:AE2"/>
    <mergeCell ref="AG2:AM2"/>
    <mergeCell ref="AO2:AU2"/>
    <mergeCell ref="AW2:BC2"/>
    <mergeCell ref="Q2:V2"/>
    <mergeCell ref="K2:O2"/>
    <mergeCell ref="H2:I2"/>
  </mergeCells>
  <phoneticPr fontId="4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60B92-4E8D-47BF-9439-C28B7817B3F8}">
  <dimension ref="B1:P21"/>
  <sheetViews>
    <sheetView tabSelected="1" workbookViewId="0">
      <selection activeCell="C9" sqref="C9"/>
    </sheetView>
  </sheetViews>
  <sheetFormatPr defaultRowHeight="14.4"/>
  <cols>
    <col min="2" max="2" width="38.33203125" bestFit="1" customWidth="1"/>
    <col min="3" max="3" width="9.88671875" customWidth="1"/>
    <col min="4" max="5" width="10.44140625" bestFit="1" customWidth="1"/>
    <col min="6" max="7" width="11.44140625" bestFit="1" customWidth="1"/>
    <col min="13" max="13" width="25.88671875" bestFit="1" customWidth="1"/>
    <col min="15" max="15" width="10.88671875" bestFit="1" customWidth="1"/>
    <col min="16" max="16" width="11.21875" bestFit="1" customWidth="1"/>
  </cols>
  <sheetData>
    <row r="1" spans="2:16">
      <c r="B1" s="56" t="s">
        <v>1062</v>
      </c>
      <c r="C1" s="46">
        <v>0</v>
      </c>
      <c r="D1" s="46">
        <f>Market_Size!F17*1000</f>
        <v>18.06885592297747</v>
      </c>
      <c r="E1" s="46">
        <f>Market_Size!E17*1000</f>
        <v>80.881484642108589</v>
      </c>
      <c r="F1" s="46">
        <f>Market_Size!D17*1000</f>
        <v>226.92712775284642</v>
      </c>
      <c r="G1" s="46">
        <f>Market_Size!C17*1000</f>
        <v>510.77446898845227</v>
      </c>
    </row>
    <row r="2" spans="2:16">
      <c r="B2" s="56" t="s">
        <v>1061</v>
      </c>
      <c r="C2" s="56">
        <v>0</v>
      </c>
      <c r="D2" s="56">
        <v>1</v>
      </c>
      <c r="E2" s="56">
        <v>2</v>
      </c>
      <c r="F2" s="56">
        <v>3</v>
      </c>
      <c r="G2" s="56">
        <v>4</v>
      </c>
    </row>
    <row r="3" spans="2:16">
      <c r="B3" s="56" t="s">
        <v>1065</v>
      </c>
      <c r="C3" s="56"/>
      <c r="D3" s="256">
        <v>0.08</v>
      </c>
      <c r="E3" s="256">
        <v>0.08</v>
      </c>
      <c r="F3" s="256">
        <v>0.08</v>
      </c>
      <c r="G3" s="256">
        <v>0.08</v>
      </c>
    </row>
    <row r="4" spans="2:16">
      <c r="B4" s="56" t="s">
        <v>1064</v>
      </c>
      <c r="C4" s="56"/>
      <c r="D4" s="256">
        <v>0.08</v>
      </c>
      <c r="E4" s="256">
        <v>0.08</v>
      </c>
      <c r="F4" s="256">
        <v>0.08</v>
      </c>
      <c r="G4" s="256">
        <v>0.08</v>
      </c>
      <c r="M4" s="56" t="s">
        <v>1056</v>
      </c>
      <c r="N4" s="56" t="s">
        <v>1045</v>
      </c>
      <c r="O4" s="56" t="s">
        <v>1042</v>
      </c>
      <c r="P4" s="56" t="s">
        <v>1038</v>
      </c>
    </row>
    <row r="5" spans="2:16">
      <c r="B5" s="56" t="s">
        <v>1063</v>
      </c>
      <c r="C5" s="56" t="s">
        <v>1054</v>
      </c>
      <c r="D5" s="56">
        <v>2024</v>
      </c>
      <c r="E5" s="56">
        <v>2025</v>
      </c>
      <c r="F5" s="56">
        <v>2026</v>
      </c>
      <c r="G5" s="56">
        <v>2027</v>
      </c>
      <c r="M5" s="56" t="s">
        <v>764</v>
      </c>
      <c r="N5" s="56">
        <v>40</v>
      </c>
      <c r="O5" s="56">
        <v>1500</v>
      </c>
      <c r="P5" s="46">
        <f>O5*N5*12</f>
        <v>720000</v>
      </c>
    </row>
    <row r="6" spans="2:16">
      <c r="B6" s="56" t="s">
        <v>1066</v>
      </c>
      <c r="C6" s="56"/>
      <c r="D6" s="255">
        <f>D1/((1+D3)*100)*100/((1+D4)*100)*(D4*100)</f>
        <v>1.2392905296966714</v>
      </c>
      <c r="E6" s="255">
        <f t="shared" ref="E6:G6" si="0">E1/((1+E3)*100)*100/((1+E4)*100)*(E4*100)</f>
        <v>5.5474269301857744</v>
      </c>
      <c r="F6" s="255">
        <f t="shared" si="0"/>
        <v>15.564274880167794</v>
      </c>
      <c r="G6" s="255">
        <f t="shared" si="0"/>
        <v>35.032542454626352</v>
      </c>
      <c r="M6" s="56" t="s">
        <v>1037</v>
      </c>
      <c r="N6" s="56"/>
      <c r="O6" s="56">
        <v>10000</v>
      </c>
      <c r="P6" s="46">
        <f>O6*12</f>
        <v>120000</v>
      </c>
    </row>
    <row r="7" spans="2:16">
      <c r="B7" s="56" t="s">
        <v>1050</v>
      </c>
      <c r="C7" s="56">
        <v>4</v>
      </c>
      <c r="D7" s="140">
        <v>3</v>
      </c>
      <c r="E7" s="140">
        <v>3.5</v>
      </c>
      <c r="F7" s="140">
        <v>4</v>
      </c>
      <c r="G7" s="140">
        <v>4.5</v>
      </c>
      <c r="M7" s="56" t="s">
        <v>768</v>
      </c>
      <c r="N7" s="56"/>
      <c r="O7" s="56"/>
      <c r="P7" s="46">
        <v>500000</v>
      </c>
    </row>
    <row r="8" spans="2:16">
      <c r="B8" s="56" t="s">
        <v>1053</v>
      </c>
      <c r="C8" s="56">
        <v>-4</v>
      </c>
      <c r="D8" s="255">
        <f>D6-D7</f>
        <v>-1.7607094703033286</v>
      </c>
      <c r="E8" s="255">
        <f t="shared" ref="E8:G8" si="1">E6-E7</f>
        <v>2.0474269301857744</v>
      </c>
      <c r="F8" s="255">
        <f t="shared" si="1"/>
        <v>11.564274880167794</v>
      </c>
      <c r="G8" s="255">
        <f t="shared" si="1"/>
        <v>30.532542454626352</v>
      </c>
      <c r="H8" s="307">
        <f>SUM(C8:G8)</f>
        <v>38.383534794676592</v>
      </c>
      <c r="M8" s="56" t="s">
        <v>769</v>
      </c>
      <c r="N8" s="56"/>
      <c r="O8" s="56"/>
      <c r="P8" s="46">
        <v>50000</v>
      </c>
    </row>
    <row r="9" spans="2:16">
      <c r="B9" s="56" t="s">
        <v>1051</v>
      </c>
      <c r="C9" s="56"/>
      <c r="D9" s="256">
        <v>0.25</v>
      </c>
      <c r="E9" s="256">
        <v>0.25</v>
      </c>
      <c r="F9" s="256">
        <v>0.25</v>
      </c>
      <c r="G9" s="256">
        <v>0.25</v>
      </c>
      <c r="M9" s="56" t="s">
        <v>771</v>
      </c>
      <c r="N9" s="56"/>
      <c r="O9" s="56"/>
      <c r="P9" s="46">
        <v>350000</v>
      </c>
    </row>
    <row r="10" spans="2:16" ht="28.8">
      <c r="B10" s="44" t="s">
        <v>1052</v>
      </c>
      <c r="C10" s="44"/>
      <c r="D10" s="255">
        <f>PV(D9,D2,0,-D8)</f>
        <v>-1.4085675762426628</v>
      </c>
      <c r="E10" s="255">
        <f>PV(E9,E2,0,-E8)</f>
        <v>1.3103532353188956</v>
      </c>
      <c r="F10" s="255">
        <f>PV(F9,F2,0,-F8)</f>
        <v>5.9209087386459105</v>
      </c>
      <c r="G10" s="255">
        <f>PV(G9,G2,0,-G8)</f>
        <v>12.506129389414953</v>
      </c>
      <c r="M10" s="56" t="s">
        <v>770</v>
      </c>
      <c r="N10" s="56"/>
      <c r="O10" s="56"/>
      <c r="P10" s="46">
        <v>650000</v>
      </c>
    </row>
    <row r="11" spans="2:16" ht="28.8">
      <c r="B11" s="44" t="s">
        <v>1055</v>
      </c>
      <c r="C11" s="56">
        <f>C8</f>
        <v>-4</v>
      </c>
      <c r="D11" s="255">
        <f>C11+D10</f>
        <v>-5.408567576242663</v>
      </c>
      <c r="E11" s="255">
        <f t="shared" ref="E11:G11" si="2">D11+E10</f>
        <v>-4.0982143409237679</v>
      </c>
      <c r="F11" s="255">
        <f t="shared" si="2"/>
        <v>1.8226943977221426</v>
      </c>
      <c r="G11" s="255">
        <f t="shared" si="2"/>
        <v>14.328823787137097</v>
      </c>
      <c r="M11" s="56" t="s">
        <v>1048</v>
      </c>
      <c r="N11" s="56"/>
      <c r="O11" s="56"/>
      <c r="P11" s="46">
        <f>P21*0.25</f>
        <v>751500</v>
      </c>
    </row>
    <row r="12" spans="2:16">
      <c r="B12" s="263" t="s">
        <v>1060</v>
      </c>
      <c r="C12" s="264"/>
      <c r="D12" s="264"/>
      <c r="E12" s="264"/>
      <c r="F12" s="265"/>
      <c r="G12" s="255">
        <f>NPV(G9,D8:G8)+C8</f>
        <v>14.328823787137097</v>
      </c>
      <c r="M12" s="56"/>
      <c r="N12" s="56"/>
      <c r="O12" s="56"/>
      <c r="P12" s="46">
        <f>SUM(P5:P11)</f>
        <v>3141500</v>
      </c>
    </row>
    <row r="13" spans="2:16">
      <c r="B13" s="263" t="s">
        <v>1057</v>
      </c>
      <c r="C13" s="264"/>
      <c r="D13" s="264"/>
      <c r="E13" s="264"/>
      <c r="F13" s="265"/>
      <c r="G13" s="256">
        <f>IRR(C8:G8)</f>
        <v>0.85921682052430004</v>
      </c>
      <c r="P13" s="4"/>
    </row>
    <row r="14" spans="2:16">
      <c r="B14" s="263" t="s">
        <v>1058</v>
      </c>
      <c r="C14" s="264"/>
      <c r="D14" s="264"/>
      <c r="E14" s="264"/>
      <c r="F14" s="265"/>
      <c r="G14" s="255">
        <f>1+G12/C7</f>
        <v>4.5822059467842742</v>
      </c>
      <c r="M14" s="56" t="s">
        <v>1039</v>
      </c>
      <c r="N14" s="56" t="s">
        <v>1045</v>
      </c>
      <c r="O14" s="56" t="s">
        <v>1043</v>
      </c>
      <c r="P14" s="46" t="s">
        <v>1044</v>
      </c>
    </row>
    <row r="15" spans="2:16">
      <c r="B15" s="263" t="s">
        <v>1059</v>
      </c>
      <c r="C15" s="264"/>
      <c r="D15" s="264"/>
      <c r="E15" s="264"/>
      <c r="F15" s="265"/>
      <c r="G15" s="140">
        <f>(F2-1)+(-E11/F10)</f>
        <v>2.6921596872747973</v>
      </c>
      <c r="M15" s="56" t="s">
        <v>1040</v>
      </c>
      <c r="N15" s="56">
        <v>14</v>
      </c>
      <c r="O15" s="56">
        <v>15000</v>
      </c>
      <c r="P15" s="46">
        <f>O15*N15</f>
        <v>210000</v>
      </c>
    </row>
    <row r="16" spans="2:16">
      <c r="B16" s="263" t="s">
        <v>1067</v>
      </c>
      <c r="C16" s="264"/>
      <c r="D16" s="264"/>
      <c r="E16" s="264"/>
      <c r="F16" s="265"/>
      <c r="G16" s="259">
        <f>((G12-C7)/C7)*100%</f>
        <v>2.5822059467842742</v>
      </c>
      <c r="M16" s="56" t="s">
        <v>1041</v>
      </c>
      <c r="N16" s="56">
        <v>1</v>
      </c>
      <c r="O16" s="56">
        <v>1300000</v>
      </c>
      <c r="P16" s="46">
        <f>O16*N16</f>
        <v>1300000</v>
      </c>
    </row>
    <row r="17" spans="13:16">
      <c r="M17" s="56" t="s">
        <v>1046</v>
      </c>
      <c r="N17" s="56">
        <v>2</v>
      </c>
      <c r="O17" s="56">
        <v>1500000</v>
      </c>
      <c r="P17" s="46">
        <f>O17*N17</f>
        <v>3000000</v>
      </c>
    </row>
    <row r="18" spans="13:16" ht="28.8">
      <c r="M18" s="44" t="s">
        <v>1049</v>
      </c>
      <c r="N18" s="56"/>
      <c r="O18" s="56"/>
      <c r="P18" s="46">
        <v>500000</v>
      </c>
    </row>
    <row r="19" spans="13:16">
      <c r="M19" s="56" t="s">
        <v>123</v>
      </c>
      <c r="N19" s="56"/>
      <c r="O19" s="56"/>
      <c r="P19" s="46">
        <f>SUM(P15:P18)</f>
        <v>5010000</v>
      </c>
    </row>
    <row r="20" spans="13:16">
      <c r="M20" s="56"/>
      <c r="N20" s="56"/>
      <c r="O20" s="56"/>
      <c r="P20" s="46"/>
    </row>
    <row r="21" spans="13:16">
      <c r="M21" s="56" t="s">
        <v>1047</v>
      </c>
      <c r="N21" s="56"/>
      <c r="O21" s="56"/>
      <c r="P21" s="257">
        <f>P19*0.6</f>
        <v>3006000</v>
      </c>
    </row>
  </sheetData>
  <mergeCells count="5">
    <mergeCell ref="B12:F12"/>
    <mergeCell ref="B13:F13"/>
    <mergeCell ref="B14:F14"/>
    <mergeCell ref="B15:F15"/>
    <mergeCell ref="B16:F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54FAC-9F2A-4AD8-8240-154502EF485D}">
  <dimension ref="B1:AQ2160"/>
  <sheetViews>
    <sheetView showGridLines="0" workbookViewId="0">
      <selection activeCell="AE9" sqref="AE9"/>
    </sheetView>
  </sheetViews>
  <sheetFormatPr defaultColWidth="8.77734375" defaultRowHeight="14.4"/>
  <cols>
    <col min="2" max="2" width="20.77734375" bestFit="1" customWidth="1"/>
    <col min="3" max="3" width="23.109375" bestFit="1" customWidth="1"/>
    <col min="4" max="4" width="7.44140625" bestFit="1" customWidth="1"/>
    <col min="5" max="5" width="7.44140625" style="12" bestFit="1" customWidth="1"/>
    <col min="6" max="6" width="7.44140625" bestFit="1" customWidth="1"/>
    <col min="7" max="8" width="6.44140625" bestFit="1" customWidth="1"/>
    <col min="9" max="9" width="11.33203125" customWidth="1"/>
    <col min="10" max="10" width="3.77734375" customWidth="1"/>
    <col min="11" max="11" width="20.77734375" bestFit="1" customWidth="1"/>
    <col min="12" max="12" width="7.109375" bestFit="1" customWidth="1"/>
    <col min="13" max="13" width="5.44140625" bestFit="1" customWidth="1"/>
    <col min="14" max="14" width="20.77734375" bestFit="1" customWidth="1"/>
    <col min="15" max="15" width="7.109375" bestFit="1" customWidth="1"/>
    <col min="16" max="16" width="5.44140625" bestFit="1" customWidth="1"/>
    <col min="17" max="17" width="20.77734375" bestFit="1" customWidth="1"/>
    <col min="18" max="18" width="7.109375" bestFit="1" customWidth="1"/>
    <col min="19" max="19" width="2.109375" customWidth="1"/>
    <col min="20" max="20" width="20.77734375" bestFit="1" customWidth="1"/>
    <col min="21" max="21" width="7.109375" bestFit="1" customWidth="1"/>
    <col min="22" max="22" width="4.77734375" bestFit="1" customWidth="1"/>
    <col min="23" max="23" width="20.77734375" bestFit="1" customWidth="1"/>
    <col min="24" max="24" width="7.109375" bestFit="1" customWidth="1"/>
    <col min="25" max="25" width="5" bestFit="1" customWidth="1"/>
    <col min="26" max="26" width="20.77734375" bestFit="1" customWidth="1"/>
    <col min="27" max="27" width="7.109375" bestFit="1" customWidth="1"/>
    <col min="28" max="28" width="6.44140625" customWidth="1"/>
    <col min="30" max="30" width="15.109375" customWidth="1"/>
    <col min="31" max="31" width="15.44140625" bestFit="1" customWidth="1"/>
    <col min="32" max="32" width="12.77734375" customWidth="1"/>
    <col min="33" max="33" width="10.44140625" customWidth="1"/>
    <col min="34" max="34" width="17.44140625" customWidth="1"/>
    <col min="35" max="35" width="10.33203125" style="12" bestFit="1" customWidth="1"/>
    <col min="36" max="36" width="12" customWidth="1"/>
    <col min="38" max="38" width="10.109375" bestFit="1" customWidth="1"/>
    <col min="39" max="41" width="19.77734375" customWidth="1"/>
    <col min="42" max="43" width="19.33203125" customWidth="1"/>
    <col min="44" max="45" width="10.109375" bestFit="1" customWidth="1"/>
    <col min="46" max="46" width="17.44140625" bestFit="1" customWidth="1"/>
    <col min="47" max="47" width="21.77734375" bestFit="1" customWidth="1"/>
    <col min="48" max="78" width="10.109375" bestFit="1" customWidth="1"/>
    <col min="79" max="79" width="11.33203125" bestFit="1" customWidth="1"/>
  </cols>
  <sheetData>
    <row r="1" spans="2:43" s="6" customFormat="1" ht="48.45" customHeight="1">
      <c r="C1" s="15"/>
      <c r="E1" s="15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D1" s="6" t="s">
        <v>14</v>
      </c>
      <c r="AE1" s="6" t="s">
        <v>163</v>
      </c>
      <c r="AF1" s="6" t="s">
        <v>179</v>
      </c>
      <c r="AG1" s="6" t="s">
        <v>180</v>
      </c>
      <c r="AH1" s="6" t="s">
        <v>184</v>
      </c>
      <c r="AI1" s="15" t="s">
        <v>153</v>
      </c>
      <c r="AJ1" s="6" t="s">
        <v>154</v>
      </c>
      <c r="AM1" s="6" t="s">
        <v>14</v>
      </c>
      <c r="AN1" s="6" t="s">
        <v>179</v>
      </c>
      <c r="AO1" s="6" t="s">
        <v>180</v>
      </c>
      <c r="AP1" s="6" t="s">
        <v>163</v>
      </c>
      <c r="AQ1" s="6" t="s">
        <v>181</v>
      </c>
    </row>
    <row r="2" spans="2:43">
      <c r="B2" s="13" t="s">
        <v>218</v>
      </c>
      <c r="C2" s="13" t="s">
        <v>151</v>
      </c>
      <c r="E2"/>
      <c r="J2" s="6"/>
      <c r="K2" s="13" t="s">
        <v>229</v>
      </c>
      <c r="L2" t="s">
        <v>160</v>
      </c>
      <c r="M2" s="6"/>
      <c r="N2" s="13" t="s">
        <v>229</v>
      </c>
      <c r="O2" t="s">
        <v>159</v>
      </c>
      <c r="P2" s="6"/>
      <c r="Q2" s="13" t="s">
        <v>229</v>
      </c>
      <c r="R2" t="s">
        <v>230</v>
      </c>
      <c r="S2" s="6"/>
      <c r="T2" s="13" t="s">
        <v>229</v>
      </c>
      <c r="U2" t="s">
        <v>158</v>
      </c>
      <c r="V2" s="6"/>
      <c r="W2" s="13" t="s">
        <v>229</v>
      </c>
      <c r="X2" t="s">
        <v>157</v>
      </c>
      <c r="Y2" s="6"/>
      <c r="Z2" s="13" t="s">
        <v>229</v>
      </c>
      <c r="AA2" t="s">
        <v>156</v>
      </c>
      <c r="AB2" s="6"/>
      <c r="AD2" t="s">
        <v>136</v>
      </c>
      <c r="AE2" t="str">
        <f>VLOOKUP(Таблица1_113[[#This Row],[Марка]],Таблица13[#All],4,0)</f>
        <v>Россия</v>
      </c>
      <c r="AF2" t="str">
        <f>VLOOKUP(Таблица1_113[[#This Row],[Марка]],Таблица13[#All],2,0)</f>
        <v>Economy</v>
      </c>
      <c r="AG2">
        <f>VLOOKUP(Таблица1_113[[#This Row],[Марка]],Таблица13[#All],3,0)</f>
        <v>1941</v>
      </c>
      <c r="AH2" t="str">
        <f>VLOOKUP(Таблица1_113[[#This Row],[Марка]],Таблица13[#All],5,0)</f>
        <v>Нет</v>
      </c>
      <c r="AI2" s="12">
        <v>43466</v>
      </c>
      <c r="AJ2">
        <v>101</v>
      </c>
      <c r="AM2" s="14" t="s">
        <v>135</v>
      </c>
      <c r="AN2" s="14" t="s">
        <v>51</v>
      </c>
      <c r="AO2" s="14" t="s">
        <v>51</v>
      </c>
      <c r="AP2" t="s">
        <v>51</v>
      </c>
      <c r="AQ2" t="s">
        <v>51</v>
      </c>
    </row>
    <row r="3" spans="2:43">
      <c r="B3" s="13" t="s">
        <v>179</v>
      </c>
      <c r="C3" t="s">
        <v>160</v>
      </c>
      <c r="D3" t="s">
        <v>159</v>
      </c>
      <c r="E3" t="s">
        <v>230</v>
      </c>
      <c r="F3" t="s">
        <v>158</v>
      </c>
      <c r="G3" t="s">
        <v>157</v>
      </c>
      <c r="H3" t="s">
        <v>156</v>
      </c>
      <c r="I3" t="s">
        <v>155</v>
      </c>
      <c r="AD3" t="s">
        <v>135</v>
      </c>
      <c r="AE3" t="str">
        <f>VLOOKUP(Таблица1_113[[#This Row],[Марка]],Таблица13[#All],4,0)</f>
        <v>-</v>
      </c>
      <c r="AF3" t="str">
        <f>VLOOKUP(Таблица1_113[[#This Row],[Марка]],Таблица13[#All],2,0)</f>
        <v>-</v>
      </c>
      <c r="AG3" t="str">
        <f>VLOOKUP(Таблица1_113[[#This Row],[Марка]],Таблица13[#All],3,0)</f>
        <v>-</v>
      </c>
      <c r="AH3" t="str">
        <f>VLOOKUP(Таблица1_113[[#This Row],[Марка]],Таблица13[#All],5,0)</f>
        <v>-</v>
      </c>
      <c r="AI3" s="12">
        <v>43466</v>
      </c>
      <c r="AJ3">
        <v>0</v>
      </c>
      <c r="AM3" s="14" t="s">
        <v>3</v>
      </c>
      <c r="AN3" s="14" t="s">
        <v>176</v>
      </c>
      <c r="AO3" s="14">
        <v>1997</v>
      </c>
      <c r="AP3" t="s">
        <v>164</v>
      </c>
      <c r="AQ3" t="s">
        <v>183</v>
      </c>
    </row>
    <row r="4" spans="2:43">
      <c r="B4" s="14" t="s">
        <v>176</v>
      </c>
      <c r="C4" s="16">
        <v>0.86624232173061511</v>
      </c>
      <c r="D4" s="16">
        <v>0.86218409483926084</v>
      </c>
      <c r="E4" s="16">
        <v>0.84321680189655746</v>
      </c>
      <c r="F4" s="16">
        <v>0.73044602456367158</v>
      </c>
      <c r="G4" s="16">
        <v>0.75821345918228433</v>
      </c>
      <c r="H4" s="16">
        <v>0.6459533530958107</v>
      </c>
      <c r="I4" s="16">
        <v>0.79332897211008691</v>
      </c>
      <c r="K4" s="13" t="s">
        <v>179</v>
      </c>
      <c r="L4" t="s">
        <v>218</v>
      </c>
      <c r="N4" s="13" t="s">
        <v>179</v>
      </c>
      <c r="O4" t="s">
        <v>218</v>
      </c>
      <c r="Q4" s="13" t="s">
        <v>179</v>
      </c>
      <c r="R4" t="s">
        <v>218</v>
      </c>
      <c r="T4" s="13" t="s">
        <v>179</v>
      </c>
      <c r="U4" t="s">
        <v>218</v>
      </c>
      <c r="W4" s="13" t="s">
        <v>179</v>
      </c>
      <c r="X4" t="s">
        <v>218</v>
      </c>
      <c r="Z4" s="13" t="s">
        <v>179</v>
      </c>
      <c r="AA4" t="s">
        <v>218</v>
      </c>
      <c r="AD4" t="s">
        <v>39</v>
      </c>
      <c r="AE4" t="str">
        <f>VLOOKUP(Таблица1_113[[#This Row],[Марка]],Таблица13[#All],4,0)</f>
        <v>Швеция</v>
      </c>
      <c r="AF4" t="str">
        <f>VLOOKUP(Таблица1_113[[#This Row],[Марка]],Таблица13[#All],2,0)</f>
        <v>Business</v>
      </c>
      <c r="AG4">
        <f>VLOOKUP(Таблица1_113[[#This Row],[Марка]],Таблица13[#All],3,0)</f>
        <v>1927</v>
      </c>
      <c r="AH4" t="str">
        <f>VLOOKUP(Таблица1_113[[#This Row],[Марка]],Таблица13[#All],5,0)</f>
        <v>Нет</v>
      </c>
      <c r="AI4" s="12">
        <v>43466</v>
      </c>
      <c r="AJ4">
        <v>17</v>
      </c>
      <c r="AM4" s="14" t="s">
        <v>1</v>
      </c>
      <c r="AN4" s="14" t="s">
        <v>176</v>
      </c>
      <c r="AO4" s="14">
        <v>1911</v>
      </c>
      <c r="AP4" t="s">
        <v>173</v>
      </c>
      <c r="AQ4" t="s">
        <v>183</v>
      </c>
    </row>
    <row r="5" spans="2:43">
      <c r="B5" s="14" t="s">
        <v>178</v>
      </c>
      <c r="C5" s="16">
        <v>9.3163001869491682E-2</v>
      </c>
      <c r="D5" s="16">
        <v>9.4917390670250221E-2</v>
      </c>
      <c r="E5" s="16">
        <v>0.11058799959931884</v>
      </c>
      <c r="F5" s="16">
        <v>0.22316951728716436</v>
      </c>
      <c r="G5" s="16">
        <v>0.1994032763080274</v>
      </c>
      <c r="H5" s="16">
        <v>0.30187650316013198</v>
      </c>
      <c r="I5" s="16">
        <v>0.16153729832081948</v>
      </c>
      <c r="K5" s="14" t="s">
        <v>0</v>
      </c>
      <c r="L5" s="16">
        <v>0.26506721267693406</v>
      </c>
      <c r="N5" s="14" t="s">
        <v>0</v>
      </c>
      <c r="O5" s="16">
        <v>0.24581744692376606</v>
      </c>
      <c r="Q5" s="14" t="s">
        <v>1</v>
      </c>
      <c r="R5" s="16">
        <v>0.28607335769157144</v>
      </c>
      <c r="T5" s="14" t="s">
        <v>1</v>
      </c>
      <c r="U5" s="16">
        <v>0.26136689584437933</v>
      </c>
      <c r="W5" s="14" t="s">
        <v>0</v>
      </c>
      <c r="X5" s="16">
        <v>0.21327094756876785</v>
      </c>
      <c r="Z5" s="14" t="s">
        <v>19</v>
      </c>
      <c r="AA5" s="16">
        <v>0.21535041109681749</v>
      </c>
      <c r="AD5" t="s">
        <v>21</v>
      </c>
      <c r="AE5" t="str">
        <f>VLOOKUP(Таблица1_113[[#This Row],[Марка]],Таблица13[#All],4,0)</f>
        <v>Германия</v>
      </c>
      <c r="AF5" t="str">
        <f>VLOOKUP(Таблица1_113[[#This Row],[Марка]],Таблица13[#All],2,0)</f>
        <v>Business</v>
      </c>
      <c r="AG5">
        <f>VLOOKUP(Таблица1_113[[#This Row],[Марка]],Таблица13[#All],3,0)</f>
        <v>1937</v>
      </c>
      <c r="AH5" t="str">
        <f>VLOOKUP(Таблица1_113[[#This Row],[Марка]],Таблица13[#All],5,0)</f>
        <v>Нет</v>
      </c>
      <c r="AI5" s="12">
        <v>43466</v>
      </c>
      <c r="AJ5">
        <v>189</v>
      </c>
      <c r="AM5" s="14" t="s">
        <v>18</v>
      </c>
      <c r="AN5" s="14" t="s">
        <v>176</v>
      </c>
      <c r="AO5" s="14">
        <v>1986</v>
      </c>
      <c r="AP5" t="s">
        <v>164</v>
      </c>
      <c r="AQ5" t="s">
        <v>183</v>
      </c>
    </row>
    <row r="6" spans="2:43">
      <c r="B6" s="14" t="s">
        <v>177</v>
      </c>
      <c r="C6" s="16">
        <v>4.059467639989317E-2</v>
      </c>
      <c r="D6" s="16">
        <v>4.2898514490488988E-2</v>
      </c>
      <c r="E6" s="16">
        <v>4.619519850412368E-2</v>
      </c>
      <c r="F6" s="16">
        <v>4.6384458149164032E-2</v>
      </c>
      <c r="G6" s="16">
        <v>4.2383264509688254E-2</v>
      </c>
      <c r="H6" s="16">
        <v>5.2170143744057276E-2</v>
      </c>
      <c r="I6" s="16">
        <v>4.513372956909361E-2</v>
      </c>
      <c r="K6" s="14" t="s">
        <v>15</v>
      </c>
      <c r="L6" s="16">
        <v>0.13669545090358765</v>
      </c>
      <c r="N6" s="14" t="s">
        <v>1</v>
      </c>
      <c r="O6" s="16">
        <v>0.23937954455486801</v>
      </c>
      <c r="Q6" s="14" t="s">
        <v>0</v>
      </c>
      <c r="R6" s="16">
        <v>0.24907824321062663</v>
      </c>
      <c r="T6" s="14" t="s">
        <v>0</v>
      </c>
      <c r="U6" s="16">
        <v>0.20803309894045147</v>
      </c>
      <c r="W6" s="14" t="s">
        <v>19</v>
      </c>
      <c r="X6" s="16">
        <v>0.19745547650337608</v>
      </c>
      <c r="Z6" s="14" t="s">
        <v>0</v>
      </c>
      <c r="AA6" s="16">
        <v>0.21484702723865989</v>
      </c>
      <c r="AD6" t="s">
        <v>2</v>
      </c>
      <c r="AE6" t="str">
        <f>VLOOKUP(Таблица1_113[[#This Row],[Марка]],Таблица13[#All],4,0)</f>
        <v>Япония</v>
      </c>
      <c r="AF6" t="str">
        <f>VLOOKUP(Таблица1_113[[#This Row],[Марка]],Таблица13[#All],2,0)</f>
        <v>Business</v>
      </c>
      <c r="AG6">
        <f>VLOOKUP(Таблица1_113[[#This Row],[Марка]],Таблица13[#All],3,0)</f>
        <v>1937</v>
      </c>
      <c r="AH6" t="str">
        <f>VLOOKUP(Таблица1_113[[#This Row],[Марка]],Таблица13[#All],5,0)</f>
        <v>Нет</v>
      </c>
      <c r="AI6" s="12">
        <v>43466</v>
      </c>
      <c r="AJ6">
        <v>954</v>
      </c>
      <c r="AM6" s="14" t="s">
        <v>6</v>
      </c>
      <c r="AN6" s="14" t="s">
        <v>176</v>
      </c>
      <c r="AO6" s="14">
        <v>2013</v>
      </c>
      <c r="AP6" t="s">
        <v>164</v>
      </c>
      <c r="AQ6" t="s">
        <v>183</v>
      </c>
    </row>
    <row r="7" spans="2:43">
      <c r="B7" s="14" t="s">
        <v>155</v>
      </c>
      <c r="C7" s="16">
        <v>1</v>
      </c>
      <c r="D7" s="16">
        <v>1</v>
      </c>
      <c r="E7" s="16">
        <v>1</v>
      </c>
      <c r="F7" s="16">
        <v>1</v>
      </c>
      <c r="G7" s="16">
        <v>1</v>
      </c>
      <c r="H7" s="16">
        <v>1</v>
      </c>
      <c r="I7" s="16">
        <v>1</v>
      </c>
      <c r="K7" s="14" t="s">
        <v>3</v>
      </c>
      <c r="L7" s="16">
        <v>9.4498353066856583E-2</v>
      </c>
      <c r="N7" s="14" t="s">
        <v>15</v>
      </c>
      <c r="O7" s="16">
        <v>0.13350313561264246</v>
      </c>
      <c r="Q7" s="14" t="s">
        <v>15</v>
      </c>
      <c r="R7" s="16">
        <v>0.12055663290359631</v>
      </c>
      <c r="T7" s="14" t="s">
        <v>2</v>
      </c>
      <c r="U7" s="16">
        <v>0.12141783066345645</v>
      </c>
      <c r="W7" s="14" t="s">
        <v>2</v>
      </c>
      <c r="X7" s="16">
        <v>0.11432229120406036</v>
      </c>
      <c r="Z7" s="14" t="s">
        <v>2</v>
      </c>
      <c r="AA7" s="16">
        <v>0.19813747972481682</v>
      </c>
      <c r="AD7" t="s">
        <v>125</v>
      </c>
      <c r="AE7" t="str">
        <f>VLOOKUP(Таблица1_113[[#This Row],[Марка]],Таблица13[#All],4,0)</f>
        <v>Япония</v>
      </c>
      <c r="AF7" t="str">
        <f>VLOOKUP(Таблица1_113[[#This Row],[Марка]],Таблица13[#All],2,0)</f>
        <v>Business</v>
      </c>
      <c r="AG7">
        <f>VLOOKUP(Таблица1_113[[#This Row],[Марка]],Таблица13[#All],3,0)</f>
        <v>1953</v>
      </c>
      <c r="AH7" t="str">
        <f>VLOOKUP(Таблица1_113[[#This Row],[Марка]],Таблица13[#All],5,0)</f>
        <v>Нет</v>
      </c>
      <c r="AI7" s="12">
        <v>43466</v>
      </c>
      <c r="AJ7">
        <v>35</v>
      </c>
      <c r="AM7" s="14" t="s">
        <v>0</v>
      </c>
      <c r="AN7" s="14" t="s">
        <v>176</v>
      </c>
      <c r="AO7" s="14">
        <v>1967</v>
      </c>
      <c r="AP7" t="s">
        <v>162</v>
      </c>
      <c r="AQ7" t="s">
        <v>183</v>
      </c>
    </row>
    <row r="8" spans="2:43">
      <c r="E8"/>
      <c r="J8" s="16"/>
      <c r="K8" s="14" t="s">
        <v>1</v>
      </c>
      <c r="L8" s="16">
        <v>8.7866108786610872E-2</v>
      </c>
      <c r="N8" s="14" t="s">
        <v>3</v>
      </c>
      <c r="O8" s="16">
        <v>6.3618559493301668E-2</v>
      </c>
      <c r="Q8" s="14" t="s">
        <v>2</v>
      </c>
      <c r="R8" s="16">
        <v>8.0315602866393124E-2</v>
      </c>
      <c r="T8" s="14" t="s">
        <v>15</v>
      </c>
      <c r="U8" s="16">
        <v>8.4485740858243008E-2</v>
      </c>
      <c r="W8" s="14" t="s">
        <v>1</v>
      </c>
      <c r="X8" s="16">
        <v>0.11424298726605338</v>
      </c>
      <c r="Z8" s="14" t="s">
        <v>15</v>
      </c>
      <c r="AA8" s="16">
        <v>5.3246825885116617E-2</v>
      </c>
      <c r="AD8" t="s">
        <v>141</v>
      </c>
      <c r="AE8" t="str">
        <f>VLOOKUP(Таблица1_113[[#This Row],[Марка]],Таблица13[#All],4,0)</f>
        <v>Чехия</v>
      </c>
      <c r="AF8" t="str">
        <f>VLOOKUP(Таблица1_113[[#This Row],[Марка]],Таблица13[#All],2,0)</f>
        <v>Business</v>
      </c>
      <c r="AG8">
        <f>VLOOKUP(Таблица1_113[[#This Row],[Марка]],Таблица13[#All],3,0)</f>
        <v>1895</v>
      </c>
      <c r="AH8" t="str">
        <f>VLOOKUP(Таблица1_113[[#This Row],[Марка]],Таблица13[#All],5,0)</f>
        <v>Крупноузловая</v>
      </c>
      <c r="AI8" s="12">
        <v>43466</v>
      </c>
      <c r="AJ8">
        <v>57</v>
      </c>
      <c r="AM8" s="14" t="s">
        <v>4</v>
      </c>
      <c r="AN8" s="14" t="s">
        <v>176</v>
      </c>
      <c r="AO8" s="14">
        <v>1964</v>
      </c>
      <c r="AP8" t="s">
        <v>164</v>
      </c>
      <c r="AQ8" t="s">
        <v>183</v>
      </c>
    </row>
    <row r="9" spans="2:43">
      <c r="B9" s="13" t="s">
        <v>218</v>
      </c>
      <c r="C9" s="13" t="s">
        <v>151</v>
      </c>
      <c r="E9"/>
      <c r="J9" s="16"/>
      <c r="K9" s="14" t="s">
        <v>4</v>
      </c>
      <c r="L9" s="16">
        <v>6.3295646755096593E-2</v>
      </c>
      <c r="N9" s="14" t="s">
        <v>2</v>
      </c>
      <c r="O9" s="16">
        <v>5.6092047419630392E-2</v>
      </c>
      <c r="Q9" s="14" t="s">
        <v>19</v>
      </c>
      <c r="R9" s="16">
        <v>6.1372772594485273E-2</v>
      </c>
      <c r="T9" s="14" t="s">
        <v>19</v>
      </c>
      <c r="U9" s="16">
        <v>8.1330563499030853E-2</v>
      </c>
      <c r="W9" s="14" t="s">
        <v>142</v>
      </c>
      <c r="X9" s="16">
        <v>8.0991978973127293E-2</v>
      </c>
      <c r="Z9" s="14" t="s">
        <v>142</v>
      </c>
      <c r="AA9" s="16">
        <v>4.9848984842552714E-2</v>
      </c>
      <c r="AD9" t="s">
        <v>148</v>
      </c>
      <c r="AE9" t="str">
        <f>VLOOKUP(Таблица1_113[[#This Row],[Марка]],Таблица13[#All],4,0)</f>
        <v>Великобритания</v>
      </c>
      <c r="AF9" t="str">
        <f>VLOOKUP(Таблица1_113[[#This Row],[Марка]],Таблица13[#All],2,0)</f>
        <v>Luxury</v>
      </c>
      <c r="AG9">
        <f>VLOOKUP(Таблица1_113[[#This Row],[Марка]],Таблица13[#All],3,0)</f>
        <v>1904</v>
      </c>
      <c r="AH9" t="str">
        <f>VLOOKUP(Таблица1_113[[#This Row],[Марка]],Таблица13[#All],5,0)</f>
        <v>Нет</v>
      </c>
      <c r="AI9" s="12">
        <v>43466</v>
      </c>
      <c r="AJ9">
        <v>0</v>
      </c>
      <c r="AM9" s="14" t="s">
        <v>15</v>
      </c>
      <c r="AN9" s="14" t="s">
        <v>176</v>
      </c>
      <c r="AO9" s="14">
        <v>1944</v>
      </c>
      <c r="AP9" t="s">
        <v>162</v>
      </c>
      <c r="AQ9" t="s">
        <v>183</v>
      </c>
    </row>
    <row r="10" spans="2:43">
      <c r="B10" s="13" t="s">
        <v>231</v>
      </c>
      <c r="C10" t="s">
        <v>160</v>
      </c>
      <c r="D10" t="s">
        <v>159</v>
      </c>
      <c r="E10" t="s">
        <v>230</v>
      </c>
      <c r="F10" t="s">
        <v>158</v>
      </c>
      <c r="G10" t="s">
        <v>157</v>
      </c>
      <c r="H10" t="s">
        <v>156</v>
      </c>
      <c r="I10" t="s">
        <v>155</v>
      </c>
      <c r="J10" s="16"/>
      <c r="K10" s="14" t="s">
        <v>6</v>
      </c>
      <c r="L10" s="16">
        <v>5.3414047894596278E-2</v>
      </c>
      <c r="N10" s="14" t="s">
        <v>4</v>
      </c>
      <c r="O10" s="16">
        <v>4.5799737483592722E-2</v>
      </c>
      <c r="Q10" s="14" t="s">
        <v>3</v>
      </c>
      <c r="R10" s="16">
        <v>5.2916746427412176E-2</v>
      </c>
      <c r="T10" s="14" t="s">
        <v>21</v>
      </c>
      <c r="U10" s="16">
        <v>3.7244999956540258E-2</v>
      </c>
      <c r="W10" s="14" t="s">
        <v>15</v>
      </c>
      <c r="X10" s="16">
        <v>6.8292019758009692E-2</v>
      </c>
      <c r="Z10" s="14" t="s">
        <v>23</v>
      </c>
      <c r="AA10" s="16">
        <v>3.7152525309021758E-2</v>
      </c>
      <c r="AD10" t="s">
        <v>23</v>
      </c>
      <c r="AE10" t="str">
        <f>VLOOKUP(Таблица1_113[[#This Row],[Марка]],Таблица13[#All],4,0)</f>
        <v>Франция</v>
      </c>
      <c r="AF10" t="str">
        <f>VLOOKUP(Таблица1_113[[#This Row],[Марка]],Таблица13[#All],2,0)</f>
        <v>Economy</v>
      </c>
      <c r="AG10">
        <f>VLOOKUP(Таблица1_113[[#This Row],[Марка]],Таблица13[#All],3,0)</f>
        <v>1899</v>
      </c>
      <c r="AH10" t="str">
        <f>VLOOKUP(Таблица1_113[[#This Row],[Марка]],Таблица13[#All],5,0)</f>
        <v>Крупноузловая</v>
      </c>
      <c r="AI10" s="12">
        <v>43466</v>
      </c>
      <c r="AJ10">
        <v>151</v>
      </c>
      <c r="AM10" s="14" t="s">
        <v>142</v>
      </c>
      <c r="AN10" s="14" t="s">
        <v>176</v>
      </c>
      <c r="AO10" s="14">
        <v>2015</v>
      </c>
      <c r="AP10" t="s">
        <v>171</v>
      </c>
      <c r="AQ10" t="s">
        <v>183</v>
      </c>
    </row>
    <row r="11" spans="2:43">
      <c r="B11" s="14" t="s">
        <v>183</v>
      </c>
      <c r="C11" s="16">
        <v>0.74837532270987273</v>
      </c>
      <c r="D11" s="16">
        <v>0.79464341521345083</v>
      </c>
      <c r="E11" s="16">
        <v>0.83380914220842095</v>
      </c>
      <c r="F11" s="16">
        <v>0.71765754118695291</v>
      </c>
      <c r="G11" s="16">
        <v>0.73786132413667926</v>
      </c>
      <c r="H11" s="16">
        <v>0.61649141450864142</v>
      </c>
      <c r="I11" s="16">
        <v>0.75699220239582377</v>
      </c>
      <c r="J11" s="16"/>
      <c r="K11" s="14" t="s">
        <v>17</v>
      </c>
      <c r="L11" s="16">
        <v>5.1054927445918274E-2</v>
      </c>
      <c r="N11" s="14" t="s">
        <v>6</v>
      </c>
      <c r="O11" s="16">
        <v>3.9518094880930055E-2</v>
      </c>
      <c r="Q11" s="14" t="s">
        <v>4</v>
      </c>
      <c r="R11" s="16">
        <v>3.6370899950895125E-2</v>
      </c>
      <c r="T11" s="14" t="s">
        <v>22</v>
      </c>
      <c r="U11" s="16">
        <v>3.4402732748654921E-2</v>
      </c>
      <c r="W11" s="14" t="s">
        <v>23</v>
      </c>
      <c r="X11" s="16">
        <v>3.019214211265691E-2</v>
      </c>
      <c r="Z11" s="14" t="s">
        <v>22</v>
      </c>
      <c r="AA11" s="16">
        <v>3.3489009452430225E-2</v>
      </c>
      <c r="AD11" t="s">
        <v>142</v>
      </c>
      <c r="AE11" t="str">
        <f>VLOOKUP(Таблица1_113[[#This Row],[Марка]],Таблица13[#All],4,0)</f>
        <v>Узбекистан</v>
      </c>
      <c r="AF11" t="str">
        <f>VLOOKUP(Таблица1_113[[#This Row],[Марка]],Таблица13[#All],2,0)</f>
        <v>Economy</v>
      </c>
      <c r="AG11">
        <f>VLOOKUP(Таблица1_113[[#This Row],[Марка]],Таблица13[#All],3,0)</f>
        <v>2015</v>
      </c>
      <c r="AH11" t="str">
        <f>VLOOKUP(Таблица1_113[[#This Row],[Марка]],Таблица13[#All],5,0)</f>
        <v>Крупноузловая</v>
      </c>
      <c r="AI11" s="12">
        <v>43466</v>
      </c>
      <c r="AJ11">
        <v>0</v>
      </c>
      <c r="AM11" s="14" t="s">
        <v>19</v>
      </c>
      <c r="AN11" s="14" t="s">
        <v>176</v>
      </c>
      <c r="AO11" s="14">
        <v>1970</v>
      </c>
      <c r="AP11" t="s">
        <v>169</v>
      </c>
      <c r="AQ11" t="s">
        <v>183</v>
      </c>
    </row>
    <row r="12" spans="2:43">
      <c r="B12" s="14" t="s">
        <v>182</v>
      </c>
      <c r="C12" s="16">
        <v>0.25162467729012733</v>
      </c>
      <c r="D12" s="16">
        <v>0.20535658478654917</v>
      </c>
      <c r="E12" s="16">
        <v>0.16619085779157902</v>
      </c>
      <c r="F12" s="16">
        <v>0.28234245881304704</v>
      </c>
      <c r="G12" s="16">
        <v>0.26213867586332079</v>
      </c>
      <c r="H12" s="16">
        <v>0.38350858549135858</v>
      </c>
      <c r="I12" s="16">
        <v>0.24300779760417626</v>
      </c>
      <c r="J12" s="16"/>
      <c r="K12" s="14" t="s">
        <v>2</v>
      </c>
      <c r="L12" s="16">
        <v>4.5223893884091516E-2</v>
      </c>
      <c r="N12" s="14" t="s">
        <v>124</v>
      </c>
      <c r="O12" s="16">
        <v>3.1850949017646936E-2</v>
      </c>
      <c r="Q12" s="14" t="s">
        <v>5</v>
      </c>
      <c r="R12" s="16">
        <v>2.220539154896755E-2</v>
      </c>
      <c r="T12" s="14" t="s">
        <v>4</v>
      </c>
      <c r="U12" s="16">
        <v>3.2838181992020793E-2</v>
      </c>
      <c r="W12" s="14" t="s">
        <v>21</v>
      </c>
      <c r="X12" s="16">
        <v>2.9829609824625007E-2</v>
      </c>
      <c r="Z12" s="14" t="s">
        <v>136</v>
      </c>
      <c r="AA12" s="16">
        <v>2.9154315118295207E-2</v>
      </c>
      <c r="AD12" t="s">
        <v>37</v>
      </c>
      <c r="AE12" t="str">
        <f>VLOOKUP(Таблица1_113[[#This Row],[Марка]],Таблица13[#All],4,0)</f>
        <v>Германия</v>
      </c>
      <c r="AF12" t="str">
        <f>VLOOKUP(Таблица1_113[[#This Row],[Марка]],Таблица13[#All],2,0)</f>
        <v>Luxury</v>
      </c>
      <c r="AG12">
        <f>VLOOKUP(Таблица1_113[[#This Row],[Марка]],Таблица13[#All],3,0)</f>
        <v>1931</v>
      </c>
      <c r="AH12" t="str">
        <f>VLOOKUP(Таблица1_113[[#This Row],[Марка]],Таблица13[#All],5,0)</f>
        <v>Нет</v>
      </c>
      <c r="AI12" s="12">
        <v>43466</v>
      </c>
      <c r="AJ12">
        <v>9</v>
      </c>
      <c r="AM12" s="14" t="s">
        <v>23</v>
      </c>
      <c r="AN12" s="14" t="s">
        <v>176</v>
      </c>
      <c r="AO12" s="14">
        <v>1899</v>
      </c>
      <c r="AP12" t="s">
        <v>166</v>
      </c>
      <c r="AQ12" t="s">
        <v>183</v>
      </c>
    </row>
    <row r="13" spans="2:43">
      <c r="B13" s="14" t="s">
        <v>155</v>
      </c>
      <c r="C13" s="16">
        <v>1</v>
      </c>
      <c r="D13" s="16">
        <v>1</v>
      </c>
      <c r="E13" s="16">
        <v>1</v>
      </c>
      <c r="F13" s="16">
        <v>1</v>
      </c>
      <c r="G13" s="16">
        <v>1</v>
      </c>
      <c r="H13" s="16">
        <v>1</v>
      </c>
      <c r="I13" s="16">
        <v>1</v>
      </c>
      <c r="K13" s="14" t="s">
        <v>124</v>
      </c>
      <c r="L13" s="16">
        <v>4.2152586130152228E-2</v>
      </c>
      <c r="N13" s="14" t="s">
        <v>17</v>
      </c>
      <c r="O13" s="16">
        <v>2.0589828530949851E-2</v>
      </c>
      <c r="Q13" s="14" t="s">
        <v>6</v>
      </c>
      <c r="R13" s="16">
        <v>1.2259573370175861E-2</v>
      </c>
      <c r="T13" s="14" t="s">
        <v>23</v>
      </c>
      <c r="U13" s="16">
        <v>3.1656076975897229E-2</v>
      </c>
      <c r="W13" s="14" t="s">
        <v>4</v>
      </c>
      <c r="X13" s="16">
        <v>2.9433090134590112E-2</v>
      </c>
      <c r="Z13" s="14" t="s">
        <v>21</v>
      </c>
      <c r="AA13" s="16">
        <v>2.5155210022931931E-2</v>
      </c>
      <c r="AD13" t="s">
        <v>146</v>
      </c>
      <c r="AE13" t="str">
        <f>VLOOKUP(Таблица1_113[[#This Row],[Марка]],Таблица13[#All],4,0)</f>
        <v>Франция</v>
      </c>
      <c r="AF13" t="str">
        <f>VLOOKUP(Таблица1_113[[#This Row],[Марка]],Таблица13[#All],2,0)</f>
        <v>Economy</v>
      </c>
      <c r="AG13">
        <f>VLOOKUP(Таблица1_113[[#This Row],[Марка]],Таблица13[#All],3,0)</f>
        <v>1810</v>
      </c>
      <c r="AH13" t="str">
        <f>VLOOKUP(Таблица1_113[[#This Row],[Марка]],Таблица13[#All],5,0)</f>
        <v>Нет</v>
      </c>
      <c r="AI13" s="12">
        <v>43466</v>
      </c>
      <c r="AJ13">
        <v>13</v>
      </c>
      <c r="AM13" s="14" t="s">
        <v>141</v>
      </c>
      <c r="AN13" s="14" t="s">
        <v>178</v>
      </c>
      <c r="AO13" s="14">
        <v>1895</v>
      </c>
      <c r="AP13" t="s">
        <v>165</v>
      </c>
      <c r="AQ13" t="s">
        <v>183</v>
      </c>
    </row>
    <row r="14" spans="2:43">
      <c r="E14"/>
      <c r="K14" s="14" t="s">
        <v>18</v>
      </c>
      <c r="L14" s="16">
        <v>3.3695361880174489E-2</v>
      </c>
      <c r="N14" s="14" t="s">
        <v>7</v>
      </c>
      <c r="O14" s="16">
        <v>2.0105423255620144E-2</v>
      </c>
      <c r="Q14" s="14" t="s">
        <v>23</v>
      </c>
      <c r="R14" s="16">
        <v>1.1660327421328161E-2</v>
      </c>
      <c r="T14" s="14" t="s">
        <v>5</v>
      </c>
      <c r="U14" s="16">
        <v>1.5349981312310407E-2</v>
      </c>
      <c r="W14" s="14" t="s">
        <v>22</v>
      </c>
      <c r="X14" s="16">
        <v>2.76090995604296E-2</v>
      </c>
      <c r="Z14" s="14" t="s">
        <v>5</v>
      </c>
      <c r="AA14" s="16">
        <v>2.1953129369651547E-2</v>
      </c>
      <c r="AD14" t="s">
        <v>22</v>
      </c>
      <c r="AE14" t="str">
        <f>VLOOKUP(Таблица1_113[[#This Row],[Марка]],Таблица13[#All],4,0)</f>
        <v>Япония</v>
      </c>
      <c r="AF14" t="str">
        <f>VLOOKUP(Таблица1_113[[#This Row],[Марка]],Таблица13[#All],2,0)</f>
        <v>Business</v>
      </c>
      <c r="AG14">
        <f>VLOOKUP(Таблица1_113[[#This Row],[Марка]],Таблица13[#All],3,0)</f>
        <v>1933</v>
      </c>
      <c r="AH14" t="str">
        <f>VLOOKUP(Таблица1_113[[#This Row],[Марка]],Таблица13[#All],5,0)</f>
        <v>Нет</v>
      </c>
      <c r="AI14" s="12">
        <v>43466</v>
      </c>
      <c r="AJ14">
        <v>159</v>
      </c>
      <c r="AM14" s="14" t="s">
        <v>145</v>
      </c>
      <c r="AN14" s="14" t="s">
        <v>176</v>
      </c>
      <c r="AO14" s="14">
        <v>1997</v>
      </c>
      <c r="AP14" t="s">
        <v>164</v>
      </c>
      <c r="AQ14" t="s">
        <v>182</v>
      </c>
    </row>
    <row r="15" spans="2:43">
      <c r="B15" s="13" t="s">
        <v>218</v>
      </c>
      <c r="C15" s="13" t="s">
        <v>151</v>
      </c>
      <c r="E15"/>
      <c r="K15" s="14" t="s">
        <v>5</v>
      </c>
      <c r="L15" s="16">
        <v>2.0341849906525416E-2</v>
      </c>
      <c r="N15" s="14" t="s">
        <v>18</v>
      </c>
      <c r="O15" s="16">
        <v>1.9016813550846928E-2</v>
      </c>
      <c r="Q15" s="14" t="s">
        <v>21</v>
      </c>
      <c r="R15" s="16">
        <v>9.8792352955863871E-3</v>
      </c>
      <c r="T15" s="14" t="s">
        <v>136</v>
      </c>
      <c r="U15" s="16">
        <v>1.4211336039426679E-2</v>
      </c>
      <c r="W15" s="14" t="s">
        <v>136</v>
      </c>
      <c r="X15" s="16">
        <v>2.1887886889926135E-2</v>
      </c>
      <c r="Z15" s="14" t="s">
        <v>4</v>
      </c>
      <c r="AA15" s="16">
        <v>1.8765031601319985E-2</v>
      </c>
      <c r="AD15" t="s">
        <v>9</v>
      </c>
      <c r="AE15" t="str">
        <f>VLOOKUP(Таблица1_113[[#This Row],[Марка]],Таблица13[#All],4,0)</f>
        <v>Япония</v>
      </c>
      <c r="AF15" t="str">
        <f>VLOOKUP(Таблица1_113[[#This Row],[Марка]],Таблица13[#All],2,0)</f>
        <v>Business</v>
      </c>
      <c r="AG15">
        <f>VLOOKUP(Таблица1_113[[#This Row],[Марка]],Таблица13[#All],3,0)</f>
        <v>1870</v>
      </c>
      <c r="AH15" t="str">
        <f>VLOOKUP(Таблица1_113[[#This Row],[Марка]],Таблица13[#All],5,0)</f>
        <v>Нет</v>
      </c>
      <c r="AI15" s="12">
        <v>43466</v>
      </c>
      <c r="AJ15">
        <v>42</v>
      </c>
      <c r="AM15" s="14" t="s">
        <v>38</v>
      </c>
      <c r="AN15" s="14" t="s">
        <v>177</v>
      </c>
      <c r="AO15" s="14">
        <v>1932</v>
      </c>
      <c r="AP15" t="s">
        <v>167</v>
      </c>
      <c r="AQ15" t="s">
        <v>182</v>
      </c>
    </row>
    <row r="16" spans="2:43">
      <c r="B16" s="13" t="s">
        <v>231</v>
      </c>
      <c r="C16" t="s">
        <v>160</v>
      </c>
      <c r="D16" t="s">
        <v>159</v>
      </c>
      <c r="E16" t="s">
        <v>230</v>
      </c>
      <c r="F16" t="s">
        <v>158</v>
      </c>
      <c r="G16" t="s">
        <v>157</v>
      </c>
      <c r="H16" t="s">
        <v>156</v>
      </c>
      <c r="I16" t="s">
        <v>155</v>
      </c>
      <c r="K16" s="14" t="s">
        <v>125</v>
      </c>
      <c r="L16" s="16">
        <v>1.4777886584171637E-2</v>
      </c>
      <c r="N16" s="14" t="s">
        <v>5</v>
      </c>
      <c r="O16" s="16">
        <v>1.8943892326603744E-2</v>
      </c>
      <c r="Q16" s="14" t="s">
        <v>22</v>
      </c>
      <c r="R16" s="16">
        <v>9.288312207139349E-3</v>
      </c>
      <c r="T16" s="14" t="s">
        <v>8</v>
      </c>
      <c r="U16" s="16">
        <v>1.1760206520699876E-2</v>
      </c>
      <c r="W16" s="14" t="s">
        <v>5</v>
      </c>
      <c r="X16" s="16">
        <v>1.5622875787374813E-2</v>
      </c>
      <c r="Z16" s="14" t="s">
        <v>141</v>
      </c>
      <c r="AA16" s="16">
        <v>1.4737960736059064E-2</v>
      </c>
      <c r="AD16" t="s">
        <v>40</v>
      </c>
      <c r="AE16" t="str">
        <f>VLOOKUP(Таблица1_113[[#This Row],[Марка]],Таблица13[#All],4,0)</f>
        <v>Великобритания</v>
      </c>
      <c r="AF16" t="str">
        <f>VLOOKUP(Таблица1_113[[#This Row],[Марка]],Таблица13[#All],2,0)</f>
        <v>Luxury</v>
      </c>
      <c r="AG16">
        <f>VLOOKUP(Таблица1_113[[#This Row],[Марка]],Таблица13[#All],3,0)</f>
        <v>1959</v>
      </c>
      <c r="AH16" t="str">
        <f>VLOOKUP(Таблица1_113[[#This Row],[Марка]],Таблица13[#All],5,0)</f>
        <v>Нет</v>
      </c>
      <c r="AI16" s="12">
        <v>43466</v>
      </c>
      <c r="AJ16">
        <v>1</v>
      </c>
      <c r="AM16" s="14" t="s">
        <v>8</v>
      </c>
      <c r="AN16" s="14" t="s">
        <v>177</v>
      </c>
      <c r="AO16" s="14">
        <v>1916</v>
      </c>
      <c r="AP16" t="s">
        <v>167</v>
      </c>
      <c r="AQ16" t="s">
        <v>182</v>
      </c>
    </row>
    <row r="17" spans="2:43">
      <c r="B17" s="14" t="s">
        <v>162</v>
      </c>
      <c r="C17" s="16">
        <v>0.40176266358052165</v>
      </c>
      <c r="D17" s="16">
        <v>0.37969039731649895</v>
      </c>
      <c r="E17" s="16">
        <v>0.37090553941700893</v>
      </c>
      <c r="F17" s="16">
        <v>0.29417879417879417</v>
      </c>
      <c r="G17" s="16">
        <v>0.28250215546580748</v>
      </c>
      <c r="H17" s="16">
        <v>0.27112813915767103</v>
      </c>
      <c r="I17" s="16">
        <v>0.33584268037712528</v>
      </c>
      <c r="K17" s="14" t="s">
        <v>19</v>
      </c>
      <c r="L17" s="16">
        <v>1.2952906614439598E-2</v>
      </c>
      <c r="N17" s="14" t="s">
        <v>19</v>
      </c>
      <c r="O17" s="16">
        <v>7.9900827135029277E-3</v>
      </c>
      <c r="Q17" s="14" t="s">
        <v>8</v>
      </c>
      <c r="R17" s="16">
        <v>8.2812460986591875E-3</v>
      </c>
      <c r="T17" s="14" t="s">
        <v>9</v>
      </c>
      <c r="U17" s="16">
        <v>1.1021390885622647E-2</v>
      </c>
      <c r="W17" s="14" t="s">
        <v>8</v>
      </c>
      <c r="X17" s="16">
        <v>1.0150904064893279E-2</v>
      </c>
      <c r="Z17" s="14" t="s">
        <v>1</v>
      </c>
      <c r="AA17" s="16">
        <v>1.254264779909391E-2</v>
      </c>
      <c r="AD17" t="s">
        <v>128</v>
      </c>
      <c r="AE17" t="str">
        <f>VLOOKUP(Таблица1_113[[#This Row],[Марка]],Таблица13[#All],4,0)</f>
        <v>Германия</v>
      </c>
      <c r="AF17" t="str">
        <f>VLOOKUP(Таблица1_113[[#This Row],[Марка]],Таблица13[#All],2,0)</f>
        <v>Luxury</v>
      </c>
      <c r="AG17">
        <f>VLOOKUP(Таблица1_113[[#This Row],[Марка]],Таблица13[#All],3,0)</f>
        <v>1926</v>
      </c>
      <c r="AH17" t="str">
        <f>VLOOKUP(Таблица1_113[[#This Row],[Марка]],Таблица13[#All],5,0)</f>
        <v>Нет</v>
      </c>
      <c r="AI17" s="12">
        <v>43466</v>
      </c>
      <c r="AJ17">
        <v>43</v>
      </c>
      <c r="AM17" s="14" t="s">
        <v>36</v>
      </c>
      <c r="AN17" s="14" t="s">
        <v>177</v>
      </c>
      <c r="AO17" s="14">
        <v>1902</v>
      </c>
      <c r="AP17" t="s">
        <v>173</v>
      </c>
      <c r="AQ17" t="s">
        <v>182</v>
      </c>
    </row>
    <row r="18" spans="2:43">
      <c r="B18" s="14" t="s">
        <v>173</v>
      </c>
      <c r="C18" s="16">
        <v>8.9646577049764087E-2</v>
      </c>
      <c r="D18" s="16">
        <v>0.24109840198345731</v>
      </c>
      <c r="E18" s="16">
        <v>0.28950048415639923</v>
      </c>
      <c r="F18" s="16">
        <v>0.26461852932441166</v>
      </c>
      <c r="G18" s="16">
        <v>0.11582792576121977</v>
      </c>
      <c r="H18" s="16">
        <v>1.4430337267184965E-2</v>
      </c>
      <c r="I18" s="16">
        <v>0.204667385501453</v>
      </c>
      <c r="K18" s="14" t="s">
        <v>7</v>
      </c>
      <c r="L18" s="16">
        <v>1.2552301255230125E-2</v>
      </c>
      <c r="N18" s="14" t="s">
        <v>125</v>
      </c>
      <c r="O18" s="16">
        <v>7.9067441715107191E-3</v>
      </c>
      <c r="Q18" s="14" t="s">
        <v>136</v>
      </c>
      <c r="R18" s="16">
        <v>5.3183077960233371E-3</v>
      </c>
      <c r="T18" s="14" t="s">
        <v>6</v>
      </c>
      <c r="U18" s="16">
        <v>1.0960547245086875E-2</v>
      </c>
      <c r="W18" s="14" t="s">
        <v>9</v>
      </c>
      <c r="X18" s="16">
        <v>9.28988988081751E-3</v>
      </c>
      <c r="Z18" s="14" t="s">
        <v>8</v>
      </c>
      <c r="AA18" s="16">
        <v>1.0710889870798143E-2</v>
      </c>
      <c r="AD18" t="s">
        <v>139</v>
      </c>
      <c r="AE18" t="str">
        <f>VLOOKUP(Таблица1_113[[#This Row],[Марка]],Таблица13[#All],4,0)</f>
        <v>Япония</v>
      </c>
      <c r="AF18" t="str">
        <f>VLOOKUP(Таблица1_113[[#This Row],[Марка]],Таблица13[#All],2,0)</f>
        <v>Business</v>
      </c>
      <c r="AG18">
        <f>VLOOKUP(Таблица1_113[[#This Row],[Марка]],Таблица13[#All],3,0)</f>
        <v>1920</v>
      </c>
      <c r="AH18" t="str">
        <f>VLOOKUP(Таблица1_113[[#This Row],[Марка]],Таблица13[#All],5,0)</f>
        <v>Нет</v>
      </c>
      <c r="AI18" s="12">
        <v>43466</v>
      </c>
      <c r="AJ18">
        <v>15</v>
      </c>
      <c r="AM18" s="14" t="s">
        <v>124</v>
      </c>
      <c r="AN18" s="14" t="s">
        <v>176</v>
      </c>
      <c r="AO18" s="14">
        <v>1862</v>
      </c>
      <c r="AP18" t="s">
        <v>164</v>
      </c>
      <c r="AQ18" t="s">
        <v>182</v>
      </c>
    </row>
    <row r="19" spans="2:43">
      <c r="B19" s="14" t="s">
        <v>168</v>
      </c>
      <c r="C19" s="16">
        <v>8.7376480014243751E-2</v>
      </c>
      <c r="D19" s="16">
        <v>8.8406567077108991E-2</v>
      </c>
      <c r="E19" s="16">
        <v>0.12520451434104646</v>
      </c>
      <c r="F19" s="16">
        <v>0.2021087021087021</v>
      </c>
      <c r="G19" s="16">
        <v>0.18407677996097471</v>
      </c>
      <c r="H19" s="16">
        <v>0.28481738352256836</v>
      </c>
      <c r="I19" s="16">
        <v>0.1539583031992531</v>
      </c>
      <c r="J19" s="16"/>
      <c r="K19" s="14" t="s">
        <v>20</v>
      </c>
      <c r="L19" s="16">
        <v>1.2196207602599483E-2</v>
      </c>
      <c r="N19" s="14" t="s">
        <v>126</v>
      </c>
      <c r="O19" s="16">
        <v>7.1931579057024396E-3</v>
      </c>
      <c r="Q19" s="14" t="s">
        <v>125</v>
      </c>
      <c r="R19" s="16">
        <v>5.2766934940200244E-3</v>
      </c>
      <c r="T19" s="14" t="s">
        <v>125</v>
      </c>
      <c r="U19" s="16">
        <v>8.1878156263852798E-3</v>
      </c>
      <c r="W19" s="14" t="s">
        <v>125</v>
      </c>
      <c r="X19" s="16">
        <v>7.2959622966420447E-3</v>
      </c>
      <c r="Z19" s="14" t="s">
        <v>9</v>
      </c>
      <c r="AA19" s="16">
        <v>9.9418311986128986E-3</v>
      </c>
      <c r="AD19" t="s">
        <v>144</v>
      </c>
      <c r="AE19" t="str">
        <f>VLOOKUP(Таблица1_113[[#This Row],[Марка]],Таблица13[#All],4,0)</f>
        <v>Китай</v>
      </c>
      <c r="AF19" t="str">
        <f>VLOOKUP(Таблица1_113[[#This Row],[Марка]],Таблица13[#All],2,0)</f>
        <v>Economy</v>
      </c>
      <c r="AG19">
        <f>VLOOKUP(Таблица1_113[[#This Row],[Марка]],Таблица13[#All],3,0)</f>
        <v>1992</v>
      </c>
      <c r="AH19" t="str">
        <f>VLOOKUP(Таблица1_113[[#This Row],[Марка]],Таблица13[#All],5,0)</f>
        <v>Нет</v>
      </c>
      <c r="AI19" s="12">
        <v>43466</v>
      </c>
      <c r="AJ19">
        <v>50</v>
      </c>
      <c r="AM19" s="14" t="s">
        <v>137</v>
      </c>
      <c r="AN19" s="14" t="s">
        <v>176</v>
      </c>
      <c r="AO19" s="14">
        <v>1967</v>
      </c>
      <c r="AP19" t="s">
        <v>162</v>
      </c>
      <c r="AQ19" t="s">
        <v>182</v>
      </c>
    </row>
    <row r="20" spans="2:43">
      <c r="B20" s="14" t="s">
        <v>164</v>
      </c>
      <c r="C20" s="16">
        <v>0.37875011127926644</v>
      </c>
      <c r="D20" s="16">
        <v>0.25073442090130632</v>
      </c>
      <c r="E20" s="16">
        <v>0.10680657117099068</v>
      </c>
      <c r="F20" s="16">
        <v>4.5257604081133496E-2</v>
      </c>
      <c r="G20" s="16">
        <v>3.025593320324908E-2</v>
      </c>
      <c r="H20" s="16">
        <v>2.9322109737681078E-2</v>
      </c>
      <c r="I20" s="16">
        <v>0.13048659416954858</v>
      </c>
      <c r="J20" s="16"/>
      <c r="K20" s="14" t="s">
        <v>126</v>
      </c>
      <c r="L20" s="16">
        <v>1.1083414938128727E-2</v>
      </c>
      <c r="N20" s="14" t="s">
        <v>8</v>
      </c>
      <c r="O20" s="16">
        <v>6.7191699481217579E-3</v>
      </c>
      <c r="Q20" s="14" t="s">
        <v>128</v>
      </c>
      <c r="R20" s="16">
        <v>4.5775732203643749E-3</v>
      </c>
      <c r="T20" s="14" t="s">
        <v>128</v>
      </c>
      <c r="U20" s="16">
        <v>5.0152543698771829E-3</v>
      </c>
      <c r="W20" s="14" t="s">
        <v>128</v>
      </c>
      <c r="X20" s="16">
        <v>4.7355780124167307E-3</v>
      </c>
      <c r="Z20" s="14" t="s">
        <v>125</v>
      </c>
      <c r="AA20" s="16">
        <v>8.8931148274512001E-3</v>
      </c>
      <c r="AD20" t="s">
        <v>5</v>
      </c>
      <c r="AE20" t="str">
        <f>VLOOKUP(Таблица1_113[[#This Row],[Марка]],Таблица13[#All],4,0)</f>
        <v>Япония</v>
      </c>
      <c r="AF20" t="str">
        <f>VLOOKUP(Таблица1_113[[#This Row],[Марка]],Таблица13[#All],2,0)</f>
        <v>Luxury</v>
      </c>
      <c r="AG20">
        <f>VLOOKUP(Таблица1_113[[#This Row],[Марка]],Таблица13[#All],3,0)</f>
        <v>1989</v>
      </c>
      <c r="AH20" t="str">
        <f>VLOOKUP(Таблица1_113[[#This Row],[Марка]],Таблица13[#All],5,0)</f>
        <v>Нет</v>
      </c>
      <c r="AI20" s="12">
        <v>43466</v>
      </c>
      <c r="AJ20">
        <v>110</v>
      </c>
      <c r="AM20" s="14" t="s">
        <v>130</v>
      </c>
      <c r="AN20" s="14" t="s">
        <v>176</v>
      </c>
      <c r="AO20" s="14">
        <v>1969</v>
      </c>
      <c r="AP20" t="s">
        <v>164</v>
      </c>
      <c r="AQ20" t="s">
        <v>182</v>
      </c>
    </row>
    <row r="21" spans="2:43">
      <c r="B21" s="14" t="s">
        <v>169</v>
      </c>
      <c r="C21" s="16">
        <v>2.4036321552568324E-2</v>
      </c>
      <c r="D21" s="16">
        <v>1.8407400462528908E-2</v>
      </c>
      <c r="E21" s="16">
        <v>6.6888710808374233E-2</v>
      </c>
      <c r="F21" s="16">
        <v>9.6018448959625427E-2</v>
      </c>
      <c r="G21" s="16">
        <v>0.21964196578481646</v>
      </c>
      <c r="H21" s="16">
        <v>0.24450472621511271</v>
      </c>
      <c r="I21" s="16">
        <v>9.8498994069613016E-2</v>
      </c>
      <c r="J21" s="16"/>
      <c r="K21" s="14" t="s">
        <v>9</v>
      </c>
      <c r="L21" s="16">
        <v>5.8755452684055905E-3</v>
      </c>
      <c r="N21" s="14" t="s">
        <v>20</v>
      </c>
      <c r="O21" s="16">
        <v>5.385753276246432E-3</v>
      </c>
      <c r="Q21" s="14" t="s">
        <v>9</v>
      </c>
      <c r="R21" s="16">
        <v>4.3029188271425127E-3</v>
      </c>
      <c r="T21" s="14" t="s">
        <v>135</v>
      </c>
      <c r="U21" s="16">
        <v>4.9631026779893787E-3</v>
      </c>
      <c r="W21" s="14" t="s">
        <v>139</v>
      </c>
      <c r="X21" s="16">
        <v>4.123804776362895E-3</v>
      </c>
      <c r="Z21" s="14" t="s">
        <v>128</v>
      </c>
      <c r="AA21" s="16">
        <v>6.2922982269701883E-3</v>
      </c>
      <c r="AD21" t="s">
        <v>35</v>
      </c>
      <c r="AE21" t="str">
        <f>VLOOKUP(Таблица1_113[[#This Row],[Марка]],Таблица13[#All],4,0)</f>
        <v>Великобритания</v>
      </c>
      <c r="AF21" t="str">
        <f>VLOOKUP(Таблица1_113[[#This Row],[Марка]],Таблица13[#All],2,0)</f>
        <v>Luxury</v>
      </c>
      <c r="AG21">
        <f>VLOOKUP(Таблица1_113[[#This Row],[Марка]],Таблица13[#All],3,0)</f>
        <v>1948</v>
      </c>
      <c r="AH21" t="str">
        <f>VLOOKUP(Таблица1_113[[#This Row],[Марка]],Таблица13[#All],5,0)</f>
        <v>Нет</v>
      </c>
      <c r="AI21" s="12">
        <v>43466</v>
      </c>
      <c r="AJ21">
        <v>18</v>
      </c>
      <c r="AM21" s="14" t="s">
        <v>7</v>
      </c>
      <c r="AN21" s="14" t="s">
        <v>178</v>
      </c>
      <c r="AO21" s="14">
        <v>2017</v>
      </c>
      <c r="AP21" t="s">
        <v>164</v>
      </c>
      <c r="AQ21" t="s">
        <v>182</v>
      </c>
    </row>
    <row r="22" spans="2:43">
      <c r="B22" s="14" t="s">
        <v>167</v>
      </c>
      <c r="C22" s="16">
        <v>1.526751535653877E-2</v>
      </c>
      <c r="D22" s="16">
        <v>1.9282455153447089E-2</v>
      </c>
      <c r="E22" s="16">
        <v>2.7964205816554809E-2</v>
      </c>
      <c r="F22" s="16">
        <v>5.816838169779346E-2</v>
      </c>
      <c r="G22" s="16">
        <v>4.8350501429414168E-2</v>
      </c>
      <c r="H22" s="16">
        <v>4.580793109234297E-2</v>
      </c>
      <c r="I22" s="16">
        <v>3.5490276006259119E-2</v>
      </c>
      <c r="J22" s="16"/>
      <c r="K22" s="14" t="s">
        <v>127</v>
      </c>
      <c r="L22" s="16">
        <v>5.118846256565477E-3</v>
      </c>
      <c r="N22" s="14" t="s">
        <v>128</v>
      </c>
      <c r="O22" s="16">
        <v>4.5679938329478923E-3</v>
      </c>
      <c r="Q22" s="14" t="s">
        <v>37</v>
      </c>
      <c r="R22" s="16">
        <v>4.0116187131193247E-3</v>
      </c>
      <c r="T22" s="14" t="s">
        <v>139</v>
      </c>
      <c r="U22" s="16">
        <v>4.554581091534911E-3</v>
      </c>
      <c r="W22" s="14" t="s">
        <v>141</v>
      </c>
      <c r="X22" s="16">
        <v>2.9795622422622015E-3</v>
      </c>
      <c r="Z22" s="14" t="s">
        <v>139</v>
      </c>
      <c r="AA22" s="16">
        <v>5.4533251300408299E-3</v>
      </c>
      <c r="AD22" t="s">
        <v>19</v>
      </c>
      <c r="AE22" t="str">
        <f>VLOOKUP(Таблица1_113[[#This Row],[Марка]],Таблица13[#All],4,0)</f>
        <v>Россия</v>
      </c>
      <c r="AF22" t="str">
        <f>VLOOKUP(Таблица1_113[[#This Row],[Марка]],Таблица13[#All],2,0)</f>
        <v>Economy</v>
      </c>
      <c r="AG22">
        <f>VLOOKUP(Таблица1_113[[#This Row],[Марка]],Таблица13[#All],3,0)</f>
        <v>1970</v>
      </c>
      <c r="AH22" t="str">
        <f>VLOOKUP(Таблица1_113[[#This Row],[Марка]],Таблица13[#All],5,0)</f>
        <v>Крупноузловая</v>
      </c>
      <c r="AI22" s="12">
        <v>43466</v>
      </c>
      <c r="AJ22">
        <v>993</v>
      </c>
      <c r="AM22" s="14" t="s">
        <v>129</v>
      </c>
      <c r="AN22" s="14" t="s">
        <v>176</v>
      </c>
      <c r="AO22" s="14">
        <v>1953</v>
      </c>
      <c r="AP22" t="s">
        <v>164</v>
      </c>
      <c r="AQ22" t="s">
        <v>182</v>
      </c>
    </row>
    <row r="23" spans="2:43">
      <c r="B23" s="14" t="s">
        <v>171</v>
      </c>
      <c r="C23" s="16">
        <v>0</v>
      </c>
      <c r="D23" s="16">
        <v>0</v>
      </c>
      <c r="E23" s="16">
        <v>0</v>
      </c>
      <c r="F23" s="16">
        <v>5.4158877688289457E-4</v>
      </c>
      <c r="G23" s="16">
        <v>8.1102237146617059E-2</v>
      </c>
      <c r="H23" s="16">
        <v>4.9848984842552714E-2</v>
      </c>
      <c r="I23" s="16">
        <v>1.7712264461071152E-2</v>
      </c>
      <c r="J23" s="16"/>
      <c r="K23" s="14" t="s">
        <v>128</v>
      </c>
      <c r="L23" s="16">
        <v>4.7182408973560049E-3</v>
      </c>
      <c r="N23" s="14" t="s">
        <v>38</v>
      </c>
      <c r="O23" s="16">
        <v>4.2919349125987039E-3</v>
      </c>
      <c r="Q23" s="14" t="s">
        <v>135</v>
      </c>
      <c r="R23" s="16">
        <v>2.9546154422351876E-3</v>
      </c>
      <c r="T23" s="14" t="s">
        <v>34</v>
      </c>
      <c r="U23" s="16">
        <v>4.4328938104633677E-3</v>
      </c>
      <c r="W23" s="14" t="s">
        <v>34</v>
      </c>
      <c r="X23" s="16">
        <v>2.7643086962432593E-3</v>
      </c>
      <c r="Z23" s="14" t="s">
        <v>140</v>
      </c>
      <c r="AA23" s="16">
        <v>4.0969852900050339E-3</v>
      </c>
      <c r="AD23" t="s">
        <v>15</v>
      </c>
      <c r="AE23" t="str">
        <f>VLOOKUP(Таблица1_113[[#This Row],[Марка]],Таблица13[#All],4,0)</f>
        <v>Корея</v>
      </c>
      <c r="AF23" t="str">
        <f>VLOOKUP(Таблица1_113[[#This Row],[Марка]],Таблица13[#All],2,0)</f>
        <v>Economy</v>
      </c>
      <c r="AG23">
        <f>VLOOKUP(Таблица1_113[[#This Row],[Марка]],Таблица13[#All],3,0)</f>
        <v>1944</v>
      </c>
      <c r="AH23" t="str">
        <f>VLOOKUP(Таблица1_113[[#This Row],[Марка]],Таблица13[#All],5,0)</f>
        <v>Крупноузловая</v>
      </c>
      <c r="AI23" s="12">
        <v>43466</v>
      </c>
      <c r="AJ23">
        <v>341</v>
      </c>
      <c r="AM23" s="14" t="s">
        <v>147</v>
      </c>
      <c r="AN23" s="14" t="s">
        <v>176</v>
      </c>
      <c r="AO23" s="14">
        <v>1903</v>
      </c>
      <c r="AP23" t="s">
        <v>173</v>
      </c>
      <c r="AQ23" t="s">
        <v>182</v>
      </c>
    </row>
    <row r="24" spans="2:43">
      <c r="B24" s="14" t="s">
        <v>166</v>
      </c>
      <c r="C24" s="16">
        <v>8.9023413157660459E-4</v>
      </c>
      <c r="D24" s="16">
        <v>0</v>
      </c>
      <c r="E24" s="16">
        <v>1.1694881298206951E-2</v>
      </c>
      <c r="F24" s="16">
        <v>3.1813972990443577E-2</v>
      </c>
      <c r="G24" s="16">
        <v>3.0233244089485866E-2</v>
      </c>
      <c r="H24" s="16">
        <v>3.8313104759774036E-2</v>
      </c>
      <c r="I24" s="16">
        <v>1.7206011913371642E-2</v>
      </c>
      <c r="J24" s="16"/>
      <c r="K24" s="14" t="s">
        <v>38</v>
      </c>
      <c r="L24" s="16">
        <v>4.495682364461853E-3</v>
      </c>
      <c r="N24" s="14" t="s">
        <v>9</v>
      </c>
      <c r="O24" s="16">
        <v>3.9950413567514638E-3</v>
      </c>
      <c r="Q24" s="14" t="s">
        <v>36</v>
      </c>
      <c r="R24" s="16">
        <v>2.5717638638047126E-3</v>
      </c>
      <c r="T24" s="14" t="s">
        <v>141</v>
      </c>
      <c r="U24" s="16">
        <v>2.3468261349511945E-3</v>
      </c>
      <c r="W24" s="14" t="s">
        <v>35</v>
      </c>
      <c r="X24" s="16">
        <v>2.6850047582362806E-3</v>
      </c>
      <c r="Z24" s="14" t="s">
        <v>144</v>
      </c>
      <c r="AA24" s="16">
        <v>3.4118239275127246E-3</v>
      </c>
      <c r="AD24" t="s">
        <v>134</v>
      </c>
      <c r="AE24" t="str">
        <f>VLOOKUP(Таблица1_113[[#This Row],[Марка]],Таблица13[#All],4,0)</f>
        <v>Великобритания</v>
      </c>
      <c r="AF24" t="str">
        <f>VLOOKUP(Таблица1_113[[#This Row],[Марка]],Таблица13[#All],2,0)</f>
        <v>Luxury</v>
      </c>
      <c r="AG24">
        <f>VLOOKUP(Таблица1_113[[#This Row],[Марка]],Таблица13[#All],3,0)</f>
        <v>1922</v>
      </c>
      <c r="AH24" t="str">
        <f>VLOOKUP(Таблица1_113[[#This Row],[Марка]],Таблица13[#All],5,0)</f>
        <v>Нет</v>
      </c>
      <c r="AI24" s="12">
        <v>43466</v>
      </c>
      <c r="AJ24">
        <v>21</v>
      </c>
      <c r="AM24" s="14" t="s">
        <v>133</v>
      </c>
      <c r="AN24" s="14" t="s">
        <v>176</v>
      </c>
      <c r="AO24" s="14">
        <v>1996</v>
      </c>
      <c r="AP24" t="s">
        <v>164</v>
      </c>
      <c r="AQ24" t="s">
        <v>182</v>
      </c>
    </row>
    <row r="25" spans="2:43">
      <c r="B25" s="14" t="s">
        <v>172</v>
      </c>
      <c r="C25" s="16">
        <v>2.2700970355203419E-3</v>
      </c>
      <c r="D25" s="16">
        <v>2.3803571056524365E-3</v>
      </c>
      <c r="E25" s="16">
        <v>8.5979498480750615E-4</v>
      </c>
      <c r="F25" s="16">
        <v>3.7823861353273119E-3</v>
      </c>
      <c r="G25" s="16">
        <v>3.9819394654444801E-3</v>
      </c>
      <c r="H25" s="16">
        <v>5.1177358912690863E-3</v>
      </c>
      <c r="I25" s="16">
        <v>2.894515378242975E-3</v>
      </c>
      <c r="J25" s="16"/>
      <c r="K25" s="14" t="s">
        <v>129</v>
      </c>
      <c r="L25" s="16">
        <v>3.6054482328852487E-3</v>
      </c>
      <c r="N25" s="14" t="s">
        <v>136</v>
      </c>
      <c r="O25" s="16">
        <v>3.2241598433235411E-3</v>
      </c>
      <c r="Q25" s="14" t="s">
        <v>34</v>
      </c>
      <c r="R25" s="16">
        <v>2.4219523765927876E-3</v>
      </c>
      <c r="T25" s="14" t="s">
        <v>35</v>
      </c>
      <c r="U25" s="16">
        <v>2.3207502890072924E-3</v>
      </c>
      <c r="W25" s="14" t="s">
        <v>140</v>
      </c>
      <c r="X25" s="16">
        <v>2.6396882222322927E-3</v>
      </c>
      <c r="Z25" s="14" t="s">
        <v>145</v>
      </c>
      <c r="AA25" s="16">
        <v>3.383858157615079E-3</v>
      </c>
      <c r="AD25" t="s">
        <v>4</v>
      </c>
      <c r="AE25" t="str">
        <f>VLOOKUP(Таблица1_113[[#This Row],[Марка]],Таблица13[#All],4,0)</f>
        <v>Китай</v>
      </c>
      <c r="AF25" t="str">
        <f>VLOOKUP(Таблица1_113[[#This Row],[Марка]],Таблица13[#All],2,0)</f>
        <v>Economy</v>
      </c>
      <c r="AG25">
        <f>VLOOKUP(Таблица1_113[[#This Row],[Марка]],Таблица13[#All],3,0)</f>
        <v>1964</v>
      </c>
      <c r="AH25" t="str">
        <f>VLOOKUP(Таблица1_113[[#This Row],[Марка]],Таблица13[#All],5,0)</f>
        <v>Крупноузловая</v>
      </c>
      <c r="AI25" s="12">
        <v>43466</v>
      </c>
      <c r="AJ25">
        <v>34</v>
      </c>
      <c r="AM25" s="14" t="s">
        <v>127</v>
      </c>
      <c r="AN25" s="14" t="s">
        <v>176</v>
      </c>
      <c r="AO25" s="14">
        <v>1997</v>
      </c>
      <c r="AP25" t="s">
        <v>164</v>
      </c>
      <c r="AQ25" t="s">
        <v>182</v>
      </c>
    </row>
    <row r="26" spans="2:43">
      <c r="B26" s="14" t="s">
        <v>165</v>
      </c>
      <c r="C26" s="16">
        <v>0</v>
      </c>
      <c r="D26" s="16">
        <v>0</v>
      </c>
      <c r="E26" s="16">
        <v>0</v>
      </c>
      <c r="F26" s="16">
        <v>2.358531770296476E-3</v>
      </c>
      <c r="G26" s="16">
        <v>2.9836184598629576E-3</v>
      </c>
      <c r="H26" s="16">
        <v>1.4737960736059064E-2</v>
      </c>
      <c r="I26" s="16">
        <v>2.6085155623348103E-3</v>
      </c>
      <c r="J26" s="16"/>
      <c r="K26" s="14" t="s">
        <v>130</v>
      </c>
      <c r="L26" s="16">
        <v>3.2048428736757765E-3</v>
      </c>
      <c r="N26" s="14" t="s">
        <v>37</v>
      </c>
      <c r="O26" s="16">
        <v>2.3595224701543848E-3</v>
      </c>
      <c r="Q26" s="14" t="s">
        <v>124</v>
      </c>
      <c r="R26" s="16">
        <v>2.0640693793642999E-3</v>
      </c>
      <c r="T26" s="14" t="s">
        <v>38</v>
      </c>
      <c r="U26" s="16">
        <v>1.9730723430885972E-3</v>
      </c>
      <c r="W26" s="14" t="s">
        <v>37</v>
      </c>
      <c r="X26" s="16">
        <v>1.880636244165496E-3</v>
      </c>
      <c r="Z26" s="14" t="s">
        <v>137</v>
      </c>
      <c r="AA26" s="16">
        <v>3.0342860338945133E-3</v>
      </c>
      <c r="AD26" t="s">
        <v>140</v>
      </c>
      <c r="AE26" t="str">
        <f>VLOOKUP(Таблица1_113[[#This Row],[Марка]],Таблица13[#All],4,0)</f>
        <v>Япония</v>
      </c>
      <c r="AF26" t="str">
        <f>VLOOKUP(Таблица1_113[[#This Row],[Марка]],Таблица13[#All],2,0)</f>
        <v>Business</v>
      </c>
      <c r="AG26">
        <f>VLOOKUP(Таблица1_113[[#This Row],[Марка]],Таблица13[#All],3,0)</f>
        <v>1916</v>
      </c>
      <c r="AH26" t="str">
        <f>VLOOKUP(Таблица1_113[[#This Row],[Марка]],Таблица13[#All],5,0)</f>
        <v>Нет</v>
      </c>
      <c r="AI26" s="12">
        <v>43466</v>
      </c>
      <c r="AJ26">
        <v>14</v>
      </c>
      <c r="AM26" s="14" t="s">
        <v>138</v>
      </c>
      <c r="AN26" s="14" t="s">
        <v>177</v>
      </c>
      <c r="AO26" s="14">
        <v>2015</v>
      </c>
      <c r="AP26" t="s">
        <v>162</v>
      </c>
      <c r="AQ26" t="s">
        <v>182</v>
      </c>
    </row>
    <row r="27" spans="2:43">
      <c r="B27" s="14" t="s">
        <v>170</v>
      </c>
      <c r="C27" s="16">
        <v>0</v>
      </c>
      <c r="D27" s="16">
        <v>0</v>
      </c>
      <c r="E27" s="16">
        <v>1.7529800661123912E-4</v>
      </c>
      <c r="F27" s="16">
        <v>1.1530599765893882E-3</v>
      </c>
      <c r="G27" s="16">
        <v>1.0436992331079547E-3</v>
      </c>
      <c r="H27" s="16">
        <v>1.9715867777839926E-3</v>
      </c>
      <c r="I27" s="16">
        <v>6.3445936172730737E-4</v>
      </c>
      <c r="J27" s="16"/>
      <c r="K27" s="14" t="s">
        <v>21</v>
      </c>
      <c r="L27" s="16">
        <v>2.4036321552568327E-3</v>
      </c>
      <c r="N27" s="14" t="s">
        <v>35</v>
      </c>
      <c r="O27" s="16">
        <v>1.8699085359501636E-3</v>
      </c>
      <c r="Q27" s="14" t="s">
        <v>129</v>
      </c>
      <c r="R27" s="16">
        <v>1.3982405473113E-3</v>
      </c>
      <c r="T27" s="14" t="s">
        <v>36</v>
      </c>
      <c r="U27" s="16">
        <v>1.9383045484967275E-3</v>
      </c>
      <c r="W27" s="14" t="s">
        <v>38</v>
      </c>
      <c r="X27" s="16">
        <v>1.6880409661485477E-3</v>
      </c>
      <c r="Z27" s="14" t="s">
        <v>34</v>
      </c>
      <c r="AA27" s="16">
        <v>2.8525085295598189E-3</v>
      </c>
      <c r="AD27" t="s">
        <v>34</v>
      </c>
      <c r="AE27" t="str">
        <f>VLOOKUP(Таблица1_113[[#This Row],[Марка]],Таблица13[#All],4,0)</f>
        <v>Япония</v>
      </c>
      <c r="AF27" t="str">
        <f>VLOOKUP(Таблица1_113[[#This Row],[Марка]],Таблица13[#All],2,0)</f>
        <v>Luxury</v>
      </c>
      <c r="AG27">
        <f>VLOOKUP(Таблица1_113[[#This Row],[Марка]],Таблица13[#All],3,0)</f>
        <v>1989</v>
      </c>
      <c r="AH27" t="str">
        <f>VLOOKUP(Таблица1_113[[#This Row],[Марка]],Таблица13[#All],5,0)</f>
        <v>Нет</v>
      </c>
      <c r="AI27" s="12">
        <v>43466</v>
      </c>
      <c r="AJ27">
        <v>27</v>
      </c>
      <c r="AM27" s="14" t="s">
        <v>132</v>
      </c>
      <c r="AN27" s="14" t="s">
        <v>176</v>
      </c>
      <c r="AO27" s="14">
        <v>1984</v>
      </c>
      <c r="AP27" t="s">
        <v>164</v>
      </c>
      <c r="AQ27" t="s">
        <v>182</v>
      </c>
    </row>
    <row r="28" spans="2:43">
      <c r="B28" s="14" t="s">
        <v>155</v>
      </c>
      <c r="C28" s="16">
        <v>1</v>
      </c>
      <c r="D28" s="16">
        <v>1</v>
      </c>
      <c r="E28" s="16">
        <v>1</v>
      </c>
      <c r="F28" s="16">
        <v>1</v>
      </c>
      <c r="G28" s="16">
        <v>1</v>
      </c>
      <c r="H28" s="16">
        <v>1</v>
      </c>
      <c r="I28" s="16">
        <v>1</v>
      </c>
      <c r="J28" s="16"/>
      <c r="K28" s="14" t="s">
        <v>131</v>
      </c>
      <c r="L28" s="16">
        <v>2.3146087420991722E-3</v>
      </c>
      <c r="N28" s="14" t="s">
        <v>129</v>
      </c>
      <c r="O28" s="16">
        <v>1.7917786528324688E-3</v>
      </c>
      <c r="Q28" s="14" t="s">
        <v>38</v>
      </c>
      <c r="R28" s="16">
        <v>1.1319090144901E-3</v>
      </c>
      <c r="T28" s="14" t="s">
        <v>37</v>
      </c>
      <c r="U28" s="16">
        <v>1.8861528566089232E-3</v>
      </c>
      <c r="W28" s="14" t="s">
        <v>36</v>
      </c>
      <c r="X28" s="16">
        <v>1.4274708841256175E-3</v>
      </c>
      <c r="Z28" s="14" t="s">
        <v>35</v>
      </c>
      <c r="AA28" s="16">
        <v>2.6287823703786566E-3</v>
      </c>
      <c r="AD28" t="s">
        <v>0</v>
      </c>
      <c r="AE28" t="str">
        <f>VLOOKUP(Таблица1_113[[#This Row],[Марка]],Таблица13[#All],4,0)</f>
        <v>Корея</v>
      </c>
      <c r="AF28" t="str">
        <f>VLOOKUP(Таблица1_113[[#This Row],[Марка]],Таблица13[#All],2,0)</f>
        <v>Economy</v>
      </c>
      <c r="AG28">
        <f>VLOOKUP(Таблица1_113[[#This Row],[Марка]],Таблица13[#All],3,0)</f>
        <v>1967</v>
      </c>
      <c r="AH28" t="str">
        <f>VLOOKUP(Таблица1_113[[#This Row],[Марка]],Таблица13[#All],5,0)</f>
        <v>Крупноузловая</v>
      </c>
      <c r="AI28" s="12">
        <v>43466</v>
      </c>
      <c r="AJ28">
        <v>798</v>
      </c>
      <c r="AM28" s="14" t="s">
        <v>131</v>
      </c>
      <c r="AN28" s="14" t="s">
        <v>177</v>
      </c>
      <c r="AO28" s="14">
        <v>1958</v>
      </c>
      <c r="AP28" t="s">
        <v>164</v>
      </c>
      <c r="AQ28" t="s">
        <v>182</v>
      </c>
    </row>
    <row r="29" spans="2:43">
      <c r="E29"/>
      <c r="J29" s="16"/>
      <c r="K29" s="14" t="s">
        <v>37</v>
      </c>
      <c r="L29" s="16">
        <v>1.9140033828897E-3</v>
      </c>
      <c r="N29" s="14" t="s">
        <v>36</v>
      </c>
      <c r="O29" s="16">
        <v>1.7188574285892867E-3</v>
      </c>
      <c r="Q29" s="14" t="s">
        <v>18</v>
      </c>
      <c r="R29" s="16">
        <v>1.0570032708841375E-3</v>
      </c>
      <c r="T29" s="14" t="s">
        <v>140</v>
      </c>
      <c r="U29" s="16">
        <v>1.7383897295934776E-3</v>
      </c>
      <c r="W29" s="14" t="s">
        <v>135</v>
      </c>
      <c r="X29" s="16">
        <v>1.3594960801196357E-3</v>
      </c>
      <c r="Z29" s="14" t="s">
        <v>130</v>
      </c>
      <c r="AA29" s="16">
        <v>2.3770904412998492E-3</v>
      </c>
      <c r="AD29" t="s">
        <v>133</v>
      </c>
      <c r="AE29" t="str">
        <f>VLOOKUP(Таблица1_113[[#This Row],[Марка]],Таблица13[#All],4,0)</f>
        <v>Китай</v>
      </c>
      <c r="AF29" t="str">
        <f>VLOOKUP(Таблица1_113[[#This Row],[Марка]],Таблица13[#All],2,0)</f>
        <v>Economy</v>
      </c>
      <c r="AG29">
        <f>VLOOKUP(Таблица1_113[[#This Row],[Марка]],Таблица13[#All],3,0)</f>
        <v>1996</v>
      </c>
      <c r="AH29" t="str">
        <f>VLOOKUP(Таблица1_113[[#This Row],[Марка]],Таблица13[#All],5,0)</f>
        <v>Нет</v>
      </c>
      <c r="AI29" s="12">
        <v>43466</v>
      </c>
      <c r="AJ29">
        <v>1</v>
      </c>
      <c r="AM29" s="14" t="s">
        <v>34</v>
      </c>
      <c r="AN29" s="14" t="s">
        <v>177</v>
      </c>
      <c r="AO29" s="14">
        <v>1989</v>
      </c>
      <c r="AP29" t="s">
        <v>168</v>
      </c>
      <c r="AQ29" t="s">
        <v>182</v>
      </c>
    </row>
    <row r="30" spans="2:43">
      <c r="E30"/>
      <c r="J30" s="16"/>
      <c r="K30" s="14" t="s">
        <v>36</v>
      </c>
      <c r="L30" s="16">
        <v>1.7804682631532092E-3</v>
      </c>
      <c r="N30" s="14" t="s">
        <v>132</v>
      </c>
      <c r="O30" s="16">
        <v>1.3802946017459424E-3</v>
      </c>
      <c r="Q30" s="14" t="s">
        <v>139</v>
      </c>
      <c r="R30" s="16">
        <v>7.9899459846359999E-4</v>
      </c>
      <c r="T30" s="14" t="s">
        <v>39</v>
      </c>
      <c r="U30" s="16">
        <v>1.1473372215316951E-3</v>
      </c>
      <c r="W30" s="14" t="s">
        <v>134</v>
      </c>
      <c r="X30" s="16">
        <v>1.0536094620927177E-3</v>
      </c>
      <c r="Z30" s="14" t="s">
        <v>39</v>
      </c>
      <c r="AA30" s="16">
        <v>1.9715867777839926E-3</v>
      </c>
      <c r="AD30" t="s">
        <v>147</v>
      </c>
      <c r="AE30" t="str">
        <f>VLOOKUP(Таблица1_113[[#This Row],[Марка]],Таблица13[#All],4,0)</f>
        <v>США</v>
      </c>
      <c r="AF30" t="str">
        <f>VLOOKUP(Таблица1_113[[#This Row],[Марка]],Таблица13[#All],2,0)</f>
        <v>Economy</v>
      </c>
      <c r="AG30">
        <f>VLOOKUP(Таблица1_113[[#This Row],[Марка]],Таблица13[#All],3,0)</f>
        <v>1903</v>
      </c>
      <c r="AH30" t="str">
        <f>VLOOKUP(Таблица1_113[[#This Row],[Марка]],Таблица13[#All],5,0)</f>
        <v>Нет</v>
      </c>
      <c r="AI30" s="12">
        <v>43466</v>
      </c>
      <c r="AJ30">
        <v>6</v>
      </c>
      <c r="AM30" s="14" t="s">
        <v>140</v>
      </c>
      <c r="AN30" s="14" t="s">
        <v>178</v>
      </c>
      <c r="AO30" s="14">
        <v>1916</v>
      </c>
      <c r="AP30" t="s">
        <v>168</v>
      </c>
      <c r="AQ30" t="s">
        <v>182</v>
      </c>
    </row>
    <row r="31" spans="2:43">
      <c r="B31" s="13" t="s">
        <v>218</v>
      </c>
      <c r="C31" s="13" t="s">
        <v>151</v>
      </c>
      <c r="E31"/>
      <c r="J31" s="16"/>
      <c r="K31" s="14" t="s">
        <v>8</v>
      </c>
      <c r="L31" s="16">
        <v>1.7359565565743791E-3</v>
      </c>
      <c r="N31" s="14" t="s">
        <v>34</v>
      </c>
      <c r="O31" s="16">
        <v>1.3802946017459424E-3</v>
      </c>
      <c r="Q31" s="14" t="s">
        <v>35</v>
      </c>
      <c r="R31" s="16">
        <v>6.7415169245366245E-4</v>
      </c>
      <c r="T31" s="14" t="s">
        <v>134</v>
      </c>
      <c r="U31" s="16">
        <v>7.3881563507722798E-4</v>
      </c>
      <c r="W31" s="14" t="s">
        <v>39</v>
      </c>
      <c r="X31" s="16">
        <v>1.0422803280917207E-3</v>
      </c>
      <c r="Z31" s="14" t="s">
        <v>37</v>
      </c>
      <c r="AA31" s="16">
        <v>1.9016723530398791E-3</v>
      </c>
      <c r="AD31" t="s">
        <v>130</v>
      </c>
      <c r="AE31" t="str">
        <f>VLOOKUP(Таблица1_113[[#This Row],[Марка]],Таблица13[#All],4,0)</f>
        <v>Китай</v>
      </c>
      <c r="AF31" t="str">
        <f>VLOOKUP(Таблица1_113[[#This Row],[Марка]],Таблица13[#All],2,0)</f>
        <v>Economy</v>
      </c>
      <c r="AG31">
        <f>VLOOKUP(Таблица1_113[[#This Row],[Марка]],Таблица13[#All],3,0)</f>
        <v>1969</v>
      </c>
      <c r="AH31" t="str">
        <f>VLOOKUP(Таблица1_113[[#This Row],[Марка]],Таблица13[#All],5,0)</f>
        <v>Нет</v>
      </c>
      <c r="AI31" s="12">
        <v>43466</v>
      </c>
      <c r="AJ31">
        <v>22</v>
      </c>
      <c r="AM31" s="14" t="s">
        <v>134</v>
      </c>
      <c r="AN31" s="14" t="s">
        <v>177</v>
      </c>
      <c r="AO31" s="14">
        <v>1922</v>
      </c>
      <c r="AP31" t="s">
        <v>172</v>
      </c>
      <c r="AQ31" t="s">
        <v>182</v>
      </c>
    </row>
    <row r="32" spans="2:43">
      <c r="B32" s="13" t="s">
        <v>179</v>
      </c>
      <c r="C32" t="s">
        <v>160</v>
      </c>
      <c r="D32" t="s">
        <v>159</v>
      </c>
      <c r="E32" t="s">
        <v>230</v>
      </c>
      <c r="F32" t="s">
        <v>158</v>
      </c>
      <c r="G32" t="s">
        <v>157</v>
      </c>
      <c r="H32" t="s">
        <v>156</v>
      </c>
      <c r="I32" t="s">
        <v>155</v>
      </c>
      <c r="K32" s="14" t="s">
        <v>35</v>
      </c>
      <c r="L32" s="16">
        <v>1.4688863171013976E-3</v>
      </c>
      <c r="N32" s="14" t="s">
        <v>21</v>
      </c>
      <c r="O32" s="16">
        <v>1.3438339896243514E-3</v>
      </c>
      <c r="Q32" s="14" t="s">
        <v>140</v>
      </c>
      <c r="R32" s="16">
        <v>2.2471723081788749E-4</v>
      </c>
      <c r="T32" s="14" t="s">
        <v>40</v>
      </c>
      <c r="U32" s="16">
        <v>7.0404784048535847E-4</v>
      </c>
      <c r="W32" s="14" t="s">
        <v>130</v>
      </c>
      <c r="X32" s="16">
        <v>7.1373544206280873E-4</v>
      </c>
      <c r="Z32" s="14" t="s">
        <v>134</v>
      </c>
      <c r="AA32" s="16">
        <v>1.7758263885004754E-3</v>
      </c>
      <c r="AD32" t="s">
        <v>137</v>
      </c>
      <c r="AE32" t="str">
        <f>VLOOKUP(Таблица1_113[[#This Row],[Марка]],Таблица13[#All],4,0)</f>
        <v>Корея</v>
      </c>
      <c r="AF32" t="str">
        <f>VLOOKUP(Таблица1_113[[#This Row],[Марка]],Таблица13[#All],2,0)</f>
        <v>Economy</v>
      </c>
      <c r="AG32">
        <f>VLOOKUP(Таблица1_113[[#This Row],[Марка]],Таблица13[#All],3,0)</f>
        <v>1967</v>
      </c>
      <c r="AH32" t="str">
        <f>VLOOKUP(Таблица1_113[[#This Row],[Марка]],Таблица13[#All],5,0)</f>
        <v>Нет</v>
      </c>
      <c r="AI32" s="12">
        <v>43466</v>
      </c>
      <c r="AJ32">
        <v>17</v>
      </c>
      <c r="AM32" s="14" t="s">
        <v>17</v>
      </c>
      <c r="AN32" s="14" t="s">
        <v>176</v>
      </c>
      <c r="AO32" s="14">
        <v>2014</v>
      </c>
      <c r="AP32" t="s">
        <v>164</v>
      </c>
      <c r="AQ32" t="s">
        <v>182</v>
      </c>
    </row>
    <row r="33" spans="2:43">
      <c r="B33" s="14" t="s">
        <v>176</v>
      </c>
      <c r="C33" s="11">
        <v>19461</v>
      </c>
      <c r="D33" s="11">
        <v>165529</v>
      </c>
      <c r="E33" s="11">
        <v>101014</v>
      </c>
      <c r="F33" s="11">
        <v>83620</v>
      </c>
      <c r="G33" s="11">
        <v>66835</v>
      </c>
      <c r="H33" s="11">
        <v>46196</v>
      </c>
      <c r="I33" s="11">
        <v>482655</v>
      </c>
      <c r="K33" s="14" t="s">
        <v>132</v>
      </c>
      <c r="L33" s="16">
        <v>1.2018160776284164E-3</v>
      </c>
      <c r="N33" s="14" t="s">
        <v>127</v>
      </c>
      <c r="O33" s="16">
        <v>6.4066504156509783E-4</v>
      </c>
      <c r="Q33" s="14" t="s">
        <v>133</v>
      </c>
      <c r="R33" s="16">
        <v>2.1639437041722498E-4</v>
      </c>
      <c r="T33" s="14" t="s">
        <v>3</v>
      </c>
      <c r="U33" s="16">
        <v>5.3890081617397805E-4</v>
      </c>
      <c r="W33" s="14" t="s">
        <v>137</v>
      </c>
      <c r="X33" s="16">
        <v>4.7582362804187247E-4</v>
      </c>
      <c r="Z33" s="14" t="s">
        <v>38</v>
      </c>
      <c r="AA33" s="16">
        <v>1.7478606186028302E-3</v>
      </c>
      <c r="AD33" t="s">
        <v>1</v>
      </c>
      <c r="AE33" t="str">
        <f>VLOOKUP(Таблица1_113[[#This Row],[Марка]],Таблица13[#All],4,0)</f>
        <v>США</v>
      </c>
      <c r="AF33" t="str">
        <f>VLOOKUP(Таблица1_113[[#This Row],[Марка]],Таблица13[#All],2,0)</f>
        <v>Economy</v>
      </c>
      <c r="AG33">
        <f>VLOOKUP(Таблица1_113[[#This Row],[Марка]],Таблица13[#All],3,0)</f>
        <v>1911</v>
      </c>
      <c r="AH33" t="str">
        <f>VLOOKUP(Таблица1_113[[#This Row],[Марка]],Таблица13[#All],5,0)</f>
        <v>Крупноузловая</v>
      </c>
      <c r="AI33" s="12">
        <v>43466</v>
      </c>
      <c r="AJ33">
        <v>71</v>
      </c>
      <c r="AM33" s="14" t="s">
        <v>35</v>
      </c>
      <c r="AN33" s="14" t="s">
        <v>177</v>
      </c>
      <c r="AO33" s="14">
        <v>1948</v>
      </c>
      <c r="AP33" t="s">
        <v>172</v>
      </c>
      <c r="AQ33" t="s">
        <v>182</v>
      </c>
    </row>
    <row r="34" spans="2:43">
      <c r="B34" s="14" t="s">
        <v>178</v>
      </c>
      <c r="C34" s="11">
        <v>2093</v>
      </c>
      <c r="D34" s="11">
        <v>18223</v>
      </c>
      <c r="E34" s="11">
        <v>13248</v>
      </c>
      <c r="F34" s="11">
        <v>25548</v>
      </c>
      <c r="G34" s="11">
        <v>17577</v>
      </c>
      <c r="H34" s="11">
        <v>21589</v>
      </c>
      <c r="I34" s="11">
        <v>98278</v>
      </c>
      <c r="K34" s="14" t="s">
        <v>34</v>
      </c>
      <c r="L34" s="16">
        <v>1.0237692513130954E-3</v>
      </c>
      <c r="N34" s="14" t="s">
        <v>131</v>
      </c>
      <c r="O34" s="16">
        <v>5.052399108277601E-4</v>
      </c>
      <c r="Q34" s="14" t="s">
        <v>130</v>
      </c>
      <c r="R34" s="16">
        <v>2.0807151001656251E-4</v>
      </c>
      <c r="T34" s="14" t="s">
        <v>142</v>
      </c>
      <c r="U34" s="16">
        <v>5.3890081617397805E-4</v>
      </c>
      <c r="W34" s="14" t="s">
        <v>40</v>
      </c>
      <c r="X34" s="16">
        <v>2.3791181402093623E-4</v>
      </c>
      <c r="Z34" s="14" t="s">
        <v>36</v>
      </c>
      <c r="AA34" s="16">
        <v>1.594048884165781E-3</v>
      </c>
      <c r="AD34" t="s">
        <v>36</v>
      </c>
      <c r="AE34" t="str">
        <f>VLOOKUP(Таблица1_113[[#This Row],[Марка]],Таблица13[#All],4,0)</f>
        <v>США</v>
      </c>
      <c r="AF34" t="str">
        <f>VLOOKUP(Таблица1_113[[#This Row],[Марка]],Таблица13[#All],2,0)</f>
        <v>Luxury</v>
      </c>
      <c r="AG34">
        <f>VLOOKUP(Таблица1_113[[#This Row],[Марка]],Таблица13[#All],3,0)</f>
        <v>1902</v>
      </c>
      <c r="AH34" t="str">
        <f>VLOOKUP(Таблица1_113[[#This Row],[Марка]],Таблица13[#All],5,0)</f>
        <v>Нет</v>
      </c>
      <c r="AI34" s="12">
        <v>43466</v>
      </c>
      <c r="AJ34">
        <v>5</v>
      </c>
      <c r="AM34" s="14" t="s">
        <v>5</v>
      </c>
      <c r="AN34" s="14" t="s">
        <v>177</v>
      </c>
      <c r="AO34" s="14">
        <v>1989</v>
      </c>
      <c r="AP34" t="s">
        <v>168</v>
      </c>
      <c r="AQ34" t="s">
        <v>182</v>
      </c>
    </row>
    <row r="35" spans="2:43">
      <c r="B35" s="14" t="s">
        <v>177</v>
      </c>
      <c r="C35" s="11">
        <v>912</v>
      </c>
      <c r="D35" s="11">
        <v>8236</v>
      </c>
      <c r="E35" s="11">
        <v>5534</v>
      </c>
      <c r="F35" s="11">
        <v>5310</v>
      </c>
      <c r="G35" s="11">
        <v>3736</v>
      </c>
      <c r="H35" s="11">
        <v>3731</v>
      </c>
      <c r="I35" s="11">
        <v>27459</v>
      </c>
      <c r="K35" s="14" t="s">
        <v>23</v>
      </c>
      <c r="L35" s="16">
        <v>8.9023413157660459E-4</v>
      </c>
      <c r="N35" s="14" t="s">
        <v>137</v>
      </c>
      <c r="O35" s="16">
        <v>3.3856282684334438E-4</v>
      </c>
      <c r="Q35" s="14" t="s">
        <v>39</v>
      </c>
      <c r="R35" s="16">
        <v>1.7478006841391251E-4</v>
      </c>
      <c r="T35" s="14" t="s">
        <v>130</v>
      </c>
      <c r="U35" s="16">
        <v>4.7805717563820634E-4</v>
      </c>
      <c r="W35" s="14" t="s">
        <v>143</v>
      </c>
      <c r="X35" s="16">
        <v>1.5860787601395748E-4</v>
      </c>
      <c r="Z35" s="14" t="s">
        <v>133</v>
      </c>
      <c r="AA35" s="16">
        <v>1.3843056099334414E-3</v>
      </c>
      <c r="AD35" t="s">
        <v>8</v>
      </c>
      <c r="AE35" t="str">
        <f>VLOOKUP(Таблица1_113[[#This Row],[Марка]],Таблица13[#All],4,0)</f>
        <v>Германия</v>
      </c>
      <c r="AF35" t="str">
        <f>VLOOKUP(Таблица1_113[[#This Row],[Марка]],Таблица13[#All],2,0)</f>
        <v>Luxury</v>
      </c>
      <c r="AG35">
        <f>VLOOKUP(Таблица1_113[[#This Row],[Марка]],Таблица13[#All],3,0)</f>
        <v>1916</v>
      </c>
      <c r="AH35" t="str">
        <f>VLOOKUP(Таблица1_113[[#This Row],[Марка]],Таблица13[#All],5,0)</f>
        <v>Нет</v>
      </c>
      <c r="AI35" s="12">
        <v>43466</v>
      </c>
      <c r="AJ35">
        <v>43</v>
      </c>
      <c r="AM35" s="14" t="s">
        <v>144</v>
      </c>
      <c r="AN35" s="14" t="s">
        <v>176</v>
      </c>
      <c r="AO35" s="14">
        <v>1992</v>
      </c>
      <c r="AP35" t="s">
        <v>164</v>
      </c>
      <c r="AQ35" t="s">
        <v>182</v>
      </c>
    </row>
    <row r="36" spans="2:43">
      <c r="B36" s="14" t="s">
        <v>155</v>
      </c>
      <c r="C36" s="11">
        <v>22466</v>
      </c>
      <c r="D36" s="11">
        <v>191988</v>
      </c>
      <c r="E36" s="11">
        <v>119796</v>
      </c>
      <c r="F36" s="11">
        <v>114478</v>
      </c>
      <c r="G36" s="11">
        <v>88148</v>
      </c>
      <c r="H36" s="11">
        <v>71516</v>
      </c>
      <c r="I36" s="11">
        <v>608392</v>
      </c>
      <c r="K36" s="14" t="s">
        <v>134</v>
      </c>
      <c r="L36" s="16">
        <v>4.451170657883023E-4</v>
      </c>
      <c r="N36" s="14" t="s">
        <v>130</v>
      </c>
      <c r="O36" s="16">
        <v>3.0210221472175345E-4</v>
      </c>
      <c r="Q36" s="14" t="s">
        <v>137</v>
      </c>
      <c r="R36" s="16">
        <v>1.7478006841391251E-4</v>
      </c>
      <c r="T36" s="14" t="s">
        <v>129</v>
      </c>
      <c r="U36" s="16">
        <v>2.1729871619918469E-4</v>
      </c>
      <c r="W36" s="14" t="s">
        <v>138</v>
      </c>
      <c r="X36" s="16">
        <v>7.930393800697874E-5</v>
      </c>
      <c r="Z36" s="14" t="s">
        <v>146</v>
      </c>
      <c r="AA36" s="16">
        <v>1.1605794507522792E-3</v>
      </c>
      <c r="AD36" t="s">
        <v>38</v>
      </c>
      <c r="AE36" t="str">
        <f>VLOOKUP(Таблица1_113[[#This Row],[Марка]],Таблица13[#All],4,0)</f>
        <v>Германия</v>
      </c>
      <c r="AF36" t="str">
        <f>VLOOKUP(Таблица1_113[[#This Row],[Марка]],Таблица13[#All],2,0)</f>
        <v>Luxury</v>
      </c>
      <c r="AG36">
        <f>VLOOKUP(Таблица1_113[[#This Row],[Марка]],Таблица13[#All],3,0)</f>
        <v>1932</v>
      </c>
      <c r="AH36" t="str">
        <f>VLOOKUP(Таблица1_113[[#This Row],[Марка]],Таблица13[#All],5,0)</f>
        <v>Нет</v>
      </c>
      <c r="AI36" s="12">
        <v>43466</v>
      </c>
      <c r="AJ36">
        <v>6</v>
      </c>
      <c r="AM36" s="14" t="s">
        <v>139</v>
      </c>
      <c r="AN36" s="14" t="s">
        <v>178</v>
      </c>
      <c r="AO36" s="14">
        <v>1920</v>
      </c>
      <c r="AP36" t="s">
        <v>168</v>
      </c>
      <c r="AQ36" t="s">
        <v>182</v>
      </c>
    </row>
    <row r="37" spans="2:43">
      <c r="E37"/>
      <c r="K37" s="14" t="s">
        <v>133</v>
      </c>
      <c r="L37" s="16">
        <v>4.451170657883023E-4</v>
      </c>
      <c r="N37" s="14" t="s">
        <v>134</v>
      </c>
      <c r="O37" s="16">
        <v>2.8647623809821446E-4</v>
      </c>
      <c r="Q37" s="14" t="s">
        <v>40</v>
      </c>
      <c r="R37" s="16">
        <v>1.2484290600993749E-4</v>
      </c>
      <c r="T37" s="14" t="s">
        <v>137</v>
      </c>
      <c r="U37" s="16">
        <v>1.6514702431138037E-4</v>
      </c>
      <c r="W37" s="14" t="s">
        <v>133</v>
      </c>
      <c r="X37" s="16">
        <v>6.7974804005981783E-5</v>
      </c>
      <c r="Z37" s="14" t="s">
        <v>40</v>
      </c>
      <c r="AA37" s="16">
        <v>6.5719559259466416E-4</v>
      </c>
      <c r="AD37" t="s">
        <v>145</v>
      </c>
      <c r="AE37" t="str">
        <f>VLOOKUP(Таблица1_113[[#This Row],[Марка]],Таблица13[#All],4,0)</f>
        <v>Китай</v>
      </c>
      <c r="AF37" t="str">
        <f>VLOOKUP(Таблица1_113[[#This Row],[Марка]],Таблица13[#All],2,0)</f>
        <v>Economy</v>
      </c>
      <c r="AG37">
        <f>VLOOKUP(Таблица1_113[[#This Row],[Марка]],Таблица13[#All],3,0)</f>
        <v>1997</v>
      </c>
      <c r="AH37" t="str">
        <f>VLOOKUP(Таблица1_113[[#This Row],[Марка]],Таблица13[#All],5,0)</f>
        <v>Нет</v>
      </c>
      <c r="AI37" s="12">
        <v>43466</v>
      </c>
      <c r="AJ37">
        <v>0</v>
      </c>
      <c r="AM37" s="14" t="s">
        <v>128</v>
      </c>
      <c r="AN37" s="14" t="s">
        <v>177</v>
      </c>
      <c r="AO37" s="14">
        <v>1926</v>
      </c>
      <c r="AP37" t="s">
        <v>167</v>
      </c>
      <c r="AQ37" t="s">
        <v>182</v>
      </c>
    </row>
    <row r="38" spans="2:43">
      <c r="E38"/>
      <c r="J38" s="16"/>
      <c r="K38" s="14" t="s">
        <v>40</v>
      </c>
      <c r="L38" s="16">
        <v>3.5609365263064184E-4</v>
      </c>
      <c r="N38" s="14" t="s">
        <v>133</v>
      </c>
      <c r="O38" s="16">
        <v>2.2918099047857158E-4</v>
      </c>
      <c r="Q38" s="14" t="s">
        <v>134</v>
      </c>
      <c r="R38" s="16">
        <v>5.82600228046375E-5</v>
      </c>
      <c r="T38" s="14" t="s">
        <v>138</v>
      </c>
      <c r="U38" s="16">
        <v>3.476779459186955E-5</v>
      </c>
      <c r="W38" s="14" t="s">
        <v>155</v>
      </c>
      <c r="X38" s="16">
        <v>1</v>
      </c>
      <c r="Z38" s="14" t="s">
        <v>147</v>
      </c>
      <c r="AA38" s="16">
        <v>2.9364058392527544E-4</v>
      </c>
      <c r="AD38" t="s">
        <v>136</v>
      </c>
      <c r="AE38" t="str">
        <f>VLOOKUP(Таблица1_113[[#This Row],[Марка]],Таблица13[#All],4,0)</f>
        <v>Россия</v>
      </c>
      <c r="AF38" t="str">
        <f>VLOOKUP(Таблица1_113[[#This Row],[Марка]],Таблица13[#All],2,0)</f>
        <v>Economy</v>
      </c>
      <c r="AG38">
        <f>VLOOKUP(Таблица1_113[[#This Row],[Марка]],Таблица13[#All],3,0)</f>
        <v>1941</v>
      </c>
      <c r="AH38" t="str">
        <f>VLOOKUP(Таблица1_113[[#This Row],[Марка]],Таблица13[#All],5,0)</f>
        <v>Нет</v>
      </c>
      <c r="AI38" s="12">
        <v>43497</v>
      </c>
      <c r="AJ38">
        <v>108</v>
      </c>
      <c r="AM38" s="14" t="s">
        <v>40</v>
      </c>
      <c r="AN38" s="14" t="s">
        <v>177</v>
      </c>
      <c r="AO38" s="14">
        <v>1959</v>
      </c>
      <c r="AP38" t="s">
        <v>172</v>
      </c>
      <c r="AQ38" t="s">
        <v>182</v>
      </c>
    </row>
    <row r="39" spans="2:43">
      <c r="E39"/>
      <c r="J39" s="16"/>
      <c r="K39" s="14" t="s">
        <v>22</v>
      </c>
      <c r="L39" s="16">
        <v>1.3353511973649069E-4</v>
      </c>
      <c r="N39" s="14" t="s">
        <v>40</v>
      </c>
      <c r="O39" s="16">
        <v>2.239723316040586E-4</v>
      </c>
      <c r="Q39" s="14" t="s">
        <v>155</v>
      </c>
      <c r="R39" s="16">
        <v>1</v>
      </c>
      <c r="T39" s="14" t="s">
        <v>155</v>
      </c>
      <c r="U39" s="16">
        <v>1</v>
      </c>
      <c r="Z39" s="14" t="s">
        <v>148</v>
      </c>
      <c r="AA39" s="16">
        <v>5.5931539795290562E-5</v>
      </c>
      <c r="AD39" t="s">
        <v>135</v>
      </c>
      <c r="AE39" t="str">
        <f>VLOOKUP(Таблица1_113[[#This Row],[Марка]],Таблица13[#All],4,0)</f>
        <v>-</v>
      </c>
      <c r="AF39" t="str">
        <f>VLOOKUP(Таблица1_113[[#This Row],[Марка]],Таблица13[#All],2,0)</f>
        <v>-</v>
      </c>
      <c r="AG39" t="str">
        <f>VLOOKUP(Таблица1_113[[#This Row],[Марка]],Таблица13[#All],3,0)</f>
        <v>-</v>
      </c>
      <c r="AH39" t="str">
        <f>VLOOKUP(Таблица1_113[[#This Row],[Марка]],Таблица13[#All],5,0)</f>
        <v>-</v>
      </c>
      <c r="AI39" s="12">
        <v>43497</v>
      </c>
      <c r="AJ39">
        <v>0</v>
      </c>
      <c r="AM39" s="14" t="s">
        <v>126</v>
      </c>
      <c r="AN39" s="14" t="s">
        <v>176</v>
      </c>
      <c r="AO39" s="14">
        <v>2022</v>
      </c>
      <c r="AP39" t="s">
        <v>169</v>
      </c>
      <c r="AQ39" t="s">
        <v>182</v>
      </c>
    </row>
    <row r="40" spans="2:43">
      <c r="E40"/>
      <c r="J40" s="16"/>
      <c r="K40" s="14" t="s">
        <v>155</v>
      </c>
      <c r="L40" s="16">
        <v>1</v>
      </c>
      <c r="N40" s="14" t="s">
        <v>22</v>
      </c>
      <c r="O40" s="16">
        <v>8.854720086672083E-5</v>
      </c>
      <c r="Z40" s="14" t="s">
        <v>135</v>
      </c>
      <c r="AA40" s="16">
        <v>0</v>
      </c>
      <c r="AD40" t="s">
        <v>39</v>
      </c>
      <c r="AE40" t="str">
        <f>VLOOKUP(Таблица1_113[[#This Row],[Марка]],Таблица13[#All],4,0)</f>
        <v>Швеция</v>
      </c>
      <c r="AF40" t="str">
        <f>VLOOKUP(Таблица1_113[[#This Row],[Марка]],Таблица13[#All],2,0)</f>
        <v>Business</v>
      </c>
      <c r="AG40">
        <f>VLOOKUP(Таблица1_113[[#This Row],[Марка]],Таблица13[#All],3,0)</f>
        <v>1927</v>
      </c>
      <c r="AH40" t="str">
        <f>VLOOKUP(Таблица1_113[[#This Row],[Марка]],Таблица13[#All],5,0)</f>
        <v>Нет</v>
      </c>
      <c r="AI40" s="12">
        <v>43497</v>
      </c>
      <c r="AJ40">
        <v>1</v>
      </c>
      <c r="AM40" s="14" t="s">
        <v>146</v>
      </c>
      <c r="AN40" s="14" t="s">
        <v>176</v>
      </c>
      <c r="AO40" s="14">
        <v>1810</v>
      </c>
      <c r="AP40" t="s">
        <v>166</v>
      </c>
      <c r="AQ40" t="s">
        <v>182</v>
      </c>
    </row>
    <row r="41" spans="2:43">
      <c r="E41"/>
      <c r="J41" s="16"/>
      <c r="N41" s="14" t="s">
        <v>138</v>
      </c>
      <c r="O41" s="16">
        <v>3.1251953247077942E-5</v>
      </c>
      <c r="Z41" s="14" t="s">
        <v>155</v>
      </c>
      <c r="AA41" s="16">
        <v>1</v>
      </c>
      <c r="AD41" t="s">
        <v>21</v>
      </c>
      <c r="AE41" t="str">
        <f>VLOOKUP(Таблица1_113[[#This Row],[Марка]],Таблица13[#All],4,0)</f>
        <v>Германия</v>
      </c>
      <c r="AF41" t="str">
        <f>VLOOKUP(Таблица1_113[[#This Row],[Марка]],Таблица13[#All],2,0)</f>
        <v>Business</v>
      </c>
      <c r="AG41">
        <f>VLOOKUP(Таблица1_113[[#This Row],[Марка]],Таблица13[#All],3,0)</f>
        <v>1937</v>
      </c>
      <c r="AH41" t="str">
        <f>VLOOKUP(Таблица1_113[[#This Row],[Марка]],Таблица13[#All],5,0)</f>
        <v>Нет</v>
      </c>
      <c r="AI41" s="12">
        <v>43497</v>
      </c>
      <c r="AJ41">
        <v>154</v>
      </c>
      <c r="AM41" s="14" t="s">
        <v>37</v>
      </c>
      <c r="AN41" s="14" t="s">
        <v>177</v>
      </c>
      <c r="AO41" s="14">
        <v>1931</v>
      </c>
      <c r="AP41" t="s">
        <v>167</v>
      </c>
      <c r="AQ41" t="s">
        <v>182</v>
      </c>
    </row>
    <row r="42" spans="2:43">
      <c r="E42"/>
      <c r="N42" s="14" t="s">
        <v>155</v>
      </c>
      <c r="O42" s="16">
        <v>1</v>
      </c>
      <c r="AD42" t="s">
        <v>2</v>
      </c>
      <c r="AE42" t="str">
        <f>VLOOKUP(Таблица1_113[[#This Row],[Марка]],Таблица13[#All],4,0)</f>
        <v>Япония</v>
      </c>
      <c r="AF42" t="str">
        <f>VLOOKUP(Таблица1_113[[#This Row],[Марка]],Таблица13[#All],2,0)</f>
        <v>Business</v>
      </c>
      <c r="AG42">
        <f>VLOOKUP(Таблица1_113[[#This Row],[Марка]],Таблица13[#All],3,0)</f>
        <v>1937</v>
      </c>
      <c r="AH42" t="str">
        <f>VLOOKUP(Таблица1_113[[#This Row],[Марка]],Таблица13[#All],5,0)</f>
        <v>Нет</v>
      </c>
      <c r="AI42" s="12">
        <v>43497</v>
      </c>
      <c r="AJ42">
        <v>818</v>
      </c>
      <c r="AM42" s="14" t="s">
        <v>148</v>
      </c>
      <c r="AN42" s="14" t="s">
        <v>177</v>
      </c>
      <c r="AO42" s="14">
        <v>1904</v>
      </c>
      <c r="AP42" t="s">
        <v>172</v>
      </c>
      <c r="AQ42" t="s">
        <v>182</v>
      </c>
    </row>
    <row r="43" spans="2:43">
      <c r="E43"/>
      <c r="AD43" t="s">
        <v>125</v>
      </c>
      <c r="AE43" t="str">
        <f>VLOOKUP(Таблица1_113[[#This Row],[Марка]],Таблица13[#All],4,0)</f>
        <v>Япония</v>
      </c>
      <c r="AF43" t="str">
        <f>VLOOKUP(Таблица1_113[[#This Row],[Марка]],Таблица13[#All],2,0)</f>
        <v>Business</v>
      </c>
      <c r="AG43">
        <f>VLOOKUP(Таблица1_113[[#This Row],[Марка]],Таблица13[#All],3,0)</f>
        <v>1953</v>
      </c>
      <c r="AH43" t="str">
        <f>VLOOKUP(Таблица1_113[[#This Row],[Марка]],Таблица13[#All],5,0)</f>
        <v>Нет</v>
      </c>
      <c r="AI43" s="12">
        <v>43497</v>
      </c>
      <c r="AJ43">
        <v>30</v>
      </c>
      <c r="AM43" s="14" t="s">
        <v>125</v>
      </c>
      <c r="AN43" s="14" t="s">
        <v>178</v>
      </c>
      <c r="AO43" s="14">
        <v>1953</v>
      </c>
      <c r="AP43" t="s">
        <v>168</v>
      </c>
      <c r="AQ43" t="s">
        <v>182</v>
      </c>
    </row>
    <row r="44" spans="2:43">
      <c r="E44"/>
      <c r="AD44" t="s">
        <v>141</v>
      </c>
      <c r="AE44" t="str">
        <f>VLOOKUP(Таблица1_113[[#This Row],[Марка]],Таблица13[#All],4,0)</f>
        <v>Чехия</v>
      </c>
      <c r="AF44" t="str">
        <f>VLOOKUP(Таблица1_113[[#This Row],[Марка]],Таблица13[#All],2,0)</f>
        <v>Business</v>
      </c>
      <c r="AG44">
        <f>VLOOKUP(Таблица1_113[[#This Row],[Марка]],Таблица13[#All],3,0)</f>
        <v>1895</v>
      </c>
      <c r="AH44" t="str">
        <f>VLOOKUP(Таблица1_113[[#This Row],[Марка]],Таблица13[#All],5,0)</f>
        <v>Крупноузловая</v>
      </c>
      <c r="AI44" s="12">
        <v>43497</v>
      </c>
      <c r="AJ44">
        <v>54</v>
      </c>
      <c r="AM44" s="14" t="s">
        <v>143</v>
      </c>
      <c r="AN44" s="14" t="s">
        <v>176</v>
      </c>
      <c r="AO44" s="14">
        <v>1909</v>
      </c>
      <c r="AP44" t="s">
        <v>168</v>
      </c>
      <c r="AQ44" t="s">
        <v>182</v>
      </c>
    </row>
    <row r="45" spans="2:43">
      <c r="E45"/>
      <c r="AD45" t="s">
        <v>148</v>
      </c>
      <c r="AE45" t="str">
        <f>VLOOKUP(Таблица1_113[[#This Row],[Марка]],Таблица13[#All],4,0)</f>
        <v>Великобритания</v>
      </c>
      <c r="AF45" t="str">
        <f>VLOOKUP(Таблица1_113[[#This Row],[Марка]],Таблица13[#All],2,0)</f>
        <v>Luxury</v>
      </c>
      <c r="AG45">
        <f>VLOOKUP(Таблица1_113[[#This Row],[Марка]],Таблица13[#All],3,0)</f>
        <v>1904</v>
      </c>
      <c r="AH45" t="str">
        <f>VLOOKUP(Таблица1_113[[#This Row],[Марка]],Таблица13[#All],5,0)</f>
        <v>Нет</v>
      </c>
      <c r="AI45" s="12">
        <v>43497</v>
      </c>
      <c r="AJ45">
        <v>0</v>
      </c>
      <c r="AM45" s="14" t="s">
        <v>20</v>
      </c>
      <c r="AN45" s="14" t="s">
        <v>178</v>
      </c>
      <c r="AO45" s="14">
        <v>2021</v>
      </c>
      <c r="AP45" t="s">
        <v>164</v>
      </c>
      <c r="AQ45" t="s">
        <v>182</v>
      </c>
    </row>
    <row r="46" spans="2:43">
      <c r="E46"/>
      <c r="AD46" t="s">
        <v>23</v>
      </c>
      <c r="AE46" t="str">
        <f>VLOOKUP(Таблица1_113[[#This Row],[Марка]],Таблица13[#All],4,0)</f>
        <v>Франция</v>
      </c>
      <c r="AF46" t="str">
        <f>VLOOKUP(Таблица1_113[[#This Row],[Марка]],Таблица13[#All],2,0)</f>
        <v>Economy</v>
      </c>
      <c r="AG46">
        <f>VLOOKUP(Таблица1_113[[#This Row],[Марка]],Таблица13[#All],3,0)</f>
        <v>1899</v>
      </c>
      <c r="AH46" t="str">
        <f>VLOOKUP(Таблица1_113[[#This Row],[Марка]],Таблица13[#All],5,0)</f>
        <v>Крупноузловая</v>
      </c>
      <c r="AI46" s="12">
        <v>43497</v>
      </c>
      <c r="AJ46">
        <v>170</v>
      </c>
      <c r="AM46" s="14" t="s">
        <v>39</v>
      </c>
      <c r="AN46" s="14" t="s">
        <v>178</v>
      </c>
      <c r="AO46" s="14">
        <v>1927</v>
      </c>
      <c r="AP46" t="s">
        <v>170</v>
      </c>
      <c r="AQ46" t="s">
        <v>182</v>
      </c>
    </row>
    <row r="47" spans="2:43">
      <c r="E47"/>
      <c r="AD47" t="s">
        <v>142</v>
      </c>
      <c r="AE47" t="str">
        <f>VLOOKUP(Таблица1_113[[#This Row],[Марка]],Таблица13[#All],4,0)</f>
        <v>Узбекистан</v>
      </c>
      <c r="AF47" t="str">
        <f>VLOOKUP(Таблица1_113[[#This Row],[Марка]],Таблица13[#All],2,0)</f>
        <v>Economy</v>
      </c>
      <c r="AG47">
        <f>VLOOKUP(Таблица1_113[[#This Row],[Марка]],Таблица13[#All],3,0)</f>
        <v>2015</v>
      </c>
      <c r="AH47" t="str">
        <f>VLOOKUP(Таблица1_113[[#This Row],[Марка]],Таблица13[#All],5,0)</f>
        <v>Крупноузловая</v>
      </c>
      <c r="AI47" s="12">
        <v>43497</v>
      </c>
      <c r="AJ47">
        <v>0</v>
      </c>
      <c r="AM47" s="14" t="s">
        <v>136</v>
      </c>
      <c r="AN47" s="14" t="s">
        <v>176</v>
      </c>
      <c r="AO47" s="14">
        <v>1941</v>
      </c>
      <c r="AP47" t="s">
        <v>169</v>
      </c>
      <c r="AQ47" t="s">
        <v>182</v>
      </c>
    </row>
    <row r="48" spans="2:43">
      <c r="E48"/>
      <c r="AD48" t="s">
        <v>37</v>
      </c>
      <c r="AE48" t="str">
        <f>VLOOKUP(Таблица1_113[[#This Row],[Марка]],Таблица13[#All],4,0)</f>
        <v>Германия</v>
      </c>
      <c r="AF48" t="str">
        <f>VLOOKUP(Таблица1_113[[#This Row],[Марка]],Таблица13[#All],2,0)</f>
        <v>Luxury</v>
      </c>
      <c r="AG48">
        <f>VLOOKUP(Таблица1_113[[#This Row],[Марка]],Таблица13[#All],3,0)</f>
        <v>1931</v>
      </c>
      <c r="AH48" t="str">
        <f>VLOOKUP(Таблица1_113[[#This Row],[Марка]],Таблица13[#All],5,0)</f>
        <v>Нет</v>
      </c>
      <c r="AI48" s="12">
        <v>43497</v>
      </c>
      <c r="AJ48">
        <v>8</v>
      </c>
      <c r="AM48" s="14" t="s">
        <v>9</v>
      </c>
      <c r="AN48" s="14" t="s">
        <v>178</v>
      </c>
      <c r="AO48" s="14">
        <v>1870</v>
      </c>
      <c r="AP48" t="s">
        <v>168</v>
      </c>
      <c r="AQ48" t="s">
        <v>182</v>
      </c>
    </row>
    <row r="49" spans="2:43">
      <c r="B49" s="13" t="s">
        <v>229</v>
      </c>
      <c r="C49" t="s">
        <v>230</v>
      </c>
      <c r="E49"/>
      <c r="AD49" t="s">
        <v>146</v>
      </c>
      <c r="AE49" t="str">
        <f>VLOOKUP(Таблица1_113[[#This Row],[Марка]],Таблица13[#All],4,0)</f>
        <v>Франция</v>
      </c>
      <c r="AF49" t="str">
        <f>VLOOKUP(Таблица1_113[[#This Row],[Марка]],Таблица13[#All],2,0)</f>
        <v>Economy</v>
      </c>
      <c r="AG49">
        <f>VLOOKUP(Таблица1_113[[#This Row],[Марка]],Таблица13[#All],3,0)</f>
        <v>1810</v>
      </c>
      <c r="AH49" t="str">
        <f>VLOOKUP(Таблица1_113[[#This Row],[Марка]],Таблица13[#All],5,0)</f>
        <v>Нет</v>
      </c>
      <c r="AI49" s="12">
        <v>43497</v>
      </c>
      <c r="AJ49">
        <v>14</v>
      </c>
      <c r="AM49" s="14" t="s">
        <v>22</v>
      </c>
      <c r="AN49" s="14" t="s">
        <v>178</v>
      </c>
      <c r="AO49" s="14">
        <v>1933</v>
      </c>
      <c r="AP49" t="s">
        <v>168</v>
      </c>
      <c r="AQ49" t="s">
        <v>182</v>
      </c>
    </row>
    <row r="50" spans="2:43">
      <c r="B50" s="13" t="s">
        <v>636</v>
      </c>
      <c r="C50" t="s">
        <v>637</v>
      </c>
      <c r="E50"/>
      <c r="AD50" t="s">
        <v>22</v>
      </c>
      <c r="AE50" t="str">
        <f>VLOOKUP(Таблица1_113[[#This Row],[Марка]],Таблица13[#All],4,0)</f>
        <v>Япония</v>
      </c>
      <c r="AF50" t="str">
        <f>VLOOKUP(Таблица1_113[[#This Row],[Марка]],Таблица13[#All],2,0)</f>
        <v>Business</v>
      </c>
      <c r="AG50">
        <f>VLOOKUP(Таблица1_113[[#This Row],[Марка]],Таблица13[#All],3,0)</f>
        <v>1933</v>
      </c>
      <c r="AH50" t="str">
        <f>VLOOKUP(Таблица1_113[[#This Row],[Марка]],Таблица13[#All],5,0)</f>
        <v>Нет</v>
      </c>
      <c r="AI50" s="12">
        <v>43497</v>
      </c>
      <c r="AJ50">
        <v>141</v>
      </c>
      <c r="AM50" s="14" t="s">
        <v>2</v>
      </c>
      <c r="AN50" s="14" t="s">
        <v>178</v>
      </c>
      <c r="AO50" s="14">
        <v>1937</v>
      </c>
      <c r="AP50" t="s">
        <v>168</v>
      </c>
      <c r="AQ50" t="s">
        <v>182</v>
      </c>
    </row>
    <row r="51" spans="2:43">
      <c r="E51"/>
      <c r="AD51" t="s">
        <v>9</v>
      </c>
      <c r="AE51" t="str">
        <f>VLOOKUP(Таблица1_113[[#This Row],[Марка]],Таблица13[#All],4,0)</f>
        <v>Япония</v>
      </c>
      <c r="AF51" t="str">
        <f>VLOOKUP(Таблица1_113[[#This Row],[Марка]],Таблица13[#All],2,0)</f>
        <v>Business</v>
      </c>
      <c r="AG51">
        <f>VLOOKUP(Таблица1_113[[#This Row],[Марка]],Таблица13[#All],3,0)</f>
        <v>1870</v>
      </c>
      <c r="AH51" t="str">
        <f>VLOOKUP(Таблица1_113[[#This Row],[Марка]],Таблица13[#All],5,0)</f>
        <v>Нет</v>
      </c>
      <c r="AI51" s="12">
        <v>43497</v>
      </c>
      <c r="AJ51">
        <v>54</v>
      </c>
      <c r="AM51" s="14" t="s">
        <v>21</v>
      </c>
      <c r="AN51" s="14" t="s">
        <v>178</v>
      </c>
      <c r="AO51" s="14">
        <v>1937</v>
      </c>
      <c r="AP51" t="s">
        <v>167</v>
      </c>
      <c r="AQ51" t="s">
        <v>182</v>
      </c>
    </row>
    <row r="52" spans="2:43">
      <c r="B52" s="13" t="s">
        <v>179</v>
      </c>
      <c r="C52" t="s">
        <v>218</v>
      </c>
      <c r="E52"/>
      <c r="AD52" t="s">
        <v>40</v>
      </c>
      <c r="AE52" t="str">
        <f>VLOOKUP(Таблица1_113[[#This Row],[Марка]],Таблица13[#All],4,0)</f>
        <v>Великобритания</v>
      </c>
      <c r="AF52" t="str">
        <f>VLOOKUP(Таблица1_113[[#This Row],[Марка]],Таблица13[#All],2,0)</f>
        <v>Luxury</v>
      </c>
      <c r="AG52">
        <f>VLOOKUP(Таблица1_113[[#This Row],[Марка]],Таблица13[#All],3,0)</f>
        <v>1959</v>
      </c>
      <c r="AH52" t="str">
        <f>VLOOKUP(Таблица1_113[[#This Row],[Марка]],Таблица13[#All],5,0)</f>
        <v>Нет</v>
      </c>
      <c r="AI52" s="12">
        <v>43497</v>
      </c>
      <c r="AJ52">
        <v>7</v>
      </c>
    </row>
    <row r="53" spans="2:43">
      <c r="B53" s="14" t="s">
        <v>176</v>
      </c>
      <c r="C53" s="11">
        <v>8187</v>
      </c>
      <c r="E53"/>
      <c r="AD53" t="s">
        <v>128</v>
      </c>
      <c r="AE53" t="str">
        <f>VLOOKUP(Таблица1_113[[#This Row],[Марка]],Таблица13[#All],4,0)</f>
        <v>Германия</v>
      </c>
      <c r="AF53" t="str">
        <f>VLOOKUP(Таблица1_113[[#This Row],[Марка]],Таблица13[#All],2,0)</f>
        <v>Luxury</v>
      </c>
      <c r="AG53">
        <f>VLOOKUP(Таблица1_113[[#This Row],[Марка]],Таблица13[#All],3,0)</f>
        <v>1926</v>
      </c>
      <c r="AH53" t="str">
        <f>VLOOKUP(Таблица1_113[[#This Row],[Марка]],Таблица13[#All],5,0)</f>
        <v>Нет</v>
      </c>
      <c r="AI53" s="12">
        <v>43497</v>
      </c>
      <c r="AJ53">
        <v>11</v>
      </c>
    </row>
    <row r="54" spans="2:43">
      <c r="B54" s="14" t="s">
        <v>178</v>
      </c>
      <c r="C54" s="11">
        <v>2533</v>
      </c>
      <c r="E54"/>
      <c r="AD54" t="s">
        <v>139</v>
      </c>
      <c r="AE54" t="str">
        <f>VLOOKUP(Таблица1_113[[#This Row],[Марка]],Таблица13[#All],4,0)</f>
        <v>Япония</v>
      </c>
      <c r="AF54" t="str">
        <f>VLOOKUP(Таблица1_113[[#This Row],[Марка]],Таблица13[#All],2,0)</f>
        <v>Business</v>
      </c>
      <c r="AG54">
        <f>VLOOKUP(Таблица1_113[[#This Row],[Марка]],Таблица13[#All],3,0)</f>
        <v>1920</v>
      </c>
      <c r="AH54" t="str">
        <f>VLOOKUP(Таблица1_113[[#This Row],[Марка]],Таблица13[#All],5,0)</f>
        <v>Нет</v>
      </c>
      <c r="AI54" s="12">
        <v>43497</v>
      </c>
      <c r="AJ54">
        <v>25</v>
      </c>
    </row>
    <row r="55" spans="2:43">
      <c r="B55" s="14" t="s">
        <v>177</v>
      </c>
      <c r="C55" s="11">
        <v>698</v>
      </c>
      <c r="E55"/>
      <c r="AD55" t="s">
        <v>144</v>
      </c>
      <c r="AE55" t="str">
        <f>VLOOKUP(Таблица1_113[[#This Row],[Марка]],Таблица13[#All],4,0)</f>
        <v>Китай</v>
      </c>
      <c r="AF55" t="str">
        <f>VLOOKUP(Таблица1_113[[#This Row],[Марка]],Таблица13[#All],2,0)</f>
        <v>Economy</v>
      </c>
      <c r="AG55">
        <f>VLOOKUP(Таблица1_113[[#This Row],[Марка]],Таблица13[#All],3,0)</f>
        <v>1992</v>
      </c>
      <c r="AH55" t="str">
        <f>VLOOKUP(Таблица1_113[[#This Row],[Марка]],Таблица13[#All],5,0)</f>
        <v>Нет</v>
      </c>
      <c r="AI55" s="12">
        <v>43497</v>
      </c>
      <c r="AJ55">
        <v>26</v>
      </c>
    </row>
    <row r="56" spans="2:43">
      <c r="B56" s="14" t="s">
        <v>155</v>
      </c>
      <c r="C56" s="11">
        <v>11418</v>
      </c>
      <c r="E56"/>
      <c r="AD56" t="s">
        <v>5</v>
      </c>
      <c r="AE56" t="str">
        <f>VLOOKUP(Таблица1_113[[#This Row],[Марка]],Таблица13[#All],4,0)</f>
        <v>Япония</v>
      </c>
      <c r="AF56" t="str">
        <f>VLOOKUP(Таблица1_113[[#This Row],[Марка]],Таблица13[#All],2,0)</f>
        <v>Luxury</v>
      </c>
      <c r="AG56">
        <f>VLOOKUP(Таблица1_113[[#This Row],[Марка]],Таблица13[#All],3,0)</f>
        <v>1989</v>
      </c>
      <c r="AH56" t="str">
        <f>VLOOKUP(Таблица1_113[[#This Row],[Марка]],Таблица13[#All],5,0)</f>
        <v>Нет</v>
      </c>
      <c r="AI56" s="12">
        <v>43497</v>
      </c>
      <c r="AJ56">
        <v>133</v>
      </c>
    </row>
    <row r="57" spans="2:43">
      <c r="E57"/>
      <c r="AD57" t="s">
        <v>35</v>
      </c>
      <c r="AE57" t="str">
        <f>VLOOKUP(Таблица1_113[[#This Row],[Марка]],Таблица13[#All],4,0)</f>
        <v>Великобритания</v>
      </c>
      <c r="AF57" t="str">
        <f>VLOOKUP(Таблица1_113[[#This Row],[Марка]],Таблица13[#All],2,0)</f>
        <v>Luxury</v>
      </c>
      <c r="AG57">
        <f>VLOOKUP(Таблица1_113[[#This Row],[Марка]],Таблица13[#All],3,0)</f>
        <v>1948</v>
      </c>
      <c r="AH57" t="str">
        <f>VLOOKUP(Таблица1_113[[#This Row],[Марка]],Таблица13[#All],5,0)</f>
        <v>Нет</v>
      </c>
      <c r="AI57" s="12">
        <v>43497</v>
      </c>
      <c r="AJ57">
        <v>0</v>
      </c>
    </row>
    <row r="58" spans="2:43">
      <c r="E58"/>
      <c r="AD58" t="s">
        <v>19</v>
      </c>
      <c r="AE58" t="str">
        <f>VLOOKUP(Таблица1_113[[#This Row],[Марка]],Таблица13[#All],4,0)</f>
        <v>Россия</v>
      </c>
      <c r="AF58" t="str">
        <f>VLOOKUP(Таблица1_113[[#This Row],[Марка]],Таблица13[#All],2,0)</f>
        <v>Economy</v>
      </c>
      <c r="AG58">
        <f>VLOOKUP(Таблица1_113[[#This Row],[Марка]],Таблица13[#All],3,0)</f>
        <v>1970</v>
      </c>
      <c r="AH58" t="str">
        <f>VLOOKUP(Таблица1_113[[#This Row],[Марка]],Таблица13[#All],5,0)</f>
        <v>Крупноузловая</v>
      </c>
      <c r="AI58" s="12">
        <v>43497</v>
      </c>
      <c r="AJ58">
        <v>1243</v>
      </c>
    </row>
    <row r="59" spans="2:43">
      <c r="E59"/>
      <c r="AD59" t="s">
        <v>15</v>
      </c>
      <c r="AE59" t="str">
        <f>VLOOKUP(Таблица1_113[[#This Row],[Марка]],Таблица13[#All],4,0)</f>
        <v>Корея</v>
      </c>
      <c r="AF59" t="str">
        <f>VLOOKUP(Таблица1_113[[#This Row],[Марка]],Таблица13[#All],2,0)</f>
        <v>Economy</v>
      </c>
      <c r="AG59">
        <f>VLOOKUP(Таблица1_113[[#This Row],[Марка]],Таблица13[#All],3,0)</f>
        <v>1944</v>
      </c>
      <c r="AH59" t="str">
        <f>VLOOKUP(Таблица1_113[[#This Row],[Марка]],Таблица13[#All],5,0)</f>
        <v>Крупноузловая</v>
      </c>
      <c r="AI59" s="12">
        <v>43497</v>
      </c>
      <c r="AJ59">
        <v>303</v>
      </c>
    </row>
    <row r="60" spans="2:43">
      <c r="E60"/>
      <c r="AD60" t="s">
        <v>134</v>
      </c>
      <c r="AE60" t="str">
        <f>VLOOKUP(Таблица1_113[[#This Row],[Марка]],Таблица13[#All],4,0)</f>
        <v>Великобритания</v>
      </c>
      <c r="AF60" t="str">
        <f>VLOOKUP(Таблица1_113[[#This Row],[Марка]],Таблица13[#All],2,0)</f>
        <v>Luxury</v>
      </c>
      <c r="AG60">
        <f>VLOOKUP(Таблица1_113[[#This Row],[Марка]],Таблица13[#All],3,0)</f>
        <v>1922</v>
      </c>
      <c r="AH60" t="str">
        <f>VLOOKUP(Таблица1_113[[#This Row],[Марка]],Таблица13[#All],5,0)</f>
        <v>Нет</v>
      </c>
      <c r="AI60" s="12">
        <v>43497</v>
      </c>
      <c r="AJ60">
        <v>0</v>
      </c>
    </row>
    <row r="61" spans="2:43">
      <c r="E61"/>
      <c r="AD61" t="s">
        <v>4</v>
      </c>
      <c r="AE61" t="str">
        <f>VLOOKUP(Таблица1_113[[#This Row],[Марка]],Таблица13[#All],4,0)</f>
        <v>Китай</v>
      </c>
      <c r="AF61" t="str">
        <f>VLOOKUP(Таблица1_113[[#This Row],[Марка]],Таблица13[#All],2,0)</f>
        <v>Economy</v>
      </c>
      <c r="AG61">
        <f>VLOOKUP(Таблица1_113[[#This Row],[Марка]],Таблица13[#All],3,0)</f>
        <v>1964</v>
      </c>
      <c r="AH61" t="str">
        <f>VLOOKUP(Таблица1_113[[#This Row],[Марка]],Таблица13[#All],5,0)</f>
        <v>Крупноузловая</v>
      </c>
      <c r="AI61" s="12">
        <v>43497</v>
      </c>
      <c r="AJ61">
        <v>27</v>
      </c>
    </row>
    <row r="62" spans="2:43">
      <c r="E62"/>
      <c r="AD62" t="s">
        <v>140</v>
      </c>
      <c r="AE62" t="str">
        <f>VLOOKUP(Таблица1_113[[#This Row],[Марка]],Таблица13[#All],4,0)</f>
        <v>Япония</v>
      </c>
      <c r="AF62" t="str">
        <f>VLOOKUP(Таблица1_113[[#This Row],[Марка]],Таблица13[#All],2,0)</f>
        <v>Business</v>
      </c>
      <c r="AG62">
        <f>VLOOKUP(Таблица1_113[[#This Row],[Марка]],Таблица13[#All],3,0)</f>
        <v>1916</v>
      </c>
      <c r="AH62" t="str">
        <f>VLOOKUP(Таблица1_113[[#This Row],[Марка]],Таблица13[#All],5,0)</f>
        <v>Нет</v>
      </c>
      <c r="AI62" s="12">
        <v>43497</v>
      </c>
      <c r="AJ62">
        <v>1</v>
      </c>
    </row>
    <row r="63" spans="2:43">
      <c r="E63"/>
      <c r="AD63" t="s">
        <v>34</v>
      </c>
      <c r="AE63" t="str">
        <f>VLOOKUP(Таблица1_113[[#This Row],[Марка]],Таблица13[#All],4,0)</f>
        <v>Япония</v>
      </c>
      <c r="AF63" t="str">
        <f>VLOOKUP(Таблица1_113[[#This Row],[Марка]],Таблица13[#All],2,0)</f>
        <v>Luxury</v>
      </c>
      <c r="AG63">
        <f>VLOOKUP(Таблица1_113[[#This Row],[Марка]],Таблица13[#All],3,0)</f>
        <v>1989</v>
      </c>
      <c r="AH63" t="str">
        <f>VLOOKUP(Таблица1_113[[#This Row],[Марка]],Таблица13[#All],5,0)</f>
        <v>Нет</v>
      </c>
      <c r="AI63" s="12">
        <v>43497</v>
      </c>
      <c r="AJ63">
        <v>3</v>
      </c>
    </row>
    <row r="64" spans="2:43">
      <c r="E64"/>
      <c r="AD64" t="s">
        <v>0</v>
      </c>
      <c r="AE64" t="str">
        <f>VLOOKUP(Таблица1_113[[#This Row],[Марка]],Таблица13[#All],4,0)</f>
        <v>Корея</v>
      </c>
      <c r="AF64" t="str">
        <f>VLOOKUP(Таблица1_113[[#This Row],[Марка]],Таблица13[#All],2,0)</f>
        <v>Economy</v>
      </c>
      <c r="AG64">
        <f>VLOOKUP(Таблица1_113[[#This Row],[Марка]],Таблица13[#All],3,0)</f>
        <v>1967</v>
      </c>
      <c r="AH64" t="str">
        <f>VLOOKUP(Таблица1_113[[#This Row],[Марка]],Таблица13[#All],5,0)</f>
        <v>Крупноузловая</v>
      </c>
      <c r="AI64" s="12">
        <v>43497</v>
      </c>
      <c r="AJ64">
        <v>706</v>
      </c>
    </row>
    <row r="65" spans="5:36">
      <c r="E65"/>
      <c r="AD65" t="s">
        <v>133</v>
      </c>
      <c r="AE65" t="str">
        <f>VLOOKUP(Таблица1_113[[#This Row],[Марка]],Таблица13[#All],4,0)</f>
        <v>Китай</v>
      </c>
      <c r="AF65" t="str">
        <f>VLOOKUP(Таблица1_113[[#This Row],[Марка]],Таблица13[#All],2,0)</f>
        <v>Economy</v>
      </c>
      <c r="AG65">
        <f>VLOOKUP(Таблица1_113[[#This Row],[Марка]],Таблица13[#All],3,0)</f>
        <v>1996</v>
      </c>
      <c r="AH65" t="str">
        <f>VLOOKUP(Таблица1_113[[#This Row],[Марка]],Таблица13[#All],5,0)</f>
        <v>Нет</v>
      </c>
      <c r="AI65" s="12">
        <v>43497</v>
      </c>
      <c r="AJ65">
        <v>0</v>
      </c>
    </row>
    <row r="66" spans="5:36">
      <c r="E66"/>
      <c r="AD66" t="s">
        <v>147</v>
      </c>
      <c r="AE66" t="str">
        <f>VLOOKUP(Таблица1_113[[#This Row],[Марка]],Таблица13[#All],4,0)</f>
        <v>США</v>
      </c>
      <c r="AF66" t="str">
        <f>VLOOKUP(Таблица1_113[[#This Row],[Марка]],Таблица13[#All],2,0)</f>
        <v>Economy</v>
      </c>
      <c r="AG66">
        <f>VLOOKUP(Таблица1_113[[#This Row],[Марка]],Таблица13[#All],3,0)</f>
        <v>1903</v>
      </c>
      <c r="AH66" t="str">
        <f>VLOOKUP(Таблица1_113[[#This Row],[Марка]],Таблица13[#All],5,0)</f>
        <v>Нет</v>
      </c>
      <c r="AI66" s="12">
        <v>43497</v>
      </c>
      <c r="AJ66">
        <v>0</v>
      </c>
    </row>
    <row r="67" spans="5:36">
      <c r="E67"/>
      <c r="AD67" t="s">
        <v>130</v>
      </c>
      <c r="AE67" t="str">
        <f>VLOOKUP(Таблица1_113[[#This Row],[Марка]],Таблица13[#All],4,0)</f>
        <v>Китай</v>
      </c>
      <c r="AF67" t="str">
        <f>VLOOKUP(Таблица1_113[[#This Row],[Марка]],Таблица13[#All],2,0)</f>
        <v>Economy</v>
      </c>
      <c r="AG67">
        <f>VLOOKUP(Таблица1_113[[#This Row],[Марка]],Таблица13[#All],3,0)</f>
        <v>1969</v>
      </c>
      <c r="AH67" t="str">
        <f>VLOOKUP(Таблица1_113[[#This Row],[Марка]],Таблица13[#All],5,0)</f>
        <v>Нет</v>
      </c>
      <c r="AI67" s="12">
        <v>43497</v>
      </c>
      <c r="AJ67">
        <v>0</v>
      </c>
    </row>
    <row r="68" spans="5:36">
      <c r="E68"/>
      <c r="AD68" t="s">
        <v>137</v>
      </c>
      <c r="AE68" t="str">
        <f>VLOOKUP(Таблица1_113[[#This Row],[Марка]],Таблица13[#All],4,0)</f>
        <v>Корея</v>
      </c>
      <c r="AF68" t="str">
        <f>VLOOKUP(Таблица1_113[[#This Row],[Марка]],Таблица13[#All],2,0)</f>
        <v>Economy</v>
      </c>
      <c r="AG68">
        <f>VLOOKUP(Таблица1_113[[#This Row],[Марка]],Таблица13[#All],3,0)</f>
        <v>1967</v>
      </c>
      <c r="AH68" t="str">
        <f>VLOOKUP(Таблица1_113[[#This Row],[Марка]],Таблица13[#All],5,0)</f>
        <v>Нет</v>
      </c>
      <c r="AI68" s="12">
        <v>43497</v>
      </c>
      <c r="AJ68">
        <v>0</v>
      </c>
    </row>
    <row r="69" spans="5:36">
      <c r="E69"/>
      <c r="AD69" t="s">
        <v>1</v>
      </c>
      <c r="AE69" t="str">
        <f>VLOOKUP(Таблица1_113[[#This Row],[Марка]],Таблица13[#All],4,0)</f>
        <v>США</v>
      </c>
      <c r="AF69" t="str">
        <f>VLOOKUP(Таблица1_113[[#This Row],[Марка]],Таблица13[#All],2,0)</f>
        <v>Economy</v>
      </c>
      <c r="AG69">
        <f>VLOOKUP(Таблица1_113[[#This Row],[Марка]],Таблица13[#All],3,0)</f>
        <v>1911</v>
      </c>
      <c r="AH69" t="str">
        <f>VLOOKUP(Таблица1_113[[#This Row],[Марка]],Таблица13[#All],5,0)</f>
        <v>Крупноузловая</v>
      </c>
      <c r="AI69" s="12">
        <v>43497</v>
      </c>
      <c r="AJ69">
        <v>62</v>
      </c>
    </row>
    <row r="70" spans="5:36">
      <c r="E70"/>
      <c r="AD70" t="s">
        <v>36</v>
      </c>
      <c r="AE70" t="str">
        <f>VLOOKUP(Таблица1_113[[#This Row],[Марка]],Таблица13[#All],4,0)</f>
        <v>США</v>
      </c>
      <c r="AF70" t="str">
        <f>VLOOKUP(Таблица1_113[[#This Row],[Марка]],Таблица13[#All],2,0)</f>
        <v>Luxury</v>
      </c>
      <c r="AG70">
        <f>VLOOKUP(Таблица1_113[[#This Row],[Марка]],Таблица13[#All],3,0)</f>
        <v>1902</v>
      </c>
      <c r="AH70" t="str">
        <f>VLOOKUP(Таблица1_113[[#This Row],[Марка]],Таблица13[#All],5,0)</f>
        <v>Нет</v>
      </c>
      <c r="AI70" s="12">
        <v>43497</v>
      </c>
      <c r="AJ70">
        <v>14</v>
      </c>
    </row>
    <row r="71" spans="5:36">
      <c r="E71"/>
      <c r="AD71" t="s">
        <v>8</v>
      </c>
      <c r="AE71" t="str">
        <f>VLOOKUP(Таблица1_113[[#This Row],[Марка]],Таблица13[#All],4,0)</f>
        <v>Германия</v>
      </c>
      <c r="AF71" t="str">
        <f>VLOOKUP(Таблица1_113[[#This Row],[Марка]],Таблица13[#All],2,0)</f>
        <v>Luxury</v>
      </c>
      <c r="AG71">
        <f>VLOOKUP(Таблица1_113[[#This Row],[Марка]],Таблица13[#All],3,0)</f>
        <v>1916</v>
      </c>
      <c r="AH71" t="str">
        <f>VLOOKUP(Таблица1_113[[#This Row],[Марка]],Таблица13[#All],5,0)</f>
        <v>Нет</v>
      </c>
      <c r="AI71" s="12">
        <v>43497</v>
      </c>
      <c r="AJ71">
        <v>53</v>
      </c>
    </row>
    <row r="72" spans="5:36">
      <c r="E72"/>
      <c r="AD72" t="s">
        <v>38</v>
      </c>
      <c r="AE72" t="str">
        <f>VLOOKUP(Таблица1_113[[#This Row],[Марка]],Таблица13[#All],4,0)</f>
        <v>Германия</v>
      </c>
      <c r="AF72" t="str">
        <f>VLOOKUP(Таблица1_113[[#This Row],[Марка]],Таблица13[#All],2,0)</f>
        <v>Luxury</v>
      </c>
      <c r="AG72">
        <f>VLOOKUP(Таблица1_113[[#This Row],[Марка]],Таблица13[#All],3,0)</f>
        <v>1932</v>
      </c>
      <c r="AH72" t="str">
        <f>VLOOKUP(Таблица1_113[[#This Row],[Марка]],Таблица13[#All],5,0)</f>
        <v>Нет</v>
      </c>
      <c r="AI72" s="12">
        <v>43497</v>
      </c>
      <c r="AJ72">
        <v>10</v>
      </c>
    </row>
    <row r="73" spans="5:36">
      <c r="E73"/>
      <c r="AD73" t="s">
        <v>145</v>
      </c>
      <c r="AE73" t="str">
        <f>VLOOKUP(Таблица1_113[[#This Row],[Марка]],Таблица13[#All],4,0)</f>
        <v>Китай</v>
      </c>
      <c r="AF73" t="str">
        <f>VLOOKUP(Таблица1_113[[#This Row],[Марка]],Таблица13[#All],2,0)</f>
        <v>Economy</v>
      </c>
      <c r="AG73">
        <f>VLOOKUP(Таблица1_113[[#This Row],[Марка]],Таблица13[#All],3,0)</f>
        <v>1997</v>
      </c>
      <c r="AH73" t="str">
        <f>VLOOKUP(Таблица1_113[[#This Row],[Марка]],Таблица13[#All],5,0)</f>
        <v>Нет</v>
      </c>
      <c r="AI73" s="12">
        <v>43497</v>
      </c>
      <c r="AJ73">
        <v>0</v>
      </c>
    </row>
    <row r="74" spans="5:36">
      <c r="E74"/>
      <c r="AD74" t="s">
        <v>136</v>
      </c>
      <c r="AE74" t="str">
        <f>VLOOKUP(Таблица1_113[[#This Row],[Марка]],Таблица13[#All],4,0)</f>
        <v>Россия</v>
      </c>
      <c r="AF74" t="str">
        <f>VLOOKUP(Таблица1_113[[#This Row],[Марка]],Таблица13[#All],2,0)</f>
        <v>Economy</v>
      </c>
      <c r="AG74">
        <f>VLOOKUP(Таблица1_113[[#This Row],[Марка]],Таблица13[#All],3,0)</f>
        <v>1941</v>
      </c>
      <c r="AH74" t="str">
        <f>VLOOKUP(Таблица1_113[[#This Row],[Марка]],Таблица13[#All],5,0)</f>
        <v>Нет</v>
      </c>
      <c r="AI74" s="12">
        <v>43525</v>
      </c>
      <c r="AJ74">
        <v>143</v>
      </c>
    </row>
    <row r="75" spans="5:36">
      <c r="E75"/>
      <c r="AD75" t="s">
        <v>135</v>
      </c>
      <c r="AE75" t="str">
        <f>VLOOKUP(Таблица1_113[[#This Row],[Марка]],Таблица13[#All],4,0)</f>
        <v>-</v>
      </c>
      <c r="AF75" t="str">
        <f>VLOOKUP(Таблица1_113[[#This Row],[Марка]],Таблица13[#All],2,0)</f>
        <v>-</v>
      </c>
      <c r="AG75" t="str">
        <f>VLOOKUP(Таблица1_113[[#This Row],[Марка]],Таблица13[#All],3,0)</f>
        <v>-</v>
      </c>
      <c r="AH75" t="str">
        <f>VLOOKUP(Таблица1_113[[#This Row],[Марка]],Таблица13[#All],5,0)</f>
        <v>-</v>
      </c>
      <c r="AI75" s="12">
        <v>43525</v>
      </c>
      <c r="AJ75">
        <v>0</v>
      </c>
    </row>
    <row r="76" spans="5:36">
      <c r="E76"/>
      <c r="AD76" t="s">
        <v>39</v>
      </c>
      <c r="AE76" t="str">
        <f>VLOOKUP(Таблица1_113[[#This Row],[Марка]],Таблица13[#All],4,0)</f>
        <v>Швеция</v>
      </c>
      <c r="AF76" t="str">
        <f>VLOOKUP(Таблица1_113[[#This Row],[Марка]],Таблица13[#All],2,0)</f>
        <v>Business</v>
      </c>
      <c r="AG76">
        <f>VLOOKUP(Таблица1_113[[#This Row],[Марка]],Таблица13[#All],3,0)</f>
        <v>1927</v>
      </c>
      <c r="AH76" t="str">
        <f>VLOOKUP(Таблица1_113[[#This Row],[Марка]],Таблица13[#All],5,0)</f>
        <v>Нет</v>
      </c>
      <c r="AI76" s="12">
        <v>43525</v>
      </c>
      <c r="AJ76">
        <v>11</v>
      </c>
    </row>
    <row r="77" spans="5:36">
      <c r="E77"/>
      <c r="AD77" t="s">
        <v>21</v>
      </c>
      <c r="AE77" t="str">
        <f>VLOOKUP(Таблица1_113[[#This Row],[Марка]],Таблица13[#All],4,0)</f>
        <v>Германия</v>
      </c>
      <c r="AF77" t="str">
        <f>VLOOKUP(Таблица1_113[[#This Row],[Марка]],Таблица13[#All],2,0)</f>
        <v>Business</v>
      </c>
      <c r="AG77">
        <f>VLOOKUP(Таблица1_113[[#This Row],[Марка]],Таблица13[#All],3,0)</f>
        <v>1937</v>
      </c>
      <c r="AH77" t="str">
        <f>VLOOKUP(Таблица1_113[[#This Row],[Марка]],Таблица13[#All],5,0)</f>
        <v>Нет</v>
      </c>
      <c r="AI77" s="12">
        <v>43525</v>
      </c>
      <c r="AJ77">
        <v>76</v>
      </c>
    </row>
    <row r="78" spans="5:36">
      <c r="E78"/>
      <c r="AD78" t="s">
        <v>2</v>
      </c>
      <c r="AE78" t="str">
        <f>VLOOKUP(Таблица1_113[[#This Row],[Марка]],Таблица13[#All],4,0)</f>
        <v>Япония</v>
      </c>
      <c r="AF78" t="str">
        <f>VLOOKUP(Таблица1_113[[#This Row],[Марка]],Таблица13[#All],2,0)</f>
        <v>Business</v>
      </c>
      <c r="AG78">
        <f>VLOOKUP(Таблица1_113[[#This Row],[Марка]],Таблица13[#All],3,0)</f>
        <v>1937</v>
      </c>
      <c r="AH78" t="str">
        <f>VLOOKUP(Таблица1_113[[#This Row],[Марка]],Таблица13[#All],5,0)</f>
        <v>Нет</v>
      </c>
      <c r="AI78" s="12">
        <v>43525</v>
      </c>
      <c r="AJ78">
        <v>1119</v>
      </c>
    </row>
    <row r="79" spans="5:36">
      <c r="E79"/>
      <c r="AD79" t="s">
        <v>125</v>
      </c>
      <c r="AE79" t="str">
        <f>VLOOKUP(Таблица1_113[[#This Row],[Марка]],Таблица13[#All],4,0)</f>
        <v>Япония</v>
      </c>
      <c r="AF79" t="str">
        <f>VLOOKUP(Таблица1_113[[#This Row],[Марка]],Таблица13[#All],2,0)</f>
        <v>Business</v>
      </c>
      <c r="AG79">
        <f>VLOOKUP(Таблица1_113[[#This Row],[Марка]],Таблица13[#All],3,0)</f>
        <v>1953</v>
      </c>
      <c r="AH79" t="str">
        <f>VLOOKUP(Таблица1_113[[#This Row],[Марка]],Таблица13[#All],5,0)</f>
        <v>Нет</v>
      </c>
      <c r="AI79" s="12">
        <v>43525</v>
      </c>
      <c r="AJ79">
        <v>26</v>
      </c>
    </row>
    <row r="80" spans="5:36">
      <c r="E80"/>
      <c r="AD80" t="s">
        <v>141</v>
      </c>
      <c r="AE80" t="str">
        <f>VLOOKUP(Таблица1_113[[#This Row],[Марка]],Таблица13[#All],4,0)</f>
        <v>Чехия</v>
      </c>
      <c r="AF80" t="str">
        <f>VLOOKUP(Таблица1_113[[#This Row],[Марка]],Таблица13[#All],2,0)</f>
        <v>Business</v>
      </c>
      <c r="AG80">
        <f>VLOOKUP(Таблица1_113[[#This Row],[Марка]],Таблица13[#All],3,0)</f>
        <v>1895</v>
      </c>
      <c r="AH80" t="str">
        <f>VLOOKUP(Таблица1_113[[#This Row],[Марка]],Таблица13[#All],5,0)</f>
        <v>Крупноузловая</v>
      </c>
      <c r="AI80" s="12">
        <v>43525</v>
      </c>
      <c r="AJ80">
        <v>83</v>
      </c>
    </row>
    <row r="81" spans="5:36">
      <c r="E81"/>
      <c r="AD81" t="s">
        <v>148</v>
      </c>
      <c r="AE81" t="str">
        <f>VLOOKUP(Таблица1_113[[#This Row],[Марка]],Таблица13[#All],4,0)</f>
        <v>Великобритания</v>
      </c>
      <c r="AF81" t="str">
        <f>VLOOKUP(Таблица1_113[[#This Row],[Марка]],Таблица13[#All],2,0)</f>
        <v>Luxury</v>
      </c>
      <c r="AG81">
        <f>VLOOKUP(Таблица1_113[[#This Row],[Марка]],Таблица13[#All],3,0)</f>
        <v>1904</v>
      </c>
      <c r="AH81" t="str">
        <f>VLOOKUP(Таблица1_113[[#This Row],[Марка]],Таблица13[#All],5,0)</f>
        <v>Нет</v>
      </c>
      <c r="AI81" s="12">
        <v>43525</v>
      </c>
      <c r="AJ81">
        <v>0</v>
      </c>
    </row>
    <row r="82" spans="5:36">
      <c r="E82"/>
      <c r="AD82" t="s">
        <v>23</v>
      </c>
      <c r="AE82" t="str">
        <f>VLOOKUP(Таблица1_113[[#This Row],[Марка]],Таблица13[#All],4,0)</f>
        <v>Франция</v>
      </c>
      <c r="AF82" t="str">
        <f>VLOOKUP(Таблица1_113[[#This Row],[Марка]],Таблица13[#All],2,0)</f>
        <v>Economy</v>
      </c>
      <c r="AG82">
        <f>VLOOKUP(Таблица1_113[[#This Row],[Марка]],Таблица13[#All],3,0)</f>
        <v>1899</v>
      </c>
      <c r="AH82" t="str">
        <f>VLOOKUP(Таблица1_113[[#This Row],[Марка]],Таблица13[#All],5,0)</f>
        <v>Крупноузловая</v>
      </c>
      <c r="AI82" s="12">
        <v>43525</v>
      </c>
      <c r="AJ82">
        <v>178</v>
      </c>
    </row>
    <row r="83" spans="5:36">
      <c r="E83"/>
      <c r="AD83" t="s">
        <v>142</v>
      </c>
      <c r="AE83" t="str">
        <f>VLOOKUP(Таблица1_113[[#This Row],[Марка]],Таблица13[#All],4,0)</f>
        <v>Узбекистан</v>
      </c>
      <c r="AF83" t="str">
        <f>VLOOKUP(Таблица1_113[[#This Row],[Марка]],Таблица13[#All],2,0)</f>
        <v>Economy</v>
      </c>
      <c r="AG83">
        <f>VLOOKUP(Таблица1_113[[#This Row],[Марка]],Таблица13[#All],3,0)</f>
        <v>2015</v>
      </c>
      <c r="AH83" t="str">
        <f>VLOOKUP(Таблица1_113[[#This Row],[Марка]],Таблица13[#All],5,0)</f>
        <v>Крупноузловая</v>
      </c>
      <c r="AI83" s="12">
        <v>43525</v>
      </c>
      <c r="AJ83">
        <v>16</v>
      </c>
    </row>
    <row r="84" spans="5:36">
      <c r="E84"/>
      <c r="AD84" t="s">
        <v>37</v>
      </c>
      <c r="AE84" t="str">
        <f>VLOOKUP(Таблица1_113[[#This Row],[Марка]],Таблица13[#All],4,0)</f>
        <v>Германия</v>
      </c>
      <c r="AF84" t="str">
        <f>VLOOKUP(Таблица1_113[[#This Row],[Марка]],Таблица13[#All],2,0)</f>
        <v>Luxury</v>
      </c>
      <c r="AG84">
        <f>VLOOKUP(Таблица1_113[[#This Row],[Марка]],Таблица13[#All],3,0)</f>
        <v>1931</v>
      </c>
      <c r="AH84" t="str">
        <f>VLOOKUP(Таблица1_113[[#This Row],[Марка]],Таблица13[#All],5,0)</f>
        <v>Нет</v>
      </c>
      <c r="AI84" s="12">
        <v>43525</v>
      </c>
      <c r="AJ84">
        <v>9</v>
      </c>
    </row>
    <row r="85" spans="5:36">
      <c r="E85"/>
      <c r="AD85" t="s">
        <v>146</v>
      </c>
      <c r="AE85" t="str">
        <f>VLOOKUP(Таблица1_113[[#This Row],[Марка]],Таблица13[#All],4,0)</f>
        <v>Франция</v>
      </c>
      <c r="AF85" t="str">
        <f>VLOOKUP(Таблица1_113[[#This Row],[Марка]],Таблица13[#All],2,0)</f>
        <v>Economy</v>
      </c>
      <c r="AG85">
        <f>VLOOKUP(Таблица1_113[[#This Row],[Марка]],Таблица13[#All],3,0)</f>
        <v>1810</v>
      </c>
      <c r="AH85" t="str">
        <f>VLOOKUP(Таблица1_113[[#This Row],[Марка]],Таблица13[#All],5,0)</f>
        <v>Нет</v>
      </c>
      <c r="AI85" s="12">
        <v>43525</v>
      </c>
      <c r="AJ85">
        <v>4</v>
      </c>
    </row>
    <row r="86" spans="5:36">
      <c r="E86"/>
      <c r="AD86" t="s">
        <v>22</v>
      </c>
      <c r="AE86" t="str">
        <f>VLOOKUP(Таблица1_113[[#This Row],[Марка]],Таблица13[#All],4,0)</f>
        <v>Япония</v>
      </c>
      <c r="AF86" t="str">
        <f>VLOOKUP(Таблица1_113[[#This Row],[Марка]],Таблица13[#All],2,0)</f>
        <v>Business</v>
      </c>
      <c r="AG86">
        <f>VLOOKUP(Таблица1_113[[#This Row],[Марка]],Таблица13[#All],3,0)</f>
        <v>1933</v>
      </c>
      <c r="AH86" t="str">
        <f>VLOOKUP(Таблица1_113[[#This Row],[Марка]],Таблица13[#All],5,0)</f>
        <v>Нет</v>
      </c>
      <c r="AI86" s="12">
        <v>43525</v>
      </c>
      <c r="AJ86">
        <v>185</v>
      </c>
    </row>
    <row r="87" spans="5:36">
      <c r="E87"/>
      <c r="AD87" t="s">
        <v>9</v>
      </c>
      <c r="AE87" t="str">
        <f>VLOOKUP(Таблица1_113[[#This Row],[Марка]],Таблица13[#All],4,0)</f>
        <v>Япония</v>
      </c>
      <c r="AF87" t="str">
        <f>VLOOKUP(Таблица1_113[[#This Row],[Марка]],Таблица13[#All],2,0)</f>
        <v>Business</v>
      </c>
      <c r="AG87">
        <f>VLOOKUP(Таблица1_113[[#This Row],[Марка]],Таблица13[#All],3,0)</f>
        <v>1870</v>
      </c>
      <c r="AH87" t="str">
        <f>VLOOKUP(Таблица1_113[[#This Row],[Марка]],Таблица13[#All],5,0)</f>
        <v>Нет</v>
      </c>
      <c r="AI87" s="12">
        <v>43525</v>
      </c>
      <c r="AJ87">
        <v>43</v>
      </c>
    </row>
    <row r="88" spans="5:36">
      <c r="E88"/>
      <c r="AD88" t="s">
        <v>40</v>
      </c>
      <c r="AE88" t="str">
        <f>VLOOKUP(Таблица1_113[[#This Row],[Марка]],Таблица13[#All],4,0)</f>
        <v>Великобритания</v>
      </c>
      <c r="AF88" t="str">
        <f>VLOOKUP(Таблица1_113[[#This Row],[Марка]],Таблица13[#All],2,0)</f>
        <v>Luxury</v>
      </c>
      <c r="AG88">
        <f>VLOOKUP(Таблица1_113[[#This Row],[Марка]],Таблица13[#All],3,0)</f>
        <v>1959</v>
      </c>
      <c r="AH88" t="str">
        <f>VLOOKUP(Таблица1_113[[#This Row],[Марка]],Таблица13[#All],5,0)</f>
        <v>Нет</v>
      </c>
      <c r="AI88" s="12">
        <v>43525</v>
      </c>
      <c r="AJ88">
        <v>0</v>
      </c>
    </row>
    <row r="89" spans="5:36">
      <c r="E89"/>
      <c r="AD89" t="s">
        <v>128</v>
      </c>
      <c r="AE89" t="str">
        <f>VLOOKUP(Таблица1_113[[#This Row],[Марка]],Таблица13[#All],4,0)</f>
        <v>Германия</v>
      </c>
      <c r="AF89" t="str">
        <f>VLOOKUP(Таблица1_113[[#This Row],[Марка]],Таблица13[#All],2,0)</f>
        <v>Luxury</v>
      </c>
      <c r="AG89">
        <f>VLOOKUP(Таблица1_113[[#This Row],[Марка]],Таблица13[#All],3,0)</f>
        <v>1926</v>
      </c>
      <c r="AH89" t="str">
        <f>VLOOKUP(Таблица1_113[[#This Row],[Марка]],Таблица13[#All],5,0)</f>
        <v>Нет</v>
      </c>
      <c r="AI89" s="12">
        <v>43525</v>
      </c>
      <c r="AJ89">
        <v>44</v>
      </c>
    </row>
    <row r="90" spans="5:36">
      <c r="E90"/>
      <c r="AD90" t="s">
        <v>139</v>
      </c>
      <c r="AE90" t="str">
        <f>VLOOKUP(Таблица1_113[[#This Row],[Марка]],Таблица13[#All],4,0)</f>
        <v>Япония</v>
      </c>
      <c r="AF90" t="str">
        <f>VLOOKUP(Таблица1_113[[#This Row],[Марка]],Таблица13[#All],2,0)</f>
        <v>Business</v>
      </c>
      <c r="AG90">
        <f>VLOOKUP(Таблица1_113[[#This Row],[Марка]],Таблица13[#All],3,0)</f>
        <v>1920</v>
      </c>
      <c r="AH90" t="str">
        <f>VLOOKUP(Таблица1_113[[#This Row],[Марка]],Таблица13[#All],5,0)</f>
        <v>Нет</v>
      </c>
      <c r="AI90" s="12">
        <v>43525</v>
      </c>
      <c r="AJ90">
        <v>32</v>
      </c>
    </row>
    <row r="91" spans="5:36">
      <c r="E91"/>
      <c r="AD91" t="s">
        <v>144</v>
      </c>
      <c r="AE91" t="str">
        <f>VLOOKUP(Таблица1_113[[#This Row],[Марка]],Таблица13[#All],4,0)</f>
        <v>Китай</v>
      </c>
      <c r="AF91" t="str">
        <f>VLOOKUP(Таблица1_113[[#This Row],[Марка]],Таблица13[#All],2,0)</f>
        <v>Economy</v>
      </c>
      <c r="AG91">
        <f>VLOOKUP(Таблица1_113[[#This Row],[Марка]],Таблица13[#All],3,0)</f>
        <v>1992</v>
      </c>
      <c r="AH91" t="str">
        <f>VLOOKUP(Таблица1_113[[#This Row],[Марка]],Таблица13[#All],5,0)</f>
        <v>Нет</v>
      </c>
      <c r="AI91" s="12">
        <v>43525</v>
      </c>
      <c r="AJ91">
        <v>29</v>
      </c>
    </row>
    <row r="92" spans="5:36">
      <c r="E92"/>
      <c r="AD92" t="s">
        <v>5</v>
      </c>
      <c r="AE92" t="str">
        <f>VLOOKUP(Таблица1_113[[#This Row],[Марка]],Таблица13[#All],4,0)</f>
        <v>Япония</v>
      </c>
      <c r="AF92" t="str">
        <f>VLOOKUP(Таблица1_113[[#This Row],[Марка]],Таблица13[#All],2,0)</f>
        <v>Luxury</v>
      </c>
      <c r="AG92">
        <f>VLOOKUP(Таблица1_113[[#This Row],[Марка]],Таблица13[#All],3,0)</f>
        <v>1989</v>
      </c>
      <c r="AH92" t="str">
        <f>VLOOKUP(Таблица1_113[[#This Row],[Марка]],Таблица13[#All],5,0)</f>
        <v>Нет</v>
      </c>
      <c r="AI92" s="12">
        <v>43525</v>
      </c>
      <c r="AJ92">
        <v>87</v>
      </c>
    </row>
    <row r="93" spans="5:36">
      <c r="E93"/>
      <c r="AD93" t="s">
        <v>35</v>
      </c>
      <c r="AE93" t="str">
        <f>VLOOKUP(Таблица1_113[[#This Row],[Марка]],Таблица13[#All],4,0)</f>
        <v>Великобритания</v>
      </c>
      <c r="AF93" t="str">
        <f>VLOOKUP(Таблица1_113[[#This Row],[Марка]],Таблица13[#All],2,0)</f>
        <v>Luxury</v>
      </c>
      <c r="AG93">
        <f>VLOOKUP(Таблица1_113[[#This Row],[Марка]],Таблица13[#All],3,0)</f>
        <v>1948</v>
      </c>
      <c r="AH93" t="str">
        <f>VLOOKUP(Таблица1_113[[#This Row],[Марка]],Таблица13[#All],5,0)</f>
        <v>Нет</v>
      </c>
      <c r="AI93" s="12">
        <v>43525</v>
      </c>
      <c r="AJ93">
        <v>14</v>
      </c>
    </row>
    <row r="94" spans="5:36">
      <c r="E94"/>
      <c r="AD94" t="s">
        <v>19</v>
      </c>
      <c r="AE94" t="str">
        <f>VLOOKUP(Таблица1_113[[#This Row],[Марка]],Таблица13[#All],4,0)</f>
        <v>Россия</v>
      </c>
      <c r="AF94" t="str">
        <f>VLOOKUP(Таблица1_113[[#This Row],[Марка]],Таблица13[#All],2,0)</f>
        <v>Economy</v>
      </c>
      <c r="AG94">
        <f>VLOOKUP(Таблица1_113[[#This Row],[Марка]],Таблица13[#All],3,0)</f>
        <v>1970</v>
      </c>
      <c r="AH94" t="str">
        <f>VLOOKUP(Таблица1_113[[#This Row],[Марка]],Таблица13[#All],5,0)</f>
        <v>Крупноузловая</v>
      </c>
      <c r="AI94" s="12">
        <v>43525</v>
      </c>
      <c r="AJ94">
        <v>1164</v>
      </c>
    </row>
    <row r="95" spans="5:36">
      <c r="E95"/>
      <c r="AD95" t="s">
        <v>15</v>
      </c>
      <c r="AE95" t="str">
        <f>VLOOKUP(Таблица1_113[[#This Row],[Марка]],Таблица13[#All],4,0)</f>
        <v>Корея</v>
      </c>
      <c r="AF95" t="str">
        <f>VLOOKUP(Таблица1_113[[#This Row],[Марка]],Таблица13[#All],2,0)</f>
        <v>Economy</v>
      </c>
      <c r="AG95">
        <f>VLOOKUP(Таблица1_113[[#This Row],[Марка]],Таблица13[#All],3,0)</f>
        <v>1944</v>
      </c>
      <c r="AH95" t="str">
        <f>VLOOKUP(Таблица1_113[[#This Row],[Марка]],Таблица13[#All],5,0)</f>
        <v>Крупноузловая</v>
      </c>
      <c r="AI95" s="12">
        <v>43525</v>
      </c>
      <c r="AJ95">
        <v>236</v>
      </c>
    </row>
    <row r="96" spans="5:36">
      <c r="E96"/>
      <c r="AD96" t="s">
        <v>134</v>
      </c>
      <c r="AE96" t="str">
        <f>VLOOKUP(Таблица1_113[[#This Row],[Марка]],Таблица13[#All],4,0)</f>
        <v>Великобритания</v>
      </c>
      <c r="AF96" t="str">
        <f>VLOOKUP(Таблица1_113[[#This Row],[Марка]],Таблица13[#All],2,0)</f>
        <v>Luxury</v>
      </c>
      <c r="AG96">
        <f>VLOOKUP(Таблица1_113[[#This Row],[Марка]],Таблица13[#All],3,0)</f>
        <v>1922</v>
      </c>
      <c r="AH96" t="str">
        <f>VLOOKUP(Таблица1_113[[#This Row],[Марка]],Таблица13[#All],5,0)</f>
        <v>Нет</v>
      </c>
      <c r="AI96" s="12">
        <v>43525</v>
      </c>
      <c r="AJ96">
        <v>0</v>
      </c>
    </row>
    <row r="97" spans="5:36">
      <c r="E97"/>
      <c r="AD97" t="s">
        <v>4</v>
      </c>
      <c r="AE97" t="str">
        <f>VLOOKUP(Таблица1_113[[#This Row],[Марка]],Таблица13[#All],4,0)</f>
        <v>Китай</v>
      </c>
      <c r="AF97" t="str">
        <f>VLOOKUP(Таблица1_113[[#This Row],[Марка]],Таблица13[#All],2,0)</f>
        <v>Economy</v>
      </c>
      <c r="AG97">
        <f>VLOOKUP(Таблица1_113[[#This Row],[Марка]],Таблица13[#All],3,0)</f>
        <v>1964</v>
      </c>
      <c r="AH97" t="str">
        <f>VLOOKUP(Таблица1_113[[#This Row],[Марка]],Таблица13[#All],5,0)</f>
        <v>Крупноузловая</v>
      </c>
      <c r="AI97" s="12">
        <v>43525</v>
      </c>
      <c r="AJ97">
        <v>51</v>
      </c>
    </row>
    <row r="98" spans="5:36">
      <c r="E98"/>
      <c r="AD98" t="s">
        <v>140</v>
      </c>
      <c r="AE98" t="str">
        <f>VLOOKUP(Таблица1_113[[#This Row],[Марка]],Таблица13[#All],4,0)</f>
        <v>Япония</v>
      </c>
      <c r="AF98" t="str">
        <f>VLOOKUP(Таблица1_113[[#This Row],[Марка]],Таблица13[#All],2,0)</f>
        <v>Business</v>
      </c>
      <c r="AG98">
        <f>VLOOKUP(Таблица1_113[[#This Row],[Марка]],Таблица13[#All],3,0)</f>
        <v>1916</v>
      </c>
      <c r="AH98" t="str">
        <f>VLOOKUP(Таблица1_113[[#This Row],[Марка]],Таблица13[#All],5,0)</f>
        <v>Нет</v>
      </c>
      <c r="AI98" s="12">
        <v>43525</v>
      </c>
      <c r="AJ98">
        <v>19</v>
      </c>
    </row>
    <row r="99" spans="5:36">
      <c r="E99"/>
      <c r="AD99" t="s">
        <v>34</v>
      </c>
      <c r="AE99" t="str">
        <f>VLOOKUP(Таблица1_113[[#This Row],[Марка]],Таблица13[#All],4,0)</f>
        <v>Япония</v>
      </c>
      <c r="AF99" t="str">
        <f>VLOOKUP(Таблица1_113[[#This Row],[Марка]],Таблица13[#All],2,0)</f>
        <v>Luxury</v>
      </c>
      <c r="AG99">
        <f>VLOOKUP(Таблица1_113[[#This Row],[Марка]],Таблица13[#All],3,0)</f>
        <v>1989</v>
      </c>
      <c r="AH99" t="str">
        <f>VLOOKUP(Таблица1_113[[#This Row],[Марка]],Таблица13[#All],5,0)</f>
        <v>Нет</v>
      </c>
      <c r="AI99" s="12">
        <v>43525</v>
      </c>
      <c r="AJ99">
        <v>10</v>
      </c>
    </row>
    <row r="100" spans="5:36">
      <c r="E100"/>
      <c r="AD100" t="s">
        <v>0</v>
      </c>
      <c r="AE100" t="str">
        <f>VLOOKUP(Таблица1_113[[#This Row],[Марка]],Таблица13[#All],4,0)</f>
        <v>Корея</v>
      </c>
      <c r="AF100" t="str">
        <f>VLOOKUP(Таблица1_113[[#This Row],[Марка]],Таблица13[#All],2,0)</f>
        <v>Economy</v>
      </c>
      <c r="AG100">
        <f>VLOOKUP(Таблица1_113[[#This Row],[Марка]],Таблица13[#All],3,0)</f>
        <v>1967</v>
      </c>
      <c r="AH100" t="str">
        <f>VLOOKUP(Таблица1_113[[#This Row],[Марка]],Таблица13[#All],5,0)</f>
        <v>Крупноузловая</v>
      </c>
      <c r="AI100" s="12">
        <v>43525</v>
      </c>
      <c r="AJ100">
        <v>893</v>
      </c>
    </row>
    <row r="101" spans="5:36">
      <c r="E101"/>
      <c r="AD101" t="s">
        <v>133</v>
      </c>
      <c r="AE101" t="str">
        <f>VLOOKUP(Таблица1_113[[#This Row],[Марка]],Таблица13[#All],4,0)</f>
        <v>Китай</v>
      </c>
      <c r="AF101" t="str">
        <f>VLOOKUP(Таблица1_113[[#This Row],[Марка]],Таблица13[#All],2,0)</f>
        <v>Economy</v>
      </c>
      <c r="AG101">
        <f>VLOOKUP(Таблица1_113[[#This Row],[Марка]],Таблица13[#All],3,0)</f>
        <v>1996</v>
      </c>
      <c r="AH101" t="str">
        <f>VLOOKUP(Таблица1_113[[#This Row],[Марка]],Таблица13[#All],5,0)</f>
        <v>Нет</v>
      </c>
      <c r="AI101" s="12">
        <v>43525</v>
      </c>
      <c r="AJ101">
        <v>9</v>
      </c>
    </row>
    <row r="102" spans="5:36">
      <c r="E102"/>
      <c r="AD102" t="s">
        <v>147</v>
      </c>
      <c r="AE102" t="str">
        <f>VLOOKUP(Таблица1_113[[#This Row],[Марка]],Таблица13[#All],4,0)</f>
        <v>США</v>
      </c>
      <c r="AF102" t="str">
        <f>VLOOKUP(Таблица1_113[[#This Row],[Марка]],Таблица13[#All],2,0)</f>
        <v>Economy</v>
      </c>
      <c r="AG102">
        <f>VLOOKUP(Таблица1_113[[#This Row],[Марка]],Таблица13[#All],3,0)</f>
        <v>1903</v>
      </c>
      <c r="AH102" t="str">
        <f>VLOOKUP(Таблица1_113[[#This Row],[Марка]],Таблица13[#All],5,0)</f>
        <v>Нет</v>
      </c>
      <c r="AI102" s="12">
        <v>43525</v>
      </c>
      <c r="AJ102">
        <v>0</v>
      </c>
    </row>
    <row r="103" spans="5:36">
      <c r="E103"/>
      <c r="AD103" t="s">
        <v>130</v>
      </c>
      <c r="AE103" t="str">
        <f>VLOOKUP(Таблица1_113[[#This Row],[Марка]],Таблица13[#All],4,0)</f>
        <v>Китай</v>
      </c>
      <c r="AF103" t="str">
        <f>VLOOKUP(Таблица1_113[[#This Row],[Марка]],Таблица13[#All],2,0)</f>
        <v>Economy</v>
      </c>
      <c r="AG103">
        <f>VLOOKUP(Таблица1_113[[#This Row],[Марка]],Таблица13[#All],3,0)</f>
        <v>1969</v>
      </c>
      <c r="AH103" t="str">
        <f>VLOOKUP(Таблица1_113[[#This Row],[Марка]],Таблица13[#All],5,0)</f>
        <v>Нет</v>
      </c>
      <c r="AI103" s="12">
        <v>43525</v>
      </c>
      <c r="AJ103">
        <v>26</v>
      </c>
    </row>
    <row r="104" spans="5:36">
      <c r="E104"/>
      <c r="AD104" t="s">
        <v>137</v>
      </c>
      <c r="AE104" t="str">
        <f>VLOOKUP(Таблица1_113[[#This Row],[Марка]],Таблица13[#All],4,0)</f>
        <v>Корея</v>
      </c>
      <c r="AF104" t="str">
        <f>VLOOKUP(Таблица1_113[[#This Row],[Марка]],Таблица13[#All],2,0)</f>
        <v>Economy</v>
      </c>
      <c r="AG104">
        <f>VLOOKUP(Таблица1_113[[#This Row],[Марка]],Таблица13[#All],3,0)</f>
        <v>1967</v>
      </c>
      <c r="AH104" t="str">
        <f>VLOOKUP(Таблица1_113[[#This Row],[Марка]],Таблица13[#All],5,0)</f>
        <v>Нет</v>
      </c>
      <c r="AI104" s="12">
        <v>43525</v>
      </c>
      <c r="AJ104">
        <v>29</v>
      </c>
    </row>
    <row r="105" spans="5:36">
      <c r="E105"/>
      <c r="AD105" t="s">
        <v>1</v>
      </c>
      <c r="AE105" t="str">
        <f>VLOOKUP(Таблица1_113[[#This Row],[Марка]],Таблица13[#All],4,0)</f>
        <v>США</v>
      </c>
      <c r="AF105" t="str">
        <f>VLOOKUP(Таблица1_113[[#This Row],[Марка]],Таблица13[#All],2,0)</f>
        <v>Economy</v>
      </c>
      <c r="AG105">
        <f>VLOOKUP(Таблица1_113[[#This Row],[Марка]],Таблица13[#All],3,0)</f>
        <v>1911</v>
      </c>
      <c r="AH105" t="str">
        <f>VLOOKUP(Таблица1_113[[#This Row],[Марка]],Таблица13[#All],5,0)</f>
        <v>Крупноузловая</v>
      </c>
      <c r="AI105" s="12">
        <v>43525</v>
      </c>
      <c r="AJ105">
        <v>51</v>
      </c>
    </row>
    <row r="106" spans="5:36">
      <c r="E106"/>
      <c r="AD106" t="s">
        <v>36</v>
      </c>
      <c r="AE106" t="str">
        <f>VLOOKUP(Таблица1_113[[#This Row],[Марка]],Таблица13[#All],4,0)</f>
        <v>США</v>
      </c>
      <c r="AF106" t="str">
        <f>VLOOKUP(Таблица1_113[[#This Row],[Марка]],Таблица13[#All],2,0)</f>
        <v>Luxury</v>
      </c>
      <c r="AG106">
        <f>VLOOKUP(Таблица1_113[[#This Row],[Марка]],Таблица13[#All],3,0)</f>
        <v>1902</v>
      </c>
      <c r="AH106" t="str">
        <f>VLOOKUP(Таблица1_113[[#This Row],[Марка]],Таблица13[#All],5,0)</f>
        <v>Нет</v>
      </c>
      <c r="AI106" s="12">
        <v>43525</v>
      </c>
      <c r="AJ106">
        <v>11</v>
      </c>
    </row>
    <row r="107" spans="5:36">
      <c r="E107"/>
      <c r="AD107" t="s">
        <v>8</v>
      </c>
      <c r="AE107" t="str">
        <f>VLOOKUP(Таблица1_113[[#This Row],[Марка]],Таблица13[#All],4,0)</f>
        <v>Германия</v>
      </c>
      <c r="AF107" t="str">
        <f>VLOOKUP(Таблица1_113[[#This Row],[Марка]],Таблица13[#All],2,0)</f>
        <v>Luxury</v>
      </c>
      <c r="AG107">
        <f>VLOOKUP(Таблица1_113[[#This Row],[Марка]],Таблица13[#All],3,0)</f>
        <v>1916</v>
      </c>
      <c r="AH107" t="str">
        <f>VLOOKUP(Таблица1_113[[#This Row],[Марка]],Таблица13[#All],5,0)</f>
        <v>Нет</v>
      </c>
      <c r="AI107" s="12">
        <v>43525</v>
      </c>
      <c r="AJ107">
        <v>38</v>
      </c>
    </row>
    <row r="108" spans="5:36">
      <c r="E108"/>
      <c r="AD108" t="s">
        <v>38</v>
      </c>
      <c r="AE108" t="str">
        <f>VLOOKUP(Таблица1_113[[#This Row],[Марка]],Таблица13[#All],4,0)</f>
        <v>Германия</v>
      </c>
      <c r="AF108" t="str">
        <f>VLOOKUP(Таблица1_113[[#This Row],[Марка]],Таблица13[#All],2,0)</f>
        <v>Luxury</v>
      </c>
      <c r="AG108">
        <f>VLOOKUP(Таблица1_113[[#This Row],[Марка]],Таблица13[#All],3,0)</f>
        <v>1932</v>
      </c>
      <c r="AH108" t="str">
        <f>VLOOKUP(Таблица1_113[[#This Row],[Марка]],Таблица13[#All],5,0)</f>
        <v>Нет</v>
      </c>
      <c r="AI108" s="12">
        <v>43525</v>
      </c>
      <c r="AJ108">
        <v>6</v>
      </c>
    </row>
    <row r="109" spans="5:36">
      <c r="E109"/>
      <c r="AD109" t="s">
        <v>145</v>
      </c>
      <c r="AE109" t="str">
        <f>VLOOKUP(Таблица1_113[[#This Row],[Марка]],Таблица13[#All],4,0)</f>
        <v>Китай</v>
      </c>
      <c r="AF109" t="str">
        <f>VLOOKUP(Таблица1_113[[#This Row],[Марка]],Таблица13[#All],2,0)</f>
        <v>Economy</v>
      </c>
      <c r="AG109">
        <f>VLOOKUP(Таблица1_113[[#This Row],[Марка]],Таблица13[#All],3,0)</f>
        <v>1997</v>
      </c>
      <c r="AH109" t="str">
        <f>VLOOKUP(Таблица1_113[[#This Row],[Марка]],Таблица13[#All],5,0)</f>
        <v>Нет</v>
      </c>
      <c r="AI109" s="12">
        <v>43525</v>
      </c>
      <c r="AJ109">
        <v>37</v>
      </c>
    </row>
    <row r="110" spans="5:36">
      <c r="E110"/>
      <c r="AD110" t="s">
        <v>136</v>
      </c>
      <c r="AE110" t="str">
        <f>VLOOKUP(Таблица1_113[[#This Row],[Марка]],Таблица13[#All],4,0)</f>
        <v>Россия</v>
      </c>
      <c r="AF110" t="str">
        <f>VLOOKUP(Таблица1_113[[#This Row],[Марка]],Таблица13[#All],2,0)</f>
        <v>Economy</v>
      </c>
      <c r="AG110">
        <f>VLOOKUP(Таблица1_113[[#This Row],[Марка]],Таблица13[#All],3,0)</f>
        <v>1941</v>
      </c>
      <c r="AH110" t="str">
        <f>VLOOKUP(Таблица1_113[[#This Row],[Марка]],Таблица13[#All],5,0)</f>
        <v>Нет</v>
      </c>
      <c r="AI110" s="12">
        <v>43556</v>
      </c>
      <c r="AJ110">
        <v>234</v>
      </c>
    </row>
    <row r="111" spans="5:36">
      <c r="E111"/>
      <c r="AD111" t="s">
        <v>135</v>
      </c>
      <c r="AE111" t="str">
        <f>VLOOKUP(Таблица1_113[[#This Row],[Марка]],Таблица13[#All],4,0)</f>
        <v>-</v>
      </c>
      <c r="AF111" t="str">
        <f>VLOOKUP(Таблица1_113[[#This Row],[Марка]],Таблица13[#All],2,0)</f>
        <v>-</v>
      </c>
      <c r="AG111" t="str">
        <f>VLOOKUP(Таблица1_113[[#This Row],[Марка]],Таблица13[#All],3,0)</f>
        <v>-</v>
      </c>
      <c r="AH111" t="str">
        <f>VLOOKUP(Таблица1_113[[#This Row],[Марка]],Таблица13[#All],5,0)</f>
        <v>-</v>
      </c>
      <c r="AI111" s="12">
        <v>43556</v>
      </c>
      <c r="AJ111">
        <v>0</v>
      </c>
    </row>
    <row r="112" spans="5:36">
      <c r="E112"/>
      <c r="AD112" t="s">
        <v>39</v>
      </c>
      <c r="AE112" t="str">
        <f>VLOOKUP(Таблица1_113[[#This Row],[Марка]],Таблица13[#All],4,0)</f>
        <v>Швеция</v>
      </c>
      <c r="AF112" t="str">
        <f>VLOOKUP(Таблица1_113[[#This Row],[Марка]],Таблица13[#All],2,0)</f>
        <v>Business</v>
      </c>
      <c r="AG112">
        <f>VLOOKUP(Таблица1_113[[#This Row],[Марка]],Таблица13[#All],3,0)</f>
        <v>1927</v>
      </c>
      <c r="AH112" t="str">
        <f>VLOOKUP(Таблица1_113[[#This Row],[Марка]],Таблица13[#All],5,0)</f>
        <v>Нет</v>
      </c>
      <c r="AI112" s="12">
        <v>43556</v>
      </c>
      <c r="AJ112">
        <v>0</v>
      </c>
    </row>
    <row r="113" spans="5:36">
      <c r="E113"/>
      <c r="AD113" t="s">
        <v>21</v>
      </c>
      <c r="AE113" t="str">
        <f>VLOOKUP(Таблица1_113[[#This Row],[Марка]],Таблица13[#All],4,0)</f>
        <v>Германия</v>
      </c>
      <c r="AF113" t="str">
        <f>VLOOKUP(Таблица1_113[[#This Row],[Марка]],Таблица13[#All],2,0)</f>
        <v>Business</v>
      </c>
      <c r="AG113">
        <f>VLOOKUP(Таблица1_113[[#This Row],[Марка]],Таблица13[#All],3,0)</f>
        <v>1937</v>
      </c>
      <c r="AH113" t="str">
        <f>VLOOKUP(Таблица1_113[[#This Row],[Марка]],Таблица13[#All],5,0)</f>
        <v>Нет</v>
      </c>
      <c r="AI113" s="12">
        <v>43556</v>
      </c>
      <c r="AJ113">
        <v>111</v>
      </c>
    </row>
    <row r="114" spans="5:36">
      <c r="E114"/>
      <c r="AD114" t="s">
        <v>2</v>
      </c>
      <c r="AE114" t="str">
        <f>VLOOKUP(Таблица1_113[[#This Row],[Марка]],Таблица13[#All],4,0)</f>
        <v>Япония</v>
      </c>
      <c r="AF114" t="str">
        <f>VLOOKUP(Таблица1_113[[#This Row],[Марка]],Таблица13[#All],2,0)</f>
        <v>Business</v>
      </c>
      <c r="AG114">
        <f>VLOOKUP(Таблица1_113[[#This Row],[Марка]],Таблица13[#All],3,0)</f>
        <v>1937</v>
      </c>
      <c r="AH114" t="str">
        <f>VLOOKUP(Таблица1_113[[#This Row],[Марка]],Таблица13[#All],5,0)</f>
        <v>Нет</v>
      </c>
      <c r="AI114" s="12">
        <v>43556</v>
      </c>
      <c r="AJ114">
        <v>1213</v>
      </c>
    </row>
    <row r="115" spans="5:36">
      <c r="E115"/>
      <c r="AD115" t="s">
        <v>125</v>
      </c>
      <c r="AE115" t="str">
        <f>VLOOKUP(Таблица1_113[[#This Row],[Марка]],Таблица13[#All],4,0)</f>
        <v>Япония</v>
      </c>
      <c r="AF115" t="str">
        <f>VLOOKUP(Таблица1_113[[#This Row],[Марка]],Таблица13[#All],2,0)</f>
        <v>Business</v>
      </c>
      <c r="AG115">
        <f>VLOOKUP(Таблица1_113[[#This Row],[Марка]],Таблица13[#All],3,0)</f>
        <v>1953</v>
      </c>
      <c r="AH115" t="str">
        <f>VLOOKUP(Таблица1_113[[#This Row],[Марка]],Таблица13[#All],5,0)</f>
        <v>Нет</v>
      </c>
      <c r="AI115" s="12">
        <v>43556</v>
      </c>
      <c r="AJ115">
        <v>64</v>
      </c>
    </row>
    <row r="116" spans="5:36">
      <c r="E116"/>
      <c r="AD116" t="s">
        <v>141</v>
      </c>
      <c r="AE116" t="str">
        <f>VLOOKUP(Таблица1_113[[#This Row],[Марка]],Таблица13[#All],4,0)</f>
        <v>Чехия</v>
      </c>
      <c r="AF116" t="str">
        <f>VLOOKUP(Таблица1_113[[#This Row],[Марка]],Таблица13[#All],2,0)</f>
        <v>Business</v>
      </c>
      <c r="AG116">
        <f>VLOOKUP(Таблица1_113[[#This Row],[Марка]],Таблица13[#All],3,0)</f>
        <v>1895</v>
      </c>
      <c r="AH116" t="str">
        <f>VLOOKUP(Таблица1_113[[#This Row],[Марка]],Таблица13[#All],5,0)</f>
        <v>Крупноузловая</v>
      </c>
      <c r="AI116" s="12">
        <v>43556</v>
      </c>
      <c r="AJ116">
        <v>110</v>
      </c>
    </row>
    <row r="117" spans="5:36">
      <c r="E117"/>
      <c r="AD117" t="s">
        <v>148</v>
      </c>
      <c r="AE117" t="str">
        <f>VLOOKUP(Таблица1_113[[#This Row],[Марка]],Таблица13[#All],4,0)</f>
        <v>Великобритания</v>
      </c>
      <c r="AF117" t="str">
        <f>VLOOKUP(Таблица1_113[[#This Row],[Марка]],Таблица13[#All],2,0)</f>
        <v>Luxury</v>
      </c>
      <c r="AG117">
        <f>VLOOKUP(Таблица1_113[[#This Row],[Марка]],Таблица13[#All],3,0)</f>
        <v>1904</v>
      </c>
      <c r="AH117" t="str">
        <f>VLOOKUP(Таблица1_113[[#This Row],[Марка]],Таблица13[#All],5,0)</f>
        <v>Нет</v>
      </c>
      <c r="AI117" s="12">
        <v>43556</v>
      </c>
      <c r="AJ117">
        <v>0</v>
      </c>
    </row>
    <row r="118" spans="5:36">
      <c r="E118"/>
      <c r="AD118" t="s">
        <v>23</v>
      </c>
      <c r="AE118" t="str">
        <f>VLOOKUP(Таблица1_113[[#This Row],[Марка]],Таблица13[#All],4,0)</f>
        <v>Франция</v>
      </c>
      <c r="AF118" t="str">
        <f>VLOOKUP(Таблица1_113[[#This Row],[Марка]],Таблица13[#All],2,0)</f>
        <v>Economy</v>
      </c>
      <c r="AG118">
        <f>VLOOKUP(Таблица1_113[[#This Row],[Марка]],Таблица13[#All],3,0)</f>
        <v>1899</v>
      </c>
      <c r="AH118" t="str">
        <f>VLOOKUP(Таблица1_113[[#This Row],[Марка]],Таблица13[#All],5,0)</f>
        <v>Крупноузловая</v>
      </c>
      <c r="AI118" s="12">
        <v>43556</v>
      </c>
      <c r="AJ118">
        <v>128</v>
      </c>
    </row>
    <row r="119" spans="5:36">
      <c r="E119"/>
      <c r="AD119" t="s">
        <v>142</v>
      </c>
      <c r="AE119" t="str">
        <f>VLOOKUP(Таблица1_113[[#This Row],[Марка]],Таблица13[#All],4,0)</f>
        <v>Узбекистан</v>
      </c>
      <c r="AF119" t="str">
        <f>VLOOKUP(Таблица1_113[[#This Row],[Марка]],Таблица13[#All],2,0)</f>
        <v>Economy</v>
      </c>
      <c r="AG119">
        <f>VLOOKUP(Таблица1_113[[#This Row],[Марка]],Таблица13[#All],3,0)</f>
        <v>2015</v>
      </c>
      <c r="AH119" t="str">
        <f>VLOOKUP(Таблица1_113[[#This Row],[Марка]],Таблица13[#All],5,0)</f>
        <v>Крупноузловая</v>
      </c>
      <c r="AI119" s="12">
        <v>43556</v>
      </c>
      <c r="AJ119">
        <v>51</v>
      </c>
    </row>
    <row r="120" spans="5:36">
      <c r="E120"/>
      <c r="AD120" t="s">
        <v>37</v>
      </c>
      <c r="AE120" t="str">
        <f>VLOOKUP(Таблица1_113[[#This Row],[Марка]],Таблица13[#All],4,0)</f>
        <v>Германия</v>
      </c>
      <c r="AF120" t="str">
        <f>VLOOKUP(Таблица1_113[[#This Row],[Марка]],Таблица13[#All],2,0)</f>
        <v>Luxury</v>
      </c>
      <c r="AG120">
        <f>VLOOKUP(Таблица1_113[[#This Row],[Марка]],Таблица13[#All],3,0)</f>
        <v>1931</v>
      </c>
      <c r="AH120" t="str">
        <f>VLOOKUP(Таблица1_113[[#This Row],[Марка]],Таблица13[#All],5,0)</f>
        <v>Нет</v>
      </c>
      <c r="AI120" s="12">
        <v>43556</v>
      </c>
      <c r="AJ120">
        <v>11</v>
      </c>
    </row>
    <row r="121" spans="5:36">
      <c r="E121"/>
      <c r="AD121" t="s">
        <v>146</v>
      </c>
      <c r="AE121" t="str">
        <f>VLOOKUP(Таблица1_113[[#This Row],[Марка]],Таблица13[#All],4,0)</f>
        <v>Франция</v>
      </c>
      <c r="AF121" t="str">
        <f>VLOOKUP(Таблица1_113[[#This Row],[Марка]],Таблица13[#All],2,0)</f>
        <v>Economy</v>
      </c>
      <c r="AG121">
        <f>VLOOKUP(Таблица1_113[[#This Row],[Марка]],Таблица13[#All],3,0)</f>
        <v>1810</v>
      </c>
      <c r="AH121" t="str">
        <f>VLOOKUP(Таблица1_113[[#This Row],[Марка]],Таблица13[#All],5,0)</f>
        <v>Нет</v>
      </c>
      <c r="AI121" s="12">
        <v>43556</v>
      </c>
      <c r="AJ121">
        <v>11</v>
      </c>
    </row>
    <row r="122" spans="5:36">
      <c r="E122"/>
      <c r="AD122" t="s">
        <v>22</v>
      </c>
      <c r="AE122" t="str">
        <f>VLOOKUP(Таблица1_113[[#This Row],[Марка]],Таблица13[#All],4,0)</f>
        <v>Япония</v>
      </c>
      <c r="AF122" t="str">
        <f>VLOOKUP(Таблица1_113[[#This Row],[Марка]],Таблица13[#All],2,0)</f>
        <v>Business</v>
      </c>
      <c r="AG122">
        <f>VLOOKUP(Таблица1_113[[#This Row],[Марка]],Таблица13[#All],3,0)</f>
        <v>1933</v>
      </c>
      <c r="AH122" t="str">
        <f>VLOOKUP(Таблица1_113[[#This Row],[Марка]],Таблица13[#All],5,0)</f>
        <v>Нет</v>
      </c>
      <c r="AI122" s="12">
        <v>43556</v>
      </c>
      <c r="AJ122">
        <v>140</v>
      </c>
    </row>
    <row r="123" spans="5:36">
      <c r="E123"/>
      <c r="AD123" t="s">
        <v>9</v>
      </c>
      <c r="AE123" t="str">
        <f>VLOOKUP(Таблица1_113[[#This Row],[Марка]],Таблица13[#All],4,0)</f>
        <v>Япония</v>
      </c>
      <c r="AF123" t="str">
        <f>VLOOKUP(Таблица1_113[[#This Row],[Марка]],Таблица13[#All],2,0)</f>
        <v>Business</v>
      </c>
      <c r="AG123">
        <f>VLOOKUP(Таблица1_113[[#This Row],[Марка]],Таблица13[#All],3,0)</f>
        <v>1870</v>
      </c>
      <c r="AH123" t="str">
        <f>VLOOKUP(Таблица1_113[[#This Row],[Марка]],Таблица13[#All],5,0)</f>
        <v>Нет</v>
      </c>
      <c r="AI123" s="12">
        <v>43556</v>
      </c>
      <c r="AJ123">
        <v>44</v>
      </c>
    </row>
    <row r="124" spans="5:36">
      <c r="E124"/>
      <c r="AD124" t="s">
        <v>40</v>
      </c>
      <c r="AE124" t="str">
        <f>VLOOKUP(Таблица1_113[[#This Row],[Марка]],Таблица13[#All],4,0)</f>
        <v>Великобритания</v>
      </c>
      <c r="AF124" t="str">
        <f>VLOOKUP(Таблица1_113[[#This Row],[Марка]],Таблица13[#All],2,0)</f>
        <v>Luxury</v>
      </c>
      <c r="AG124">
        <f>VLOOKUP(Таблица1_113[[#This Row],[Марка]],Таблица13[#All],3,0)</f>
        <v>1959</v>
      </c>
      <c r="AH124" t="str">
        <f>VLOOKUP(Таблица1_113[[#This Row],[Марка]],Таблица13[#All],5,0)</f>
        <v>Нет</v>
      </c>
      <c r="AI124" s="12">
        <v>43556</v>
      </c>
      <c r="AJ124">
        <v>0</v>
      </c>
    </row>
    <row r="125" spans="5:36">
      <c r="E125"/>
      <c r="AD125" t="s">
        <v>128</v>
      </c>
      <c r="AE125" t="str">
        <f>VLOOKUP(Таблица1_113[[#This Row],[Марка]],Таблица13[#All],4,0)</f>
        <v>Германия</v>
      </c>
      <c r="AF125" t="str">
        <f>VLOOKUP(Таблица1_113[[#This Row],[Марка]],Таблица13[#All],2,0)</f>
        <v>Luxury</v>
      </c>
      <c r="AG125">
        <f>VLOOKUP(Таблица1_113[[#This Row],[Марка]],Таблица13[#All],3,0)</f>
        <v>1926</v>
      </c>
      <c r="AH125" t="str">
        <f>VLOOKUP(Таблица1_113[[#This Row],[Марка]],Таблица13[#All],5,0)</f>
        <v>Нет</v>
      </c>
      <c r="AI125" s="12">
        <v>43556</v>
      </c>
      <c r="AJ125">
        <v>29</v>
      </c>
    </row>
    <row r="126" spans="5:36">
      <c r="E126"/>
      <c r="AD126" t="s">
        <v>139</v>
      </c>
      <c r="AE126" t="str">
        <f>VLOOKUP(Таблица1_113[[#This Row],[Марка]],Таблица13[#All],4,0)</f>
        <v>Япония</v>
      </c>
      <c r="AF126" t="str">
        <f>VLOOKUP(Таблица1_113[[#This Row],[Марка]],Таблица13[#All],2,0)</f>
        <v>Business</v>
      </c>
      <c r="AG126">
        <f>VLOOKUP(Таблица1_113[[#This Row],[Марка]],Таблица13[#All],3,0)</f>
        <v>1920</v>
      </c>
      <c r="AH126" t="str">
        <f>VLOOKUP(Таблица1_113[[#This Row],[Марка]],Таблица13[#All],5,0)</f>
        <v>Нет</v>
      </c>
      <c r="AI126" s="12">
        <v>43556</v>
      </c>
      <c r="AJ126">
        <v>29</v>
      </c>
    </row>
    <row r="127" spans="5:36">
      <c r="E127"/>
      <c r="AD127" t="s">
        <v>144</v>
      </c>
      <c r="AE127" t="str">
        <f>VLOOKUP(Таблица1_113[[#This Row],[Марка]],Таблица13[#All],4,0)</f>
        <v>Китай</v>
      </c>
      <c r="AF127" t="str">
        <f>VLOOKUP(Таблица1_113[[#This Row],[Марка]],Таблица13[#All],2,0)</f>
        <v>Economy</v>
      </c>
      <c r="AG127">
        <f>VLOOKUP(Таблица1_113[[#This Row],[Марка]],Таблица13[#All],3,0)</f>
        <v>1992</v>
      </c>
      <c r="AH127" t="str">
        <f>VLOOKUP(Таблица1_113[[#This Row],[Марка]],Таблица13[#All],5,0)</f>
        <v>Нет</v>
      </c>
      <c r="AI127" s="12">
        <v>43556</v>
      </c>
      <c r="AJ127">
        <v>34</v>
      </c>
    </row>
    <row r="128" spans="5:36">
      <c r="E128"/>
      <c r="AD128" t="s">
        <v>5</v>
      </c>
      <c r="AE128" t="str">
        <f>VLOOKUP(Таблица1_113[[#This Row],[Марка]],Таблица13[#All],4,0)</f>
        <v>Япония</v>
      </c>
      <c r="AF128" t="str">
        <f>VLOOKUP(Таблица1_113[[#This Row],[Марка]],Таблица13[#All],2,0)</f>
        <v>Luxury</v>
      </c>
      <c r="AG128">
        <f>VLOOKUP(Таблица1_113[[#This Row],[Марка]],Таблица13[#All],3,0)</f>
        <v>1989</v>
      </c>
      <c r="AH128" t="str">
        <f>VLOOKUP(Таблица1_113[[#This Row],[Марка]],Таблица13[#All],5,0)</f>
        <v>Нет</v>
      </c>
      <c r="AI128" s="12">
        <v>43556</v>
      </c>
      <c r="AJ128">
        <v>156</v>
      </c>
    </row>
    <row r="129" spans="5:36">
      <c r="E129"/>
      <c r="AD129" t="s">
        <v>35</v>
      </c>
      <c r="AE129" t="str">
        <f>VLOOKUP(Таблица1_113[[#This Row],[Марка]],Таблица13[#All],4,0)</f>
        <v>Великобритания</v>
      </c>
      <c r="AF129" t="str">
        <f>VLOOKUP(Таблица1_113[[#This Row],[Марка]],Таблица13[#All],2,0)</f>
        <v>Luxury</v>
      </c>
      <c r="AG129">
        <f>VLOOKUP(Таблица1_113[[#This Row],[Марка]],Таблица13[#All],3,0)</f>
        <v>1948</v>
      </c>
      <c r="AH129" t="str">
        <f>VLOOKUP(Таблица1_113[[#This Row],[Марка]],Таблица13[#All],5,0)</f>
        <v>Нет</v>
      </c>
      <c r="AI129" s="12">
        <v>43556</v>
      </c>
      <c r="AJ129">
        <v>8</v>
      </c>
    </row>
    <row r="130" spans="5:36">
      <c r="E130"/>
      <c r="AD130" t="s">
        <v>19</v>
      </c>
      <c r="AE130" t="str">
        <f>VLOOKUP(Таблица1_113[[#This Row],[Марка]],Таблица13[#All],4,0)</f>
        <v>Россия</v>
      </c>
      <c r="AF130" t="str">
        <f>VLOOKUP(Таблица1_113[[#This Row],[Марка]],Таблица13[#All],2,0)</f>
        <v>Economy</v>
      </c>
      <c r="AG130">
        <f>VLOOKUP(Таблица1_113[[#This Row],[Марка]],Таблица13[#All],3,0)</f>
        <v>1970</v>
      </c>
      <c r="AH130" t="str">
        <f>VLOOKUP(Таблица1_113[[#This Row],[Марка]],Таблица13[#All],5,0)</f>
        <v>Крупноузловая</v>
      </c>
      <c r="AI130" s="12">
        <v>43556</v>
      </c>
      <c r="AJ130">
        <v>1325</v>
      </c>
    </row>
    <row r="131" spans="5:36">
      <c r="E131"/>
      <c r="AD131" t="s">
        <v>15</v>
      </c>
      <c r="AE131" t="str">
        <f>VLOOKUP(Таблица1_113[[#This Row],[Марка]],Таблица13[#All],4,0)</f>
        <v>Корея</v>
      </c>
      <c r="AF131" t="str">
        <f>VLOOKUP(Таблица1_113[[#This Row],[Марка]],Таблица13[#All],2,0)</f>
        <v>Economy</v>
      </c>
      <c r="AG131">
        <f>VLOOKUP(Таблица1_113[[#This Row],[Марка]],Таблица13[#All],3,0)</f>
        <v>1944</v>
      </c>
      <c r="AH131" t="str">
        <f>VLOOKUP(Таблица1_113[[#This Row],[Марка]],Таблица13[#All],5,0)</f>
        <v>Крупноузловая</v>
      </c>
      <c r="AI131" s="12">
        <v>43556</v>
      </c>
      <c r="AJ131">
        <v>391</v>
      </c>
    </row>
    <row r="132" spans="5:36">
      <c r="E132"/>
      <c r="AD132" t="s">
        <v>134</v>
      </c>
      <c r="AE132" t="str">
        <f>VLOOKUP(Таблица1_113[[#This Row],[Марка]],Таблица13[#All],4,0)</f>
        <v>Великобритания</v>
      </c>
      <c r="AF132" t="str">
        <f>VLOOKUP(Таблица1_113[[#This Row],[Марка]],Таблица13[#All],2,0)</f>
        <v>Luxury</v>
      </c>
      <c r="AG132">
        <f>VLOOKUP(Таблица1_113[[#This Row],[Марка]],Таблица13[#All],3,0)</f>
        <v>1922</v>
      </c>
      <c r="AH132" t="str">
        <f>VLOOKUP(Таблица1_113[[#This Row],[Марка]],Таблица13[#All],5,0)</f>
        <v>Нет</v>
      </c>
      <c r="AI132" s="12">
        <v>43556</v>
      </c>
      <c r="AJ132">
        <v>3</v>
      </c>
    </row>
    <row r="133" spans="5:36">
      <c r="E133"/>
      <c r="AD133" t="s">
        <v>4</v>
      </c>
      <c r="AE133" t="str">
        <f>VLOOKUP(Таблица1_113[[#This Row],[Марка]],Таблица13[#All],4,0)</f>
        <v>Китай</v>
      </c>
      <c r="AF133" t="str">
        <f>VLOOKUP(Таблица1_113[[#This Row],[Марка]],Таблица13[#All],2,0)</f>
        <v>Economy</v>
      </c>
      <c r="AG133">
        <f>VLOOKUP(Таблица1_113[[#This Row],[Марка]],Таблица13[#All],3,0)</f>
        <v>1964</v>
      </c>
      <c r="AH133" t="str">
        <f>VLOOKUP(Таблица1_113[[#This Row],[Марка]],Таблица13[#All],5,0)</f>
        <v>Крупноузловая</v>
      </c>
      <c r="AI133" s="12">
        <v>43556</v>
      </c>
      <c r="AJ133">
        <v>86</v>
      </c>
    </row>
    <row r="134" spans="5:36">
      <c r="E134"/>
      <c r="AD134" t="s">
        <v>140</v>
      </c>
      <c r="AE134" t="str">
        <f>VLOOKUP(Таблица1_113[[#This Row],[Марка]],Таблица13[#All],4,0)</f>
        <v>Япония</v>
      </c>
      <c r="AF134" t="str">
        <f>VLOOKUP(Таблица1_113[[#This Row],[Марка]],Таблица13[#All],2,0)</f>
        <v>Business</v>
      </c>
      <c r="AG134">
        <f>VLOOKUP(Таблица1_113[[#This Row],[Марка]],Таблица13[#All],3,0)</f>
        <v>1916</v>
      </c>
      <c r="AH134" t="str">
        <f>VLOOKUP(Таблица1_113[[#This Row],[Марка]],Таблица13[#All],5,0)</f>
        <v>Нет</v>
      </c>
      <c r="AI134" s="12">
        <v>43556</v>
      </c>
      <c r="AJ134">
        <v>20</v>
      </c>
    </row>
    <row r="135" spans="5:36">
      <c r="E135"/>
      <c r="AD135" t="s">
        <v>34</v>
      </c>
      <c r="AE135" t="str">
        <f>VLOOKUP(Таблица1_113[[#This Row],[Марка]],Таблица13[#All],4,0)</f>
        <v>Япония</v>
      </c>
      <c r="AF135" t="str">
        <f>VLOOKUP(Таблица1_113[[#This Row],[Марка]],Таблица13[#All],2,0)</f>
        <v>Luxury</v>
      </c>
      <c r="AG135">
        <f>VLOOKUP(Таблица1_113[[#This Row],[Марка]],Таблица13[#All],3,0)</f>
        <v>1989</v>
      </c>
      <c r="AH135" t="str">
        <f>VLOOKUP(Таблица1_113[[#This Row],[Марка]],Таблица13[#All],5,0)</f>
        <v>Нет</v>
      </c>
      <c r="AI135" s="12">
        <v>43556</v>
      </c>
      <c r="AJ135">
        <v>5</v>
      </c>
    </row>
    <row r="136" spans="5:36">
      <c r="E136"/>
      <c r="AD136" t="s">
        <v>0</v>
      </c>
      <c r="AE136" t="str">
        <f>VLOOKUP(Таблица1_113[[#This Row],[Марка]],Таблица13[#All],4,0)</f>
        <v>Корея</v>
      </c>
      <c r="AF136" t="str">
        <f>VLOOKUP(Таблица1_113[[#This Row],[Марка]],Таблица13[#All],2,0)</f>
        <v>Economy</v>
      </c>
      <c r="AG136">
        <f>VLOOKUP(Таблица1_113[[#This Row],[Марка]],Таблица13[#All],3,0)</f>
        <v>1967</v>
      </c>
      <c r="AH136" t="str">
        <f>VLOOKUP(Таблица1_113[[#This Row],[Марка]],Таблица13[#All],5,0)</f>
        <v>Крупноузловая</v>
      </c>
      <c r="AI136" s="12">
        <v>43556</v>
      </c>
      <c r="AJ136">
        <v>1145</v>
      </c>
    </row>
    <row r="137" spans="5:36">
      <c r="E137"/>
      <c r="AD137" t="s">
        <v>133</v>
      </c>
      <c r="AE137" t="str">
        <f>VLOOKUP(Таблица1_113[[#This Row],[Марка]],Таблица13[#All],4,0)</f>
        <v>Китай</v>
      </c>
      <c r="AF137" t="str">
        <f>VLOOKUP(Таблица1_113[[#This Row],[Марка]],Таблица13[#All],2,0)</f>
        <v>Economy</v>
      </c>
      <c r="AG137">
        <f>VLOOKUP(Таблица1_113[[#This Row],[Марка]],Таблица13[#All],3,0)</f>
        <v>1996</v>
      </c>
      <c r="AH137" t="str">
        <f>VLOOKUP(Таблица1_113[[#This Row],[Марка]],Таблица13[#All],5,0)</f>
        <v>Нет</v>
      </c>
      <c r="AI137" s="12">
        <v>43556</v>
      </c>
      <c r="AJ137">
        <v>2</v>
      </c>
    </row>
    <row r="138" spans="5:36">
      <c r="E138"/>
      <c r="AD138" t="s">
        <v>147</v>
      </c>
      <c r="AE138" t="str">
        <f>VLOOKUP(Таблица1_113[[#This Row],[Марка]],Таблица13[#All],4,0)</f>
        <v>США</v>
      </c>
      <c r="AF138" t="str">
        <f>VLOOKUP(Таблица1_113[[#This Row],[Марка]],Таблица13[#All],2,0)</f>
        <v>Economy</v>
      </c>
      <c r="AG138">
        <f>VLOOKUP(Таблица1_113[[#This Row],[Марка]],Таблица13[#All],3,0)</f>
        <v>1903</v>
      </c>
      <c r="AH138" t="str">
        <f>VLOOKUP(Таблица1_113[[#This Row],[Марка]],Таблица13[#All],5,0)</f>
        <v>Нет</v>
      </c>
      <c r="AI138" s="12">
        <v>43556</v>
      </c>
      <c r="AJ138">
        <v>0</v>
      </c>
    </row>
    <row r="139" spans="5:36">
      <c r="E139"/>
      <c r="AD139" t="s">
        <v>130</v>
      </c>
      <c r="AE139" t="str">
        <f>VLOOKUP(Таблица1_113[[#This Row],[Марка]],Таблица13[#All],4,0)</f>
        <v>Китай</v>
      </c>
      <c r="AF139" t="str">
        <f>VLOOKUP(Таблица1_113[[#This Row],[Марка]],Таблица13[#All],2,0)</f>
        <v>Economy</v>
      </c>
      <c r="AG139">
        <f>VLOOKUP(Таблица1_113[[#This Row],[Марка]],Таблица13[#All],3,0)</f>
        <v>1969</v>
      </c>
      <c r="AH139" t="str">
        <f>VLOOKUP(Таблица1_113[[#This Row],[Марка]],Таблица13[#All],5,0)</f>
        <v>Нет</v>
      </c>
      <c r="AI139" s="12">
        <v>43556</v>
      </c>
      <c r="AJ139">
        <v>0</v>
      </c>
    </row>
    <row r="140" spans="5:36">
      <c r="E140"/>
      <c r="AD140" t="s">
        <v>137</v>
      </c>
      <c r="AE140" t="str">
        <f>VLOOKUP(Таблица1_113[[#This Row],[Марка]],Таблица13[#All],4,0)</f>
        <v>Корея</v>
      </c>
      <c r="AF140" t="str">
        <f>VLOOKUP(Таблица1_113[[#This Row],[Марка]],Таблица13[#All],2,0)</f>
        <v>Economy</v>
      </c>
      <c r="AG140">
        <f>VLOOKUP(Таблица1_113[[#This Row],[Марка]],Таблица13[#All],3,0)</f>
        <v>1967</v>
      </c>
      <c r="AH140" t="str">
        <f>VLOOKUP(Таблица1_113[[#This Row],[Марка]],Таблица13[#All],5,0)</f>
        <v>Нет</v>
      </c>
      <c r="AI140" s="12">
        <v>43556</v>
      </c>
      <c r="AJ140">
        <v>0</v>
      </c>
    </row>
    <row r="141" spans="5:36">
      <c r="E141"/>
      <c r="AD141" t="s">
        <v>1</v>
      </c>
      <c r="AE141" t="str">
        <f>VLOOKUP(Таблица1_113[[#This Row],[Марка]],Таблица13[#All],4,0)</f>
        <v>США</v>
      </c>
      <c r="AF141" t="str">
        <f>VLOOKUP(Таблица1_113[[#This Row],[Марка]],Таблица13[#All],2,0)</f>
        <v>Economy</v>
      </c>
      <c r="AG141">
        <f>VLOOKUP(Таблица1_113[[#This Row],[Марка]],Таблица13[#All],3,0)</f>
        <v>1911</v>
      </c>
      <c r="AH141" t="str">
        <f>VLOOKUP(Таблица1_113[[#This Row],[Марка]],Таблица13[#All],5,0)</f>
        <v>Крупноузловая</v>
      </c>
      <c r="AI141" s="12">
        <v>43556</v>
      </c>
      <c r="AJ141">
        <v>74</v>
      </c>
    </row>
    <row r="142" spans="5:36">
      <c r="E142"/>
      <c r="AD142" t="s">
        <v>36</v>
      </c>
      <c r="AE142" t="str">
        <f>VLOOKUP(Таблица1_113[[#This Row],[Марка]],Таблица13[#All],4,0)</f>
        <v>США</v>
      </c>
      <c r="AF142" t="str">
        <f>VLOOKUP(Таблица1_113[[#This Row],[Марка]],Таблица13[#All],2,0)</f>
        <v>Luxury</v>
      </c>
      <c r="AG142">
        <f>VLOOKUP(Таблица1_113[[#This Row],[Марка]],Таблица13[#All],3,0)</f>
        <v>1902</v>
      </c>
      <c r="AH142" t="str">
        <f>VLOOKUP(Таблица1_113[[#This Row],[Марка]],Таблица13[#All],5,0)</f>
        <v>Нет</v>
      </c>
      <c r="AI142" s="12">
        <v>43556</v>
      </c>
      <c r="AJ142">
        <v>10</v>
      </c>
    </row>
    <row r="143" spans="5:36">
      <c r="E143"/>
      <c r="AD143" t="s">
        <v>8</v>
      </c>
      <c r="AE143" t="str">
        <f>VLOOKUP(Таблица1_113[[#This Row],[Марка]],Таблица13[#All],4,0)</f>
        <v>Германия</v>
      </c>
      <c r="AF143" t="str">
        <f>VLOOKUP(Таблица1_113[[#This Row],[Марка]],Таблица13[#All],2,0)</f>
        <v>Luxury</v>
      </c>
      <c r="AG143">
        <f>VLOOKUP(Таблица1_113[[#This Row],[Марка]],Таблица13[#All],3,0)</f>
        <v>1916</v>
      </c>
      <c r="AH143" t="str">
        <f>VLOOKUP(Таблица1_113[[#This Row],[Марка]],Таблица13[#All],5,0)</f>
        <v>Нет</v>
      </c>
      <c r="AI143" s="12">
        <v>43556</v>
      </c>
      <c r="AJ143">
        <v>65</v>
      </c>
    </row>
    <row r="144" spans="5:36">
      <c r="E144"/>
      <c r="AD144" t="s">
        <v>38</v>
      </c>
      <c r="AE144" t="str">
        <f>VLOOKUP(Таблица1_113[[#This Row],[Марка]],Таблица13[#All],4,0)</f>
        <v>Германия</v>
      </c>
      <c r="AF144" t="str">
        <f>VLOOKUP(Таблица1_113[[#This Row],[Марка]],Таблица13[#All],2,0)</f>
        <v>Luxury</v>
      </c>
      <c r="AG144">
        <f>VLOOKUP(Таблица1_113[[#This Row],[Марка]],Таблица13[#All],3,0)</f>
        <v>1932</v>
      </c>
      <c r="AH144" t="str">
        <f>VLOOKUP(Таблица1_113[[#This Row],[Марка]],Таблица13[#All],5,0)</f>
        <v>Нет</v>
      </c>
      <c r="AI144" s="12">
        <v>43556</v>
      </c>
      <c r="AJ144">
        <v>14</v>
      </c>
    </row>
    <row r="145" spans="5:36">
      <c r="E145"/>
      <c r="AD145" t="s">
        <v>145</v>
      </c>
      <c r="AE145" t="str">
        <f>VLOOKUP(Таблица1_113[[#This Row],[Марка]],Таблица13[#All],4,0)</f>
        <v>Китай</v>
      </c>
      <c r="AF145" t="str">
        <f>VLOOKUP(Таблица1_113[[#This Row],[Марка]],Таблица13[#All],2,0)</f>
        <v>Economy</v>
      </c>
      <c r="AG145">
        <f>VLOOKUP(Таблица1_113[[#This Row],[Марка]],Таблица13[#All],3,0)</f>
        <v>1997</v>
      </c>
      <c r="AH145" t="str">
        <f>VLOOKUP(Таблица1_113[[#This Row],[Марка]],Таблица13[#All],5,0)</f>
        <v>Нет</v>
      </c>
      <c r="AI145" s="12">
        <v>43556</v>
      </c>
      <c r="AJ145">
        <v>0</v>
      </c>
    </row>
    <row r="146" spans="5:36">
      <c r="E146"/>
      <c r="AD146" t="s">
        <v>136</v>
      </c>
      <c r="AE146" t="str">
        <f>VLOOKUP(Таблица1_113[[#This Row],[Марка]],Таблица13[#All],4,0)</f>
        <v>Россия</v>
      </c>
      <c r="AF146" t="str">
        <f>VLOOKUP(Таблица1_113[[#This Row],[Марка]],Таблица13[#All],2,0)</f>
        <v>Economy</v>
      </c>
      <c r="AG146">
        <f>VLOOKUP(Таблица1_113[[#This Row],[Марка]],Таблица13[#All],3,0)</f>
        <v>1941</v>
      </c>
      <c r="AH146" t="str">
        <f>VLOOKUP(Таблица1_113[[#This Row],[Марка]],Таблица13[#All],5,0)</f>
        <v>Нет</v>
      </c>
      <c r="AI146" s="12">
        <v>43586</v>
      </c>
      <c r="AJ146">
        <v>175</v>
      </c>
    </row>
    <row r="147" spans="5:36">
      <c r="E147"/>
      <c r="AD147" t="s">
        <v>135</v>
      </c>
      <c r="AE147" t="str">
        <f>VLOOKUP(Таблица1_113[[#This Row],[Марка]],Таблица13[#All],4,0)</f>
        <v>-</v>
      </c>
      <c r="AF147" t="str">
        <f>VLOOKUP(Таблица1_113[[#This Row],[Марка]],Таблица13[#All],2,0)</f>
        <v>-</v>
      </c>
      <c r="AG147" t="str">
        <f>VLOOKUP(Таблица1_113[[#This Row],[Марка]],Таблица13[#All],3,0)</f>
        <v>-</v>
      </c>
      <c r="AH147" t="str">
        <f>VLOOKUP(Таблица1_113[[#This Row],[Марка]],Таблица13[#All],5,0)</f>
        <v>-</v>
      </c>
      <c r="AI147" s="12">
        <v>43586</v>
      </c>
      <c r="AJ147">
        <v>0</v>
      </c>
    </row>
    <row r="148" spans="5:36">
      <c r="E148"/>
      <c r="AD148" t="s">
        <v>39</v>
      </c>
      <c r="AE148" t="str">
        <f>VLOOKUP(Таблица1_113[[#This Row],[Марка]],Таблица13[#All],4,0)</f>
        <v>Швеция</v>
      </c>
      <c r="AF148" t="str">
        <f>VLOOKUP(Таблица1_113[[#This Row],[Марка]],Таблица13[#All],2,0)</f>
        <v>Business</v>
      </c>
      <c r="AG148">
        <f>VLOOKUP(Таблица1_113[[#This Row],[Марка]],Таблица13[#All],3,0)</f>
        <v>1927</v>
      </c>
      <c r="AH148" t="str">
        <f>VLOOKUP(Таблица1_113[[#This Row],[Марка]],Таблица13[#All],5,0)</f>
        <v>Нет</v>
      </c>
      <c r="AI148" s="12">
        <v>43586</v>
      </c>
      <c r="AJ148">
        <v>14</v>
      </c>
    </row>
    <row r="149" spans="5:36">
      <c r="E149"/>
      <c r="AD149" t="s">
        <v>21</v>
      </c>
      <c r="AE149" t="str">
        <f>VLOOKUP(Таблица1_113[[#This Row],[Марка]],Таблица13[#All],4,0)</f>
        <v>Германия</v>
      </c>
      <c r="AF149" t="str">
        <f>VLOOKUP(Таблица1_113[[#This Row],[Марка]],Таблица13[#All],2,0)</f>
        <v>Business</v>
      </c>
      <c r="AG149">
        <f>VLOOKUP(Таблица1_113[[#This Row],[Марка]],Таблица13[#All],3,0)</f>
        <v>1937</v>
      </c>
      <c r="AH149" t="str">
        <f>VLOOKUP(Таблица1_113[[#This Row],[Марка]],Таблица13[#All],5,0)</f>
        <v>Нет</v>
      </c>
      <c r="AI149" s="12">
        <v>43586</v>
      </c>
      <c r="AJ149">
        <v>220</v>
      </c>
    </row>
    <row r="150" spans="5:36">
      <c r="E150"/>
      <c r="AD150" t="s">
        <v>2</v>
      </c>
      <c r="AE150" t="str">
        <f>VLOOKUP(Таблица1_113[[#This Row],[Марка]],Таблица13[#All],4,0)</f>
        <v>Япония</v>
      </c>
      <c r="AF150" t="str">
        <f>VLOOKUP(Таблица1_113[[#This Row],[Марка]],Таблица13[#All],2,0)</f>
        <v>Business</v>
      </c>
      <c r="AG150">
        <f>VLOOKUP(Таблица1_113[[#This Row],[Марка]],Таблица13[#All],3,0)</f>
        <v>1937</v>
      </c>
      <c r="AH150" t="str">
        <f>VLOOKUP(Таблица1_113[[#This Row],[Марка]],Таблица13[#All],5,0)</f>
        <v>Нет</v>
      </c>
      <c r="AI150" s="12">
        <v>43586</v>
      </c>
      <c r="AJ150">
        <v>1292</v>
      </c>
    </row>
    <row r="151" spans="5:36">
      <c r="E151"/>
      <c r="AD151" t="s">
        <v>125</v>
      </c>
      <c r="AE151" t="str">
        <f>VLOOKUP(Таблица1_113[[#This Row],[Марка]],Таблица13[#All],4,0)</f>
        <v>Япония</v>
      </c>
      <c r="AF151" t="str">
        <f>VLOOKUP(Таблица1_113[[#This Row],[Марка]],Таблица13[#All],2,0)</f>
        <v>Business</v>
      </c>
      <c r="AG151">
        <f>VLOOKUP(Таблица1_113[[#This Row],[Марка]],Таблица13[#All],3,0)</f>
        <v>1953</v>
      </c>
      <c r="AH151" t="str">
        <f>VLOOKUP(Таблица1_113[[#This Row],[Марка]],Таблица13[#All],5,0)</f>
        <v>Нет</v>
      </c>
      <c r="AI151" s="12">
        <v>43586</v>
      </c>
      <c r="AJ151">
        <v>58</v>
      </c>
    </row>
    <row r="152" spans="5:36">
      <c r="E152"/>
      <c r="AD152" t="s">
        <v>141</v>
      </c>
      <c r="AE152" t="str">
        <f>VLOOKUP(Таблица1_113[[#This Row],[Марка]],Таблица13[#All],4,0)</f>
        <v>Чехия</v>
      </c>
      <c r="AF152" t="str">
        <f>VLOOKUP(Таблица1_113[[#This Row],[Марка]],Таблица13[#All],2,0)</f>
        <v>Business</v>
      </c>
      <c r="AG152">
        <f>VLOOKUP(Таблица1_113[[#This Row],[Марка]],Таблица13[#All],3,0)</f>
        <v>1895</v>
      </c>
      <c r="AH152" t="str">
        <f>VLOOKUP(Таблица1_113[[#This Row],[Марка]],Таблица13[#All],5,0)</f>
        <v>Крупноузловая</v>
      </c>
      <c r="AI152" s="12">
        <v>43586</v>
      </c>
      <c r="AJ152">
        <v>111</v>
      </c>
    </row>
    <row r="153" spans="5:36">
      <c r="E153"/>
      <c r="AD153" t="s">
        <v>148</v>
      </c>
      <c r="AE153" t="str">
        <f>VLOOKUP(Таблица1_113[[#This Row],[Марка]],Таблица13[#All],4,0)</f>
        <v>Великобритания</v>
      </c>
      <c r="AF153" t="str">
        <f>VLOOKUP(Таблица1_113[[#This Row],[Марка]],Таблица13[#All],2,0)</f>
        <v>Luxury</v>
      </c>
      <c r="AG153">
        <f>VLOOKUP(Таблица1_113[[#This Row],[Марка]],Таблица13[#All],3,0)</f>
        <v>1904</v>
      </c>
      <c r="AH153" t="str">
        <f>VLOOKUP(Таблица1_113[[#This Row],[Марка]],Таблица13[#All],5,0)</f>
        <v>Нет</v>
      </c>
      <c r="AI153" s="12">
        <v>43586</v>
      </c>
      <c r="AJ153">
        <v>0</v>
      </c>
    </row>
    <row r="154" spans="5:36">
      <c r="E154"/>
      <c r="AD154" t="s">
        <v>23</v>
      </c>
      <c r="AE154" t="str">
        <f>VLOOKUP(Таблица1_113[[#This Row],[Марка]],Таблица13[#All],4,0)</f>
        <v>Франция</v>
      </c>
      <c r="AF154" t="str">
        <f>VLOOKUP(Таблица1_113[[#This Row],[Марка]],Таблица13[#All],2,0)</f>
        <v>Economy</v>
      </c>
      <c r="AG154">
        <f>VLOOKUP(Таблица1_113[[#This Row],[Марка]],Таблица13[#All],3,0)</f>
        <v>1899</v>
      </c>
      <c r="AH154" t="str">
        <f>VLOOKUP(Таблица1_113[[#This Row],[Марка]],Таблица13[#All],5,0)</f>
        <v>Крупноузловая</v>
      </c>
      <c r="AI154" s="12">
        <v>43586</v>
      </c>
      <c r="AJ154">
        <v>218</v>
      </c>
    </row>
    <row r="155" spans="5:36">
      <c r="E155"/>
      <c r="AD155" t="s">
        <v>142</v>
      </c>
      <c r="AE155" t="str">
        <f>VLOOKUP(Таблица1_113[[#This Row],[Марка]],Таблица13[#All],4,0)</f>
        <v>Узбекистан</v>
      </c>
      <c r="AF155" t="str">
        <f>VLOOKUP(Таблица1_113[[#This Row],[Марка]],Таблица13[#All],2,0)</f>
        <v>Economy</v>
      </c>
      <c r="AG155">
        <f>VLOOKUP(Таблица1_113[[#This Row],[Марка]],Таблица13[#All],3,0)</f>
        <v>2015</v>
      </c>
      <c r="AH155" t="str">
        <f>VLOOKUP(Таблица1_113[[#This Row],[Марка]],Таблица13[#All],5,0)</f>
        <v>Крупноузловая</v>
      </c>
      <c r="AI155" s="12">
        <v>43586</v>
      </c>
      <c r="AJ155">
        <v>81</v>
      </c>
    </row>
    <row r="156" spans="5:36">
      <c r="E156"/>
      <c r="AD156" t="s">
        <v>37</v>
      </c>
      <c r="AE156" t="str">
        <f>VLOOKUP(Таблица1_113[[#This Row],[Марка]],Таблица13[#All],4,0)</f>
        <v>Германия</v>
      </c>
      <c r="AF156" t="str">
        <f>VLOOKUP(Таблица1_113[[#This Row],[Марка]],Таблица13[#All],2,0)</f>
        <v>Luxury</v>
      </c>
      <c r="AG156">
        <f>VLOOKUP(Таблица1_113[[#This Row],[Марка]],Таблица13[#All],3,0)</f>
        <v>1931</v>
      </c>
      <c r="AH156" t="str">
        <f>VLOOKUP(Таблица1_113[[#This Row],[Марка]],Таблица13[#All],5,0)</f>
        <v>Нет</v>
      </c>
      <c r="AI156" s="12">
        <v>43586</v>
      </c>
      <c r="AJ156">
        <v>16</v>
      </c>
    </row>
    <row r="157" spans="5:36">
      <c r="E157"/>
      <c r="AD157" t="s">
        <v>146</v>
      </c>
      <c r="AE157" t="str">
        <f>VLOOKUP(Таблица1_113[[#This Row],[Марка]],Таблица13[#All],4,0)</f>
        <v>Франция</v>
      </c>
      <c r="AF157" t="str">
        <f>VLOOKUP(Таблица1_113[[#This Row],[Марка]],Таблица13[#All],2,0)</f>
        <v>Economy</v>
      </c>
      <c r="AG157">
        <f>VLOOKUP(Таблица1_113[[#This Row],[Марка]],Таблица13[#All],3,0)</f>
        <v>1810</v>
      </c>
      <c r="AH157" t="str">
        <f>VLOOKUP(Таблица1_113[[#This Row],[Марка]],Таблица13[#All],5,0)</f>
        <v>Нет</v>
      </c>
      <c r="AI157" s="12">
        <v>43586</v>
      </c>
      <c r="AJ157">
        <v>10</v>
      </c>
    </row>
    <row r="158" spans="5:36">
      <c r="E158"/>
      <c r="AD158" t="s">
        <v>22</v>
      </c>
      <c r="AE158" t="str">
        <f>VLOOKUP(Таблица1_113[[#This Row],[Марка]],Таблица13[#All],4,0)</f>
        <v>Япония</v>
      </c>
      <c r="AF158" t="str">
        <f>VLOOKUP(Таблица1_113[[#This Row],[Марка]],Таблица13[#All],2,0)</f>
        <v>Business</v>
      </c>
      <c r="AG158">
        <f>VLOOKUP(Таблица1_113[[#This Row],[Марка]],Таблица13[#All],3,0)</f>
        <v>1933</v>
      </c>
      <c r="AH158" t="str">
        <f>VLOOKUP(Таблица1_113[[#This Row],[Марка]],Таблица13[#All],5,0)</f>
        <v>Нет</v>
      </c>
      <c r="AI158" s="12">
        <v>43586</v>
      </c>
      <c r="AJ158">
        <v>174</v>
      </c>
    </row>
    <row r="159" spans="5:36">
      <c r="E159"/>
      <c r="AD159" t="s">
        <v>9</v>
      </c>
      <c r="AE159" t="str">
        <f>VLOOKUP(Таблица1_113[[#This Row],[Марка]],Таблица13[#All],4,0)</f>
        <v>Япония</v>
      </c>
      <c r="AF159" t="str">
        <f>VLOOKUP(Таблица1_113[[#This Row],[Марка]],Таблица13[#All],2,0)</f>
        <v>Business</v>
      </c>
      <c r="AG159">
        <f>VLOOKUP(Таблица1_113[[#This Row],[Марка]],Таблица13[#All],3,0)</f>
        <v>1870</v>
      </c>
      <c r="AH159" t="str">
        <f>VLOOKUP(Таблица1_113[[#This Row],[Марка]],Таблица13[#All],5,0)</f>
        <v>Нет</v>
      </c>
      <c r="AI159" s="12">
        <v>43586</v>
      </c>
      <c r="AJ159">
        <v>47</v>
      </c>
    </row>
    <row r="160" spans="5:36">
      <c r="E160"/>
      <c r="AD160" t="s">
        <v>40</v>
      </c>
      <c r="AE160" t="str">
        <f>VLOOKUP(Таблица1_113[[#This Row],[Марка]],Таблица13[#All],4,0)</f>
        <v>Великобритания</v>
      </c>
      <c r="AF160" t="str">
        <f>VLOOKUP(Таблица1_113[[#This Row],[Марка]],Таблица13[#All],2,0)</f>
        <v>Luxury</v>
      </c>
      <c r="AG160">
        <f>VLOOKUP(Таблица1_113[[#This Row],[Марка]],Таблица13[#All],3,0)</f>
        <v>1959</v>
      </c>
      <c r="AH160" t="str">
        <f>VLOOKUP(Таблица1_113[[#This Row],[Марка]],Таблица13[#All],5,0)</f>
        <v>Нет</v>
      </c>
      <c r="AI160" s="12">
        <v>43586</v>
      </c>
      <c r="AJ160">
        <v>10</v>
      </c>
    </row>
    <row r="161" spans="5:36">
      <c r="E161"/>
      <c r="AD161" t="s">
        <v>128</v>
      </c>
      <c r="AE161" t="str">
        <f>VLOOKUP(Таблица1_113[[#This Row],[Марка]],Таблица13[#All],4,0)</f>
        <v>Германия</v>
      </c>
      <c r="AF161" t="str">
        <f>VLOOKUP(Таблица1_113[[#This Row],[Марка]],Таблица13[#All],2,0)</f>
        <v>Luxury</v>
      </c>
      <c r="AG161">
        <f>VLOOKUP(Таблица1_113[[#This Row],[Марка]],Таблица13[#All],3,0)</f>
        <v>1926</v>
      </c>
      <c r="AH161" t="str">
        <f>VLOOKUP(Таблица1_113[[#This Row],[Марка]],Таблица13[#All],5,0)</f>
        <v>Нет</v>
      </c>
      <c r="AI161" s="12">
        <v>43586</v>
      </c>
      <c r="AJ161">
        <v>46</v>
      </c>
    </row>
    <row r="162" spans="5:36">
      <c r="E162"/>
      <c r="AD162" t="s">
        <v>139</v>
      </c>
      <c r="AE162" t="str">
        <f>VLOOKUP(Таблица1_113[[#This Row],[Марка]],Таблица13[#All],4,0)</f>
        <v>Япония</v>
      </c>
      <c r="AF162" t="str">
        <f>VLOOKUP(Таблица1_113[[#This Row],[Марка]],Таблица13[#All],2,0)</f>
        <v>Business</v>
      </c>
      <c r="AG162">
        <f>VLOOKUP(Таблица1_113[[#This Row],[Марка]],Таблица13[#All],3,0)</f>
        <v>1920</v>
      </c>
      <c r="AH162" t="str">
        <f>VLOOKUP(Таблица1_113[[#This Row],[Марка]],Таблица13[#All],5,0)</f>
        <v>Нет</v>
      </c>
      <c r="AI162" s="12">
        <v>43586</v>
      </c>
      <c r="AJ162">
        <v>28</v>
      </c>
    </row>
    <row r="163" spans="5:36">
      <c r="E163"/>
      <c r="AD163" t="s">
        <v>144</v>
      </c>
      <c r="AE163" t="str">
        <f>VLOOKUP(Таблица1_113[[#This Row],[Марка]],Таблица13[#All],4,0)</f>
        <v>Китай</v>
      </c>
      <c r="AF163" t="str">
        <f>VLOOKUP(Таблица1_113[[#This Row],[Марка]],Таблица13[#All],2,0)</f>
        <v>Economy</v>
      </c>
      <c r="AG163">
        <f>VLOOKUP(Таблица1_113[[#This Row],[Марка]],Таблица13[#All],3,0)</f>
        <v>1992</v>
      </c>
      <c r="AH163" t="str">
        <f>VLOOKUP(Таблица1_113[[#This Row],[Марка]],Таблица13[#All],5,0)</f>
        <v>Нет</v>
      </c>
      <c r="AI163" s="12">
        <v>43586</v>
      </c>
      <c r="AJ163">
        <v>27</v>
      </c>
    </row>
    <row r="164" spans="5:36">
      <c r="E164"/>
      <c r="AD164" t="s">
        <v>5</v>
      </c>
      <c r="AE164" t="str">
        <f>VLOOKUP(Таблица1_113[[#This Row],[Марка]],Таблица13[#All],4,0)</f>
        <v>Япония</v>
      </c>
      <c r="AF164" t="str">
        <f>VLOOKUP(Таблица1_113[[#This Row],[Марка]],Таблица13[#All],2,0)</f>
        <v>Luxury</v>
      </c>
      <c r="AG164">
        <f>VLOOKUP(Таблица1_113[[#This Row],[Марка]],Таблица13[#All],3,0)</f>
        <v>1989</v>
      </c>
      <c r="AH164" t="str">
        <f>VLOOKUP(Таблица1_113[[#This Row],[Марка]],Таблица13[#All],5,0)</f>
        <v>Нет</v>
      </c>
      <c r="AI164" s="12">
        <v>43586</v>
      </c>
      <c r="AJ164">
        <v>101</v>
      </c>
    </row>
    <row r="165" spans="5:36">
      <c r="E165"/>
      <c r="AD165" t="s">
        <v>35</v>
      </c>
      <c r="AE165" t="str">
        <f>VLOOKUP(Таблица1_113[[#This Row],[Марка]],Таблица13[#All],4,0)</f>
        <v>Великобритания</v>
      </c>
      <c r="AF165" t="str">
        <f>VLOOKUP(Таблица1_113[[#This Row],[Марка]],Таблица13[#All],2,0)</f>
        <v>Luxury</v>
      </c>
      <c r="AG165">
        <f>VLOOKUP(Таблица1_113[[#This Row],[Марка]],Таблица13[#All],3,0)</f>
        <v>1948</v>
      </c>
      <c r="AH165" t="str">
        <f>VLOOKUP(Таблица1_113[[#This Row],[Марка]],Таблица13[#All],5,0)</f>
        <v>Нет</v>
      </c>
      <c r="AI165" s="12">
        <v>43586</v>
      </c>
      <c r="AJ165">
        <v>0</v>
      </c>
    </row>
    <row r="166" spans="5:36">
      <c r="E166"/>
      <c r="AD166" t="s">
        <v>19</v>
      </c>
      <c r="AE166" t="str">
        <f>VLOOKUP(Таблица1_113[[#This Row],[Марка]],Таблица13[#All],4,0)</f>
        <v>Россия</v>
      </c>
      <c r="AF166" t="str">
        <f>VLOOKUP(Таблица1_113[[#This Row],[Марка]],Таблица13[#All],2,0)</f>
        <v>Economy</v>
      </c>
      <c r="AG166">
        <f>VLOOKUP(Таблица1_113[[#This Row],[Марка]],Таблица13[#All],3,0)</f>
        <v>1970</v>
      </c>
      <c r="AH166" t="str">
        <f>VLOOKUP(Таблица1_113[[#This Row],[Марка]],Таблица13[#All],5,0)</f>
        <v>Крупноузловая</v>
      </c>
      <c r="AI166" s="12">
        <v>43586</v>
      </c>
      <c r="AJ166">
        <v>1278</v>
      </c>
    </row>
    <row r="167" spans="5:36">
      <c r="E167"/>
      <c r="AD167" t="s">
        <v>15</v>
      </c>
      <c r="AE167" t="str">
        <f>VLOOKUP(Таблица1_113[[#This Row],[Марка]],Таблица13[#All],4,0)</f>
        <v>Корея</v>
      </c>
      <c r="AF167" t="str">
        <f>VLOOKUP(Таблица1_113[[#This Row],[Марка]],Таблица13[#All],2,0)</f>
        <v>Economy</v>
      </c>
      <c r="AG167">
        <f>VLOOKUP(Таблица1_113[[#This Row],[Марка]],Таблица13[#All],3,0)</f>
        <v>1944</v>
      </c>
      <c r="AH167" t="str">
        <f>VLOOKUP(Таблица1_113[[#This Row],[Марка]],Таблица13[#All],5,0)</f>
        <v>Крупноузловая</v>
      </c>
      <c r="AI167" s="12">
        <v>43586</v>
      </c>
      <c r="AJ167">
        <v>316</v>
      </c>
    </row>
    <row r="168" spans="5:36">
      <c r="E168"/>
      <c r="AD168" t="s">
        <v>134</v>
      </c>
      <c r="AE168" t="str">
        <f>VLOOKUP(Таблица1_113[[#This Row],[Марка]],Таблица13[#All],4,0)</f>
        <v>Великобритания</v>
      </c>
      <c r="AF168" t="str">
        <f>VLOOKUP(Таблица1_113[[#This Row],[Марка]],Таблица13[#All],2,0)</f>
        <v>Luxury</v>
      </c>
      <c r="AG168">
        <f>VLOOKUP(Таблица1_113[[#This Row],[Марка]],Таблица13[#All],3,0)</f>
        <v>1922</v>
      </c>
      <c r="AH168" t="str">
        <f>VLOOKUP(Таблица1_113[[#This Row],[Марка]],Таблица13[#All],5,0)</f>
        <v>Нет</v>
      </c>
      <c r="AI168" s="12">
        <v>43586</v>
      </c>
      <c r="AJ168">
        <v>0</v>
      </c>
    </row>
    <row r="169" spans="5:36">
      <c r="E169"/>
      <c r="AD169" t="s">
        <v>4</v>
      </c>
      <c r="AE169" t="str">
        <f>VLOOKUP(Таблица1_113[[#This Row],[Марка]],Таблица13[#All],4,0)</f>
        <v>Китай</v>
      </c>
      <c r="AF169" t="str">
        <f>VLOOKUP(Таблица1_113[[#This Row],[Марка]],Таблица13[#All],2,0)</f>
        <v>Economy</v>
      </c>
      <c r="AG169">
        <f>VLOOKUP(Таблица1_113[[#This Row],[Марка]],Таблица13[#All],3,0)</f>
        <v>1964</v>
      </c>
      <c r="AH169" t="str">
        <f>VLOOKUP(Таблица1_113[[#This Row],[Марка]],Таблица13[#All],5,0)</f>
        <v>Крупноузловая</v>
      </c>
      <c r="AI169" s="12">
        <v>43586</v>
      </c>
      <c r="AJ169">
        <v>93</v>
      </c>
    </row>
    <row r="170" spans="5:36">
      <c r="E170"/>
      <c r="AD170" t="s">
        <v>140</v>
      </c>
      <c r="AE170" t="str">
        <f>VLOOKUP(Таблица1_113[[#This Row],[Марка]],Таблица13[#All],4,0)</f>
        <v>Япония</v>
      </c>
      <c r="AF170" t="str">
        <f>VLOOKUP(Таблица1_113[[#This Row],[Марка]],Таблица13[#All],2,0)</f>
        <v>Business</v>
      </c>
      <c r="AG170">
        <f>VLOOKUP(Таблица1_113[[#This Row],[Марка]],Таблица13[#All],3,0)</f>
        <v>1916</v>
      </c>
      <c r="AH170" t="str">
        <f>VLOOKUP(Таблица1_113[[#This Row],[Марка]],Таблица13[#All],5,0)</f>
        <v>Нет</v>
      </c>
      <c r="AI170" s="12">
        <v>43586</v>
      </c>
      <c r="AJ170">
        <v>36</v>
      </c>
    </row>
    <row r="171" spans="5:36">
      <c r="E171"/>
      <c r="AD171" t="s">
        <v>34</v>
      </c>
      <c r="AE171" t="str">
        <f>VLOOKUP(Таблица1_113[[#This Row],[Марка]],Таблица13[#All],4,0)</f>
        <v>Япония</v>
      </c>
      <c r="AF171" t="str">
        <f>VLOOKUP(Таблица1_113[[#This Row],[Марка]],Таблица13[#All],2,0)</f>
        <v>Luxury</v>
      </c>
      <c r="AG171">
        <f>VLOOKUP(Таблица1_113[[#This Row],[Марка]],Таблица13[#All],3,0)</f>
        <v>1989</v>
      </c>
      <c r="AH171" t="str">
        <f>VLOOKUP(Таблица1_113[[#This Row],[Марка]],Таблица13[#All],5,0)</f>
        <v>Нет</v>
      </c>
      <c r="AI171" s="12">
        <v>43586</v>
      </c>
      <c r="AJ171">
        <v>17</v>
      </c>
    </row>
    <row r="172" spans="5:36">
      <c r="E172"/>
      <c r="AD172" t="s">
        <v>0</v>
      </c>
      <c r="AE172" t="str">
        <f>VLOOKUP(Таблица1_113[[#This Row],[Марка]],Таблица13[#All],4,0)</f>
        <v>Корея</v>
      </c>
      <c r="AF172" t="str">
        <f>VLOOKUP(Таблица1_113[[#This Row],[Марка]],Таблица13[#All],2,0)</f>
        <v>Economy</v>
      </c>
      <c r="AG172">
        <f>VLOOKUP(Таблица1_113[[#This Row],[Марка]],Таблица13[#All],3,0)</f>
        <v>1967</v>
      </c>
      <c r="AH172" t="str">
        <f>VLOOKUP(Таблица1_113[[#This Row],[Марка]],Таблица13[#All],5,0)</f>
        <v>Крупноузловая</v>
      </c>
      <c r="AI172" s="12">
        <v>43586</v>
      </c>
      <c r="AJ172">
        <v>1230</v>
      </c>
    </row>
    <row r="173" spans="5:36">
      <c r="E173"/>
      <c r="AD173" t="s">
        <v>133</v>
      </c>
      <c r="AE173" t="str">
        <f>VLOOKUP(Таблица1_113[[#This Row],[Марка]],Таблица13[#All],4,0)</f>
        <v>Китай</v>
      </c>
      <c r="AF173" t="str">
        <f>VLOOKUP(Таблица1_113[[#This Row],[Марка]],Таблица13[#All],2,0)</f>
        <v>Economy</v>
      </c>
      <c r="AG173">
        <f>VLOOKUP(Таблица1_113[[#This Row],[Марка]],Таблица13[#All],3,0)</f>
        <v>1996</v>
      </c>
      <c r="AH173" t="str">
        <f>VLOOKUP(Таблица1_113[[#This Row],[Марка]],Таблица13[#All],5,0)</f>
        <v>Нет</v>
      </c>
      <c r="AI173" s="12">
        <v>43586</v>
      </c>
      <c r="AJ173">
        <v>2</v>
      </c>
    </row>
    <row r="174" spans="5:36">
      <c r="E174"/>
      <c r="AD174" t="s">
        <v>147</v>
      </c>
      <c r="AE174" t="str">
        <f>VLOOKUP(Таблица1_113[[#This Row],[Марка]],Таблица13[#All],4,0)</f>
        <v>США</v>
      </c>
      <c r="AF174" t="str">
        <f>VLOOKUP(Таблица1_113[[#This Row],[Марка]],Таблица13[#All],2,0)</f>
        <v>Economy</v>
      </c>
      <c r="AG174">
        <f>VLOOKUP(Таблица1_113[[#This Row],[Марка]],Таблица13[#All],3,0)</f>
        <v>1903</v>
      </c>
      <c r="AH174" t="str">
        <f>VLOOKUP(Таблица1_113[[#This Row],[Марка]],Таблица13[#All],5,0)</f>
        <v>Нет</v>
      </c>
      <c r="AI174" s="12">
        <v>43586</v>
      </c>
      <c r="AJ174">
        <v>0</v>
      </c>
    </row>
    <row r="175" spans="5:36">
      <c r="E175"/>
      <c r="AD175" t="s">
        <v>130</v>
      </c>
      <c r="AE175" t="str">
        <f>VLOOKUP(Таблица1_113[[#This Row],[Марка]],Таблица13[#All],4,0)</f>
        <v>Китай</v>
      </c>
      <c r="AF175" t="str">
        <f>VLOOKUP(Таблица1_113[[#This Row],[Марка]],Таблица13[#All],2,0)</f>
        <v>Economy</v>
      </c>
      <c r="AG175">
        <f>VLOOKUP(Таблица1_113[[#This Row],[Марка]],Таблица13[#All],3,0)</f>
        <v>1969</v>
      </c>
      <c r="AH175" t="str">
        <f>VLOOKUP(Таблица1_113[[#This Row],[Марка]],Таблица13[#All],5,0)</f>
        <v>Нет</v>
      </c>
      <c r="AI175" s="12">
        <v>43586</v>
      </c>
      <c r="AJ175">
        <v>38</v>
      </c>
    </row>
    <row r="176" spans="5:36">
      <c r="E176"/>
      <c r="AD176" t="s">
        <v>137</v>
      </c>
      <c r="AE176" t="str">
        <f>VLOOKUP(Таблица1_113[[#This Row],[Марка]],Таблица13[#All],4,0)</f>
        <v>Корея</v>
      </c>
      <c r="AF176" t="str">
        <f>VLOOKUP(Таблица1_113[[#This Row],[Марка]],Таблица13[#All],2,0)</f>
        <v>Economy</v>
      </c>
      <c r="AG176">
        <f>VLOOKUP(Таблица1_113[[#This Row],[Марка]],Таблица13[#All],3,0)</f>
        <v>1967</v>
      </c>
      <c r="AH176" t="str">
        <f>VLOOKUP(Таблица1_113[[#This Row],[Марка]],Таблица13[#All],5,0)</f>
        <v>Нет</v>
      </c>
      <c r="AI176" s="12">
        <v>43586</v>
      </c>
      <c r="AJ176">
        <v>37</v>
      </c>
    </row>
    <row r="177" spans="5:36">
      <c r="E177"/>
      <c r="AD177" t="s">
        <v>1</v>
      </c>
      <c r="AE177" t="str">
        <f>VLOOKUP(Таблица1_113[[#This Row],[Марка]],Таблица13[#All],4,0)</f>
        <v>США</v>
      </c>
      <c r="AF177" t="str">
        <f>VLOOKUP(Таблица1_113[[#This Row],[Марка]],Таблица13[#All],2,0)</f>
        <v>Economy</v>
      </c>
      <c r="AG177">
        <f>VLOOKUP(Таблица1_113[[#This Row],[Марка]],Таблица13[#All],3,0)</f>
        <v>1911</v>
      </c>
      <c r="AH177" t="str">
        <f>VLOOKUP(Таблица1_113[[#This Row],[Марка]],Таблица13[#All],5,0)</f>
        <v>Крупноузловая</v>
      </c>
      <c r="AI177" s="12">
        <v>43586</v>
      </c>
      <c r="AJ177">
        <v>116</v>
      </c>
    </row>
    <row r="178" spans="5:36">
      <c r="E178"/>
      <c r="AD178" t="s">
        <v>36</v>
      </c>
      <c r="AE178" t="str">
        <f>VLOOKUP(Таблица1_113[[#This Row],[Марка]],Таблица13[#All],4,0)</f>
        <v>США</v>
      </c>
      <c r="AF178" t="str">
        <f>VLOOKUP(Таблица1_113[[#This Row],[Марка]],Таблица13[#All],2,0)</f>
        <v>Luxury</v>
      </c>
      <c r="AG178">
        <f>VLOOKUP(Таблица1_113[[#This Row],[Марка]],Таблица13[#All],3,0)</f>
        <v>1902</v>
      </c>
      <c r="AH178" t="str">
        <f>VLOOKUP(Таблица1_113[[#This Row],[Марка]],Таблица13[#All],5,0)</f>
        <v>Нет</v>
      </c>
      <c r="AI178" s="12">
        <v>43586</v>
      </c>
      <c r="AJ178">
        <v>14</v>
      </c>
    </row>
    <row r="179" spans="5:36">
      <c r="E179"/>
      <c r="AD179" t="s">
        <v>8</v>
      </c>
      <c r="AE179" t="str">
        <f>VLOOKUP(Таблица1_113[[#This Row],[Марка]],Таблица13[#All],4,0)</f>
        <v>Германия</v>
      </c>
      <c r="AF179" t="str">
        <f>VLOOKUP(Таблица1_113[[#This Row],[Марка]],Таблица13[#All],2,0)</f>
        <v>Luxury</v>
      </c>
      <c r="AG179">
        <f>VLOOKUP(Таблица1_113[[#This Row],[Марка]],Таблица13[#All],3,0)</f>
        <v>1916</v>
      </c>
      <c r="AH179" t="str">
        <f>VLOOKUP(Таблица1_113[[#This Row],[Марка]],Таблица13[#All],5,0)</f>
        <v>Нет</v>
      </c>
      <c r="AI179" s="12">
        <v>43586</v>
      </c>
      <c r="AJ179">
        <v>62</v>
      </c>
    </row>
    <row r="180" spans="5:36">
      <c r="E180"/>
      <c r="AD180" t="s">
        <v>38</v>
      </c>
      <c r="AE180" t="str">
        <f>VLOOKUP(Таблица1_113[[#This Row],[Марка]],Таблица13[#All],4,0)</f>
        <v>Германия</v>
      </c>
      <c r="AF180" t="str">
        <f>VLOOKUP(Таблица1_113[[#This Row],[Марка]],Таблица13[#All],2,0)</f>
        <v>Luxury</v>
      </c>
      <c r="AG180">
        <f>VLOOKUP(Таблица1_113[[#This Row],[Марка]],Таблица13[#All],3,0)</f>
        <v>1932</v>
      </c>
      <c r="AH180" t="str">
        <f>VLOOKUP(Таблица1_113[[#This Row],[Марка]],Таблица13[#All],5,0)</f>
        <v>Нет</v>
      </c>
      <c r="AI180" s="12">
        <v>43586</v>
      </c>
      <c r="AJ180">
        <v>20</v>
      </c>
    </row>
    <row r="181" spans="5:36">
      <c r="E181"/>
      <c r="AD181" t="s">
        <v>145</v>
      </c>
      <c r="AE181" t="str">
        <f>VLOOKUP(Таблица1_113[[#This Row],[Марка]],Таблица13[#All],4,0)</f>
        <v>Китай</v>
      </c>
      <c r="AF181" t="str">
        <f>VLOOKUP(Таблица1_113[[#This Row],[Марка]],Таблица13[#All],2,0)</f>
        <v>Economy</v>
      </c>
      <c r="AG181">
        <f>VLOOKUP(Таблица1_113[[#This Row],[Марка]],Таблица13[#All],3,0)</f>
        <v>1997</v>
      </c>
      <c r="AH181" t="str">
        <f>VLOOKUP(Таблица1_113[[#This Row],[Марка]],Таблица13[#All],5,0)</f>
        <v>Нет</v>
      </c>
      <c r="AI181" s="12">
        <v>43586</v>
      </c>
      <c r="AJ181">
        <v>0</v>
      </c>
    </row>
    <row r="182" spans="5:36">
      <c r="E182"/>
      <c r="AD182" t="s">
        <v>136</v>
      </c>
      <c r="AE182" t="str">
        <f>VLOOKUP(Таблица1_113[[#This Row],[Марка]],Таблица13[#All],4,0)</f>
        <v>Россия</v>
      </c>
      <c r="AF182" t="str">
        <f>VLOOKUP(Таблица1_113[[#This Row],[Марка]],Таблица13[#All],2,0)</f>
        <v>Economy</v>
      </c>
      <c r="AG182">
        <f>VLOOKUP(Таблица1_113[[#This Row],[Марка]],Таблица13[#All],3,0)</f>
        <v>1941</v>
      </c>
      <c r="AH182" t="str">
        <f>VLOOKUP(Таблица1_113[[#This Row],[Марка]],Таблица13[#All],5,0)</f>
        <v>Нет</v>
      </c>
      <c r="AI182" s="12">
        <v>43617</v>
      </c>
      <c r="AJ182">
        <v>196</v>
      </c>
    </row>
    <row r="183" spans="5:36">
      <c r="E183"/>
      <c r="AD183" t="s">
        <v>135</v>
      </c>
      <c r="AE183" t="str">
        <f>VLOOKUP(Таблица1_113[[#This Row],[Марка]],Таблица13[#All],4,0)</f>
        <v>-</v>
      </c>
      <c r="AF183" t="str">
        <f>VLOOKUP(Таблица1_113[[#This Row],[Марка]],Таблица13[#All],2,0)</f>
        <v>-</v>
      </c>
      <c r="AG183" t="str">
        <f>VLOOKUP(Таблица1_113[[#This Row],[Марка]],Таблица13[#All],3,0)</f>
        <v>-</v>
      </c>
      <c r="AH183" t="str">
        <f>VLOOKUP(Таблица1_113[[#This Row],[Марка]],Таблица13[#All],5,0)</f>
        <v>-</v>
      </c>
      <c r="AI183" s="12">
        <v>43617</v>
      </c>
      <c r="AJ183">
        <v>0</v>
      </c>
    </row>
    <row r="184" spans="5:36">
      <c r="E184"/>
      <c r="AD184" t="s">
        <v>39</v>
      </c>
      <c r="AE184" t="str">
        <f>VLOOKUP(Таблица1_113[[#This Row],[Марка]],Таблица13[#All],4,0)</f>
        <v>Швеция</v>
      </c>
      <c r="AF184" t="str">
        <f>VLOOKUP(Таблица1_113[[#This Row],[Марка]],Таблица13[#All],2,0)</f>
        <v>Business</v>
      </c>
      <c r="AG184">
        <f>VLOOKUP(Таблица1_113[[#This Row],[Марка]],Таблица13[#All],3,0)</f>
        <v>1927</v>
      </c>
      <c r="AH184" t="str">
        <f>VLOOKUP(Таблица1_113[[#This Row],[Марка]],Таблица13[#All],5,0)</f>
        <v>Нет</v>
      </c>
      <c r="AI184" s="12">
        <v>43617</v>
      </c>
      <c r="AJ184">
        <v>17</v>
      </c>
    </row>
    <row r="185" spans="5:36">
      <c r="E185"/>
      <c r="AD185" t="s">
        <v>21</v>
      </c>
      <c r="AE185" t="str">
        <f>VLOOKUP(Таблица1_113[[#This Row],[Марка]],Таблица13[#All],4,0)</f>
        <v>Германия</v>
      </c>
      <c r="AF185" t="str">
        <f>VLOOKUP(Таблица1_113[[#This Row],[Марка]],Таблица13[#All],2,0)</f>
        <v>Business</v>
      </c>
      <c r="AG185">
        <f>VLOOKUP(Таблица1_113[[#This Row],[Марка]],Таблица13[#All],3,0)</f>
        <v>1937</v>
      </c>
      <c r="AH185" t="str">
        <f>VLOOKUP(Таблица1_113[[#This Row],[Марка]],Таблица13[#All],5,0)</f>
        <v>Нет</v>
      </c>
      <c r="AI185" s="12">
        <v>43617</v>
      </c>
      <c r="AJ185">
        <v>171</v>
      </c>
    </row>
    <row r="186" spans="5:36">
      <c r="E186"/>
      <c r="AD186" t="s">
        <v>2</v>
      </c>
      <c r="AE186" t="str">
        <f>VLOOKUP(Таблица1_113[[#This Row],[Марка]],Таблица13[#All],4,0)</f>
        <v>Япония</v>
      </c>
      <c r="AF186" t="str">
        <f>VLOOKUP(Таблица1_113[[#This Row],[Марка]],Таблица13[#All],2,0)</f>
        <v>Business</v>
      </c>
      <c r="AG186">
        <f>VLOOKUP(Таблица1_113[[#This Row],[Марка]],Таблица13[#All],3,0)</f>
        <v>1937</v>
      </c>
      <c r="AH186" t="str">
        <f>VLOOKUP(Таблица1_113[[#This Row],[Марка]],Таблица13[#All],5,0)</f>
        <v>Нет</v>
      </c>
      <c r="AI186" s="12">
        <v>43617</v>
      </c>
      <c r="AJ186">
        <v>1232</v>
      </c>
    </row>
    <row r="187" spans="5:36">
      <c r="E187"/>
      <c r="AD187" t="s">
        <v>125</v>
      </c>
      <c r="AE187" t="str">
        <f>VLOOKUP(Таблица1_113[[#This Row],[Марка]],Таблица13[#All],4,0)</f>
        <v>Япония</v>
      </c>
      <c r="AF187" t="str">
        <f>VLOOKUP(Таблица1_113[[#This Row],[Марка]],Таблица13[#All],2,0)</f>
        <v>Business</v>
      </c>
      <c r="AG187">
        <f>VLOOKUP(Таблица1_113[[#This Row],[Марка]],Таблица13[#All],3,0)</f>
        <v>1953</v>
      </c>
      <c r="AH187" t="str">
        <f>VLOOKUP(Таблица1_113[[#This Row],[Марка]],Таблица13[#All],5,0)</f>
        <v>Нет</v>
      </c>
      <c r="AI187" s="12">
        <v>43617</v>
      </c>
      <c r="AJ187">
        <v>47</v>
      </c>
    </row>
    <row r="188" spans="5:36">
      <c r="E188"/>
      <c r="AD188" t="s">
        <v>141</v>
      </c>
      <c r="AE188" t="str">
        <f>VLOOKUP(Таблица1_113[[#This Row],[Марка]],Таблица13[#All],4,0)</f>
        <v>Чехия</v>
      </c>
      <c r="AF188" t="str">
        <f>VLOOKUP(Таблица1_113[[#This Row],[Марка]],Таблица13[#All],2,0)</f>
        <v>Business</v>
      </c>
      <c r="AG188">
        <f>VLOOKUP(Таблица1_113[[#This Row],[Марка]],Таблица13[#All],3,0)</f>
        <v>1895</v>
      </c>
      <c r="AH188" t="str">
        <f>VLOOKUP(Таблица1_113[[#This Row],[Марка]],Таблица13[#All],5,0)</f>
        <v>Крупноузловая</v>
      </c>
      <c r="AI188" s="12">
        <v>43617</v>
      </c>
      <c r="AJ188">
        <v>77</v>
      </c>
    </row>
    <row r="189" spans="5:36">
      <c r="E189"/>
      <c r="AD189" t="s">
        <v>148</v>
      </c>
      <c r="AE189" t="str">
        <f>VLOOKUP(Таблица1_113[[#This Row],[Марка]],Таблица13[#All],4,0)</f>
        <v>Великобритания</v>
      </c>
      <c r="AF189" t="str">
        <f>VLOOKUP(Таблица1_113[[#This Row],[Марка]],Таблица13[#All],2,0)</f>
        <v>Luxury</v>
      </c>
      <c r="AG189">
        <f>VLOOKUP(Таблица1_113[[#This Row],[Марка]],Таблица13[#All],3,0)</f>
        <v>1904</v>
      </c>
      <c r="AH189" t="str">
        <f>VLOOKUP(Таблица1_113[[#This Row],[Марка]],Таблица13[#All],5,0)</f>
        <v>Нет</v>
      </c>
      <c r="AI189" s="12">
        <v>43617</v>
      </c>
      <c r="AJ189">
        <v>0</v>
      </c>
    </row>
    <row r="190" spans="5:36">
      <c r="E190"/>
      <c r="AD190" t="s">
        <v>23</v>
      </c>
      <c r="AE190" t="str">
        <f>VLOOKUP(Таблица1_113[[#This Row],[Марка]],Таблица13[#All],4,0)</f>
        <v>Франция</v>
      </c>
      <c r="AF190" t="str">
        <f>VLOOKUP(Таблица1_113[[#This Row],[Марка]],Таблица13[#All],2,0)</f>
        <v>Economy</v>
      </c>
      <c r="AG190">
        <f>VLOOKUP(Таблица1_113[[#This Row],[Марка]],Таблица13[#All],3,0)</f>
        <v>1899</v>
      </c>
      <c r="AH190" t="str">
        <f>VLOOKUP(Таблица1_113[[#This Row],[Марка]],Таблица13[#All],5,0)</f>
        <v>Крупноузловая</v>
      </c>
      <c r="AI190" s="12">
        <v>43617</v>
      </c>
      <c r="AJ190">
        <v>227</v>
      </c>
    </row>
    <row r="191" spans="5:36">
      <c r="E191"/>
      <c r="AD191" t="s">
        <v>142</v>
      </c>
      <c r="AE191" t="str">
        <f>VLOOKUP(Таблица1_113[[#This Row],[Марка]],Таблица13[#All],4,0)</f>
        <v>Узбекистан</v>
      </c>
      <c r="AF191" t="str">
        <f>VLOOKUP(Таблица1_113[[#This Row],[Марка]],Таблица13[#All],2,0)</f>
        <v>Economy</v>
      </c>
      <c r="AG191">
        <f>VLOOKUP(Таблица1_113[[#This Row],[Марка]],Таблица13[#All],3,0)</f>
        <v>2015</v>
      </c>
      <c r="AH191" t="str">
        <f>VLOOKUP(Таблица1_113[[#This Row],[Марка]],Таблица13[#All],5,0)</f>
        <v>Крупноузловая</v>
      </c>
      <c r="AI191" s="12">
        <v>43617</v>
      </c>
      <c r="AJ191">
        <v>205</v>
      </c>
    </row>
    <row r="192" spans="5:36">
      <c r="E192"/>
      <c r="AD192" t="s">
        <v>37</v>
      </c>
      <c r="AE192" t="str">
        <f>VLOOKUP(Таблица1_113[[#This Row],[Марка]],Таблица13[#All],4,0)</f>
        <v>Германия</v>
      </c>
      <c r="AF192" t="str">
        <f>VLOOKUP(Таблица1_113[[#This Row],[Марка]],Таблица13[#All],2,0)</f>
        <v>Luxury</v>
      </c>
      <c r="AG192">
        <f>VLOOKUP(Таблица1_113[[#This Row],[Марка]],Таблица13[#All],3,0)</f>
        <v>1931</v>
      </c>
      <c r="AH192" t="str">
        <f>VLOOKUP(Таблица1_113[[#This Row],[Марка]],Таблица13[#All],5,0)</f>
        <v>Нет</v>
      </c>
      <c r="AI192" s="12">
        <v>43617</v>
      </c>
      <c r="AJ192">
        <v>17</v>
      </c>
    </row>
    <row r="193" spans="5:36">
      <c r="E193"/>
      <c r="AD193" t="s">
        <v>146</v>
      </c>
      <c r="AE193" t="str">
        <f>VLOOKUP(Таблица1_113[[#This Row],[Марка]],Таблица13[#All],4,0)</f>
        <v>Франция</v>
      </c>
      <c r="AF193" t="str">
        <f>VLOOKUP(Таблица1_113[[#This Row],[Марка]],Таблица13[#All],2,0)</f>
        <v>Economy</v>
      </c>
      <c r="AG193">
        <f>VLOOKUP(Таблица1_113[[#This Row],[Марка]],Таблица13[#All],3,0)</f>
        <v>1810</v>
      </c>
      <c r="AH193" t="str">
        <f>VLOOKUP(Таблица1_113[[#This Row],[Марка]],Таблица13[#All],5,0)</f>
        <v>Нет</v>
      </c>
      <c r="AI193" s="12">
        <v>43617</v>
      </c>
      <c r="AJ193">
        <v>3</v>
      </c>
    </row>
    <row r="194" spans="5:36">
      <c r="E194"/>
      <c r="AD194" t="s">
        <v>22</v>
      </c>
      <c r="AE194" t="str">
        <f>VLOOKUP(Таблица1_113[[#This Row],[Марка]],Таблица13[#All],4,0)</f>
        <v>Япония</v>
      </c>
      <c r="AF194" t="str">
        <f>VLOOKUP(Таблица1_113[[#This Row],[Марка]],Таблица13[#All],2,0)</f>
        <v>Business</v>
      </c>
      <c r="AG194">
        <f>VLOOKUP(Таблица1_113[[#This Row],[Марка]],Таблица13[#All],3,0)</f>
        <v>1933</v>
      </c>
      <c r="AH194" t="str">
        <f>VLOOKUP(Таблица1_113[[#This Row],[Марка]],Таблица13[#All],5,0)</f>
        <v>Нет</v>
      </c>
      <c r="AI194" s="12">
        <v>43617</v>
      </c>
      <c r="AJ194">
        <v>251</v>
      </c>
    </row>
    <row r="195" spans="5:36">
      <c r="E195"/>
      <c r="AD195" t="s">
        <v>9</v>
      </c>
      <c r="AE195" t="str">
        <f>VLOOKUP(Таблица1_113[[#This Row],[Марка]],Таблица13[#All],4,0)</f>
        <v>Япония</v>
      </c>
      <c r="AF195" t="str">
        <f>VLOOKUP(Таблица1_113[[#This Row],[Марка]],Таблица13[#All],2,0)</f>
        <v>Business</v>
      </c>
      <c r="AG195">
        <f>VLOOKUP(Таблица1_113[[#This Row],[Марка]],Таблица13[#All],3,0)</f>
        <v>1870</v>
      </c>
      <c r="AH195" t="str">
        <f>VLOOKUP(Таблица1_113[[#This Row],[Марка]],Таблица13[#All],5,0)</f>
        <v>Нет</v>
      </c>
      <c r="AI195" s="12">
        <v>43617</v>
      </c>
      <c r="AJ195">
        <v>49</v>
      </c>
    </row>
    <row r="196" spans="5:36">
      <c r="E196"/>
      <c r="AD196" t="s">
        <v>40</v>
      </c>
      <c r="AE196" t="str">
        <f>VLOOKUP(Таблица1_113[[#This Row],[Марка]],Таблица13[#All],4,0)</f>
        <v>Великобритания</v>
      </c>
      <c r="AF196" t="str">
        <f>VLOOKUP(Таблица1_113[[#This Row],[Марка]],Таблица13[#All],2,0)</f>
        <v>Luxury</v>
      </c>
      <c r="AG196">
        <f>VLOOKUP(Таблица1_113[[#This Row],[Марка]],Таблица13[#All],3,0)</f>
        <v>1959</v>
      </c>
      <c r="AH196" t="str">
        <f>VLOOKUP(Таблица1_113[[#This Row],[Марка]],Таблица13[#All],5,0)</f>
        <v>Нет</v>
      </c>
      <c r="AI196" s="12">
        <v>43617</v>
      </c>
      <c r="AJ196">
        <v>16</v>
      </c>
    </row>
    <row r="197" spans="5:36">
      <c r="E197"/>
      <c r="AD197" t="s">
        <v>128</v>
      </c>
      <c r="AE197" t="str">
        <f>VLOOKUP(Таблица1_113[[#This Row],[Марка]],Таблица13[#All],4,0)</f>
        <v>Германия</v>
      </c>
      <c r="AF197" t="str">
        <f>VLOOKUP(Таблица1_113[[#This Row],[Марка]],Таблица13[#All],2,0)</f>
        <v>Luxury</v>
      </c>
      <c r="AG197">
        <f>VLOOKUP(Таблица1_113[[#This Row],[Марка]],Таблица13[#All],3,0)</f>
        <v>1926</v>
      </c>
      <c r="AH197" t="str">
        <f>VLOOKUP(Таблица1_113[[#This Row],[Марка]],Таблица13[#All],5,0)</f>
        <v>Нет</v>
      </c>
      <c r="AI197" s="12">
        <v>43617</v>
      </c>
      <c r="AJ197">
        <v>45</v>
      </c>
    </row>
    <row r="198" spans="5:36">
      <c r="E198"/>
      <c r="AD198" t="s">
        <v>139</v>
      </c>
      <c r="AE198" t="str">
        <f>VLOOKUP(Таблица1_113[[#This Row],[Марка]],Таблица13[#All],4,0)</f>
        <v>Япония</v>
      </c>
      <c r="AF198" t="str">
        <f>VLOOKUP(Таблица1_113[[#This Row],[Марка]],Таблица13[#All],2,0)</f>
        <v>Business</v>
      </c>
      <c r="AG198">
        <f>VLOOKUP(Таблица1_113[[#This Row],[Марка]],Таблица13[#All],3,0)</f>
        <v>1920</v>
      </c>
      <c r="AH198" t="str">
        <f>VLOOKUP(Таблица1_113[[#This Row],[Марка]],Таблица13[#All],5,0)</f>
        <v>Нет</v>
      </c>
      <c r="AI198" s="12">
        <v>43617</v>
      </c>
      <c r="AJ198">
        <v>32</v>
      </c>
    </row>
    <row r="199" spans="5:36">
      <c r="E199"/>
      <c r="AD199" t="s">
        <v>144</v>
      </c>
      <c r="AE199" t="str">
        <f>VLOOKUP(Таблица1_113[[#This Row],[Марка]],Таблица13[#All],4,0)</f>
        <v>Китай</v>
      </c>
      <c r="AF199" t="str">
        <f>VLOOKUP(Таблица1_113[[#This Row],[Марка]],Таблица13[#All],2,0)</f>
        <v>Economy</v>
      </c>
      <c r="AG199">
        <f>VLOOKUP(Таблица1_113[[#This Row],[Марка]],Таблица13[#All],3,0)</f>
        <v>1992</v>
      </c>
      <c r="AH199" t="str">
        <f>VLOOKUP(Таблица1_113[[#This Row],[Марка]],Таблица13[#All],5,0)</f>
        <v>Нет</v>
      </c>
      <c r="AI199" s="12">
        <v>43617</v>
      </c>
      <c r="AJ199">
        <v>31</v>
      </c>
    </row>
    <row r="200" spans="5:36">
      <c r="E200"/>
      <c r="AD200" t="s">
        <v>5</v>
      </c>
      <c r="AE200" t="str">
        <f>VLOOKUP(Таблица1_113[[#This Row],[Марка]],Таблица13[#All],4,0)</f>
        <v>Япония</v>
      </c>
      <c r="AF200" t="str">
        <f>VLOOKUP(Таблица1_113[[#This Row],[Марка]],Таблица13[#All],2,0)</f>
        <v>Luxury</v>
      </c>
      <c r="AG200">
        <f>VLOOKUP(Таблица1_113[[#This Row],[Марка]],Таблица13[#All],3,0)</f>
        <v>1989</v>
      </c>
      <c r="AH200" t="str">
        <f>VLOOKUP(Таблица1_113[[#This Row],[Марка]],Таблица13[#All],5,0)</f>
        <v>Нет</v>
      </c>
      <c r="AI200" s="12">
        <v>43617</v>
      </c>
      <c r="AJ200">
        <v>123</v>
      </c>
    </row>
    <row r="201" spans="5:36">
      <c r="E201"/>
      <c r="AD201" t="s">
        <v>35</v>
      </c>
      <c r="AE201" t="str">
        <f>VLOOKUP(Таблица1_113[[#This Row],[Марка]],Таблица13[#All],4,0)</f>
        <v>Великобритания</v>
      </c>
      <c r="AF201" t="str">
        <f>VLOOKUP(Таблица1_113[[#This Row],[Марка]],Таблица13[#All],2,0)</f>
        <v>Luxury</v>
      </c>
      <c r="AG201">
        <f>VLOOKUP(Таблица1_113[[#This Row],[Марка]],Таблица13[#All],3,0)</f>
        <v>1948</v>
      </c>
      <c r="AH201" t="str">
        <f>VLOOKUP(Таблица1_113[[#This Row],[Марка]],Таблица13[#All],5,0)</f>
        <v>Нет</v>
      </c>
      <c r="AI201" s="12">
        <v>43617</v>
      </c>
      <c r="AJ201">
        <v>36</v>
      </c>
    </row>
    <row r="202" spans="5:36">
      <c r="E202"/>
      <c r="AD202" t="s">
        <v>19</v>
      </c>
      <c r="AE202" t="str">
        <f>VLOOKUP(Таблица1_113[[#This Row],[Марка]],Таблица13[#All],4,0)</f>
        <v>Россия</v>
      </c>
      <c r="AF202" t="str">
        <f>VLOOKUP(Таблица1_113[[#This Row],[Марка]],Таблица13[#All],2,0)</f>
        <v>Economy</v>
      </c>
      <c r="AG202">
        <f>VLOOKUP(Таблица1_113[[#This Row],[Марка]],Таблица13[#All],3,0)</f>
        <v>1970</v>
      </c>
      <c r="AH202" t="str">
        <f>VLOOKUP(Таблица1_113[[#This Row],[Марка]],Таблица13[#All],5,0)</f>
        <v>Крупноузловая</v>
      </c>
      <c r="AI202" s="12">
        <v>43617</v>
      </c>
      <c r="AJ202">
        <v>1336</v>
      </c>
    </row>
    <row r="203" spans="5:36">
      <c r="E203"/>
      <c r="AD203" t="s">
        <v>15</v>
      </c>
      <c r="AE203" t="str">
        <f>VLOOKUP(Таблица1_113[[#This Row],[Марка]],Таблица13[#All],4,0)</f>
        <v>Корея</v>
      </c>
      <c r="AF203" t="str">
        <f>VLOOKUP(Таблица1_113[[#This Row],[Марка]],Таблица13[#All],2,0)</f>
        <v>Economy</v>
      </c>
      <c r="AG203">
        <f>VLOOKUP(Таблица1_113[[#This Row],[Марка]],Таблица13[#All],3,0)</f>
        <v>1944</v>
      </c>
      <c r="AH203" t="str">
        <f>VLOOKUP(Таблица1_113[[#This Row],[Марка]],Таблица13[#All],5,0)</f>
        <v>Крупноузловая</v>
      </c>
      <c r="AI203" s="12">
        <v>43617</v>
      </c>
      <c r="AJ203">
        <v>182</v>
      </c>
    </row>
    <row r="204" spans="5:36">
      <c r="E204"/>
      <c r="AD204" t="s">
        <v>134</v>
      </c>
      <c r="AE204" t="str">
        <f>VLOOKUP(Таблица1_113[[#This Row],[Марка]],Таблица13[#All],4,0)</f>
        <v>Великобритания</v>
      </c>
      <c r="AF204" t="str">
        <f>VLOOKUP(Таблица1_113[[#This Row],[Марка]],Таблица13[#All],2,0)</f>
        <v>Luxury</v>
      </c>
      <c r="AG204">
        <f>VLOOKUP(Таблица1_113[[#This Row],[Марка]],Таблица13[#All],3,0)</f>
        <v>1922</v>
      </c>
      <c r="AH204" t="str">
        <f>VLOOKUP(Таблица1_113[[#This Row],[Марка]],Таблица13[#All],5,0)</f>
        <v>Нет</v>
      </c>
      <c r="AI204" s="12">
        <v>43617</v>
      </c>
      <c r="AJ204">
        <v>28</v>
      </c>
    </row>
    <row r="205" spans="5:36">
      <c r="E205"/>
      <c r="AD205" t="s">
        <v>4</v>
      </c>
      <c r="AE205" t="str">
        <f>VLOOKUP(Таблица1_113[[#This Row],[Марка]],Таблица13[#All],4,0)</f>
        <v>Китай</v>
      </c>
      <c r="AF205" t="str">
        <f>VLOOKUP(Таблица1_113[[#This Row],[Марка]],Таблица13[#All],2,0)</f>
        <v>Economy</v>
      </c>
      <c r="AG205">
        <f>VLOOKUP(Таблица1_113[[#This Row],[Марка]],Таблица13[#All],3,0)</f>
        <v>1964</v>
      </c>
      <c r="AH205" t="str">
        <f>VLOOKUP(Таблица1_113[[#This Row],[Марка]],Таблица13[#All],5,0)</f>
        <v>Крупноузловая</v>
      </c>
      <c r="AI205" s="12">
        <v>43617</v>
      </c>
      <c r="AJ205">
        <v>185</v>
      </c>
    </row>
    <row r="206" spans="5:36">
      <c r="E206"/>
      <c r="AD206" t="s">
        <v>140</v>
      </c>
      <c r="AE206" t="str">
        <f>VLOOKUP(Таблица1_113[[#This Row],[Марка]],Таблица13[#All],4,0)</f>
        <v>Япония</v>
      </c>
      <c r="AF206" t="str">
        <f>VLOOKUP(Таблица1_113[[#This Row],[Марка]],Таблица13[#All],2,0)</f>
        <v>Business</v>
      </c>
      <c r="AG206">
        <f>VLOOKUP(Таблица1_113[[#This Row],[Марка]],Таблица13[#All],3,0)</f>
        <v>1916</v>
      </c>
      <c r="AH206" t="str">
        <f>VLOOKUP(Таблица1_113[[#This Row],[Марка]],Таблица13[#All],5,0)</f>
        <v>Нет</v>
      </c>
      <c r="AI206" s="12">
        <v>43617</v>
      </c>
      <c r="AJ206">
        <v>19</v>
      </c>
    </row>
    <row r="207" spans="5:36">
      <c r="E207"/>
      <c r="AD207" t="s">
        <v>34</v>
      </c>
      <c r="AE207" t="str">
        <f>VLOOKUP(Таблица1_113[[#This Row],[Марка]],Таблица13[#All],4,0)</f>
        <v>Япония</v>
      </c>
      <c r="AF207" t="str">
        <f>VLOOKUP(Таблица1_113[[#This Row],[Марка]],Таблица13[#All],2,0)</f>
        <v>Luxury</v>
      </c>
      <c r="AG207">
        <f>VLOOKUP(Таблица1_113[[#This Row],[Марка]],Таблица13[#All],3,0)</f>
        <v>1989</v>
      </c>
      <c r="AH207" t="str">
        <f>VLOOKUP(Таблица1_113[[#This Row],[Марка]],Таблица13[#All],5,0)</f>
        <v>Нет</v>
      </c>
      <c r="AI207" s="12">
        <v>43617</v>
      </c>
      <c r="AJ207">
        <v>21</v>
      </c>
    </row>
    <row r="208" spans="5:36">
      <c r="E208"/>
      <c r="AD208" t="s">
        <v>0</v>
      </c>
      <c r="AE208" t="str">
        <f>VLOOKUP(Таблица1_113[[#This Row],[Марка]],Таблица13[#All],4,0)</f>
        <v>Корея</v>
      </c>
      <c r="AF208" t="str">
        <f>VLOOKUP(Таблица1_113[[#This Row],[Марка]],Таблица13[#All],2,0)</f>
        <v>Economy</v>
      </c>
      <c r="AG208">
        <f>VLOOKUP(Таблица1_113[[#This Row],[Марка]],Таблица13[#All],3,0)</f>
        <v>1967</v>
      </c>
      <c r="AH208" t="str">
        <f>VLOOKUP(Таблица1_113[[#This Row],[Марка]],Таблица13[#All],5,0)</f>
        <v>Крупноузловая</v>
      </c>
      <c r="AI208" s="12">
        <v>43617</v>
      </c>
      <c r="AJ208">
        <v>1423</v>
      </c>
    </row>
    <row r="209" spans="5:36">
      <c r="E209"/>
      <c r="AD209" t="s">
        <v>133</v>
      </c>
      <c r="AE209" t="str">
        <f>VLOOKUP(Таблица1_113[[#This Row],[Марка]],Таблица13[#All],4,0)</f>
        <v>Китай</v>
      </c>
      <c r="AF209" t="str">
        <f>VLOOKUP(Таблица1_113[[#This Row],[Марка]],Таблица13[#All],2,0)</f>
        <v>Economy</v>
      </c>
      <c r="AG209">
        <f>VLOOKUP(Таблица1_113[[#This Row],[Марка]],Таблица13[#All],3,0)</f>
        <v>1996</v>
      </c>
      <c r="AH209" t="str">
        <f>VLOOKUP(Таблица1_113[[#This Row],[Марка]],Таблица13[#All],5,0)</f>
        <v>Нет</v>
      </c>
      <c r="AI209" s="12">
        <v>43617</v>
      </c>
      <c r="AJ209">
        <v>0</v>
      </c>
    </row>
    <row r="210" spans="5:36">
      <c r="E210"/>
      <c r="AD210" t="s">
        <v>147</v>
      </c>
      <c r="AE210" t="str">
        <f>VLOOKUP(Таблица1_113[[#This Row],[Марка]],Таблица13[#All],4,0)</f>
        <v>США</v>
      </c>
      <c r="AF210" t="str">
        <f>VLOOKUP(Таблица1_113[[#This Row],[Марка]],Таблица13[#All],2,0)</f>
        <v>Economy</v>
      </c>
      <c r="AG210">
        <f>VLOOKUP(Таблица1_113[[#This Row],[Марка]],Таблица13[#All],3,0)</f>
        <v>1903</v>
      </c>
      <c r="AH210" t="str">
        <f>VLOOKUP(Таблица1_113[[#This Row],[Марка]],Таблица13[#All],5,0)</f>
        <v>Нет</v>
      </c>
      <c r="AI210" s="12">
        <v>43617</v>
      </c>
      <c r="AJ210">
        <v>0</v>
      </c>
    </row>
    <row r="211" spans="5:36">
      <c r="E211"/>
      <c r="AD211" t="s">
        <v>130</v>
      </c>
      <c r="AE211" t="str">
        <f>VLOOKUP(Таблица1_113[[#This Row],[Марка]],Таблица13[#All],4,0)</f>
        <v>Китай</v>
      </c>
      <c r="AF211" t="str">
        <f>VLOOKUP(Таблица1_113[[#This Row],[Марка]],Таблица13[#All],2,0)</f>
        <v>Economy</v>
      </c>
      <c r="AG211">
        <f>VLOOKUP(Таблица1_113[[#This Row],[Марка]],Таблица13[#All],3,0)</f>
        <v>1969</v>
      </c>
      <c r="AH211" t="str">
        <f>VLOOKUP(Таблица1_113[[#This Row],[Марка]],Таблица13[#All],5,0)</f>
        <v>Нет</v>
      </c>
      <c r="AI211" s="12">
        <v>43617</v>
      </c>
      <c r="AJ211">
        <v>34</v>
      </c>
    </row>
    <row r="212" spans="5:36">
      <c r="E212"/>
      <c r="AD212" t="s">
        <v>137</v>
      </c>
      <c r="AE212" t="str">
        <f>VLOOKUP(Таблица1_113[[#This Row],[Марка]],Таблица13[#All],4,0)</f>
        <v>Корея</v>
      </c>
      <c r="AF212" t="str">
        <f>VLOOKUP(Таблица1_113[[#This Row],[Марка]],Таблица13[#All],2,0)</f>
        <v>Economy</v>
      </c>
      <c r="AG212">
        <f>VLOOKUP(Таблица1_113[[#This Row],[Марка]],Таблица13[#All],3,0)</f>
        <v>1967</v>
      </c>
      <c r="AH212" t="str">
        <f>VLOOKUP(Таблица1_113[[#This Row],[Марка]],Таблица13[#All],5,0)</f>
        <v>Нет</v>
      </c>
      <c r="AI212" s="12">
        <v>43617</v>
      </c>
      <c r="AJ212">
        <v>34</v>
      </c>
    </row>
    <row r="213" spans="5:36">
      <c r="E213"/>
      <c r="AD213" t="s">
        <v>1</v>
      </c>
      <c r="AE213" t="str">
        <f>VLOOKUP(Таблица1_113[[#This Row],[Марка]],Таблица13[#All],4,0)</f>
        <v>США</v>
      </c>
      <c r="AF213" t="str">
        <f>VLOOKUP(Таблица1_113[[#This Row],[Марка]],Таблица13[#All],2,0)</f>
        <v>Economy</v>
      </c>
      <c r="AG213">
        <f>VLOOKUP(Таблица1_113[[#This Row],[Марка]],Таблица13[#All],3,0)</f>
        <v>1911</v>
      </c>
      <c r="AH213" t="str">
        <f>VLOOKUP(Таблица1_113[[#This Row],[Марка]],Таблица13[#All],5,0)</f>
        <v>Крупноузловая</v>
      </c>
      <c r="AI213" s="12">
        <v>43617</v>
      </c>
      <c r="AJ213">
        <v>108</v>
      </c>
    </row>
    <row r="214" spans="5:36">
      <c r="E214"/>
      <c r="AD214" t="s">
        <v>36</v>
      </c>
      <c r="AE214" t="str">
        <f>VLOOKUP(Таблица1_113[[#This Row],[Марка]],Таблица13[#All],4,0)</f>
        <v>США</v>
      </c>
      <c r="AF214" t="str">
        <f>VLOOKUP(Таблица1_113[[#This Row],[Марка]],Таблица13[#All],2,0)</f>
        <v>Luxury</v>
      </c>
      <c r="AG214">
        <f>VLOOKUP(Таблица1_113[[#This Row],[Марка]],Таблица13[#All],3,0)</f>
        <v>1902</v>
      </c>
      <c r="AH214" t="str">
        <f>VLOOKUP(Таблица1_113[[#This Row],[Марка]],Таблица13[#All],5,0)</f>
        <v>Нет</v>
      </c>
      <c r="AI214" s="12">
        <v>43617</v>
      </c>
      <c r="AJ214">
        <v>2</v>
      </c>
    </row>
    <row r="215" spans="5:36">
      <c r="E215"/>
      <c r="AD215" t="s">
        <v>8</v>
      </c>
      <c r="AE215" t="str">
        <f>VLOOKUP(Таблица1_113[[#This Row],[Марка]],Таблица13[#All],4,0)</f>
        <v>Германия</v>
      </c>
      <c r="AF215" t="str">
        <f>VLOOKUP(Таблица1_113[[#This Row],[Марка]],Таблица13[#All],2,0)</f>
        <v>Luxury</v>
      </c>
      <c r="AG215">
        <f>VLOOKUP(Таблица1_113[[#This Row],[Марка]],Таблица13[#All],3,0)</f>
        <v>1916</v>
      </c>
      <c r="AH215" t="str">
        <f>VLOOKUP(Таблица1_113[[#This Row],[Марка]],Таблица13[#All],5,0)</f>
        <v>Нет</v>
      </c>
      <c r="AI215" s="12">
        <v>43617</v>
      </c>
      <c r="AJ215">
        <v>79</v>
      </c>
    </row>
    <row r="216" spans="5:36">
      <c r="E216"/>
      <c r="AD216" t="s">
        <v>38</v>
      </c>
      <c r="AE216" t="str">
        <f>VLOOKUP(Таблица1_113[[#This Row],[Марка]],Таблица13[#All],4,0)</f>
        <v>Германия</v>
      </c>
      <c r="AF216" t="str">
        <f>VLOOKUP(Таблица1_113[[#This Row],[Марка]],Таблица13[#All],2,0)</f>
        <v>Luxury</v>
      </c>
      <c r="AG216">
        <f>VLOOKUP(Таблица1_113[[#This Row],[Марка]],Таблица13[#All],3,0)</f>
        <v>1932</v>
      </c>
      <c r="AH216" t="str">
        <f>VLOOKUP(Таблица1_113[[#This Row],[Марка]],Таблица13[#All],5,0)</f>
        <v>Нет</v>
      </c>
      <c r="AI216" s="12">
        <v>43617</v>
      </c>
      <c r="AJ216">
        <v>3</v>
      </c>
    </row>
    <row r="217" spans="5:36">
      <c r="E217"/>
      <c r="AD217" t="s">
        <v>145</v>
      </c>
      <c r="AE217" t="str">
        <f>VLOOKUP(Таблица1_113[[#This Row],[Марка]],Таблица13[#All],4,0)</f>
        <v>Китай</v>
      </c>
      <c r="AF217" t="str">
        <f>VLOOKUP(Таблица1_113[[#This Row],[Марка]],Таблица13[#All],2,0)</f>
        <v>Economy</v>
      </c>
      <c r="AG217">
        <f>VLOOKUP(Таблица1_113[[#This Row],[Марка]],Таблица13[#All],3,0)</f>
        <v>1997</v>
      </c>
      <c r="AH217" t="str">
        <f>VLOOKUP(Таблица1_113[[#This Row],[Марка]],Таблица13[#All],5,0)</f>
        <v>Нет</v>
      </c>
      <c r="AI217" s="12">
        <v>43617</v>
      </c>
      <c r="AJ217">
        <v>17</v>
      </c>
    </row>
    <row r="218" spans="5:36">
      <c r="E218"/>
      <c r="AD218" t="s">
        <v>136</v>
      </c>
      <c r="AE218" t="str">
        <f>VLOOKUP(Таблица1_113[[#This Row],[Марка]],Таблица13[#All],4,0)</f>
        <v>Россия</v>
      </c>
      <c r="AF218" t="str">
        <f>VLOOKUP(Таблица1_113[[#This Row],[Марка]],Таблица13[#All],2,0)</f>
        <v>Economy</v>
      </c>
      <c r="AG218">
        <f>VLOOKUP(Таблица1_113[[#This Row],[Марка]],Таблица13[#All],3,0)</f>
        <v>1941</v>
      </c>
      <c r="AH218" t="str">
        <f>VLOOKUP(Таблица1_113[[#This Row],[Марка]],Таблица13[#All],5,0)</f>
        <v>Нет</v>
      </c>
      <c r="AI218" s="12">
        <v>43647</v>
      </c>
      <c r="AJ218">
        <v>210</v>
      </c>
    </row>
    <row r="219" spans="5:36">
      <c r="E219"/>
      <c r="AD219" t="s">
        <v>135</v>
      </c>
      <c r="AE219" t="str">
        <f>VLOOKUP(Таблица1_113[[#This Row],[Марка]],Таблица13[#All],4,0)</f>
        <v>-</v>
      </c>
      <c r="AF219" t="str">
        <f>VLOOKUP(Таблица1_113[[#This Row],[Марка]],Таблица13[#All],2,0)</f>
        <v>-</v>
      </c>
      <c r="AG219" t="str">
        <f>VLOOKUP(Таблица1_113[[#This Row],[Марка]],Таблица13[#All],3,0)</f>
        <v>-</v>
      </c>
      <c r="AH219" t="str">
        <f>VLOOKUP(Таблица1_113[[#This Row],[Марка]],Таблица13[#All],5,0)</f>
        <v>-</v>
      </c>
      <c r="AI219" s="12">
        <v>43647</v>
      </c>
      <c r="AJ219">
        <v>0</v>
      </c>
    </row>
    <row r="220" spans="5:36">
      <c r="E220"/>
      <c r="AD220" t="s">
        <v>39</v>
      </c>
      <c r="AE220" t="str">
        <f>VLOOKUP(Таблица1_113[[#This Row],[Марка]],Таблица13[#All],4,0)</f>
        <v>Швеция</v>
      </c>
      <c r="AF220" t="str">
        <f>VLOOKUP(Таблица1_113[[#This Row],[Марка]],Таблица13[#All],2,0)</f>
        <v>Business</v>
      </c>
      <c r="AG220">
        <f>VLOOKUP(Таблица1_113[[#This Row],[Марка]],Таблица13[#All],3,0)</f>
        <v>1927</v>
      </c>
      <c r="AH220" t="str">
        <f>VLOOKUP(Таблица1_113[[#This Row],[Марка]],Таблица13[#All],5,0)</f>
        <v>Нет</v>
      </c>
      <c r="AI220" s="12">
        <v>43647</v>
      </c>
      <c r="AJ220">
        <v>13</v>
      </c>
    </row>
    <row r="221" spans="5:36">
      <c r="E221"/>
      <c r="AD221" t="s">
        <v>21</v>
      </c>
      <c r="AE221" t="str">
        <f>VLOOKUP(Таблица1_113[[#This Row],[Марка]],Таблица13[#All],4,0)</f>
        <v>Германия</v>
      </c>
      <c r="AF221" t="str">
        <f>VLOOKUP(Таблица1_113[[#This Row],[Марка]],Таблица13[#All],2,0)</f>
        <v>Business</v>
      </c>
      <c r="AG221">
        <f>VLOOKUP(Таблица1_113[[#This Row],[Марка]],Таблица13[#All],3,0)</f>
        <v>1937</v>
      </c>
      <c r="AH221" t="str">
        <f>VLOOKUP(Таблица1_113[[#This Row],[Марка]],Таблица13[#All],5,0)</f>
        <v>Нет</v>
      </c>
      <c r="AI221" s="12">
        <v>43647</v>
      </c>
      <c r="AJ221">
        <v>93</v>
      </c>
    </row>
    <row r="222" spans="5:36">
      <c r="E222"/>
      <c r="AD222" t="s">
        <v>2</v>
      </c>
      <c r="AE222" t="str">
        <f>VLOOKUP(Таблица1_113[[#This Row],[Марка]],Таблица13[#All],4,0)</f>
        <v>Япония</v>
      </c>
      <c r="AF222" t="str">
        <f>VLOOKUP(Таблица1_113[[#This Row],[Марка]],Таблица13[#All],2,0)</f>
        <v>Business</v>
      </c>
      <c r="AG222">
        <f>VLOOKUP(Таблица1_113[[#This Row],[Марка]],Таблица13[#All],3,0)</f>
        <v>1937</v>
      </c>
      <c r="AH222" t="str">
        <f>VLOOKUP(Таблица1_113[[#This Row],[Марка]],Таблица13[#All],5,0)</f>
        <v>Нет</v>
      </c>
      <c r="AI222" s="12">
        <v>43647</v>
      </c>
      <c r="AJ222">
        <v>1429</v>
      </c>
    </row>
    <row r="223" spans="5:36">
      <c r="E223"/>
      <c r="AD223" t="s">
        <v>125</v>
      </c>
      <c r="AE223" t="str">
        <f>VLOOKUP(Таблица1_113[[#This Row],[Марка]],Таблица13[#All],4,0)</f>
        <v>Япония</v>
      </c>
      <c r="AF223" t="str">
        <f>VLOOKUP(Таблица1_113[[#This Row],[Марка]],Таблица13[#All],2,0)</f>
        <v>Business</v>
      </c>
      <c r="AG223">
        <f>VLOOKUP(Таблица1_113[[#This Row],[Марка]],Таблица13[#All],3,0)</f>
        <v>1953</v>
      </c>
      <c r="AH223" t="str">
        <f>VLOOKUP(Таблица1_113[[#This Row],[Марка]],Таблица13[#All],5,0)</f>
        <v>Нет</v>
      </c>
      <c r="AI223" s="12">
        <v>43647</v>
      </c>
      <c r="AJ223">
        <v>58</v>
      </c>
    </row>
    <row r="224" spans="5:36">
      <c r="E224"/>
      <c r="AD224" t="s">
        <v>141</v>
      </c>
      <c r="AE224" t="str">
        <f>VLOOKUP(Таблица1_113[[#This Row],[Марка]],Таблица13[#All],4,0)</f>
        <v>Чехия</v>
      </c>
      <c r="AF224" t="str">
        <f>VLOOKUP(Таблица1_113[[#This Row],[Марка]],Таблица13[#All],2,0)</f>
        <v>Business</v>
      </c>
      <c r="AG224">
        <f>VLOOKUP(Таблица1_113[[#This Row],[Марка]],Таблица13[#All],3,0)</f>
        <v>1895</v>
      </c>
      <c r="AH224" t="str">
        <f>VLOOKUP(Таблица1_113[[#This Row],[Марка]],Таблица13[#All],5,0)</f>
        <v>Крупноузловая</v>
      </c>
      <c r="AI224" s="12">
        <v>43647</v>
      </c>
      <c r="AJ224">
        <v>173</v>
      </c>
    </row>
    <row r="225" spans="5:36">
      <c r="E225"/>
      <c r="AD225" t="s">
        <v>148</v>
      </c>
      <c r="AE225" t="str">
        <f>VLOOKUP(Таблица1_113[[#This Row],[Марка]],Таблица13[#All],4,0)</f>
        <v>Великобритания</v>
      </c>
      <c r="AF225" t="str">
        <f>VLOOKUP(Таблица1_113[[#This Row],[Марка]],Таблица13[#All],2,0)</f>
        <v>Luxury</v>
      </c>
      <c r="AG225">
        <f>VLOOKUP(Таблица1_113[[#This Row],[Марка]],Таблица13[#All],3,0)</f>
        <v>1904</v>
      </c>
      <c r="AH225" t="str">
        <f>VLOOKUP(Таблица1_113[[#This Row],[Марка]],Таблица13[#All],5,0)</f>
        <v>Нет</v>
      </c>
      <c r="AI225" s="12">
        <v>43647</v>
      </c>
      <c r="AJ225">
        <v>0</v>
      </c>
    </row>
    <row r="226" spans="5:36">
      <c r="E226"/>
      <c r="AD226" t="s">
        <v>23</v>
      </c>
      <c r="AE226" t="str">
        <f>VLOOKUP(Таблица1_113[[#This Row],[Марка]],Таблица13[#All],4,0)</f>
        <v>Франция</v>
      </c>
      <c r="AF226" t="str">
        <f>VLOOKUP(Таблица1_113[[#This Row],[Марка]],Таблица13[#All],2,0)</f>
        <v>Economy</v>
      </c>
      <c r="AG226">
        <f>VLOOKUP(Таблица1_113[[#This Row],[Марка]],Таблица13[#All],3,0)</f>
        <v>1899</v>
      </c>
      <c r="AH226" t="str">
        <f>VLOOKUP(Таблица1_113[[#This Row],[Марка]],Таблица13[#All],5,0)</f>
        <v>Крупноузловая</v>
      </c>
      <c r="AI226" s="12">
        <v>43647</v>
      </c>
      <c r="AJ226">
        <v>235</v>
      </c>
    </row>
    <row r="227" spans="5:36">
      <c r="E227"/>
      <c r="AD227" t="s">
        <v>142</v>
      </c>
      <c r="AE227" t="str">
        <f>VLOOKUP(Таблица1_113[[#This Row],[Марка]],Таблица13[#All],4,0)</f>
        <v>Узбекистан</v>
      </c>
      <c r="AF227" t="str">
        <f>VLOOKUP(Таблица1_113[[#This Row],[Марка]],Таблица13[#All],2,0)</f>
        <v>Economy</v>
      </c>
      <c r="AG227">
        <f>VLOOKUP(Таблица1_113[[#This Row],[Марка]],Таблица13[#All],3,0)</f>
        <v>2015</v>
      </c>
      <c r="AH227" t="str">
        <f>VLOOKUP(Таблица1_113[[#This Row],[Марка]],Таблица13[#All],5,0)</f>
        <v>Крупноузловая</v>
      </c>
      <c r="AI227" s="12">
        <v>43647</v>
      </c>
      <c r="AJ227">
        <v>326</v>
      </c>
    </row>
    <row r="228" spans="5:36">
      <c r="E228"/>
      <c r="AD228" t="s">
        <v>37</v>
      </c>
      <c r="AE228" t="str">
        <f>VLOOKUP(Таблица1_113[[#This Row],[Марка]],Таблица13[#All],4,0)</f>
        <v>Германия</v>
      </c>
      <c r="AF228" t="str">
        <f>VLOOKUP(Таблица1_113[[#This Row],[Марка]],Таблица13[#All],2,0)</f>
        <v>Luxury</v>
      </c>
      <c r="AG228">
        <f>VLOOKUP(Таблица1_113[[#This Row],[Марка]],Таблица13[#All],3,0)</f>
        <v>1931</v>
      </c>
      <c r="AH228" t="str">
        <f>VLOOKUP(Таблица1_113[[#This Row],[Марка]],Таблица13[#All],5,0)</f>
        <v>Нет</v>
      </c>
      <c r="AI228" s="12">
        <v>43647</v>
      </c>
      <c r="AJ228">
        <v>8</v>
      </c>
    </row>
    <row r="229" spans="5:36">
      <c r="E229"/>
      <c r="AD229" t="s">
        <v>146</v>
      </c>
      <c r="AE229" t="str">
        <f>VLOOKUP(Таблица1_113[[#This Row],[Марка]],Таблица13[#All],4,0)</f>
        <v>Франция</v>
      </c>
      <c r="AF229" t="str">
        <f>VLOOKUP(Таблица1_113[[#This Row],[Марка]],Таблица13[#All],2,0)</f>
        <v>Economy</v>
      </c>
      <c r="AG229">
        <f>VLOOKUP(Таблица1_113[[#This Row],[Марка]],Таблица13[#All],3,0)</f>
        <v>1810</v>
      </c>
      <c r="AH229" t="str">
        <f>VLOOKUP(Таблица1_113[[#This Row],[Марка]],Таблица13[#All],5,0)</f>
        <v>Нет</v>
      </c>
      <c r="AI229" s="12">
        <v>43647</v>
      </c>
      <c r="AJ229">
        <v>0</v>
      </c>
    </row>
    <row r="230" spans="5:36">
      <c r="E230"/>
      <c r="AD230" t="s">
        <v>22</v>
      </c>
      <c r="AE230" t="str">
        <f>VLOOKUP(Таблица1_113[[#This Row],[Марка]],Таблица13[#All],4,0)</f>
        <v>Япония</v>
      </c>
      <c r="AF230" t="str">
        <f>VLOOKUP(Таблица1_113[[#This Row],[Марка]],Таблица13[#All],2,0)</f>
        <v>Business</v>
      </c>
      <c r="AG230">
        <f>VLOOKUP(Таблица1_113[[#This Row],[Марка]],Таблица13[#All],3,0)</f>
        <v>1933</v>
      </c>
      <c r="AH230" t="str">
        <f>VLOOKUP(Таблица1_113[[#This Row],[Марка]],Таблица13[#All],5,0)</f>
        <v>Нет</v>
      </c>
      <c r="AI230" s="12">
        <v>43647</v>
      </c>
      <c r="AJ230">
        <v>212</v>
      </c>
    </row>
    <row r="231" spans="5:36">
      <c r="E231"/>
      <c r="AD231" t="s">
        <v>9</v>
      </c>
      <c r="AE231" t="str">
        <f>VLOOKUP(Таблица1_113[[#This Row],[Марка]],Таблица13[#All],4,0)</f>
        <v>Япония</v>
      </c>
      <c r="AF231" t="str">
        <f>VLOOKUP(Таблица1_113[[#This Row],[Марка]],Таблица13[#All],2,0)</f>
        <v>Business</v>
      </c>
      <c r="AG231">
        <f>VLOOKUP(Таблица1_113[[#This Row],[Марка]],Таблица13[#All],3,0)</f>
        <v>1870</v>
      </c>
      <c r="AH231" t="str">
        <f>VLOOKUP(Таблица1_113[[#This Row],[Марка]],Таблица13[#All],5,0)</f>
        <v>Нет</v>
      </c>
      <c r="AI231" s="12">
        <v>43647</v>
      </c>
      <c r="AJ231">
        <v>56</v>
      </c>
    </row>
    <row r="232" spans="5:36">
      <c r="E232"/>
      <c r="AD232" t="s">
        <v>40</v>
      </c>
      <c r="AE232" t="str">
        <f>VLOOKUP(Таблица1_113[[#This Row],[Марка]],Таблица13[#All],4,0)</f>
        <v>Великобритания</v>
      </c>
      <c r="AF232" t="str">
        <f>VLOOKUP(Таблица1_113[[#This Row],[Марка]],Таблица13[#All],2,0)</f>
        <v>Luxury</v>
      </c>
      <c r="AG232">
        <f>VLOOKUP(Таблица1_113[[#This Row],[Марка]],Таблица13[#All],3,0)</f>
        <v>1959</v>
      </c>
      <c r="AH232" t="str">
        <f>VLOOKUP(Таблица1_113[[#This Row],[Марка]],Таблица13[#All],5,0)</f>
        <v>Нет</v>
      </c>
      <c r="AI232" s="12">
        <v>43647</v>
      </c>
      <c r="AJ232">
        <v>0</v>
      </c>
    </row>
    <row r="233" spans="5:36">
      <c r="E233"/>
      <c r="AD233" t="s">
        <v>128</v>
      </c>
      <c r="AE233" t="str">
        <f>VLOOKUP(Таблица1_113[[#This Row],[Марка]],Таблица13[#All],4,0)</f>
        <v>Германия</v>
      </c>
      <c r="AF233" t="str">
        <f>VLOOKUP(Таблица1_113[[#This Row],[Марка]],Таблица13[#All],2,0)</f>
        <v>Luxury</v>
      </c>
      <c r="AG233">
        <f>VLOOKUP(Таблица1_113[[#This Row],[Марка]],Таблица13[#All],3,0)</f>
        <v>1926</v>
      </c>
      <c r="AH233" t="str">
        <f>VLOOKUP(Таблица1_113[[#This Row],[Марка]],Таблица13[#All],5,0)</f>
        <v>Нет</v>
      </c>
      <c r="AI233" s="12">
        <v>43647</v>
      </c>
      <c r="AJ233">
        <v>44</v>
      </c>
    </row>
    <row r="234" spans="5:36">
      <c r="E234"/>
      <c r="AD234" t="s">
        <v>139</v>
      </c>
      <c r="AE234" t="str">
        <f>VLOOKUP(Таблица1_113[[#This Row],[Марка]],Таблица13[#All],4,0)</f>
        <v>Япония</v>
      </c>
      <c r="AF234" t="str">
        <f>VLOOKUP(Таблица1_113[[#This Row],[Марка]],Таблица13[#All],2,0)</f>
        <v>Business</v>
      </c>
      <c r="AG234">
        <f>VLOOKUP(Таблица1_113[[#This Row],[Марка]],Таблица13[#All],3,0)</f>
        <v>1920</v>
      </c>
      <c r="AH234" t="str">
        <f>VLOOKUP(Таблица1_113[[#This Row],[Марка]],Таблица13[#All],5,0)</f>
        <v>Нет</v>
      </c>
      <c r="AI234" s="12">
        <v>43647</v>
      </c>
      <c r="AJ234">
        <v>33</v>
      </c>
    </row>
    <row r="235" spans="5:36">
      <c r="E235"/>
      <c r="AD235" t="s">
        <v>144</v>
      </c>
      <c r="AE235" t="str">
        <f>VLOOKUP(Таблица1_113[[#This Row],[Марка]],Таблица13[#All],4,0)</f>
        <v>Китай</v>
      </c>
      <c r="AF235" t="str">
        <f>VLOOKUP(Таблица1_113[[#This Row],[Марка]],Таблица13[#All],2,0)</f>
        <v>Economy</v>
      </c>
      <c r="AG235">
        <f>VLOOKUP(Таблица1_113[[#This Row],[Марка]],Таблица13[#All],3,0)</f>
        <v>1992</v>
      </c>
      <c r="AH235" t="str">
        <f>VLOOKUP(Таблица1_113[[#This Row],[Марка]],Таблица13[#All],5,0)</f>
        <v>Нет</v>
      </c>
      <c r="AI235" s="12">
        <v>43647</v>
      </c>
      <c r="AJ235">
        <v>17</v>
      </c>
    </row>
    <row r="236" spans="5:36">
      <c r="E236"/>
      <c r="AD236" t="s">
        <v>5</v>
      </c>
      <c r="AE236" t="str">
        <f>VLOOKUP(Таблица1_113[[#This Row],[Марка]],Таблица13[#All],4,0)</f>
        <v>Япония</v>
      </c>
      <c r="AF236" t="str">
        <f>VLOOKUP(Таблица1_113[[#This Row],[Марка]],Таблица13[#All],2,0)</f>
        <v>Luxury</v>
      </c>
      <c r="AG236">
        <f>VLOOKUP(Таблица1_113[[#This Row],[Марка]],Таблица13[#All],3,0)</f>
        <v>1989</v>
      </c>
      <c r="AH236" t="str">
        <f>VLOOKUP(Таблица1_113[[#This Row],[Марка]],Таблица13[#All],5,0)</f>
        <v>Нет</v>
      </c>
      <c r="AI236" s="12">
        <v>43647</v>
      </c>
      <c r="AJ236">
        <v>138</v>
      </c>
    </row>
    <row r="237" spans="5:36">
      <c r="E237"/>
      <c r="AD237" t="s">
        <v>35</v>
      </c>
      <c r="AE237" t="str">
        <f>VLOOKUP(Таблица1_113[[#This Row],[Марка]],Таблица13[#All],4,0)</f>
        <v>Великобритания</v>
      </c>
      <c r="AF237" t="str">
        <f>VLOOKUP(Таблица1_113[[#This Row],[Марка]],Таблица13[#All],2,0)</f>
        <v>Luxury</v>
      </c>
      <c r="AG237">
        <f>VLOOKUP(Таблица1_113[[#This Row],[Марка]],Таблица13[#All],3,0)</f>
        <v>1948</v>
      </c>
      <c r="AH237" t="str">
        <f>VLOOKUP(Таблица1_113[[#This Row],[Марка]],Таблица13[#All],5,0)</f>
        <v>Нет</v>
      </c>
      <c r="AI237" s="12">
        <v>43647</v>
      </c>
      <c r="AJ237">
        <v>0</v>
      </c>
    </row>
    <row r="238" spans="5:36">
      <c r="E238"/>
      <c r="AD238" t="s">
        <v>19</v>
      </c>
      <c r="AE238" t="str">
        <f>VLOOKUP(Таблица1_113[[#This Row],[Марка]],Таблица13[#All],4,0)</f>
        <v>Россия</v>
      </c>
      <c r="AF238" t="str">
        <f>VLOOKUP(Таблица1_113[[#This Row],[Марка]],Таблица13[#All],2,0)</f>
        <v>Economy</v>
      </c>
      <c r="AG238">
        <f>VLOOKUP(Таблица1_113[[#This Row],[Марка]],Таблица13[#All],3,0)</f>
        <v>1970</v>
      </c>
      <c r="AH238" t="str">
        <f>VLOOKUP(Таблица1_113[[#This Row],[Марка]],Таблица13[#All],5,0)</f>
        <v>Крупноузловая</v>
      </c>
      <c r="AI238" s="12">
        <v>43647</v>
      </c>
      <c r="AJ238">
        <v>1431</v>
      </c>
    </row>
    <row r="239" spans="5:36">
      <c r="E239"/>
      <c r="AD239" t="s">
        <v>15</v>
      </c>
      <c r="AE239" t="str">
        <f>VLOOKUP(Таблица1_113[[#This Row],[Марка]],Таблица13[#All],4,0)</f>
        <v>Корея</v>
      </c>
      <c r="AF239" t="str">
        <f>VLOOKUP(Таблица1_113[[#This Row],[Марка]],Таблица13[#All],2,0)</f>
        <v>Economy</v>
      </c>
      <c r="AG239">
        <f>VLOOKUP(Таблица1_113[[#This Row],[Марка]],Таблица13[#All],3,0)</f>
        <v>1944</v>
      </c>
      <c r="AH239" t="str">
        <f>VLOOKUP(Таблица1_113[[#This Row],[Марка]],Таблица13[#All],5,0)</f>
        <v>Крупноузловая</v>
      </c>
      <c r="AI239" s="12">
        <v>43647</v>
      </c>
      <c r="AJ239">
        <v>252</v>
      </c>
    </row>
    <row r="240" spans="5:36">
      <c r="E240"/>
      <c r="AD240" t="s">
        <v>134</v>
      </c>
      <c r="AE240" t="str">
        <f>VLOOKUP(Таблица1_113[[#This Row],[Марка]],Таблица13[#All],4,0)</f>
        <v>Великобритания</v>
      </c>
      <c r="AF240" t="str">
        <f>VLOOKUP(Таблица1_113[[#This Row],[Марка]],Таблица13[#All],2,0)</f>
        <v>Luxury</v>
      </c>
      <c r="AG240">
        <f>VLOOKUP(Таблица1_113[[#This Row],[Марка]],Таблица13[#All],3,0)</f>
        <v>1922</v>
      </c>
      <c r="AH240" t="str">
        <f>VLOOKUP(Таблица1_113[[#This Row],[Марка]],Таблица13[#All],5,0)</f>
        <v>Нет</v>
      </c>
      <c r="AI240" s="12">
        <v>43647</v>
      </c>
      <c r="AJ240">
        <v>0</v>
      </c>
    </row>
    <row r="241" spans="5:36">
      <c r="E241"/>
      <c r="AD241" t="s">
        <v>4</v>
      </c>
      <c r="AE241" t="str">
        <f>VLOOKUP(Таблица1_113[[#This Row],[Марка]],Таблица13[#All],4,0)</f>
        <v>Китай</v>
      </c>
      <c r="AF241" t="str">
        <f>VLOOKUP(Таблица1_113[[#This Row],[Марка]],Таблица13[#All],2,0)</f>
        <v>Economy</v>
      </c>
      <c r="AG241">
        <f>VLOOKUP(Таблица1_113[[#This Row],[Марка]],Таблица13[#All],3,0)</f>
        <v>1964</v>
      </c>
      <c r="AH241" t="str">
        <f>VLOOKUP(Таблица1_113[[#This Row],[Марка]],Таблица13[#All],5,0)</f>
        <v>Крупноузловая</v>
      </c>
      <c r="AI241" s="12">
        <v>43647</v>
      </c>
      <c r="AJ241">
        <v>133</v>
      </c>
    </row>
    <row r="242" spans="5:36">
      <c r="E242"/>
      <c r="AD242" t="s">
        <v>140</v>
      </c>
      <c r="AE242" t="str">
        <f>VLOOKUP(Таблица1_113[[#This Row],[Марка]],Таблица13[#All],4,0)</f>
        <v>Япония</v>
      </c>
      <c r="AF242" t="str">
        <f>VLOOKUP(Таблица1_113[[#This Row],[Марка]],Таблица13[#All],2,0)</f>
        <v>Business</v>
      </c>
      <c r="AG242">
        <f>VLOOKUP(Таблица1_113[[#This Row],[Марка]],Таблица13[#All],3,0)</f>
        <v>1916</v>
      </c>
      <c r="AH242" t="str">
        <f>VLOOKUP(Таблица1_113[[#This Row],[Марка]],Таблица13[#All],5,0)</f>
        <v>Нет</v>
      </c>
      <c r="AI242" s="12">
        <v>43647</v>
      </c>
      <c r="AJ242">
        <v>27</v>
      </c>
    </row>
    <row r="243" spans="5:36">
      <c r="E243"/>
      <c r="AD243" t="s">
        <v>34</v>
      </c>
      <c r="AE243" t="str">
        <f>VLOOKUP(Таблица1_113[[#This Row],[Марка]],Таблица13[#All],4,0)</f>
        <v>Япония</v>
      </c>
      <c r="AF243" t="str">
        <f>VLOOKUP(Таблица1_113[[#This Row],[Марка]],Таблица13[#All],2,0)</f>
        <v>Luxury</v>
      </c>
      <c r="AG243">
        <f>VLOOKUP(Таблица1_113[[#This Row],[Марка]],Таблица13[#All],3,0)</f>
        <v>1989</v>
      </c>
      <c r="AH243" t="str">
        <f>VLOOKUP(Таблица1_113[[#This Row],[Марка]],Таблица13[#All],5,0)</f>
        <v>Нет</v>
      </c>
      <c r="AI243" s="12">
        <v>43647</v>
      </c>
      <c r="AJ243">
        <v>0</v>
      </c>
    </row>
    <row r="244" spans="5:36">
      <c r="E244"/>
      <c r="AD244" t="s">
        <v>0</v>
      </c>
      <c r="AE244" t="str">
        <f>VLOOKUP(Таблица1_113[[#This Row],[Марка]],Таблица13[#All],4,0)</f>
        <v>Корея</v>
      </c>
      <c r="AF244" t="str">
        <f>VLOOKUP(Таблица1_113[[#This Row],[Марка]],Таблица13[#All],2,0)</f>
        <v>Economy</v>
      </c>
      <c r="AG244">
        <f>VLOOKUP(Таблица1_113[[#This Row],[Марка]],Таблица13[#All],3,0)</f>
        <v>1967</v>
      </c>
      <c r="AH244" t="str">
        <f>VLOOKUP(Таблица1_113[[#This Row],[Марка]],Таблица13[#All],5,0)</f>
        <v>Крупноузловая</v>
      </c>
      <c r="AI244" s="12">
        <v>43647</v>
      </c>
      <c r="AJ244">
        <v>1434</v>
      </c>
    </row>
    <row r="245" spans="5:36">
      <c r="E245"/>
      <c r="AD245" t="s">
        <v>133</v>
      </c>
      <c r="AE245" t="str">
        <f>VLOOKUP(Таблица1_113[[#This Row],[Марка]],Таблица13[#All],4,0)</f>
        <v>Китай</v>
      </c>
      <c r="AF245" t="str">
        <f>VLOOKUP(Таблица1_113[[#This Row],[Марка]],Таблица13[#All],2,0)</f>
        <v>Economy</v>
      </c>
      <c r="AG245">
        <f>VLOOKUP(Таблица1_113[[#This Row],[Марка]],Таблица13[#All],3,0)</f>
        <v>1996</v>
      </c>
      <c r="AH245" t="str">
        <f>VLOOKUP(Таблица1_113[[#This Row],[Марка]],Таблица13[#All],5,0)</f>
        <v>Нет</v>
      </c>
      <c r="AI245" s="12">
        <v>43647</v>
      </c>
      <c r="AJ245">
        <v>11</v>
      </c>
    </row>
    <row r="246" spans="5:36">
      <c r="E246"/>
      <c r="AD246" t="s">
        <v>147</v>
      </c>
      <c r="AE246" t="str">
        <f>VLOOKUP(Таблица1_113[[#This Row],[Марка]],Таблица13[#All],4,0)</f>
        <v>США</v>
      </c>
      <c r="AF246" t="str">
        <f>VLOOKUP(Таблица1_113[[#This Row],[Марка]],Таблица13[#All],2,0)</f>
        <v>Economy</v>
      </c>
      <c r="AG246">
        <f>VLOOKUP(Таблица1_113[[#This Row],[Марка]],Таблица13[#All],3,0)</f>
        <v>1903</v>
      </c>
      <c r="AH246" t="str">
        <f>VLOOKUP(Таблица1_113[[#This Row],[Марка]],Таблица13[#All],5,0)</f>
        <v>Нет</v>
      </c>
      <c r="AI246" s="12">
        <v>43647</v>
      </c>
      <c r="AJ246">
        <v>0</v>
      </c>
    </row>
    <row r="247" spans="5:36">
      <c r="E247"/>
      <c r="AD247" t="s">
        <v>130</v>
      </c>
      <c r="AE247" t="str">
        <f>VLOOKUP(Таблица1_113[[#This Row],[Марка]],Таблица13[#All],4,0)</f>
        <v>Китай</v>
      </c>
      <c r="AF247" t="str">
        <f>VLOOKUP(Таблица1_113[[#This Row],[Марка]],Таблица13[#All],2,0)</f>
        <v>Economy</v>
      </c>
      <c r="AG247">
        <f>VLOOKUP(Таблица1_113[[#This Row],[Марка]],Таблица13[#All],3,0)</f>
        <v>1969</v>
      </c>
      <c r="AH247" t="str">
        <f>VLOOKUP(Таблица1_113[[#This Row],[Марка]],Таблица13[#All],5,0)</f>
        <v>Нет</v>
      </c>
      <c r="AI247" s="12">
        <v>43647</v>
      </c>
      <c r="AJ247">
        <v>0</v>
      </c>
    </row>
    <row r="248" spans="5:36">
      <c r="E248"/>
      <c r="AD248" t="s">
        <v>137</v>
      </c>
      <c r="AE248" t="str">
        <f>VLOOKUP(Таблица1_113[[#This Row],[Марка]],Таблица13[#All],4,0)</f>
        <v>Корея</v>
      </c>
      <c r="AF248" t="str">
        <f>VLOOKUP(Таблица1_113[[#This Row],[Марка]],Таблица13[#All],2,0)</f>
        <v>Economy</v>
      </c>
      <c r="AG248">
        <f>VLOOKUP(Таблица1_113[[#This Row],[Марка]],Таблица13[#All],3,0)</f>
        <v>1967</v>
      </c>
      <c r="AH248" t="str">
        <f>VLOOKUP(Таблица1_113[[#This Row],[Марка]],Таблица13[#All],5,0)</f>
        <v>Нет</v>
      </c>
      <c r="AI248" s="12">
        <v>43647</v>
      </c>
      <c r="AJ248">
        <v>59</v>
      </c>
    </row>
    <row r="249" spans="5:36">
      <c r="E249"/>
      <c r="AD249" t="s">
        <v>1</v>
      </c>
      <c r="AE249" t="str">
        <f>VLOOKUP(Таблица1_113[[#This Row],[Марка]],Таблица13[#All],4,0)</f>
        <v>США</v>
      </c>
      <c r="AF249" t="str">
        <f>VLOOKUP(Таблица1_113[[#This Row],[Марка]],Таблица13[#All],2,0)</f>
        <v>Economy</v>
      </c>
      <c r="AG249">
        <f>VLOOKUP(Таблица1_113[[#This Row],[Марка]],Таблица13[#All],3,0)</f>
        <v>1911</v>
      </c>
      <c r="AH249" t="str">
        <f>VLOOKUP(Таблица1_113[[#This Row],[Марка]],Таблица13[#All],5,0)</f>
        <v>Крупноузловая</v>
      </c>
      <c r="AI249" s="12">
        <v>43647</v>
      </c>
      <c r="AJ249">
        <v>82</v>
      </c>
    </row>
    <row r="250" spans="5:36">
      <c r="E250"/>
      <c r="AD250" t="s">
        <v>36</v>
      </c>
      <c r="AE250" t="str">
        <f>VLOOKUP(Таблица1_113[[#This Row],[Марка]],Таблица13[#All],4,0)</f>
        <v>США</v>
      </c>
      <c r="AF250" t="str">
        <f>VLOOKUP(Таблица1_113[[#This Row],[Марка]],Таблица13[#All],2,0)</f>
        <v>Luxury</v>
      </c>
      <c r="AG250">
        <f>VLOOKUP(Таблица1_113[[#This Row],[Марка]],Таблица13[#All],3,0)</f>
        <v>1902</v>
      </c>
      <c r="AH250" t="str">
        <f>VLOOKUP(Таблица1_113[[#This Row],[Марка]],Таблица13[#All],5,0)</f>
        <v>Нет</v>
      </c>
      <c r="AI250" s="12">
        <v>43647</v>
      </c>
      <c r="AJ250">
        <v>4</v>
      </c>
    </row>
    <row r="251" spans="5:36">
      <c r="E251"/>
      <c r="AD251" t="s">
        <v>8</v>
      </c>
      <c r="AE251" t="str">
        <f>VLOOKUP(Таблица1_113[[#This Row],[Марка]],Таблица13[#All],4,0)</f>
        <v>Германия</v>
      </c>
      <c r="AF251" t="str">
        <f>VLOOKUP(Таблица1_113[[#This Row],[Марка]],Таблица13[#All],2,0)</f>
        <v>Luxury</v>
      </c>
      <c r="AG251">
        <f>VLOOKUP(Таблица1_113[[#This Row],[Марка]],Таблица13[#All],3,0)</f>
        <v>1916</v>
      </c>
      <c r="AH251" t="str">
        <f>VLOOKUP(Таблица1_113[[#This Row],[Марка]],Таблица13[#All],5,0)</f>
        <v>Нет</v>
      </c>
      <c r="AI251" s="12">
        <v>43647</v>
      </c>
      <c r="AJ251">
        <v>55</v>
      </c>
    </row>
    <row r="252" spans="5:36">
      <c r="E252"/>
      <c r="AD252" t="s">
        <v>38</v>
      </c>
      <c r="AE252" t="str">
        <f>VLOOKUP(Таблица1_113[[#This Row],[Марка]],Таблица13[#All],4,0)</f>
        <v>Германия</v>
      </c>
      <c r="AF252" t="str">
        <f>VLOOKUP(Таблица1_113[[#This Row],[Марка]],Таблица13[#All],2,0)</f>
        <v>Luxury</v>
      </c>
      <c r="AG252">
        <f>VLOOKUP(Таблица1_113[[#This Row],[Марка]],Таблица13[#All],3,0)</f>
        <v>1932</v>
      </c>
      <c r="AH252" t="str">
        <f>VLOOKUP(Таблица1_113[[#This Row],[Марка]],Таблица13[#All],5,0)</f>
        <v>Нет</v>
      </c>
      <c r="AI252" s="12">
        <v>43647</v>
      </c>
      <c r="AJ252">
        <v>12</v>
      </c>
    </row>
    <row r="253" spans="5:36">
      <c r="E253"/>
      <c r="AD253" t="s">
        <v>145</v>
      </c>
      <c r="AE253" t="str">
        <f>VLOOKUP(Таблица1_113[[#This Row],[Марка]],Таблица13[#All],4,0)</f>
        <v>Китай</v>
      </c>
      <c r="AF253" t="str">
        <f>VLOOKUP(Таблица1_113[[#This Row],[Марка]],Таблица13[#All],2,0)</f>
        <v>Economy</v>
      </c>
      <c r="AG253">
        <f>VLOOKUP(Таблица1_113[[#This Row],[Марка]],Таблица13[#All],3,0)</f>
        <v>1997</v>
      </c>
      <c r="AH253" t="str">
        <f>VLOOKUP(Таблица1_113[[#This Row],[Марка]],Таблица13[#All],5,0)</f>
        <v>Нет</v>
      </c>
      <c r="AI253" s="12">
        <v>43647</v>
      </c>
      <c r="AJ253">
        <v>164</v>
      </c>
    </row>
    <row r="254" spans="5:36">
      <c r="E254"/>
      <c r="AD254" t="s">
        <v>136</v>
      </c>
      <c r="AE254" t="str">
        <f>VLOOKUP(Таблица1_113[[#This Row],[Марка]],Таблица13[#All],4,0)</f>
        <v>Россия</v>
      </c>
      <c r="AF254" t="str">
        <f>VLOOKUP(Таблица1_113[[#This Row],[Марка]],Таблица13[#All],2,0)</f>
        <v>Economy</v>
      </c>
      <c r="AG254">
        <f>VLOOKUP(Таблица1_113[[#This Row],[Марка]],Таблица13[#All],3,0)</f>
        <v>1941</v>
      </c>
      <c r="AH254" t="str">
        <f>VLOOKUP(Таблица1_113[[#This Row],[Марка]],Таблица13[#All],5,0)</f>
        <v>Нет</v>
      </c>
      <c r="AI254" s="12">
        <v>43678</v>
      </c>
      <c r="AJ254">
        <v>116</v>
      </c>
    </row>
    <row r="255" spans="5:36">
      <c r="E255"/>
      <c r="AD255" t="s">
        <v>135</v>
      </c>
      <c r="AE255" t="str">
        <f>VLOOKUP(Таблица1_113[[#This Row],[Марка]],Таблица13[#All],4,0)</f>
        <v>-</v>
      </c>
      <c r="AF255" t="str">
        <f>VLOOKUP(Таблица1_113[[#This Row],[Марка]],Таблица13[#All],2,0)</f>
        <v>-</v>
      </c>
      <c r="AG255" t="str">
        <f>VLOOKUP(Таблица1_113[[#This Row],[Марка]],Таблица13[#All],3,0)</f>
        <v>-</v>
      </c>
      <c r="AH255" t="str">
        <f>VLOOKUP(Таблица1_113[[#This Row],[Марка]],Таблица13[#All],5,0)</f>
        <v>-</v>
      </c>
      <c r="AI255" s="12">
        <v>43678</v>
      </c>
      <c r="AJ255">
        <v>0</v>
      </c>
    </row>
    <row r="256" spans="5:36">
      <c r="E256"/>
      <c r="AD256" t="s">
        <v>39</v>
      </c>
      <c r="AE256" t="str">
        <f>VLOOKUP(Таблица1_113[[#This Row],[Марка]],Таблица13[#All],4,0)</f>
        <v>Швеция</v>
      </c>
      <c r="AF256" t="str">
        <f>VLOOKUP(Таблица1_113[[#This Row],[Марка]],Таблица13[#All],2,0)</f>
        <v>Business</v>
      </c>
      <c r="AG256">
        <f>VLOOKUP(Таблица1_113[[#This Row],[Марка]],Таблица13[#All],3,0)</f>
        <v>1927</v>
      </c>
      <c r="AH256" t="str">
        <f>VLOOKUP(Таблица1_113[[#This Row],[Марка]],Таблица13[#All],5,0)</f>
        <v>Нет</v>
      </c>
      <c r="AI256" s="12">
        <v>43678</v>
      </c>
      <c r="AJ256">
        <v>14</v>
      </c>
    </row>
    <row r="257" spans="5:36">
      <c r="E257"/>
      <c r="AD257" t="s">
        <v>21</v>
      </c>
      <c r="AE257" t="str">
        <f>VLOOKUP(Таблица1_113[[#This Row],[Марка]],Таблица13[#All],4,0)</f>
        <v>Германия</v>
      </c>
      <c r="AF257" t="str">
        <f>VLOOKUP(Таблица1_113[[#This Row],[Марка]],Таблица13[#All],2,0)</f>
        <v>Business</v>
      </c>
      <c r="AG257">
        <f>VLOOKUP(Таблица1_113[[#This Row],[Марка]],Таблица13[#All],3,0)</f>
        <v>1937</v>
      </c>
      <c r="AH257" t="str">
        <f>VLOOKUP(Таблица1_113[[#This Row],[Марка]],Таблица13[#All],5,0)</f>
        <v>Нет</v>
      </c>
      <c r="AI257" s="12">
        <v>43678</v>
      </c>
      <c r="AJ257">
        <v>172</v>
      </c>
    </row>
    <row r="258" spans="5:36">
      <c r="E258"/>
      <c r="AD258" t="s">
        <v>2</v>
      </c>
      <c r="AE258" t="str">
        <f>VLOOKUP(Таблица1_113[[#This Row],[Марка]],Таблица13[#All],4,0)</f>
        <v>Япония</v>
      </c>
      <c r="AF258" t="str">
        <f>VLOOKUP(Таблица1_113[[#This Row],[Марка]],Таблица13[#All],2,0)</f>
        <v>Business</v>
      </c>
      <c r="AG258">
        <f>VLOOKUP(Таблица1_113[[#This Row],[Марка]],Таблица13[#All],3,0)</f>
        <v>1937</v>
      </c>
      <c r="AH258" t="str">
        <f>VLOOKUP(Таблица1_113[[#This Row],[Марка]],Таблица13[#All],5,0)</f>
        <v>Нет</v>
      </c>
      <c r="AI258" s="12">
        <v>43678</v>
      </c>
      <c r="AJ258">
        <v>1260</v>
      </c>
    </row>
    <row r="259" spans="5:36">
      <c r="E259"/>
      <c r="AD259" t="s">
        <v>125</v>
      </c>
      <c r="AE259" t="str">
        <f>VLOOKUP(Таблица1_113[[#This Row],[Марка]],Таблица13[#All],4,0)</f>
        <v>Япония</v>
      </c>
      <c r="AF259" t="str">
        <f>VLOOKUP(Таблица1_113[[#This Row],[Марка]],Таблица13[#All],2,0)</f>
        <v>Business</v>
      </c>
      <c r="AG259">
        <f>VLOOKUP(Таблица1_113[[#This Row],[Марка]],Таблица13[#All],3,0)</f>
        <v>1953</v>
      </c>
      <c r="AH259" t="str">
        <f>VLOOKUP(Таблица1_113[[#This Row],[Марка]],Таблица13[#All],5,0)</f>
        <v>Нет</v>
      </c>
      <c r="AI259" s="12">
        <v>43678</v>
      </c>
      <c r="AJ259">
        <v>95</v>
      </c>
    </row>
    <row r="260" spans="5:36">
      <c r="E260"/>
      <c r="AD260" t="s">
        <v>141</v>
      </c>
      <c r="AE260" t="str">
        <f>VLOOKUP(Таблица1_113[[#This Row],[Марка]],Таблица13[#All],4,0)</f>
        <v>Чехия</v>
      </c>
      <c r="AF260" t="str">
        <f>VLOOKUP(Таблица1_113[[#This Row],[Марка]],Таблица13[#All],2,0)</f>
        <v>Business</v>
      </c>
      <c r="AG260">
        <f>VLOOKUP(Таблица1_113[[#This Row],[Марка]],Таблица13[#All],3,0)</f>
        <v>1895</v>
      </c>
      <c r="AH260" t="str">
        <f>VLOOKUP(Таблица1_113[[#This Row],[Марка]],Таблица13[#All],5,0)</f>
        <v>Крупноузловая</v>
      </c>
      <c r="AI260" s="12">
        <v>43678</v>
      </c>
      <c r="AJ260">
        <v>82</v>
      </c>
    </row>
    <row r="261" spans="5:36">
      <c r="E261"/>
      <c r="AD261" t="s">
        <v>148</v>
      </c>
      <c r="AE261" t="str">
        <f>VLOOKUP(Таблица1_113[[#This Row],[Марка]],Таблица13[#All],4,0)</f>
        <v>Великобритания</v>
      </c>
      <c r="AF261" t="str">
        <f>VLOOKUP(Таблица1_113[[#This Row],[Марка]],Таблица13[#All],2,0)</f>
        <v>Luxury</v>
      </c>
      <c r="AG261">
        <f>VLOOKUP(Таблица1_113[[#This Row],[Марка]],Таблица13[#All],3,0)</f>
        <v>1904</v>
      </c>
      <c r="AH261" t="str">
        <f>VLOOKUP(Таблица1_113[[#This Row],[Марка]],Таблица13[#All],5,0)</f>
        <v>Нет</v>
      </c>
      <c r="AI261" s="12">
        <v>43678</v>
      </c>
      <c r="AJ261">
        <v>0</v>
      </c>
    </row>
    <row r="262" spans="5:36">
      <c r="E262"/>
      <c r="AD262" t="s">
        <v>23</v>
      </c>
      <c r="AE262" t="str">
        <f>VLOOKUP(Таблица1_113[[#This Row],[Марка]],Таблица13[#All],4,0)</f>
        <v>Франция</v>
      </c>
      <c r="AF262" t="str">
        <f>VLOOKUP(Таблица1_113[[#This Row],[Марка]],Таблица13[#All],2,0)</f>
        <v>Economy</v>
      </c>
      <c r="AG262">
        <f>VLOOKUP(Таблица1_113[[#This Row],[Марка]],Таблица13[#All],3,0)</f>
        <v>1899</v>
      </c>
      <c r="AH262" t="str">
        <f>VLOOKUP(Таблица1_113[[#This Row],[Марка]],Таблица13[#All],5,0)</f>
        <v>Крупноузловая</v>
      </c>
      <c r="AI262" s="12">
        <v>43678</v>
      </c>
      <c r="AJ262">
        <v>248</v>
      </c>
    </row>
    <row r="263" spans="5:36">
      <c r="E263"/>
      <c r="AD263" t="s">
        <v>142</v>
      </c>
      <c r="AE263" t="str">
        <f>VLOOKUP(Таблица1_113[[#This Row],[Марка]],Таблица13[#All],4,0)</f>
        <v>Узбекистан</v>
      </c>
      <c r="AF263" t="str">
        <f>VLOOKUP(Таблица1_113[[#This Row],[Марка]],Таблица13[#All],2,0)</f>
        <v>Economy</v>
      </c>
      <c r="AG263">
        <f>VLOOKUP(Таблица1_113[[#This Row],[Марка]],Таблица13[#All],3,0)</f>
        <v>2015</v>
      </c>
      <c r="AH263" t="str">
        <f>VLOOKUP(Таблица1_113[[#This Row],[Марка]],Таблица13[#All],5,0)</f>
        <v>Крупноузловая</v>
      </c>
      <c r="AI263" s="12">
        <v>43678</v>
      </c>
      <c r="AJ263">
        <v>325</v>
      </c>
    </row>
    <row r="264" spans="5:36">
      <c r="E264"/>
      <c r="AD264" t="s">
        <v>37</v>
      </c>
      <c r="AE264" t="str">
        <f>VLOOKUP(Таблица1_113[[#This Row],[Марка]],Таблица13[#All],4,0)</f>
        <v>Германия</v>
      </c>
      <c r="AF264" t="str">
        <f>VLOOKUP(Таблица1_113[[#This Row],[Марка]],Таблица13[#All],2,0)</f>
        <v>Luxury</v>
      </c>
      <c r="AG264">
        <f>VLOOKUP(Таблица1_113[[#This Row],[Марка]],Таблица13[#All],3,0)</f>
        <v>1931</v>
      </c>
      <c r="AH264" t="str">
        <f>VLOOKUP(Таблица1_113[[#This Row],[Марка]],Таблица13[#All],5,0)</f>
        <v>Нет</v>
      </c>
      <c r="AI264" s="12">
        <v>43678</v>
      </c>
      <c r="AJ264">
        <v>10</v>
      </c>
    </row>
    <row r="265" spans="5:36">
      <c r="E265"/>
      <c r="AD265" t="s">
        <v>146</v>
      </c>
      <c r="AE265" t="str">
        <f>VLOOKUP(Таблица1_113[[#This Row],[Марка]],Таблица13[#All],4,0)</f>
        <v>Франция</v>
      </c>
      <c r="AF265" t="str">
        <f>VLOOKUP(Таблица1_113[[#This Row],[Марка]],Таблица13[#All],2,0)</f>
        <v>Economy</v>
      </c>
      <c r="AG265">
        <f>VLOOKUP(Таблица1_113[[#This Row],[Марка]],Таблица13[#All],3,0)</f>
        <v>1810</v>
      </c>
      <c r="AH265" t="str">
        <f>VLOOKUP(Таблица1_113[[#This Row],[Марка]],Таблица13[#All],5,0)</f>
        <v>Нет</v>
      </c>
      <c r="AI265" s="12">
        <v>43678</v>
      </c>
      <c r="AJ265">
        <v>16</v>
      </c>
    </row>
    <row r="266" spans="5:36">
      <c r="E266"/>
      <c r="AD266" t="s">
        <v>22</v>
      </c>
      <c r="AE266" t="str">
        <f>VLOOKUP(Таблица1_113[[#This Row],[Марка]],Таблица13[#All],4,0)</f>
        <v>Япония</v>
      </c>
      <c r="AF266" t="str">
        <f>VLOOKUP(Таблица1_113[[#This Row],[Марка]],Таблица13[#All],2,0)</f>
        <v>Business</v>
      </c>
      <c r="AG266">
        <f>VLOOKUP(Таблица1_113[[#This Row],[Марка]],Таблица13[#All],3,0)</f>
        <v>1933</v>
      </c>
      <c r="AH266" t="str">
        <f>VLOOKUP(Таблица1_113[[#This Row],[Марка]],Таблица13[#All],5,0)</f>
        <v>Нет</v>
      </c>
      <c r="AI266" s="12">
        <v>43678</v>
      </c>
      <c r="AJ266">
        <v>193</v>
      </c>
    </row>
    <row r="267" spans="5:36">
      <c r="E267"/>
      <c r="AD267" t="s">
        <v>9</v>
      </c>
      <c r="AE267" t="str">
        <f>VLOOKUP(Таблица1_113[[#This Row],[Марка]],Таблица13[#All],4,0)</f>
        <v>Япония</v>
      </c>
      <c r="AF267" t="str">
        <f>VLOOKUP(Таблица1_113[[#This Row],[Марка]],Таблица13[#All],2,0)</f>
        <v>Business</v>
      </c>
      <c r="AG267">
        <f>VLOOKUP(Таблица1_113[[#This Row],[Марка]],Таблица13[#All],3,0)</f>
        <v>1870</v>
      </c>
      <c r="AH267" t="str">
        <f>VLOOKUP(Таблица1_113[[#This Row],[Марка]],Таблица13[#All],5,0)</f>
        <v>Нет</v>
      </c>
      <c r="AI267" s="12">
        <v>43678</v>
      </c>
      <c r="AJ267">
        <v>75</v>
      </c>
    </row>
    <row r="268" spans="5:36">
      <c r="E268"/>
      <c r="AD268" t="s">
        <v>40</v>
      </c>
      <c r="AE268" t="str">
        <f>VLOOKUP(Таблица1_113[[#This Row],[Марка]],Таблица13[#All],4,0)</f>
        <v>Великобритания</v>
      </c>
      <c r="AF268" t="str">
        <f>VLOOKUP(Таблица1_113[[#This Row],[Марка]],Таблица13[#All],2,0)</f>
        <v>Luxury</v>
      </c>
      <c r="AG268">
        <f>VLOOKUP(Таблица1_113[[#This Row],[Марка]],Таблица13[#All],3,0)</f>
        <v>1959</v>
      </c>
      <c r="AH268" t="str">
        <f>VLOOKUP(Таблица1_113[[#This Row],[Марка]],Таблица13[#All],5,0)</f>
        <v>Нет</v>
      </c>
      <c r="AI268" s="12">
        <v>43678</v>
      </c>
      <c r="AJ268">
        <v>8</v>
      </c>
    </row>
    <row r="269" spans="5:36">
      <c r="E269"/>
      <c r="AD269" t="s">
        <v>128</v>
      </c>
      <c r="AE269" t="str">
        <f>VLOOKUP(Таблица1_113[[#This Row],[Марка]],Таблица13[#All],4,0)</f>
        <v>Германия</v>
      </c>
      <c r="AF269" t="str">
        <f>VLOOKUP(Таблица1_113[[#This Row],[Марка]],Таблица13[#All],2,0)</f>
        <v>Luxury</v>
      </c>
      <c r="AG269">
        <f>VLOOKUP(Таблица1_113[[#This Row],[Марка]],Таблица13[#All],3,0)</f>
        <v>1926</v>
      </c>
      <c r="AH269" t="str">
        <f>VLOOKUP(Таблица1_113[[#This Row],[Марка]],Таблица13[#All],5,0)</f>
        <v>Нет</v>
      </c>
      <c r="AI269" s="12">
        <v>43678</v>
      </c>
      <c r="AJ269">
        <v>51</v>
      </c>
    </row>
    <row r="270" spans="5:36">
      <c r="E270"/>
      <c r="AD270" t="s">
        <v>139</v>
      </c>
      <c r="AE270" t="str">
        <f>VLOOKUP(Таблица1_113[[#This Row],[Марка]],Таблица13[#All],4,0)</f>
        <v>Япония</v>
      </c>
      <c r="AF270" t="str">
        <f>VLOOKUP(Таблица1_113[[#This Row],[Марка]],Таблица13[#All],2,0)</f>
        <v>Business</v>
      </c>
      <c r="AG270">
        <f>VLOOKUP(Таблица1_113[[#This Row],[Марка]],Таблица13[#All],3,0)</f>
        <v>1920</v>
      </c>
      <c r="AH270" t="str">
        <f>VLOOKUP(Таблица1_113[[#This Row],[Марка]],Таблица13[#All],5,0)</f>
        <v>Нет</v>
      </c>
      <c r="AI270" s="12">
        <v>43678</v>
      </c>
      <c r="AJ270">
        <v>38</v>
      </c>
    </row>
    <row r="271" spans="5:36">
      <c r="E271"/>
      <c r="AD271" t="s">
        <v>144</v>
      </c>
      <c r="AE271" t="str">
        <f>VLOOKUP(Таблица1_113[[#This Row],[Марка]],Таблица13[#All],4,0)</f>
        <v>Китай</v>
      </c>
      <c r="AF271" t="str">
        <f>VLOOKUP(Таблица1_113[[#This Row],[Марка]],Таблица13[#All],2,0)</f>
        <v>Economy</v>
      </c>
      <c r="AG271">
        <f>VLOOKUP(Таблица1_113[[#This Row],[Марка]],Таблица13[#All],3,0)</f>
        <v>1992</v>
      </c>
      <c r="AH271" t="str">
        <f>VLOOKUP(Таблица1_113[[#This Row],[Марка]],Таблица13[#All],5,0)</f>
        <v>Нет</v>
      </c>
      <c r="AI271" s="12">
        <v>43678</v>
      </c>
      <c r="AJ271">
        <v>30</v>
      </c>
    </row>
    <row r="272" spans="5:36">
      <c r="E272"/>
      <c r="AD272" t="s">
        <v>5</v>
      </c>
      <c r="AE272" t="str">
        <f>VLOOKUP(Таблица1_113[[#This Row],[Марка]],Таблица13[#All],4,0)</f>
        <v>Япония</v>
      </c>
      <c r="AF272" t="str">
        <f>VLOOKUP(Таблица1_113[[#This Row],[Марка]],Таблица13[#All],2,0)</f>
        <v>Luxury</v>
      </c>
      <c r="AG272">
        <f>VLOOKUP(Таблица1_113[[#This Row],[Марка]],Таблица13[#All],3,0)</f>
        <v>1989</v>
      </c>
      <c r="AH272" t="str">
        <f>VLOOKUP(Таблица1_113[[#This Row],[Марка]],Таблица13[#All],5,0)</f>
        <v>Нет</v>
      </c>
      <c r="AI272" s="12">
        <v>43678</v>
      </c>
      <c r="AJ272">
        <v>130</v>
      </c>
    </row>
    <row r="273" spans="5:36">
      <c r="E273"/>
      <c r="AD273" t="s">
        <v>35</v>
      </c>
      <c r="AE273" t="str">
        <f>VLOOKUP(Таблица1_113[[#This Row],[Марка]],Таблица13[#All],4,0)</f>
        <v>Великобритания</v>
      </c>
      <c r="AF273" t="str">
        <f>VLOOKUP(Таблица1_113[[#This Row],[Марка]],Таблица13[#All],2,0)</f>
        <v>Luxury</v>
      </c>
      <c r="AG273">
        <f>VLOOKUP(Таблица1_113[[#This Row],[Марка]],Таблица13[#All],3,0)</f>
        <v>1948</v>
      </c>
      <c r="AH273" t="str">
        <f>VLOOKUP(Таблица1_113[[#This Row],[Марка]],Таблица13[#All],5,0)</f>
        <v>Нет</v>
      </c>
      <c r="AI273" s="12">
        <v>43678</v>
      </c>
      <c r="AJ273">
        <v>24</v>
      </c>
    </row>
    <row r="274" spans="5:36">
      <c r="E274"/>
      <c r="AD274" t="s">
        <v>19</v>
      </c>
      <c r="AE274" t="str">
        <f>VLOOKUP(Таблица1_113[[#This Row],[Марка]],Таблица13[#All],4,0)</f>
        <v>Россия</v>
      </c>
      <c r="AF274" t="str">
        <f>VLOOKUP(Таблица1_113[[#This Row],[Марка]],Таблица13[#All],2,0)</f>
        <v>Economy</v>
      </c>
      <c r="AG274">
        <f>VLOOKUP(Таблица1_113[[#This Row],[Марка]],Таблица13[#All],3,0)</f>
        <v>1970</v>
      </c>
      <c r="AH274" t="str">
        <f>VLOOKUP(Таблица1_113[[#This Row],[Марка]],Таблица13[#All],5,0)</f>
        <v>Крупноузловая</v>
      </c>
      <c r="AI274" s="12">
        <v>43678</v>
      </c>
      <c r="AJ274">
        <v>1376</v>
      </c>
    </row>
    <row r="275" spans="5:36">
      <c r="E275"/>
      <c r="AD275" t="s">
        <v>15</v>
      </c>
      <c r="AE275" t="str">
        <f>VLOOKUP(Таблица1_113[[#This Row],[Марка]],Таблица13[#All],4,0)</f>
        <v>Корея</v>
      </c>
      <c r="AF275" t="str">
        <f>VLOOKUP(Таблица1_113[[#This Row],[Марка]],Таблица13[#All],2,0)</f>
        <v>Economy</v>
      </c>
      <c r="AG275">
        <f>VLOOKUP(Таблица1_113[[#This Row],[Марка]],Таблица13[#All],3,0)</f>
        <v>1944</v>
      </c>
      <c r="AH275" t="str">
        <f>VLOOKUP(Таблица1_113[[#This Row],[Марка]],Таблица13[#All],5,0)</f>
        <v>Крупноузловая</v>
      </c>
      <c r="AI275" s="12">
        <v>43678</v>
      </c>
      <c r="AJ275">
        <v>156</v>
      </c>
    </row>
    <row r="276" spans="5:36">
      <c r="E276"/>
      <c r="AD276" t="s">
        <v>134</v>
      </c>
      <c r="AE276" t="str">
        <f>VLOOKUP(Таблица1_113[[#This Row],[Марка]],Таблица13[#All],4,0)</f>
        <v>Великобритания</v>
      </c>
      <c r="AF276" t="str">
        <f>VLOOKUP(Таблица1_113[[#This Row],[Марка]],Таблица13[#All],2,0)</f>
        <v>Luxury</v>
      </c>
      <c r="AG276">
        <f>VLOOKUP(Таблица1_113[[#This Row],[Марка]],Таблица13[#All],3,0)</f>
        <v>1922</v>
      </c>
      <c r="AH276" t="str">
        <f>VLOOKUP(Таблица1_113[[#This Row],[Марка]],Таблица13[#All],5,0)</f>
        <v>Нет</v>
      </c>
      <c r="AI276" s="12">
        <v>43678</v>
      </c>
      <c r="AJ276">
        <v>17</v>
      </c>
    </row>
    <row r="277" spans="5:36">
      <c r="E277"/>
      <c r="AD277" t="s">
        <v>4</v>
      </c>
      <c r="AE277" t="str">
        <f>VLOOKUP(Таблица1_113[[#This Row],[Марка]],Таблица13[#All],4,0)</f>
        <v>Китай</v>
      </c>
      <c r="AF277" t="str">
        <f>VLOOKUP(Таблица1_113[[#This Row],[Марка]],Таблица13[#All],2,0)</f>
        <v>Economy</v>
      </c>
      <c r="AG277">
        <f>VLOOKUP(Таблица1_113[[#This Row],[Марка]],Таблица13[#All],3,0)</f>
        <v>1964</v>
      </c>
      <c r="AH277" t="str">
        <f>VLOOKUP(Таблица1_113[[#This Row],[Марка]],Таблица13[#All],5,0)</f>
        <v>Крупноузловая</v>
      </c>
      <c r="AI277" s="12">
        <v>43678</v>
      </c>
      <c r="AJ277">
        <v>92</v>
      </c>
    </row>
    <row r="278" spans="5:36">
      <c r="E278"/>
      <c r="AD278" t="s">
        <v>140</v>
      </c>
      <c r="AE278" t="str">
        <f>VLOOKUP(Таблица1_113[[#This Row],[Марка]],Таблица13[#All],4,0)</f>
        <v>Япония</v>
      </c>
      <c r="AF278" t="str">
        <f>VLOOKUP(Таблица1_113[[#This Row],[Марка]],Таблица13[#All],2,0)</f>
        <v>Business</v>
      </c>
      <c r="AG278">
        <f>VLOOKUP(Таблица1_113[[#This Row],[Марка]],Таблица13[#All],3,0)</f>
        <v>1916</v>
      </c>
      <c r="AH278" t="str">
        <f>VLOOKUP(Таблица1_113[[#This Row],[Марка]],Таблица13[#All],5,0)</f>
        <v>Нет</v>
      </c>
      <c r="AI278" s="12">
        <v>43678</v>
      </c>
      <c r="AJ278">
        <v>31</v>
      </c>
    </row>
    <row r="279" spans="5:36">
      <c r="E279"/>
      <c r="AD279" t="s">
        <v>34</v>
      </c>
      <c r="AE279" t="str">
        <f>VLOOKUP(Таблица1_113[[#This Row],[Марка]],Таблица13[#All],4,0)</f>
        <v>Япония</v>
      </c>
      <c r="AF279" t="str">
        <f>VLOOKUP(Таблица1_113[[#This Row],[Марка]],Таблица13[#All],2,0)</f>
        <v>Luxury</v>
      </c>
      <c r="AG279">
        <f>VLOOKUP(Таблица1_113[[#This Row],[Марка]],Таблица13[#All],3,0)</f>
        <v>1989</v>
      </c>
      <c r="AH279" t="str">
        <f>VLOOKUP(Таблица1_113[[#This Row],[Марка]],Таблица13[#All],5,0)</f>
        <v>Нет</v>
      </c>
      <c r="AI279" s="12">
        <v>43678</v>
      </c>
      <c r="AJ279">
        <v>21</v>
      </c>
    </row>
    <row r="280" spans="5:36">
      <c r="E280"/>
      <c r="AD280" t="s">
        <v>0</v>
      </c>
      <c r="AE280" t="str">
        <f>VLOOKUP(Таблица1_113[[#This Row],[Марка]],Таблица13[#All],4,0)</f>
        <v>Корея</v>
      </c>
      <c r="AF280" t="str">
        <f>VLOOKUP(Таблица1_113[[#This Row],[Марка]],Таблица13[#All],2,0)</f>
        <v>Economy</v>
      </c>
      <c r="AG280">
        <f>VLOOKUP(Таблица1_113[[#This Row],[Марка]],Таблица13[#All],3,0)</f>
        <v>1967</v>
      </c>
      <c r="AH280" t="str">
        <f>VLOOKUP(Таблица1_113[[#This Row],[Марка]],Таблица13[#All],5,0)</f>
        <v>Крупноузловая</v>
      </c>
      <c r="AI280" s="12">
        <v>43678</v>
      </c>
      <c r="AJ280">
        <v>1291</v>
      </c>
    </row>
    <row r="281" spans="5:36">
      <c r="E281"/>
      <c r="AD281" t="s">
        <v>133</v>
      </c>
      <c r="AE281" t="str">
        <f>VLOOKUP(Таблица1_113[[#This Row],[Марка]],Таблица13[#All],4,0)</f>
        <v>Китай</v>
      </c>
      <c r="AF281" t="str">
        <f>VLOOKUP(Таблица1_113[[#This Row],[Марка]],Таблица13[#All],2,0)</f>
        <v>Economy</v>
      </c>
      <c r="AG281">
        <f>VLOOKUP(Таблица1_113[[#This Row],[Марка]],Таблица13[#All],3,0)</f>
        <v>1996</v>
      </c>
      <c r="AH281" t="str">
        <f>VLOOKUP(Таблица1_113[[#This Row],[Марка]],Таблица13[#All],5,0)</f>
        <v>Нет</v>
      </c>
      <c r="AI281" s="12">
        <v>43678</v>
      </c>
      <c r="AJ281">
        <v>22</v>
      </c>
    </row>
    <row r="282" spans="5:36">
      <c r="E282"/>
      <c r="AD282" t="s">
        <v>147</v>
      </c>
      <c r="AE282" t="str">
        <f>VLOOKUP(Таблица1_113[[#This Row],[Марка]],Таблица13[#All],4,0)</f>
        <v>США</v>
      </c>
      <c r="AF282" t="str">
        <f>VLOOKUP(Таблица1_113[[#This Row],[Марка]],Таблица13[#All],2,0)</f>
        <v>Economy</v>
      </c>
      <c r="AG282">
        <f>VLOOKUP(Таблица1_113[[#This Row],[Марка]],Таблица13[#All],3,0)</f>
        <v>1903</v>
      </c>
      <c r="AH282" t="str">
        <f>VLOOKUP(Таблица1_113[[#This Row],[Марка]],Таблица13[#All],5,0)</f>
        <v>Нет</v>
      </c>
      <c r="AI282" s="12">
        <v>43678</v>
      </c>
      <c r="AJ282">
        <v>0</v>
      </c>
    </row>
    <row r="283" spans="5:36">
      <c r="E283"/>
      <c r="AD283" t="s">
        <v>130</v>
      </c>
      <c r="AE283" t="str">
        <f>VLOOKUP(Таблица1_113[[#This Row],[Марка]],Таблица13[#All],4,0)</f>
        <v>Китай</v>
      </c>
      <c r="AF283" t="str">
        <f>VLOOKUP(Таблица1_113[[#This Row],[Марка]],Таблица13[#All],2,0)</f>
        <v>Economy</v>
      </c>
      <c r="AG283">
        <f>VLOOKUP(Таблица1_113[[#This Row],[Марка]],Таблица13[#All],3,0)</f>
        <v>1969</v>
      </c>
      <c r="AH283" t="str">
        <f>VLOOKUP(Таблица1_113[[#This Row],[Марка]],Таблица13[#All],5,0)</f>
        <v>Нет</v>
      </c>
      <c r="AI283" s="12">
        <v>43678</v>
      </c>
      <c r="AJ283">
        <v>50</v>
      </c>
    </row>
    <row r="284" spans="5:36">
      <c r="E284"/>
      <c r="AD284" t="s">
        <v>137</v>
      </c>
      <c r="AE284" t="str">
        <f>VLOOKUP(Таблица1_113[[#This Row],[Марка]],Таблица13[#All],4,0)</f>
        <v>Корея</v>
      </c>
      <c r="AF284" t="str">
        <f>VLOOKUP(Таблица1_113[[#This Row],[Марка]],Таблица13[#All],2,0)</f>
        <v>Economy</v>
      </c>
      <c r="AG284">
        <f>VLOOKUP(Таблица1_113[[#This Row],[Марка]],Таблица13[#All],3,0)</f>
        <v>1967</v>
      </c>
      <c r="AH284" t="str">
        <f>VLOOKUP(Таблица1_113[[#This Row],[Марка]],Таблица13[#All],5,0)</f>
        <v>Нет</v>
      </c>
      <c r="AI284" s="12">
        <v>43678</v>
      </c>
      <c r="AJ284">
        <v>0</v>
      </c>
    </row>
    <row r="285" spans="5:36">
      <c r="E285"/>
      <c r="AD285" t="s">
        <v>1</v>
      </c>
      <c r="AE285" t="str">
        <f>VLOOKUP(Таблица1_113[[#This Row],[Марка]],Таблица13[#All],4,0)</f>
        <v>США</v>
      </c>
      <c r="AF285" t="str">
        <f>VLOOKUP(Таблица1_113[[#This Row],[Марка]],Таблица13[#All],2,0)</f>
        <v>Economy</v>
      </c>
      <c r="AG285">
        <f>VLOOKUP(Таблица1_113[[#This Row],[Марка]],Таблица13[#All],3,0)</f>
        <v>1911</v>
      </c>
      <c r="AH285" t="str">
        <f>VLOOKUP(Таблица1_113[[#This Row],[Марка]],Таблица13[#All],5,0)</f>
        <v>Крупноузловая</v>
      </c>
      <c r="AI285" s="12">
        <v>43678</v>
      </c>
      <c r="AJ285">
        <v>64</v>
      </c>
    </row>
    <row r="286" spans="5:36">
      <c r="E286"/>
      <c r="AD286" t="s">
        <v>36</v>
      </c>
      <c r="AE286" t="str">
        <f>VLOOKUP(Таблица1_113[[#This Row],[Марка]],Таблица13[#All],4,0)</f>
        <v>США</v>
      </c>
      <c r="AF286" t="str">
        <f>VLOOKUP(Таблица1_113[[#This Row],[Марка]],Таблица13[#All],2,0)</f>
        <v>Luxury</v>
      </c>
      <c r="AG286">
        <f>VLOOKUP(Таблица1_113[[#This Row],[Марка]],Таблица13[#All],3,0)</f>
        <v>1902</v>
      </c>
      <c r="AH286" t="str">
        <f>VLOOKUP(Таблица1_113[[#This Row],[Марка]],Таблица13[#All],5,0)</f>
        <v>Нет</v>
      </c>
      <c r="AI286" s="12">
        <v>43678</v>
      </c>
      <c r="AJ286">
        <v>14</v>
      </c>
    </row>
    <row r="287" spans="5:36">
      <c r="E287"/>
      <c r="AD287" t="s">
        <v>8</v>
      </c>
      <c r="AE287" t="str">
        <f>VLOOKUP(Таблица1_113[[#This Row],[Марка]],Таблица13[#All],4,0)</f>
        <v>Германия</v>
      </c>
      <c r="AF287" t="str">
        <f>VLOOKUP(Таблица1_113[[#This Row],[Марка]],Таблица13[#All],2,0)</f>
        <v>Luxury</v>
      </c>
      <c r="AG287">
        <f>VLOOKUP(Таблица1_113[[#This Row],[Марка]],Таблица13[#All],3,0)</f>
        <v>1916</v>
      </c>
      <c r="AH287" t="str">
        <f>VLOOKUP(Таблица1_113[[#This Row],[Марка]],Таблица13[#All],5,0)</f>
        <v>Нет</v>
      </c>
      <c r="AI287" s="12">
        <v>43678</v>
      </c>
      <c r="AJ287">
        <v>96</v>
      </c>
    </row>
    <row r="288" spans="5:36">
      <c r="E288"/>
      <c r="AD288" t="s">
        <v>38</v>
      </c>
      <c r="AE288" t="str">
        <f>VLOOKUP(Таблица1_113[[#This Row],[Марка]],Таблица13[#All],4,0)</f>
        <v>Германия</v>
      </c>
      <c r="AF288" t="str">
        <f>VLOOKUP(Таблица1_113[[#This Row],[Марка]],Таблица13[#All],2,0)</f>
        <v>Luxury</v>
      </c>
      <c r="AG288">
        <f>VLOOKUP(Таблица1_113[[#This Row],[Марка]],Таблица13[#All],3,0)</f>
        <v>1932</v>
      </c>
      <c r="AH288" t="str">
        <f>VLOOKUP(Таблица1_113[[#This Row],[Марка]],Таблица13[#All],5,0)</f>
        <v>Нет</v>
      </c>
      <c r="AI288" s="12">
        <v>43678</v>
      </c>
      <c r="AJ288">
        <v>22</v>
      </c>
    </row>
    <row r="289" spans="5:36">
      <c r="E289"/>
      <c r="AD289" t="s">
        <v>145</v>
      </c>
      <c r="AE289" t="str">
        <f>VLOOKUP(Таблица1_113[[#This Row],[Марка]],Таблица13[#All],4,0)</f>
        <v>Китай</v>
      </c>
      <c r="AF289" t="str">
        <f>VLOOKUP(Таблица1_113[[#This Row],[Марка]],Таблица13[#All],2,0)</f>
        <v>Economy</v>
      </c>
      <c r="AG289">
        <f>VLOOKUP(Таблица1_113[[#This Row],[Марка]],Таблица13[#All],3,0)</f>
        <v>1997</v>
      </c>
      <c r="AH289" t="str">
        <f>VLOOKUP(Таблица1_113[[#This Row],[Марка]],Таблица13[#All],5,0)</f>
        <v>Нет</v>
      </c>
      <c r="AI289" s="12">
        <v>43678</v>
      </c>
      <c r="AJ289">
        <v>0</v>
      </c>
    </row>
    <row r="290" spans="5:36">
      <c r="E290"/>
      <c r="AD290" t="s">
        <v>136</v>
      </c>
      <c r="AE290" t="str">
        <f>VLOOKUP(Таблица1_113[[#This Row],[Марка]],Таблица13[#All],4,0)</f>
        <v>Россия</v>
      </c>
      <c r="AF290" t="str">
        <f>VLOOKUP(Таблица1_113[[#This Row],[Марка]],Таблица13[#All],2,0)</f>
        <v>Economy</v>
      </c>
      <c r="AG290">
        <f>VLOOKUP(Таблица1_113[[#This Row],[Марка]],Таблица13[#All],3,0)</f>
        <v>1941</v>
      </c>
      <c r="AH290" t="str">
        <f>VLOOKUP(Таблица1_113[[#This Row],[Марка]],Таблица13[#All],5,0)</f>
        <v>Нет</v>
      </c>
      <c r="AI290" s="12">
        <v>43709</v>
      </c>
      <c r="AJ290">
        <v>143</v>
      </c>
    </row>
    <row r="291" spans="5:36">
      <c r="E291"/>
      <c r="AD291" t="s">
        <v>135</v>
      </c>
      <c r="AE291" t="str">
        <f>VLOOKUP(Таблица1_113[[#This Row],[Марка]],Таблица13[#All],4,0)</f>
        <v>-</v>
      </c>
      <c r="AF291" t="str">
        <f>VLOOKUP(Таблица1_113[[#This Row],[Марка]],Таблица13[#All],2,0)</f>
        <v>-</v>
      </c>
      <c r="AG291" t="str">
        <f>VLOOKUP(Таблица1_113[[#This Row],[Марка]],Таблица13[#All],3,0)</f>
        <v>-</v>
      </c>
      <c r="AH291" t="str">
        <f>VLOOKUP(Таблица1_113[[#This Row],[Марка]],Таблица13[#All],5,0)</f>
        <v>-</v>
      </c>
      <c r="AI291" s="12">
        <v>43709</v>
      </c>
      <c r="AJ291">
        <v>0</v>
      </c>
    </row>
    <row r="292" spans="5:36">
      <c r="E292"/>
      <c r="AD292" t="s">
        <v>39</v>
      </c>
      <c r="AE292" t="str">
        <f>VLOOKUP(Таблица1_113[[#This Row],[Марка]],Таблица13[#All],4,0)</f>
        <v>Швеция</v>
      </c>
      <c r="AF292" t="str">
        <f>VLOOKUP(Таблица1_113[[#This Row],[Марка]],Таблица13[#All],2,0)</f>
        <v>Business</v>
      </c>
      <c r="AG292">
        <f>VLOOKUP(Таблица1_113[[#This Row],[Марка]],Таблица13[#All],3,0)</f>
        <v>1927</v>
      </c>
      <c r="AH292" t="str">
        <f>VLOOKUP(Таблица1_113[[#This Row],[Марка]],Таблица13[#All],5,0)</f>
        <v>Нет</v>
      </c>
      <c r="AI292" s="12">
        <v>43709</v>
      </c>
      <c r="AJ292">
        <v>15</v>
      </c>
    </row>
    <row r="293" spans="5:36">
      <c r="E293"/>
      <c r="AD293" t="s">
        <v>21</v>
      </c>
      <c r="AE293" t="str">
        <f>VLOOKUP(Таблица1_113[[#This Row],[Марка]],Таблица13[#All],4,0)</f>
        <v>Германия</v>
      </c>
      <c r="AF293" t="str">
        <f>VLOOKUP(Таблица1_113[[#This Row],[Марка]],Таблица13[#All],2,0)</f>
        <v>Business</v>
      </c>
      <c r="AG293">
        <f>VLOOKUP(Таблица1_113[[#This Row],[Марка]],Таблица13[#All],3,0)</f>
        <v>1937</v>
      </c>
      <c r="AH293" t="str">
        <f>VLOOKUP(Таблица1_113[[#This Row],[Марка]],Таблица13[#All],5,0)</f>
        <v>Нет</v>
      </c>
      <c r="AI293" s="12">
        <v>43709</v>
      </c>
      <c r="AJ293">
        <v>192</v>
      </c>
    </row>
    <row r="294" spans="5:36">
      <c r="E294"/>
      <c r="AD294" t="s">
        <v>2</v>
      </c>
      <c r="AE294" t="str">
        <f>VLOOKUP(Таблица1_113[[#This Row],[Марка]],Таблица13[#All],4,0)</f>
        <v>Япония</v>
      </c>
      <c r="AF294" t="str">
        <f>VLOOKUP(Таблица1_113[[#This Row],[Марка]],Таблица13[#All],2,0)</f>
        <v>Business</v>
      </c>
      <c r="AG294">
        <f>VLOOKUP(Таблица1_113[[#This Row],[Марка]],Таблица13[#All],3,0)</f>
        <v>1937</v>
      </c>
      <c r="AH294" t="str">
        <f>VLOOKUP(Таблица1_113[[#This Row],[Марка]],Таблица13[#All],5,0)</f>
        <v>Нет</v>
      </c>
      <c r="AI294" s="12">
        <v>43709</v>
      </c>
      <c r="AJ294">
        <v>1212</v>
      </c>
    </row>
    <row r="295" spans="5:36">
      <c r="E295"/>
      <c r="AD295" t="s">
        <v>125</v>
      </c>
      <c r="AE295" t="str">
        <f>VLOOKUP(Таблица1_113[[#This Row],[Марка]],Таблица13[#All],4,0)</f>
        <v>Япония</v>
      </c>
      <c r="AF295" t="str">
        <f>VLOOKUP(Таблица1_113[[#This Row],[Марка]],Таблица13[#All],2,0)</f>
        <v>Business</v>
      </c>
      <c r="AG295">
        <f>VLOOKUP(Таблица1_113[[#This Row],[Марка]],Таблица13[#All],3,0)</f>
        <v>1953</v>
      </c>
      <c r="AH295" t="str">
        <f>VLOOKUP(Таблица1_113[[#This Row],[Марка]],Таблица13[#All],5,0)</f>
        <v>Нет</v>
      </c>
      <c r="AI295" s="12">
        <v>43709</v>
      </c>
      <c r="AJ295">
        <v>68</v>
      </c>
    </row>
    <row r="296" spans="5:36">
      <c r="E296"/>
      <c r="AD296" t="s">
        <v>141</v>
      </c>
      <c r="AE296" t="str">
        <f>VLOOKUP(Таблица1_113[[#This Row],[Марка]],Таблица13[#All],4,0)</f>
        <v>Чехия</v>
      </c>
      <c r="AF296" t="str">
        <f>VLOOKUP(Таблица1_113[[#This Row],[Марка]],Таблица13[#All],2,0)</f>
        <v>Business</v>
      </c>
      <c r="AG296">
        <f>VLOOKUP(Таблица1_113[[#This Row],[Марка]],Таблица13[#All],3,0)</f>
        <v>1895</v>
      </c>
      <c r="AH296" t="str">
        <f>VLOOKUP(Таблица1_113[[#This Row],[Марка]],Таблица13[#All],5,0)</f>
        <v>Крупноузловая</v>
      </c>
      <c r="AI296" s="12">
        <v>43709</v>
      </c>
      <c r="AJ296">
        <v>49</v>
      </c>
    </row>
    <row r="297" spans="5:36">
      <c r="E297"/>
      <c r="AD297" t="s">
        <v>148</v>
      </c>
      <c r="AE297" t="str">
        <f>VLOOKUP(Таблица1_113[[#This Row],[Марка]],Таблица13[#All],4,0)</f>
        <v>Великобритания</v>
      </c>
      <c r="AF297" t="str">
        <f>VLOOKUP(Таблица1_113[[#This Row],[Марка]],Таблица13[#All],2,0)</f>
        <v>Luxury</v>
      </c>
      <c r="AG297">
        <f>VLOOKUP(Таблица1_113[[#This Row],[Марка]],Таблица13[#All],3,0)</f>
        <v>1904</v>
      </c>
      <c r="AH297" t="str">
        <f>VLOOKUP(Таблица1_113[[#This Row],[Марка]],Таблица13[#All],5,0)</f>
        <v>Нет</v>
      </c>
      <c r="AI297" s="12">
        <v>43709</v>
      </c>
      <c r="AJ297">
        <v>0</v>
      </c>
    </row>
    <row r="298" spans="5:36">
      <c r="E298"/>
      <c r="AD298" t="s">
        <v>23</v>
      </c>
      <c r="AE298" t="str">
        <f>VLOOKUP(Таблица1_113[[#This Row],[Марка]],Таблица13[#All],4,0)</f>
        <v>Франция</v>
      </c>
      <c r="AF298" t="str">
        <f>VLOOKUP(Таблица1_113[[#This Row],[Марка]],Таблица13[#All],2,0)</f>
        <v>Economy</v>
      </c>
      <c r="AG298">
        <f>VLOOKUP(Таблица1_113[[#This Row],[Марка]],Таблица13[#All],3,0)</f>
        <v>1899</v>
      </c>
      <c r="AH298" t="str">
        <f>VLOOKUP(Таблица1_113[[#This Row],[Марка]],Таблица13[#All],5,0)</f>
        <v>Крупноузловая</v>
      </c>
      <c r="AI298" s="12">
        <v>43709</v>
      </c>
      <c r="AJ298">
        <v>279</v>
      </c>
    </row>
    <row r="299" spans="5:36">
      <c r="E299"/>
      <c r="AD299" t="s">
        <v>142</v>
      </c>
      <c r="AE299" t="str">
        <f>VLOOKUP(Таблица1_113[[#This Row],[Марка]],Таблица13[#All],4,0)</f>
        <v>Узбекистан</v>
      </c>
      <c r="AF299" t="str">
        <f>VLOOKUP(Таблица1_113[[#This Row],[Марка]],Таблица13[#All],2,0)</f>
        <v>Economy</v>
      </c>
      <c r="AG299">
        <f>VLOOKUP(Таблица1_113[[#This Row],[Марка]],Таблица13[#All],3,0)</f>
        <v>2015</v>
      </c>
      <c r="AH299" t="str">
        <f>VLOOKUP(Таблица1_113[[#This Row],[Марка]],Таблица13[#All],5,0)</f>
        <v>Крупноузловая</v>
      </c>
      <c r="AI299" s="12">
        <v>43709</v>
      </c>
      <c r="AJ299">
        <v>563</v>
      </c>
    </row>
    <row r="300" spans="5:36">
      <c r="E300"/>
      <c r="AD300" t="s">
        <v>37</v>
      </c>
      <c r="AE300" t="str">
        <f>VLOOKUP(Таблица1_113[[#This Row],[Марка]],Таблица13[#All],4,0)</f>
        <v>Германия</v>
      </c>
      <c r="AF300" t="str">
        <f>VLOOKUP(Таблица1_113[[#This Row],[Марка]],Таблица13[#All],2,0)</f>
        <v>Luxury</v>
      </c>
      <c r="AG300">
        <f>VLOOKUP(Таблица1_113[[#This Row],[Марка]],Таблица13[#All],3,0)</f>
        <v>1931</v>
      </c>
      <c r="AH300" t="str">
        <f>VLOOKUP(Таблица1_113[[#This Row],[Марка]],Таблица13[#All],5,0)</f>
        <v>Нет</v>
      </c>
      <c r="AI300" s="12">
        <v>43709</v>
      </c>
      <c r="AJ300">
        <v>6</v>
      </c>
    </row>
    <row r="301" spans="5:36">
      <c r="E301"/>
      <c r="AD301" t="s">
        <v>146</v>
      </c>
      <c r="AE301" t="str">
        <f>VLOOKUP(Таблица1_113[[#This Row],[Марка]],Таблица13[#All],4,0)</f>
        <v>Франция</v>
      </c>
      <c r="AF301" t="str">
        <f>VLOOKUP(Таблица1_113[[#This Row],[Марка]],Таблица13[#All],2,0)</f>
        <v>Economy</v>
      </c>
      <c r="AG301">
        <f>VLOOKUP(Таблица1_113[[#This Row],[Марка]],Таблица13[#All],3,0)</f>
        <v>1810</v>
      </c>
      <c r="AH301" t="str">
        <f>VLOOKUP(Таблица1_113[[#This Row],[Марка]],Таблица13[#All],5,0)</f>
        <v>Нет</v>
      </c>
      <c r="AI301" s="12">
        <v>43709</v>
      </c>
      <c r="AJ301">
        <v>0</v>
      </c>
    </row>
    <row r="302" spans="5:36">
      <c r="E302"/>
      <c r="AD302" t="s">
        <v>22</v>
      </c>
      <c r="AE302" t="str">
        <f>VLOOKUP(Таблица1_113[[#This Row],[Марка]],Таблица13[#All],4,0)</f>
        <v>Япония</v>
      </c>
      <c r="AF302" t="str">
        <f>VLOOKUP(Таблица1_113[[#This Row],[Марка]],Таблица13[#All],2,0)</f>
        <v>Business</v>
      </c>
      <c r="AG302">
        <f>VLOOKUP(Таблица1_113[[#This Row],[Марка]],Таблица13[#All],3,0)</f>
        <v>1933</v>
      </c>
      <c r="AH302" t="str">
        <f>VLOOKUP(Таблица1_113[[#This Row],[Марка]],Таблица13[#All],5,0)</f>
        <v>Нет</v>
      </c>
      <c r="AI302" s="12">
        <v>43709</v>
      </c>
      <c r="AJ302">
        <v>244</v>
      </c>
    </row>
    <row r="303" spans="5:36">
      <c r="E303"/>
      <c r="AD303" t="s">
        <v>9</v>
      </c>
      <c r="AE303" t="str">
        <f>VLOOKUP(Таблица1_113[[#This Row],[Марка]],Таблица13[#All],4,0)</f>
        <v>Япония</v>
      </c>
      <c r="AF303" t="str">
        <f>VLOOKUP(Таблица1_113[[#This Row],[Марка]],Таблица13[#All],2,0)</f>
        <v>Business</v>
      </c>
      <c r="AG303">
        <f>VLOOKUP(Таблица1_113[[#This Row],[Марка]],Таблица13[#All],3,0)</f>
        <v>1870</v>
      </c>
      <c r="AH303" t="str">
        <f>VLOOKUP(Таблица1_113[[#This Row],[Марка]],Таблица13[#All],5,0)</f>
        <v>Нет</v>
      </c>
      <c r="AI303" s="12">
        <v>43709</v>
      </c>
      <c r="AJ303">
        <v>59</v>
      </c>
    </row>
    <row r="304" spans="5:36">
      <c r="E304"/>
      <c r="AD304" t="s">
        <v>40</v>
      </c>
      <c r="AE304" t="str">
        <f>VLOOKUP(Таблица1_113[[#This Row],[Марка]],Таблица13[#All],4,0)</f>
        <v>Великобритания</v>
      </c>
      <c r="AF304" t="str">
        <f>VLOOKUP(Таблица1_113[[#This Row],[Марка]],Таблица13[#All],2,0)</f>
        <v>Luxury</v>
      </c>
      <c r="AG304">
        <f>VLOOKUP(Таблица1_113[[#This Row],[Марка]],Таблица13[#All],3,0)</f>
        <v>1959</v>
      </c>
      <c r="AH304" t="str">
        <f>VLOOKUP(Таблица1_113[[#This Row],[Марка]],Таблица13[#All],5,0)</f>
        <v>Нет</v>
      </c>
      <c r="AI304" s="12">
        <v>43709</v>
      </c>
      <c r="AJ304">
        <v>2</v>
      </c>
    </row>
    <row r="305" spans="5:36">
      <c r="E305"/>
      <c r="AD305" t="s">
        <v>128</v>
      </c>
      <c r="AE305" t="str">
        <f>VLOOKUP(Таблица1_113[[#This Row],[Марка]],Таблица13[#All],4,0)</f>
        <v>Германия</v>
      </c>
      <c r="AF305" t="str">
        <f>VLOOKUP(Таблица1_113[[#This Row],[Марка]],Таблица13[#All],2,0)</f>
        <v>Luxury</v>
      </c>
      <c r="AG305">
        <f>VLOOKUP(Таблица1_113[[#This Row],[Марка]],Таблица13[#All],3,0)</f>
        <v>1926</v>
      </c>
      <c r="AH305" t="str">
        <f>VLOOKUP(Таблица1_113[[#This Row],[Марка]],Таблица13[#All],5,0)</f>
        <v>Нет</v>
      </c>
      <c r="AI305" s="12">
        <v>43709</v>
      </c>
      <c r="AJ305">
        <v>41</v>
      </c>
    </row>
    <row r="306" spans="5:36">
      <c r="E306"/>
      <c r="AD306" t="s">
        <v>139</v>
      </c>
      <c r="AE306" t="str">
        <f>VLOOKUP(Таблица1_113[[#This Row],[Марка]],Таблица13[#All],4,0)</f>
        <v>Япония</v>
      </c>
      <c r="AF306" t="str">
        <f>VLOOKUP(Таблица1_113[[#This Row],[Марка]],Таблица13[#All],2,0)</f>
        <v>Business</v>
      </c>
      <c r="AG306">
        <f>VLOOKUP(Таблица1_113[[#This Row],[Марка]],Таблица13[#All],3,0)</f>
        <v>1920</v>
      </c>
      <c r="AH306" t="str">
        <f>VLOOKUP(Таблица1_113[[#This Row],[Марка]],Таблица13[#All],5,0)</f>
        <v>Нет</v>
      </c>
      <c r="AI306" s="12">
        <v>43709</v>
      </c>
      <c r="AJ306">
        <v>46</v>
      </c>
    </row>
    <row r="307" spans="5:36">
      <c r="E307"/>
      <c r="AD307" t="s">
        <v>144</v>
      </c>
      <c r="AE307" t="str">
        <f>VLOOKUP(Таблица1_113[[#This Row],[Марка]],Таблица13[#All],4,0)</f>
        <v>Китай</v>
      </c>
      <c r="AF307" t="str">
        <f>VLOOKUP(Таблица1_113[[#This Row],[Марка]],Таблица13[#All],2,0)</f>
        <v>Economy</v>
      </c>
      <c r="AG307">
        <f>VLOOKUP(Таблица1_113[[#This Row],[Марка]],Таблица13[#All],3,0)</f>
        <v>1992</v>
      </c>
      <c r="AH307" t="str">
        <f>VLOOKUP(Таблица1_113[[#This Row],[Марка]],Таблица13[#All],5,0)</f>
        <v>Нет</v>
      </c>
      <c r="AI307" s="12">
        <v>43709</v>
      </c>
      <c r="AJ307">
        <v>0</v>
      </c>
    </row>
    <row r="308" spans="5:36">
      <c r="E308"/>
      <c r="AD308" t="s">
        <v>5</v>
      </c>
      <c r="AE308" t="str">
        <f>VLOOKUP(Таблица1_113[[#This Row],[Марка]],Таблица13[#All],4,0)</f>
        <v>Япония</v>
      </c>
      <c r="AF308" t="str">
        <f>VLOOKUP(Таблица1_113[[#This Row],[Марка]],Таблица13[#All],2,0)</f>
        <v>Luxury</v>
      </c>
      <c r="AG308">
        <f>VLOOKUP(Таблица1_113[[#This Row],[Марка]],Таблица13[#All],3,0)</f>
        <v>1989</v>
      </c>
      <c r="AH308" t="str">
        <f>VLOOKUP(Таблица1_113[[#This Row],[Марка]],Таблица13[#All],5,0)</f>
        <v>Нет</v>
      </c>
      <c r="AI308" s="12">
        <v>43709</v>
      </c>
      <c r="AJ308">
        <v>143</v>
      </c>
    </row>
    <row r="309" spans="5:36">
      <c r="E309"/>
      <c r="AD309" t="s">
        <v>35</v>
      </c>
      <c r="AE309" t="str">
        <f>VLOOKUP(Таблица1_113[[#This Row],[Марка]],Таблица13[#All],4,0)</f>
        <v>Великобритания</v>
      </c>
      <c r="AF309" t="str">
        <f>VLOOKUP(Таблица1_113[[#This Row],[Марка]],Таблица13[#All],2,0)</f>
        <v>Luxury</v>
      </c>
      <c r="AG309">
        <f>VLOOKUP(Таблица1_113[[#This Row],[Марка]],Таблица13[#All],3,0)</f>
        <v>1948</v>
      </c>
      <c r="AH309" t="str">
        <f>VLOOKUP(Таблица1_113[[#This Row],[Марка]],Таблица13[#All],5,0)</f>
        <v>Нет</v>
      </c>
      <c r="AI309" s="12">
        <v>43709</v>
      </c>
      <c r="AJ309">
        <v>12</v>
      </c>
    </row>
    <row r="310" spans="5:36">
      <c r="E310"/>
      <c r="AD310" t="s">
        <v>19</v>
      </c>
      <c r="AE310" t="str">
        <f>VLOOKUP(Таблица1_113[[#This Row],[Марка]],Таблица13[#All],4,0)</f>
        <v>Россия</v>
      </c>
      <c r="AF310" t="str">
        <f>VLOOKUP(Таблица1_113[[#This Row],[Марка]],Таблица13[#All],2,0)</f>
        <v>Economy</v>
      </c>
      <c r="AG310">
        <f>VLOOKUP(Таблица1_113[[#This Row],[Марка]],Таблица13[#All],3,0)</f>
        <v>1970</v>
      </c>
      <c r="AH310" t="str">
        <f>VLOOKUP(Таблица1_113[[#This Row],[Марка]],Таблица13[#All],5,0)</f>
        <v>Крупноузловая</v>
      </c>
      <c r="AI310" s="12">
        <v>43709</v>
      </c>
      <c r="AJ310">
        <v>961</v>
      </c>
    </row>
    <row r="311" spans="5:36">
      <c r="E311"/>
      <c r="AD311" t="s">
        <v>15</v>
      </c>
      <c r="AE311" t="str">
        <f>VLOOKUP(Таблица1_113[[#This Row],[Марка]],Таблица13[#All],4,0)</f>
        <v>Корея</v>
      </c>
      <c r="AF311" t="str">
        <f>VLOOKUP(Таблица1_113[[#This Row],[Марка]],Таблица13[#All],2,0)</f>
        <v>Economy</v>
      </c>
      <c r="AG311">
        <f>VLOOKUP(Таблица1_113[[#This Row],[Марка]],Таблица13[#All],3,0)</f>
        <v>1944</v>
      </c>
      <c r="AH311" t="str">
        <f>VLOOKUP(Таблица1_113[[#This Row],[Марка]],Таблица13[#All],5,0)</f>
        <v>Крупноузловая</v>
      </c>
      <c r="AI311" s="12">
        <v>43709</v>
      </c>
      <c r="AJ311">
        <v>194</v>
      </c>
    </row>
    <row r="312" spans="5:36">
      <c r="E312"/>
      <c r="AD312" t="s">
        <v>134</v>
      </c>
      <c r="AE312" t="str">
        <f>VLOOKUP(Таблица1_113[[#This Row],[Марка]],Таблица13[#All],4,0)</f>
        <v>Великобритания</v>
      </c>
      <c r="AF312" t="str">
        <f>VLOOKUP(Таблица1_113[[#This Row],[Марка]],Таблица13[#All],2,0)</f>
        <v>Luxury</v>
      </c>
      <c r="AG312">
        <f>VLOOKUP(Таблица1_113[[#This Row],[Марка]],Таблица13[#All],3,0)</f>
        <v>1922</v>
      </c>
      <c r="AH312" t="str">
        <f>VLOOKUP(Таблица1_113[[#This Row],[Марка]],Таблица13[#All],5,0)</f>
        <v>Нет</v>
      </c>
      <c r="AI312" s="12">
        <v>43709</v>
      </c>
      <c r="AJ312">
        <v>23</v>
      </c>
    </row>
    <row r="313" spans="5:36">
      <c r="E313"/>
      <c r="AD313" t="s">
        <v>4</v>
      </c>
      <c r="AE313" t="str">
        <f>VLOOKUP(Таблица1_113[[#This Row],[Марка]],Таблица13[#All],4,0)</f>
        <v>Китай</v>
      </c>
      <c r="AF313" t="str">
        <f>VLOOKUP(Таблица1_113[[#This Row],[Марка]],Таблица13[#All],2,0)</f>
        <v>Economy</v>
      </c>
      <c r="AG313">
        <f>VLOOKUP(Таблица1_113[[#This Row],[Марка]],Таблица13[#All],3,0)</f>
        <v>1964</v>
      </c>
      <c r="AH313" t="str">
        <f>VLOOKUP(Таблица1_113[[#This Row],[Марка]],Таблица13[#All],5,0)</f>
        <v>Крупноузловая</v>
      </c>
      <c r="AI313" s="12">
        <v>43709</v>
      </c>
      <c r="AJ313">
        <v>89</v>
      </c>
    </row>
    <row r="314" spans="5:36">
      <c r="E314"/>
      <c r="AD314" t="s">
        <v>140</v>
      </c>
      <c r="AE314" t="str">
        <f>VLOOKUP(Таблица1_113[[#This Row],[Марка]],Таблица13[#All],4,0)</f>
        <v>Япония</v>
      </c>
      <c r="AF314" t="str">
        <f>VLOOKUP(Таблица1_113[[#This Row],[Марка]],Таблица13[#All],2,0)</f>
        <v>Business</v>
      </c>
      <c r="AG314">
        <f>VLOOKUP(Таблица1_113[[#This Row],[Марка]],Таблица13[#All],3,0)</f>
        <v>1916</v>
      </c>
      <c r="AH314" t="str">
        <f>VLOOKUP(Таблица1_113[[#This Row],[Марка]],Таблица13[#All],5,0)</f>
        <v>Нет</v>
      </c>
      <c r="AI314" s="12">
        <v>43709</v>
      </c>
      <c r="AJ314">
        <v>35</v>
      </c>
    </row>
    <row r="315" spans="5:36">
      <c r="E315"/>
      <c r="AD315" t="s">
        <v>34</v>
      </c>
      <c r="AE315" t="str">
        <f>VLOOKUP(Таблица1_113[[#This Row],[Марка]],Таблица13[#All],4,0)</f>
        <v>Япония</v>
      </c>
      <c r="AF315" t="str">
        <f>VLOOKUP(Таблица1_113[[#This Row],[Марка]],Таблица13[#All],2,0)</f>
        <v>Luxury</v>
      </c>
      <c r="AG315">
        <f>VLOOKUP(Таблица1_113[[#This Row],[Марка]],Таблица13[#All],3,0)</f>
        <v>1989</v>
      </c>
      <c r="AH315" t="str">
        <f>VLOOKUP(Таблица1_113[[#This Row],[Марка]],Таблица13[#All],5,0)</f>
        <v>Нет</v>
      </c>
      <c r="AI315" s="12">
        <v>43709</v>
      </c>
      <c r="AJ315">
        <v>15</v>
      </c>
    </row>
    <row r="316" spans="5:36">
      <c r="E316"/>
      <c r="AD316" t="s">
        <v>0</v>
      </c>
      <c r="AE316" t="str">
        <f>VLOOKUP(Таблица1_113[[#This Row],[Марка]],Таблица13[#All],4,0)</f>
        <v>Корея</v>
      </c>
      <c r="AF316" t="str">
        <f>VLOOKUP(Таблица1_113[[#This Row],[Марка]],Таблица13[#All],2,0)</f>
        <v>Economy</v>
      </c>
      <c r="AG316">
        <f>VLOOKUP(Таблица1_113[[#This Row],[Марка]],Таблица13[#All],3,0)</f>
        <v>1967</v>
      </c>
      <c r="AH316" t="str">
        <f>VLOOKUP(Таблица1_113[[#This Row],[Марка]],Таблица13[#All],5,0)</f>
        <v>Крупноузловая</v>
      </c>
      <c r="AI316" s="12">
        <v>43709</v>
      </c>
      <c r="AJ316">
        <v>1392</v>
      </c>
    </row>
    <row r="317" spans="5:36">
      <c r="E317"/>
      <c r="AD317" t="s">
        <v>133</v>
      </c>
      <c r="AE317" t="str">
        <f>VLOOKUP(Таблица1_113[[#This Row],[Марка]],Таблица13[#All],4,0)</f>
        <v>Китай</v>
      </c>
      <c r="AF317" t="str">
        <f>VLOOKUP(Таблица1_113[[#This Row],[Марка]],Таблица13[#All],2,0)</f>
        <v>Economy</v>
      </c>
      <c r="AG317">
        <f>VLOOKUP(Таблица1_113[[#This Row],[Марка]],Таблица13[#All],3,0)</f>
        <v>1996</v>
      </c>
      <c r="AH317" t="str">
        <f>VLOOKUP(Таблица1_113[[#This Row],[Марка]],Таблица13[#All],5,0)</f>
        <v>Нет</v>
      </c>
      <c r="AI317" s="12">
        <v>43709</v>
      </c>
      <c r="AJ317">
        <v>8</v>
      </c>
    </row>
    <row r="318" spans="5:36">
      <c r="E318"/>
      <c r="AD318" t="s">
        <v>147</v>
      </c>
      <c r="AE318" t="str">
        <f>VLOOKUP(Таблица1_113[[#This Row],[Марка]],Таблица13[#All],4,0)</f>
        <v>США</v>
      </c>
      <c r="AF318" t="str">
        <f>VLOOKUP(Таблица1_113[[#This Row],[Марка]],Таблица13[#All],2,0)</f>
        <v>Economy</v>
      </c>
      <c r="AG318">
        <f>VLOOKUP(Таблица1_113[[#This Row],[Марка]],Таблица13[#All],3,0)</f>
        <v>1903</v>
      </c>
      <c r="AH318" t="str">
        <f>VLOOKUP(Таблица1_113[[#This Row],[Марка]],Таблица13[#All],5,0)</f>
        <v>Нет</v>
      </c>
      <c r="AI318" s="12">
        <v>43709</v>
      </c>
      <c r="AJ318">
        <v>9</v>
      </c>
    </row>
    <row r="319" spans="5:36">
      <c r="E319"/>
      <c r="AD319" t="s">
        <v>130</v>
      </c>
      <c r="AE319" t="str">
        <f>VLOOKUP(Таблица1_113[[#This Row],[Марка]],Таблица13[#All],4,0)</f>
        <v>Китай</v>
      </c>
      <c r="AF319" t="str">
        <f>VLOOKUP(Таблица1_113[[#This Row],[Марка]],Таблица13[#All],2,0)</f>
        <v>Economy</v>
      </c>
      <c r="AG319">
        <f>VLOOKUP(Таблица1_113[[#This Row],[Марка]],Таблица13[#All],3,0)</f>
        <v>1969</v>
      </c>
      <c r="AH319" t="str">
        <f>VLOOKUP(Таблица1_113[[#This Row],[Марка]],Таблица13[#All],5,0)</f>
        <v>Нет</v>
      </c>
      <c r="AI319" s="12">
        <v>43709</v>
      </c>
      <c r="AJ319">
        <v>0</v>
      </c>
    </row>
    <row r="320" spans="5:36">
      <c r="E320"/>
      <c r="AD320" t="s">
        <v>137</v>
      </c>
      <c r="AE320" t="str">
        <f>VLOOKUP(Таблица1_113[[#This Row],[Марка]],Таблица13[#All],4,0)</f>
        <v>Корея</v>
      </c>
      <c r="AF320" t="str">
        <f>VLOOKUP(Таблица1_113[[#This Row],[Марка]],Таблица13[#All],2,0)</f>
        <v>Economy</v>
      </c>
      <c r="AG320">
        <f>VLOOKUP(Таблица1_113[[#This Row],[Марка]],Таблица13[#All],3,0)</f>
        <v>1967</v>
      </c>
      <c r="AH320" t="str">
        <f>VLOOKUP(Таблица1_113[[#This Row],[Марка]],Таблица13[#All],5,0)</f>
        <v>Нет</v>
      </c>
      <c r="AI320" s="12">
        <v>43709</v>
      </c>
      <c r="AJ320">
        <v>5</v>
      </c>
    </row>
    <row r="321" spans="5:36">
      <c r="E321"/>
      <c r="AD321" t="s">
        <v>1</v>
      </c>
      <c r="AE321" t="str">
        <f>VLOOKUP(Таблица1_113[[#This Row],[Марка]],Таблица13[#All],4,0)</f>
        <v>США</v>
      </c>
      <c r="AF321" t="str">
        <f>VLOOKUP(Таблица1_113[[#This Row],[Марка]],Таблица13[#All],2,0)</f>
        <v>Economy</v>
      </c>
      <c r="AG321">
        <f>VLOOKUP(Таблица1_113[[#This Row],[Марка]],Таблица13[#All],3,0)</f>
        <v>1911</v>
      </c>
      <c r="AH321" t="str">
        <f>VLOOKUP(Таблица1_113[[#This Row],[Марка]],Таблица13[#All],5,0)</f>
        <v>Крупноузловая</v>
      </c>
      <c r="AI321" s="12">
        <v>43709</v>
      </c>
      <c r="AJ321">
        <v>71</v>
      </c>
    </row>
    <row r="322" spans="5:36">
      <c r="E322"/>
      <c r="AD322" t="s">
        <v>36</v>
      </c>
      <c r="AE322" t="str">
        <f>VLOOKUP(Таблица1_113[[#This Row],[Марка]],Таблица13[#All],4,0)</f>
        <v>США</v>
      </c>
      <c r="AF322" t="str">
        <f>VLOOKUP(Таблица1_113[[#This Row],[Марка]],Таблица13[#All],2,0)</f>
        <v>Luxury</v>
      </c>
      <c r="AG322">
        <f>VLOOKUP(Таблица1_113[[#This Row],[Марка]],Таблица13[#All],3,0)</f>
        <v>1902</v>
      </c>
      <c r="AH322" t="str">
        <f>VLOOKUP(Таблица1_113[[#This Row],[Марка]],Таблица13[#All],5,0)</f>
        <v>Нет</v>
      </c>
      <c r="AI322" s="12">
        <v>43709</v>
      </c>
      <c r="AJ322">
        <v>13</v>
      </c>
    </row>
    <row r="323" spans="5:36">
      <c r="E323"/>
      <c r="AD323" t="s">
        <v>8</v>
      </c>
      <c r="AE323" t="str">
        <f>VLOOKUP(Таблица1_113[[#This Row],[Марка]],Таблица13[#All],4,0)</f>
        <v>Германия</v>
      </c>
      <c r="AF323" t="str">
        <f>VLOOKUP(Таблица1_113[[#This Row],[Марка]],Таблица13[#All],2,0)</f>
        <v>Luxury</v>
      </c>
      <c r="AG323">
        <f>VLOOKUP(Таблица1_113[[#This Row],[Марка]],Таблица13[#All],3,0)</f>
        <v>1916</v>
      </c>
      <c r="AH323" t="str">
        <f>VLOOKUP(Таблица1_113[[#This Row],[Марка]],Таблица13[#All],5,0)</f>
        <v>Нет</v>
      </c>
      <c r="AI323" s="12">
        <v>43709</v>
      </c>
      <c r="AJ323">
        <v>60</v>
      </c>
    </row>
    <row r="324" spans="5:36">
      <c r="E324"/>
      <c r="AD324" t="s">
        <v>38</v>
      </c>
      <c r="AE324" t="str">
        <f>VLOOKUP(Таблица1_113[[#This Row],[Марка]],Таблица13[#All],4,0)</f>
        <v>Германия</v>
      </c>
      <c r="AF324" t="str">
        <f>VLOOKUP(Таблица1_113[[#This Row],[Марка]],Таблица13[#All],2,0)</f>
        <v>Luxury</v>
      </c>
      <c r="AG324">
        <f>VLOOKUP(Таблица1_113[[#This Row],[Марка]],Таблица13[#All],3,0)</f>
        <v>1932</v>
      </c>
      <c r="AH324" t="str">
        <f>VLOOKUP(Таблица1_113[[#This Row],[Марка]],Таблица13[#All],5,0)</f>
        <v>Нет</v>
      </c>
      <c r="AI324" s="12">
        <v>43709</v>
      </c>
      <c r="AJ324">
        <v>13</v>
      </c>
    </row>
    <row r="325" spans="5:36">
      <c r="E325"/>
      <c r="AD325" t="s">
        <v>145</v>
      </c>
      <c r="AE325" t="str">
        <f>VLOOKUP(Таблица1_113[[#This Row],[Марка]],Таблица13[#All],4,0)</f>
        <v>Китай</v>
      </c>
      <c r="AF325" t="str">
        <f>VLOOKUP(Таблица1_113[[#This Row],[Марка]],Таблица13[#All],2,0)</f>
        <v>Economy</v>
      </c>
      <c r="AG325">
        <f>VLOOKUP(Таблица1_113[[#This Row],[Марка]],Таблица13[#All],3,0)</f>
        <v>1997</v>
      </c>
      <c r="AH325" t="str">
        <f>VLOOKUP(Таблица1_113[[#This Row],[Марка]],Таблица13[#All],5,0)</f>
        <v>Нет</v>
      </c>
      <c r="AI325" s="12">
        <v>43709</v>
      </c>
      <c r="AJ325">
        <v>24</v>
      </c>
    </row>
    <row r="326" spans="5:36">
      <c r="E326"/>
      <c r="AD326" t="s">
        <v>136</v>
      </c>
      <c r="AE326" t="str">
        <f>VLOOKUP(Таблица1_113[[#This Row],[Марка]],Таблица13[#All],4,0)</f>
        <v>Россия</v>
      </c>
      <c r="AF326" t="str">
        <f>VLOOKUP(Таблица1_113[[#This Row],[Марка]],Таблица13[#All],2,0)</f>
        <v>Economy</v>
      </c>
      <c r="AG326">
        <f>VLOOKUP(Таблица1_113[[#This Row],[Марка]],Таблица13[#All],3,0)</f>
        <v>1941</v>
      </c>
      <c r="AH326" t="str">
        <f>VLOOKUP(Таблица1_113[[#This Row],[Марка]],Таблица13[#All],5,0)</f>
        <v>Нет</v>
      </c>
      <c r="AI326" s="12">
        <v>43739</v>
      </c>
      <c r="AJ326">
        <v>136</v>
      </c>
    </row>
    <row r="327" spans="5:36">
      <c r="E327"/>
      <c r="AD327" t="s">
        <v>135</v>
      </c>
      <c r="AE327" t="str">
        <f>VLOOKUP(Таблица1_113[[#This Row],[Марка]],Таблица13[#All],4,0)</f>
        <v>-</v>
      </c>
      <c r="AF327" t="str">
        <f>VLOOKUP(Таблица1_113[[#This Row],[Марка]],Таблица13[#All],2,0)</f>
        <v>-</v>
      </c>
      <c r="AG327" t="str">
        <f>VLOOKUP(Таблица1_113[[#This Row],[Марка]],Таблица13[#All],3,0)</f>
        <v>-</v>
      </c>
      <c r="AH327" t="str">
        <f>VLOOKUP(Таблица1_113[[#This Row],[Марка]],Таблица13[#All],5,0)</f>
        <v>-</v>
      </c>
      <c r="AI327" s="12">
        <v>43739</v>
      </c>
      <c r="AJ327">
        <v>0</v>
      </c>
    </row>
    <row r="328" spans="5:36">
      <c r="E328"/>
      <c r="AD328" t="s">
        <v>39</v>
      </c>
      <c r="AE328" t="str">
        <f>VLOOKUP(Таблица1_113[[#This Row],[Марка]],Таблица13[#All],4,0)</f>
        <v>Швеция</v>
      </c>
      <c r="AF328" t="str">
        <f>VLOOKUP(Таблица1_113[[#This Row],[Марка]],Таблица13[#All],2,0)</f>
        <v>Business</v>
      </c>
      <c r="AG328">
        <f>VLOOKUP(Таблица1_113[[#This Row],[Марка]],Таблица13[#All],3,0)</f>
        <v>1927</v>
      </c>
      <c r="AH328" t="str">
        <f>VLOOKUP(Таблица1_113[[#This Row],[Марка]],Таблица13[#All],5,0)</f>
        <v>Нет</v>
      </c>
      <c r="AI328" s="12">
        <v>43739</v>
      </c>
      <c r="AJ328">
        <v>27</v>
      </c>
    </row>
    <row r="329" spans="5:36">
      <c r="E329"/>
      <c r="AD329" t="s">
        <v>21</v>
      </c>
      <c r="AE329" t="str">
        <f>VLOOKUP(Таблица1_113[[#This Row],[Марка]],Таблица13[#All],4,0)</f>
        <v>Германия</v>
      </c>
      <c r="AF329" t="str">
        <f>VLOOKUP(Таблица1_113[[#This Row],[Марка]],Таблица13[#All],2,0)</f>
        <v>Business</v>
      </c>
      <c r="AG329">
        <f>VLOOKUP(Таблица1_113[[#This Row],[Марка]],Таблица13[#All],3,0)</f>
        <v>1937</v>
      </c>
      <c r="AH329" t="str">
        <f>VLOOKUP(Таблица1_113[[#This Row],[Марка]],Таблица13[#All],5,0)</f>
        <v>Нет</v>
      </c>
      <c r="AI329" s="12">
        <v>43739</v>
      </c>
      <c r="AJ329">
        <v>232</v>
      </c>
    </row>
    <row r="330" spans="5:36">
      <c r="E330"/>
      <c r="AD330" t="s">
        <v>2</v>
      </c>
      <c r="AE330" t="str">
        <f>VLOOKUP(Таблица1_113[[#This Row],[Марка]],Таблица13[#All],4,0)</f>
        <v>Япония</v>
      </c>
      <c r="AF330" t="str">
        <f>VLOOKUP(Таблица1_113[[#This Row],[Марка]],Таблица13[#All],2,0)</f>
        <v>Business</v>
      </c>
      <c r="AG330">
        <f>VLOOKUP(Таблица1_113[[#This Row],[Марка]],Таблица13[#All],3,0)</f>
        <v>1937</v>
      </c>
      <c r="AH330" t="str">
        <f>VLOOKUP(Таблица1_113[[#This Row],[Марка]],Таблица13[#All],5,0)</f>
        <v>Нет</v>
      </c>
      <c r="AI330" s="12">
        <v>43739</v>
      </c>
      <c r="AJ330">
        <v>1236</v>
      </c>
    </row>
    <row r="331" spans="5:36">
      <c r="E331"/>
      <c r="AD331" t="s">
        <v>125</v>
      </c>
      <c r="AE331" t="str">
        <f>VLOOKUP(Таблица1_113[[#This Row],[Марка]],Таблица13[#All],4,0)</f>
        <v>Япония</v>
      </c>
      <c r="AF331" t="str">
        <f>VLOOKUP(Таблица1_113[[#This Row],[Марка]],Таблица13[#All],2,0)</f>
        <v>Business</v>
      </c>
      <c r="AG331">
        <f>VLOOKUP(Таблица1_113[[#This Row],[Марка]],Таблица13[#All],3,0)</f>
        <v>1953</v>
      </c>
      <c r="AH331" t="str">
        <f>VLOOKUP(Таблица1_113[[#This Row],[Марка]],Таблица13[#All],5,0)</f>
        <v>Нет</v>
      </c>
      <c r="AI331" s="12">
        <v>43739</v>
      </c>
      <c r="AJ331">
        <v>54</v>
      </c>
    </row>
    <row r="332" spans="5:36">
      <c r="E332"/>
      <c r="AD332" t="s">
        <v>141</v>
      </c>
      <c r="AE332" t="str">
        <f>VLOOKUP(Таблица1_113[[#This Row],[Марка]],Таблица13[#All],4,0)</f>
        <v>Чехия</v>
      </c>
      <c r="AF332" t="str">
        <f>VLOOKUP(Таблица1_113[[#This Row],[Марка]],Таблица13[#All],2,0)</f>
        <v>Business</v>
      </c>
      <c r="AG332">
        <f>VLOOKUP(Таблица1_113[[#This Row],[Марка]],Таблица13[#All],3,0)</f>
        <v>1895</v>
      </c>
      <c r="AH332" t="str">
        <f>VLOOKUP(Таблица1_113[[#This Row],[Марка]],Таблица13[#All],5,0)</f>
        <v>Крупноузловая</v>
      </c>
      <c r="AI332" s="12">
        <v>43739</v>
      </c>
      <c r="AJ332">
        <v>66</v>
      </c>
    </row>
    <row r="333" spans="5:36">
      <c r="E333"/>
      <c r="AD333" t="s">
        <v>148</v>
      </c>
      <c r="AE333" t="str">
        <f>VLOOKUP(Таблица1_113[[#This Row],[Марка]],Таблица13[#All],4,0)</f>
        <v>Великобритания</v>
      </c>
      <c r="AF333" t="str">
        <f>VLOOKUP(Таблица1_113[[#This Row],[Марка]],Таблица13[#All],2,0)</f>
        <v>Luxury</v>
      </c>
      <c r="AG333">
        <f>VLOOKUP(Таблица1_113[[#This Row],[Марка]],Таблица13[#All],3,0)</f>
        <v>1904</v>
      </c>
      <c r="AH333" t="str">
        <f>VLOOKUP(Таблица1_113[[#This Row],[Марка]],Таблица13[#All],5,0)</f>
        <v>Нет</v>
      </c>
      <c r="AI333" s="12">
        <v>43739</v>
      </c>
      <c r="AJ333">
        <v>4</v>
      </c>
    </row>
    <row r="334" spans="5:36">
      <c r="E334"/>
      <c r="AD334" t="s">
        <v>23</v>
      </c>
      <c r="AE334" t="str">
        <f>VLOOKUP(Таблица1_113[[#This Row],[Марка]],Таблица13[#All],4,0)</f>
        <v>Франция</v>
      </c>
      <c r="AF334" t="str">
        <f>VLOOKUP(Таблица1_113[[#This Row],[Марка]],Таблица13[#All],2,0)</f>
        <v>Economy</v>
      </c>
      <c r="AG334">
        <f>VLOOKUP(Таблица1_113[[#This Row],[Марка]],Таблица13[#All],3,0)</f>
        <v>1899</v>
      </c>
      <c r="AH334" t="str">
        <f>VLOOKUP(Таблица1_113[[#This Row],[Марка]],Таблица13[#All],5,0)</f>
        <v>Крупноузловая</v>
      </c>
      <c r="AI334" s="12">
        <v>43739</v>
      </c>
      <c r="AJ334">
        <v>317</v>
      </c>
    </row>
    <row r="335" spans="5:36">
      <c r="E335"/>
      <c r="AD335" t="s">
        <v>142</v>
      </c>
      <c r="AE335" t="str">
        <f>VLOOKUP(Таблица1_113[[#This Row],[Марка]],Таблица13[#All],4,0)</f>
        <v>Узбекистан</v>
      </c>
      <c r="AF335" t="str">
        <f>VLOOKUP(Таблица1_113[[#This Row],[Марка]],Таблица13[#All],2,0)</f>
        <v>Economy</v>
      </c>
      <c r="AG335">
        <f>VLOOKUP(Таблица1_113[[#This Row],[Марка]],Таблица13[#All],3,0)</f>
        <v>2015</v>
      </c>
      <c r="AH335" t="str">
        <f>VLOOKUP(Таблица1_113[[#This Row],[Марка]],Таблица13[#All],5,0)</f>
        <v>Крупноузловая</v>
      </c>
      <c r="AI335" s="12">
        <v>43739</v>
      </c>
      <c r="AJ335">
        <v>615</v>
      </c>
    </row>
    <row r="336" spans="5:36">
      <c r="E336"/>
      <c r="AD336" t="s">
        <v>37</v>
      </c>
      <c r="AE336" t="str">
        <f>VLOOKUP(Таблица1_113[[#This Row],[Марка]],Таблица13[#All],4,0)</f>
        <v>Германия</v>
      </c>
      <c r="AF336" t="str">
        <f>VLOOKUP(Таблица1_113[[#This Row],[Марка]],Таблица13[#All],2,0)</f>
        <v>Luxury</v>
      </c>
      <c r="AG336">
        <f>VLOOKUP(Таблица1_113[[#This Row],[Марка]],Таблица13[#All],3,0)</f>
        <v>1931</v>
      </c>
      <c r="AH336" t="str">
        <f>VLOOKUP(Таблица1_113[[#This Row],[Марка]],Таблица13[#All],5,0)</f>
        <v>Нет</v>
      </c>
      <c r="AI336" s="12">
        <v>43739</v>
      </c>
      <c r="AJ336">
        <v>10</v>
      </c>
    </row>
    <row r="337" spans="5:36">
      <c r="E337"/>
      <c r="AD337" t="s">
        <v>146</v>
      </c>
      <c r="AE337" t="str">
        <f>VLOOKUP(Таблица1_113[[#This Row],[Марка]],Таблица13[#All],4,0)</f>
        <v>Франция</v>
      </c>
      <c r="AF337" t="str">
        <f>VLOOKUP(Таблица1_113[[#This Row],[Марка]],Таблица13[#All],2,0)</f>
        <v>Economy</v>
      </c>
      <c r="AG337">
        <f>VLOOKUP(Таблица1_113[[#This Row],[Марка]],Таблица13[#All],3,0)</f>
        <v>1810</v>
      </c>
      <c r="AH337" t="str">
        <f>VLOOKUP(Таблица1_113[[#This Row],[Марка]],Таблица13[#All],5,0)</f>
        <v>Нет</v>
      </c>
      <c r="AI337" s="12">
        <v>43739</v>
      </c>
      <c r="AJ337">
        <v>6</v>
      </c>
    </row>
    <row r="338" spans="5:36">
      <c r="E338"/>
      <c r="AD338" t="s">
        <v>22</v>
      </c>
      <c r="AE338" t="str">
        <f>VLOOKUP(Таблица1_113[[#This Row],[Марка]],Таблица13[#All],4,0)</f>
        <v>Япония</v>
      </c>
      <c r="AF338" t="str">
        <f>VLOOKUP(Таблица1_113[[#This Row],[Марка]],Таблица13[#All],2,0)</f>
        <v>Business</v>
      </c>
      <c r="AG338">
        <f>VLOOKUP(Таблица1_113[[#This Row],[Марка]],Таблица13[#All],3,0)</f>
        <v>1933</v>
      </c>
      <c r="AH338" t="str">
        <f>VLOOKUP(Таблица1_113[[#This Row],[Марка]],Таблица13[#All],5,0)</f>
        <v>Нет</v>
      </c>
      <c r="AI338" s="12">
        <v>43739</v>
      </c>
      <c r="AJ338">
        <v>245</v>
      </c>
    </row>
    <row r="339" spans="5:36">
      <c r="E339"/>
      <c r="AD339" t="s">
        <v>9</v>
      </c>
      <c r="AE339" t="str">
        <f>VLOOKUP(Таблица1_113[[#This Row],[Марка]],Таблица13[#All],4,0)</f>
        <v>Япония</v>
      </c>
      <c r="AF339" t="str">
        <f>VLOOKUP(Таблица1_113[[#This Row],[Марка]],Таблица13[#All],2,0)</f>
        <v>Business</v>
      </c>
      <c r="AG339">
        <f>VLOOKUP(Таблица1_113[[#This Row],[Марка]],Таблица13[#All],3,0)</f>
        <v>1870</v>
      </c>
      <c r="AH339" t="str">
        <f>VLOOKUP(Таблица1_113[[#This Row],[Марка]],Таблица13[#All],5,0)</f>
        <v>Нет</v>
      </c>
      <c r="AI339" s="12">
        <v>43739</v>
      </c>
      <c r="AJ339">
        <v>64</v>
      </c>
    </row>
    <row r="340" spans="5:36">
      <c r="E340"/>
      <c r="AD340" t="s">
        <v>40</v>
      </c>
      <c r="AE340" t="str">
        <f>VLOOKUP(Таблица1_113[[#This Row],[Марка]],Таблица13[#All],4,0)</f>
        <v>Великобритания</v>
      </c>
      <c r="AF340" t="str">
        <f>VLOOKUP(Таблица1_113[[#This Row],[Марка]],Таблица13[#All],2,0)</f>
        <v>Luxury</v>
      </c>
      <c r="AG340">
        <f>VLOOKUP(Таблица1_113[[#This Row],[Марка]],Таблица13[#All],3,0)</f>
        <v>1959</v>
      </c>
      <c r="AH340" t="str">
        <f>VLOOKUP(Таблица1_113[[#This Row],[Марка]],Таблица13[#All],5,0)</f>
        <v>Нет</v>
      </c>
      <c r="AI340" s="12">
        <v>43739</v>
      </c>
      <c r="AJ340">
        <v>0</v>
      </c>
    </row>
    <row r="341" spans="5:36">
      <c r="E341"/>
      <c r="AD341" t="s">
        <v>128</v>
      </c>
      <c r="AE341" t="str">
        <f>VLOOKUP(Таблица1_113[[#This Row],[Марка]],Таблица13[#All],4,0)</f>
        <v>Германия</v>
      </c>
      <c r="AF341" t="str">
        <f>VLOOKUP(Таблица1_113[[#This Row],[Марка]],Таблица13[#All],2,0)</f>
        <v>Luxury</v>
      </c>
      <c r="AG341">
        <f>VLOOKUP(Таблица1_113[[#This Row],[Марка]],Таблица13[#All],3,0)</f>
        <v>1926</v>
      </c>
      <c r="AH341" t="str">
        <f>VLOOKUP(Таблица1_113[[#This Row],[Марка]],Таблица13[#All],5,0)</f>
        <v>Нет</v>
      </c>
      <c r="AI341" s="12">
        <v>43739</v>
      </c>
      <c r="AJ341">
        <v>28</v>
      </c>
    </row>
    <row r="342" spans="5:36">
      <c r="E342"/>
      <c r="AD342" t="s">
        <v>139</v>
      </c>
      <c r="AE342" t="str">
        <f>VLOOKUP(Таблица1_113[[#This Row],[Марка]],Таблица13[#All],4,0)</f>
        <v>Япония</v>
      </c>
      <c r="AF342" t="str">
        <f>VLOOKUP(Таблица1_113[[#This Row],[Марка]],Таблица13[#All],2,0)</f>
        <v>Business</v>
      </c>
      <c r="AG342">
        <f>VLOOKUP(Таблица1_113[[#This Row],[Марка]],Таблица13[#All],3,0)</f>
        <v>1920</v>
      </c>
      <c r="AH342" t="str">
        <f>VLOOKUP(Таблица1_113[[#This Row],[Марка]],Таблица13[#All],5,0)</f>
        <v>Нет</v>
      </c>
      <c r="AI342" s="12">
        <v>43739</v>
      </c>
      <c r="AJ342">
        <v>45</v>
      </c>
    </row>
    <row r="343" spans="5:36">
      <c r="E343"/>
      <c r="AD343" t="s">
        <v>144</v>
      </c>
      <c r="AE343" t="str">
        <f>VLOOKUP(Таблица1_113[[#This Row],[Марка]],Таблица13[#All],4,0)</f>
        <v>Китай</v>
      </c>
      <c r="AF343" t="str">
        <f>VLOOKUP(Таблица1_113[[#This Row],[Марка]],Таблица13[#All],2,0)</f>
        <v>Economy</v>
      </c>
      <c r="AG343">
        <f>VLOOKUP(Таблица1_113[[#This Row],[Марка]],Таблица13[#All],3,0)</f>
        <v>1992</v>
      </c>
      <c r="AH343" t="str">
        <f>VLOOKUP(Таблица1_113[[#This Row],[Марка]],Таблица13[#All],5,0)</f>
        <v>Нет</v>
      </c>
      <c r="AI343" s="12">
        <v>43739</v>
      </c>
      <c r="AJ343">
        <v>0</v>
      </c>
    </row>
    <row r="344" spans="5:36">
      <c r="E344"/>
      <c r="AD344" t="s">
        <v>5</v>
      </c>
      <c r="AE344" t="str">
        <f>VLOOKUP(Таблица1_113[[#This Row],[Марка]],Таблица13[#All],4,0)</f>
        <v>Япония</v>
      </c>
      <c r="AF344" t="str">
        <f>VLOOKUP(Таблица1_113[[#This Row],[Марка]],Таблица13[#All],2,0)</f>
        <v>Luxury</v>
      </c>
      <c r="AG344">
        <f>VLOOKUP(Таблица1_113[[#This Row],[Марка]],Таблица13[#All],3,0)</f>
        <v>1989</v>
      </c>
      <c r="AH344" t="str">
        <f>VLOOKUP(Таблица1_113[[#This Row],[Марка]],Таблица13[#All],5,0)</f>
        <v>Нет</v>
      </c>
      <c r="AI344" s="12">
        <v>43739</v>
      </c>
      <c r="AJ344">
        <v>139</v>
      </c>
    </row>
    <row r="345" spans="5:36">
      <c r="E345"/>
      <c r="AD345" t="s">
        <v>35</v>
      </c>
      <c r="AE345" t="str">
        <f>VLOOKUP(Таблица1_113[[#This Row],[Марка]],Таблица13[#All],4,0)</f>
        <v>Великобритания</v>
      </c>
      <c r="AF345" t="str">
        <f>VLOOKUP(Таблица1_113[[#This Row],[Марка]],Таблица13[#All],2,0)</f>
        <v>Luxury</v>
      </c>
      <c r="AG345">
        <f>VLOOKUP(Таблица1_113[[#This Row],[Марка]],Таблица13[#All],3,0)</f>
        <v>1948</v>
      </c>
      <c r="AH345" t="str">
        <f>VLOOKUP(Таблица1_113[[#This Row],[Марка]],Таблица13[#All],5,0)</f>
        <v>Нет</v>
      </c>
      <c r="AI345" s="12">
        <v>43739</v>
      </c>
      <c r="AJ345">
        <v>27</v>
      </c>
    </row>
    <row r="346" spans="5:36">
      <c r="E346"/>
      <c r="AD346" t="s">
        <v>19</v>
      </c>
      <c r="AE346" t="str">
        <f>VLOOKUP(Таблица1_113[[#This Row],[Марка]],Таблица13[#All],4,0)</f>
        <v>Россия</v>
      </c>
      <c r="AF346" t="str">
        <f>VLOOKUP(Таблица1_113[[#This Row],[Марка]],Таблица13[#All],2,0)</f>
        <v>Economy</v>
      </c>
      <c r="AG346">
        <f>VLOOKUP(Таблица1_113[[#This Row],[Марка]],Таблица13[#All],3,0)</f>
        <v>1970</v>
      </c>
      <c r="AH346" t="str">
        <f>VLOOKUP(Таблица1_113[[#This Row],[Марка]],Таблица13[#All],5,0)</f>
        <v>Крупноузловая</v>
      </c>
      <c r="AI346" s="12">
        <v>43739</v>
      </c>
      <c r="AJ346">
        <v>1110</v>
      </c>
    </row>
    <row r="347" spans="5:36">
      <c r="E347"/>
      <c r="AD347" t="s">
        <v>15</v>
      </c>
      <c r="AE347" t="str">
        <f>VLOOKUP(Таблица1_113[[#This Row],[Марка]],Таблица13[#All],4,0)</f>
        <v>Корея</v>
      </c>
      <c r="AF347" t="str">
        <f>VLOOKUP(Таблица1_113[[#This Row],[Марка]],Таблица13[#All],2,0)</f>
        <v>Economy</v>
      </c>
      <c r="AG347">
        <f>VLOOKUP(Таблица1_113[[#This Row],[Марка]],Таблица13[#All],3,0)</f>
        <v>1944</v>
      </c>
      <c r="AH347" t="str">
        <f>VLOOKUP(Таблица1_113[[#This Row],[Марка]],Таблица13[#All],5,0)</f>
        <v>Крупноузловая</v>
      </c>
      <c r="AI347" s="12">
        <v>43739</v>
      </c>
      <c r="AJ347">
        <v>358</v>
      </c>
    </row>
    <row r="348" spans="5:36">
      <c r="E348"/>
      <c r="AD348" t="s">
        <v>134</v>
      </c>
      <c r="AE348" t="str">
        <f>VLOOKUP(Таблица1_113[[#This Row],[Марка]],Таблица13[#All],4,0)</f>
        <v>Великобритания</v>
      </c>
      <c r="AF348" t="str">
        <f>VLOOKUP(Таблица1_113[[#This Row],[Марка]],Таблица13[#All],2,0)</f>
        <v>Luxury</v>
      </c>
      <c r="AG348">
        <f>VLOOKUP(Таблица1_113[[#This Row],[Марка]],Таблица13[#All],3,0)</f>
        <v>1922</v>
      </c>
      <c r="AH348" t="str">
        <f>VLOOKUP(Таблица1_113[[#This Row],[Марка]],Таблица13[#All],5,0)</f>
        <v>Нет</v>
      </c>
      <c r="AI348" s="12">
        <v>43739</v>
      </c>
      <c r="AJ348">
        <v>11</v>
      </c>
    </row>
    <row r="349" spans="5:36">
      <c r="E349"/>
      <c r="AD349" t="s">
        <v>4</v>
      </c>
      <c r="AE349" t="str">
        <f>VLOOKUP(Таблица1_113[[#This Row],[Марка]],Таблица13[#All],4,0)</f>
        <v>Китай</v>
      </c>
      <c r="AF349" t="str">
        <f>VLOOKUP(Таблица1_113[[#This Row],[Марка]],Таблица13[#All],2,0)</f>
        <v>Economy</v>
      </c>
      <c r="AG349">
        <f>VLOOKUP(Таблица1_113[[#This Row],[Марка]],Таблица13[#All],3,0)</f>
        <v>1964</v>
      </c>
      <c r="AH349" t="str">
        <f>VLOOKUP(Таблица1_113[[#This Row],[Марка]],Таблица13[#All],5,0)</f>
        <v>Крупноузловая</v>
      </c>
      <c r="AI349" s="12">
        <v>43739</v>
      </c>
      <c r="AJ349">
        <v>172</v>
      </c>
    </row>
    <row r="350" spans="5:36">
      <c r="E350"/>
      <c r="AD350" t="s">
        <v>140</v>
      </c>
      <c r="AE350" t="str">
        <f>VLOOKUP(Таблица1_113[[#This Row],[Марка]],Таблица13[#All],4,0)</f>
        <v>Япония</v>
      </c>
      <c r="AF350" t="str">
        <f>VLOOKUP(Таблица1_113[[#This Row],[Марка]],Таблица13[#All],2,0)</f>
        <v>Business</v>
      </c>
      <c r="AG350">
        <f>VLOOKUP(Таблица1_113[[#This Row],[Марка]],Таблица13[#All],3,0)</f>
        <v>1916</v>
      </c>
      <c r="AH350" t="str">
        <f>VLOOKUP(Таблица1_113[[#This Row],[Марка]],Таблица13[#All],5,0)</f>
        <v>Нет</v>
      </c>
      <c r="AI350" s="12">
        <v>43739</v>
      </c>
      <c r="AJ350">
        <v>14</v>
      </c>
    </row>
    <row r="351" spans="5:36">
      <c r="E351"/>
      <c r="AD351" t="s">
        <v>34</v>
      </c>
      <c r="AE351" t="str">
        <f>VLOOKUP(Таблица1_113[[#This Row],[Марка]],Таблица13[#All],4,0)</f>
        <v>Япония</v>
      </c>
      <c r="AF351" t="str">
        <f>VLOOKUP(Таблица1_113[[#This Row],[Марка]],Таблица13[#All],2,0)</f>
        <v>Luxury</v>
      </c>
      <c r="AG351">
        <f>VLOOKUP(Таблица1_113[[#This Row],[Марка]],Таблица13[#All],3,0)</f>
        <v>1989</v>
      </c>
      <c r="AH351" t="str">
        <f>VLOOKUP(Таблица1_113[[#This Row],[Марка]],Таблица13[#All],5,0)</f>
        <v>Нет</v>
      </c>
      <c r="AI351" s="12">
        <v>43739</v>
      </c>
      <c r="AJ351">
        <v>18</v>
      </c>
    </row>
    <row r="352" spans="5:36">
      <c r="E352"/>
      <c r="AD352" t="s">
        <v>0</v>
      </c>
      <c r="AE352" t="str">
        <f>VLOOKUP(Таблица1_113[[#This Row],[Марка]],Таблица13[#All],4,0)</f>
        <v>Корея</v>
      </c>
      <c r="AF352" t="str">
        <f>VLOOKUP(Таблица1_113[[#This Row],[Марка]],Таблица13[#All],2,0)</f>
        <v>Economy</v>
      </c>
      <c r="AG352">
        <f>VLOOKUP(Таблица1_113[[#This Row],[Марка]],Таблица13[#All],3,0)</f>
        <v>1967</v>
      </c>
      <c r="AH352" t="str">
        <f>VLOOKUP(Таблица1_113[[#This Row],[Марка]],Таблица13[#All],5,0)</f>
        <v>Крупноузловая</v>
      </c>
      <c r="AI352" s="12">
        <v>43739</v>
      </c>
      <c r="AJ352">
        <v>1494</v>
      </c>
    </row>
    <row r="353" spans="5:36">
      <c r="E353"/>
      <c r="AD353" t="s">
        <v>133</v>
      </c>
      <c r="AE353" t="str">
        <f>VLOOKUP(Таблица1_113[[#This Row],[Марка]],Таблица13[#All],4,0)</f>
        <v>Китай</v>
      </c>
      <c r="AF353" t="str">
        <f>VLOOKUP(Таблица1_113[[#This Row],[Марка]],Таблица13[#All],2,0)</f>
        <v>Economy</v>
      </c>
      <c r="AG353">
        <f>VLOOKUP(Таблица1_113[[#This Row],[Марка]],Таблица13[#All],3,0)</f>
        <v>1996</v>
      </c>
      <c r="AH353" t="str">
        <f>VLOOKUP(Таблица1_113[[#This Row],[Марка]],Таблица13[#All],5,0)</f>
        <v>Нет</v>
      </c>
      <c r="AI353" s="12">
        <v>43739</v>
      </c>
      <c r="AJ353">
        <v>26</v>
      </c>
    </row>
    <row r="354" spans="5:36">
      <c r="E354"/>
      <c r="AD354" t="s">
        <v>147</v>
      </c>
      <c r="AE354" t="str">
        <f>VLOOKUP(Таблица1_113[[#This Row],[Марка]],Таблица13[#All],4,0)</f>
        <v>США</v>
      </c>
      <c r="AF354" t="str">
        <f>VLOOKUP(Таблица1_113[[#This Row],[Марка]],Таблица13[#All],2,0)</f>
        <v>Economy</v>
      </c>
      <c r="AG354">
        <f>VLOOKUP(Таблица1_113[[#This Row],[Марка]],Таблица13[#All],3,0)</f>
        <v>1903</v>
      </c>
      <c r="AH354" t="str">
        <f>VLOOKUP(Таблица1_113[[#This Row],[Марка]],Таблица13[#All],5,0)</f>
        <v>Нет</v>
      </c>
      <c r="AI354" s="12">
        <v>43739</v>
      </c>
      <c r="AJ354">
        <v>3</v>
      </c>
    </row>
    <row r="355" spans="5:36">
      <c r="E355"/>
      <c r="AD355" t="s">
        <v>130</v>
      </c>
      <c r="AE355" t="str">
        <f>VLOOKUP(Таблица1_113[[#This Row],[Марка]],Таблица13[#All],4,0)</f>
        <v>Китай</v>
      </c>
      <c r="AF355" t="str">
        <f>VLOOKUP(Таблица1_113[[#This Row],[Марка]],Таблица13[#All],2,0)</f>
        <v>Economy</v>
      </c>
      <c r="AG355">
        <f>VLOOKUP(Таблица1_113[[#This Row],[Марка]],Таблица13[#All],3,0)</f>
        <v>1969</v>
      </c>
      <c r="AH355" t="str">
        <f>VLOOKUP(Таблица1_113[[#This Row],[Марка]],Таблица13[#All],5,0)</f>
        <v>Нет</v>
      </c>
      <c r="AI355" s="12">
        <v>43739</v>
      </c>
      <c r="AJ355">
        <v>0</v>
      </c>
    </row>
    <row r="356" spans="5:36">
      <c r="E356"/>
      <c r="AD356" t="s">
        <v>137</v>
      </c>
      <c r="AE356" t="str">
        <f>VLOOKUP(Таблица1_113[[#This Row],[Марка]],Таблица13[#All],4,0)</f>
        <v>Корея</v>
      </c>
      <c r="AF356" t="str">
        <f>VLOOKUP(Таблица1_113[[#This Row],[Марка]],Таблица13[#All],2,0)</f>
        <v>Economy</v>
      </c>
      <c r="AG356">
        <f>VLOOKUP(Таблица1_113[[#This Row],[Марка]],Таблица13[#All],3,0)</f>
        <v>1967</v>
      </c>
      <c r="AH356" t="str">
        <f>VLOOKUP(Таблица1_113[[#This Row],[Марка]],Таблица13[#All],5,0)</f>
        <v>Нет</v>
      </c>
      <c r="AI356" s="12">
        <v>43739</v>
      </c>
      <c r="AJ356">
        <v>22</v>
      </c>
    </row>
    <row r="357" spans="5:36">
      <c r="E357"/>
      <c r="AD357" t="s">
        <v>1</v>
      </c>
      <c r="AE357" t="str">
        <f>VLOOKUP(Таблица1_113[[#This Row],[Марка]],Таблица13[#All],4,0)</f>
        <v>США</v>
      </c>
      <c r="AF357" t="str">
        <f>VLOOKUP(Таблица1_113[[#This Row],[Марка]],Таблица13[#All],2,0)</f>
        <v>Economy</v>
      </c>
      <c r="AG357">
        <f>VLOOKUP(Таблица1_113[[#This Row],[Марка]],Таблица13[#All],3,0)</f>
        <v>1911</v>
      </c>
      <c r="AH357" t="str">
        <f>VLOOKUP(Таблица1_113[[#This Row],[Марка]],Таблица13[#All],5,0)</f>
        <v>Крупноузловая</v>
      </c>
      <c r="AI357" s="12">
        <v>43739</v>
      </c>
      <c r="AJ357">
        <v>68</v>
      </c>
    </row>
    <row r="358" spans="5:36">
      <c r="E358"/>
      <c r="AD358" t="s">
        <v>36</v>
      </c>
      <c r="AE358" t="str">
        <f>VLOOKUP(Таблица1_113[[#This Row],[Марка]],Таблица13[#All],4,0)</f>
        <v>США</v>
      </c>
      <c r="AF358" t="str">
        <f>VLOOKUP(Таблица1_113[[#This Row],[Марка]],Таблица13[#All],2,0)</f>
        <v>Luxury</v>
      </c>
      <c r="AG358">
        <f>VLOOKUP(Таблица1_113[[#This Row],[Марка]],Таблица13[#All],3,0)</f>
        <v>1902</v>
      </c>
      <c r="AH358" t="str">
        <f>VLOOKUP(Таблица1_113[[#This Row],[Марка]],Таблица13[#All],5,0)</f>
        <v>Нет</v>
      </c>
      <c r="AI358" s="12">
        <v>43739</v>
      </c>
      <c r="AJ358">
        <v>11</v>
      </c>
    </row>
    <row r="359" spans="5:36">
      <c r="E359"/>
      <c r="AD359" t="s">
        <v>8</v>
      </c>
      <c r="AE359" t="str">
        <f>VLOOKUP(Таблица1_113[[#This Row],[Марка]],Таблица13[#All],4,0)</f>
        <v>Германия</v>
      </c>
      <c r="AF359" t="str">
        <f>VLOOKUP(Таблица1_113[[#This Row],[Марка]],Таблица13[#All],2,0)</f>
        <v>Luxury</v>
      </c>
      <c r="AG359">
        <f>VLOOKUP(Таблица1_113[[#This Row],[Марка]],Таблица13[#All],3,0)</f>
        <v>1916</v>
      </c>
      <c r="AH359" t="str">
        <f>VLOOKUP(Таблица1_113[[#This Row],[Марка]],Таблица13[#All],5,0)</f>
        <v>Нет</v>
      </c>
      <c r="AI359" s="12">
        <v>43739</v>
      </c>
      <c r="AJ359">
        <v>79</v>
      </c>
    </row>
    <row r="360" spans="5:36">
      <c r="E360"/>
      <c r="AD360" t="s">
        <v>38</v>
      </c>
      <c r="AE360" t="str">
        <f>VLOOKUP(Таблица1_113[[#This Row],[Марка]],Таблица13[#All],4,0)</f>
        <v>Германия</v>
      </c>
      <c r="AF360" t="str">
        <f>VLOOKUP(Таблица1_113[[#This Row],[Марка]],Таблица13[#All],2,0)</f>
        <v>Luxury</v>
      </c>
      <c r="AG360">
        <f>VLOOKUP(Таблица1_113[[#This Row],[Марка]],Таблица13[#All],3,0)</f>
        <v>1932</v>
      </c>
      <c r="AH360" t="str">
        <f>VLOOKUP(Таблица1_113[[#This Row],[Марка]],Таблица13[#All],5,0)</f>
        <v>Нет</v>
      </c>
      <c r="AI360" s="12">
        <v>43739</v>
      </c>
      <c r="AJ360">
        <v>11</v>
      </c>
    </row>
    <row r="361" spans="5:36">
      <c r="E361"/>
      <c r="AD361" t="s">
        <v>145</v>
      </c>
      <c r="AE361" t="str">
        <f>VLOOKUP(Таблица1_113[[#This Row],[Марка]],Таблица13[#All],4,0)</f>
        <v>Китай</v>
      </c>
      <c r="AF361" t="str">
        <f>VLOOKUP(Таблица1_113[[#This Row],[Марка]],Таблица13[#All],2,0)</f>
        <v>Economy</v>
      </c>
      <c r="AG361">
        <f>VLOOKUP(Таблица1_113[[#This Row],[Марка]],Таблица13[#All],3,0)</f>
        <v>1997</v>
      </c>
      <c r="AH361" t="str">
        <f>VLOOKUP(Таблица1_113[[#This Row],[Марка]],Таблица13[#All],5,0)</f>
        <v>Нет</v>
      </c>
      <c r="AI361" s="12">
        <v>43739</v>
      </c>
      <c r="AJ361">
        <v>0</v>
      </c>
    </row>
    <row r="362" spans="5:36">
      <c r="E362"/>
      <c r="AD362" t="s">
        <v>136</v>
      </c>
      <c r="AE362" t="str">
        <f>VLOOKUP(Таблица1_113[[#This Row],[Марка]],Таблица13[#All],4,0)</f>
        <v>Россия</v>
      </c>
      <c r="AF362" t="str">
        <f>VLOOKUP(Таблица1_113[[#This Row],[Марка]],Таблица13[#All],2,0)</f>
        <v>Economy</v>
      </c>
      <c r="AG362">
        <f>VLOOKUP(Таблица1_113[[#This Row],[Марка]],Таблица13[#All],3,0)</f>
        <v>1941</v>
      </c>
      <c r="AH362" t="str">
        <f>VLOOKUP(Таблица1_113[[#This Row],[Марка]],Таблица13[#All],5,0)</f>
        <v>Нет</v>
      </c>
      <c r="AI362" s="12">
        <v>43770</v>
      </c>
      <c r="AJ362">
        <v>250</v>
      </c>
    </row>
    <row r="363" spans="5:36">
      <c r="E363"/>
      <c r="AD363" t="s">
        <v>135</v>
      </c>
      <c r="AE363" t="str">
        <f>VLOOKUP(Таблица1_113[[#This Row],[Марка]],Таблица13[#All],4,0)</f>
        <v>-</v>
      </c>
      <c r="AF363" t="str">
        <f>VLOOKUP(Таблица1_113[[#This Row],[Марка]],Таблица13[#All],2,0)</f>
        <v>-</v>
      </c>
      <c r="AG363" t="str">
        <f>VLOOKUP(Таблица1_113[[#This Row],[Марка]],Таблица13[#All],3,0)</f>
        <v>-</v>
      </c>
      <c r="AH363" t="str">
        <f>VLOOKUP(Таблица1_113[[#This Row],[Марка]],Таблица13[#All],5,0)</f>
        <v>-</v>
      </c>
      <c r="AI363" s="12">
        <v>43770</v>
      </c>
      <c r="AJ363">
        <v>0</v>
      </c>
    </row>
    <row r="364" spans="5:36">
      <c r="E364"/>
      <c r="AD364" t="s">
        <v>39</v>
      </c>
      <c r="AE364" t="str">
        <f>VLOOKUP(Таблица1_113[[#This Row],[Марка]],Таблица13[#All],4,0)</f>
        <v>Швеция</v>
      </c>
      <c r="AF364" t="str">
        <f>VLOOKUP(Таблица1_113[[#This Row],[Марка]],Таблица13[#All],2,0)</f>
        <v>Business</v>
      </c>
      <c r="AG364">
        <f>VLOOKUP(Таблица1_113[[#This Row],[Марка]],Таблица13[#All],3,0)</f>
        <v>1927</v>
      </c>
      <c r="AH364" t="str">
        <f>VLOOKUP(Таблица1_113[[#This Row],[Марка]],Таблица13[#All],5,0)</f>
        <v>Нет</v>
      </c>
      <c r="AI364" s="12">
        <v>43770</v>
      </c>
      <c r="AJ364">
        <v>7</v>
      </c>
    </row>
    <row r="365" spans="5:36">
      <c r="E365"/>
      <c r="AD365" t="s">
        <v>21</v>
      </c>
      <c r="AE365" t="str">
        <f>VLOOKUP(Таблица1_113[[#This Row],[Марка]],Таблица13[#All],4,0)</f>
        <v>Германия</v>
      </c>
      <c r="AF365" t="str">
        <f>VLOOKUP(Таблица1_113[[#This Row],[Марка]],Таблица13[#All],2,0)</f>
        <v>Business</v>
      </c>
      <c r="AG365">
        <f>VLOOKUP(Таблица1_113[[#This Row],[Марка]],Таблица13[#All],3,0)</f>
        <v>1937</v>
      </c>
      <c r="AH365" t="str">
        <f>VLOOKUP(Таблица1_113[[#This Row],[Марка]],Таблица13[#All],5,0)</f>
        <v>Нет</v>
      </c>
      <c r="AI365" s="12">
        <v>43770</v>
      </c>
      <c r="AJ365">
        <v>89</v>
      </c>
    </row>
    <row r="366" spans="5:36">
      <c r="E366"/>
      <c r="AD366" t="s">
        <v>2</v>
      </c>
      <c r="AE366" t="str">
        <f>VLOOKUP(Таблица1_113[[#This Row],[Марка]],Таблица13[#All],4,0)</f>
        <v>Япония</v>
      </c>
      <c r="AF366" t="str">
        <f>VLOOKUP(Таблица1_113[[#This Row],[Марка]],Таблица13[#All],2,0)</f>
        <v>Business</v>
      </c>
      <c r="AG366">
        <f>VLOOKUP(Таблица1_113[[#This Row],[Марка]],Таблица13[#All],3,0)</f>
        <v>1937</v>
      </c>
      <c r="AH366" t="str">
        <f>VLOOKUP(Таблица1_113[[#This Row],[Марка]],Таблица13[#All],5,0)</f>
        <v>Нет</v>
      </c>
      <c r="AI366" s="12">
        <v>43770</v>
      </c>
      <c r="AJ366">
        <v>1239</v>
      </c>
    </row>
    <row r="367" spans="5:36">
      <c r="E367"/>
      <c r="AD367" t="s">
        <v>125</v>
      </c>
      <c r="AE367" t="str">
        <f>VLOOKUP(Таблица1_113[[#This Row],[Марка]],Таблица13[#All],4,0)</f>
        <v>Япония</v>
      </c>
      <c r="AF367" t="str">
        <f>VLOOKUP(Таблица1_113[[#This Row],[Марка]],Таблица13[#All],2,0)</f>
        <v>Business</v>
      </c>
      <c r="AG367">
        <f>VLOOKUP(Таблица1_113[[#This Row],[Марка]],Таблица13[#All],3,0)</f>
        <v>1953</v>
      </c>
      <c r="AH367" t="str">
        <f>VLOOKUP(Таблица1_113[[#This Row],[Марка]],Таблица13[#All],5,0)</f>
        <v>Нет</v>
      </c>
      <c r="AI367" s="12">
        <v>43770</v>
      </c>
      <c r="AJ367">
        <v>35</v>
      </c>
    </row>
    <row r="368" spans="5:36">
      <c r="E368"/>
      <c r="AD368" t="s">
        <v>141</v>
      </c>
      <c r="AE368" t="str">
        <f>VLOOKUP(Таблица1_113[[#This Row],[Марка]],Таблица13[#All],4,0)</f>
        <v>Чехия</v>
      </c>
      <c r="AF368" t="str">
        <f>VLOOKUP(Таблица1_113[[#This Row],[Марка]],Таблица13[#All],2,0)</f>
        <v>Business</v>
      </c>
      <c r="AG368">
        <f>VLOOKUP(Таблица1_113[[#This Row],[Марка]],Таблица13[#All],3,0)</f>
        <v>1895</v>
      </c>
      <c r="AH368" t="str">
        <f>VLOOKUP(Таблица1_113[[#This Row],[Марка]],Таблица13[#All],5,0)</f>
        <v>Крупноузловая</v>
      </c>
      <c r="AI368" s="12">
        <v>43770</v>
      </c>
      <c r="AJ368">
        <v>60</v>
      </c>
    </row>
    <row r="369" spans="5:36">
      <c r="E369"/>
      <c r="AD369" t="s">
        <v>148</v>
      </c>
      <c r="AE369" t="str">
        <f>VLOOKUP(Таблица1_113[[#This Row],[Марка]],Таблица13[#All],4,0)</f>
        <v>Великобритания</v>
      </c>
      <c r="AF369" t="str">
        <f>VLOOKUP(Таблица1_113[[#This Row],[Марка]],Таблица13[#All],2,0)</f>
        <v>Luxury</v>
      </c>
      <c r="AG369">
        <f>VLOOKUP(Таблица1_113[[#This Row],[Марка]],Таблица13[#All],3,0)</f>
        <v>1904</v>
      </c>
      <c r="AH369" t="str">
        <f>VLOOKUP(Таблица1_113[[#This Row],[Марка]],Таблица13[#All],5,0)</f>
        <v>Нет</v>
      </c>
      <c r="AI369" s="12">
        <v>43770</v>
      </c>
      <c r="AJ369">
        <v>0</v>
      </c>
    </row>
    <row r="370" spans="5:36">
      <c r="E370"/>
      <c r="AD370" t="s">
        <v>23</v>
      </c>
      <c r="AE370" t="str">
        <f>VLOOKUP(Таблица1_113[[#This Row],[Марка]],Таблица13[#All],4,0)</f>
        <v>Франция</v>
      </c>
      <c r="AF370" t="str">
        <f>VLOOKUP(Таблица1_113[[#This Row],[Марка]],Таблица13[#All],2,0)</f>
        <v>Economy</v>
      </c>
      <c r="AG370">
        <f>VLOOKUP(Таблица1_113[[#This Row],[Марка]],Таблица13[#All],3,0)</f>
        <v>1899</v>
      </c>
      <c r="AH370" t="str">
        <f>VLOOKUP(Таблица1_113[[#This Row],[Марка]],Таблица13[#All],5,0)</f>
        <v>Крупноузловая</v>
      </c>
      <c r="AI370" s="12">
        <v>43770</v>
      </c>
      <c r="AJ370">
        <v>260</v>
      </c>
    </row>
    <row r="371" spans="5:36">
      <c r="E371"/>
      <c r="AD371" t="s">
        <v>142</v>
      </c>
      <c r="AE371" t="str">
        <f>VLOOKUP(Таблица1_113[[#This Row],[Марка]],Таблица13[#All],4,0)</f>
        <v>Узбекистан</v>
      </c>
      <c r="AF371" t="str">
        <f>VLOOKUP(Таблица1_113[[#This Row],[Марка]],Таблица13[#All],2,0)</f>
        <v>Economy</v>
      </c>
      <c r="AG371">
        <f>VLOOKUP(Таблица1_113[[#This Row],[Марка]],Таблица13[#All],3,0)</f>
        <v>2015</v>
      </c>
      <c r="AH371" t="str">
        <f>VLOOKUP(Таблица1_113[[#This Row],[Марка]],Таблица13[#All],5,0)</f>
        <v>Крупноузловая</v>
      </c>
      <c r="AI371" s="12">
        <v>43770</v>
      </c>
      <c r="AJ371">
        <v>627</v>
      </c>
    </row>
    <row r="372" spans="5:36">
      <c r="E372"/>
      <c r="AD372" t="s">
        <v>37</v>
      </c>
      <c r="AE372" t="str">
        <f>VLOOKUP(Таблица1_113[[#This Row],[Марка]],Таблица13[#All],4,0)</f>
        <v>Германия</v>
      </c>
      <c r="AF372" t="str">
        <f>VLOOKUP(Таблица1_113[[#This Row],[Марка]],Таблица13[#All],2,0)</f>
        <v>Luxury</v>
      </c>
      <c r="AG372">
        <f>VLOOKUP(Таблица1_113[[#This Row],[Марка]],Таблица13[#All],3,0)</f>
        <v>1931</v>
      </c>
      <c r="AH372" t="str">
        <f>VLOOKUP(Таблица1_113[[#This Row],[Марка]],Таблица13[#All],5,0)</f>
        <v>Нет</v>
      </c>
      <c r="AI372" s="12">
        <v>43770</v>
      </c>
      <c r="AJ372">
        <v>15</v>
      </c>
    </row>
    <row r="373" spans="5:36">
      <c r="E373"/>
      <c r="AD373" t="s">
        <v>146</v>
      </c>
      <c r="AE373" t="str">
        <f>VLOOKUP(Таблица1_113[[#This Row],[Марка]],Таблица13[#All],4,0)</f>
        <v>Франция</v>
      </c>
      <c r="AF373" t="str">
        <f>VLOOKUP(Таблица1_113[[#This Row],[Марка]],Таблица13[#All],2,0)</f>
        <v>Economy</v>
      </c>
      <c r="AG373">
        <f>VLOOKUP(Таблица1_113[[#This Row],[Марка]],Таблица13[#All],3,0)</f>
        <v>1810</v>
      </c>
      <c r="AH373" t="str">
        <f>VLOOKUP(Таблица1_113[[#This Row],[Марка]],Таблица13[#All],5,0)</f>
        <v>Нет</v>
      </c>
      <c r="AI373" s="12">
        <v>43770</v>
      </c>
      <c r="AJ373">
        <v>1</v>
      </c>
    </row>
    <row r="374" spans="5:36">
      <c r="E374"/>
      <c r="AD374" t="s">
        <v>22</v>
      </c>
      <c r="AE374" t="str">
        <f>VLOOKUP(Таблица1_113[[#This Row],[Марка]],Таблица13[#All],4,0)</f>
        <v>Япония</v>
      </c>
      <c r="AF374" t="str">
        <f>VLOOKUP(Таблица1_113[[#This Row],[Марка]],Таблица13[#All],2,0)</f>
        <v>Business</v>
      </c>
      <c r="AG374">
        <f>VLOOKUP(Таблица1_113[[#This Row],[Марка]],Таблица13[#All],3,0)</f>
        <v>1933</v>
      </c>
      <c r="AH374" t="str">
        <f>VLOOKUP(Таблица1_113[[#This Row],[Марка]],Таблица13[#All],5,0)</f>
        <v>Нет</v>
      </c>
      <c r="AI374" s="12">
        <v>43770</v>
      </c>
      <c r="AJ374">
        <v>244</v>
      </c>
    </row>
    <row r="375" spans="5:36">
      <c r="E375"/>
      <c r="AD375" t="s">
        <v>9</v>
      </c>
      <c r="AE375" t="str">
        <f>VLOOKUP(Таблица1_113[[#This Row],[Марка]],Таблица13[#All],4,0)</f>
        <v>Япония</v>
      </c>
      <c r="AF375" t="str">
        <f>VLOOKUP(Таблица1_113[[#This Row],[Марка]],Таблица13[#All],2,0)</f>
        <v>Business</v>
      </c>
      <c r="AG375">
        <f>VLOOKUP(Таблица1_113[[#This Row],[Марка]],Таблица13[#All],3,0)</f>
        <v>1870</v>
      </c>
      <c r="AH375" t="str">
        <f>VLOOKUP(Таблица1_113[[#This Row],[Марка]],Таблица13[#All],5,0)</f>
        <v>Нет</v>
      </c>
      <c r="AI375" s="12">
        <v>43770</v>
      </c>
      <c r="AJ375">
        <v>87</v>
      </c>
    </row>
    <row r="376" spans="5:36">
      <c r="E376"/>
      <c r="AD376" t="s">
        <v>40</v>
      </c>
      <c r="AE376" t="str">
        <f>VLOOKUP(Таблица1_113[[#This Row],[Марка]],Таблица13[#All],4,0)</f>
        <v>Великобритания</v>
      </c>
      <c r="AF376" t="str">
        <f>VLOOKUP(Таблица1_113[[#This Row],[Марка]],Таблица13[#All],2,0)</f>
        <v>Luxury</v>
      </c>
      <c r="AG376">
        <f>VLOOKUP(Таблица1_113[[#This Row],[Марка]],Таблица13[#All],3,0)</f>
        <v>1959</v>
      </c>
      <c r="AH376" t="str">
        <f>VLOOKUP(Таблица1_113[[#This Row],[Марка]],Таблица13[#All],5,0)</f>
        <v>Нет</v>
      </c>
      <c r="AI376" s="12">
        <v>43770</v>
      </c>
      <c r="AJ376">
        <v>3</v>
      </c>
    </row>
    <row r="377" spans="5:36">
      <c r="E377"/>
      <c r="AD377" t="s">
        <v>128</v>
      </c>
      <c r="AE377" t="str">
        <f>VLOOKUP(Таблица1_113[[#This Row],[Марка]],Таблица13[#All],4,0)</f>
        <v>Германия</v>
      </c>
      <c r="AF377" t="str">
        <f>VLOOKUP(Таблица1_113[[#This Row],[Марка]],Таблица13[#All],2,0)</f>
        <v>Luxury</v>
      </c>
      <c r="AG377">
        <f>VLOOKUP(Таблица1_113[[#This Row],[Марка]],Таблица13[#All],3,0)</f>
        <v>1926</v>
      </c>
      <c r="AH377" t="str">
        <f>VLOOKUP(Таблица1_113[[#This Row],[Марка]],Таблица13[#All],5,0)</f>
        <v>Нет</v>
      </c>
      <c r="AI377" s="12">
        <v>43770</v>
      </c>
      <c r="AJ377">
        <v>38</v>
      </c>
    </row>
    <row r="378" spans="5:36">
      <c r="E378"/>
      <c r="AD378" t="s">
        <v>139</v>
      </c>
      <c r="AE378" t="str">
        <f>VLOOKUP(Таблица1_113[[#This Row],[Марка]],Таблица13[#All],4,0)</f>
        <v>Япония</v>
      </c>
      <c r="AF378" t="str">
        <f>VLOOKUP(Таблица1_113[[#This Row],[Марка]],Таблица13[#All],2,0)</f>
        <v>Business</v>
      </c>
      <c r="AG378">
        <f>VLOOKUP(Таблица1_113[[#This Row],[Марка]],Таблица13[#All],3,0)</f>
        <v>1920</v>
      </c>
      <c r="AH378" t="str">
        <f>VLOOKUP(Таблица1_113[[#This Row],[Марка]],Таблица13[#All],5,0)</f>
        <v>Нет</v>
      </c>
      <c r="AI378" s="12">
        <v>43770</v>
      </c>
      <c r="AJ378">
        <v>23</v>
      </c>
    </row>
    <row r="379" spans="5:36">
      <c r="E379"/>
      <c r="AD379" t="s">
        <v>144</v>
      </c>
      <c r="AE379" t="str">
        <f>VLOOKUP(Таблица1_113[[#This Row],[Марка]],Таблица13[#All],4,0)</f>
        <v>Китай</v>
      </c>
      <c r="AF379" t="str">
        <f>VLOOKUP(Таблица1_113[[#This Row],[Марка]],Таблица13[#All],2,0)</f>
        <v>Economy</v>
      </c>
      <c r="AG379">
        <f>VLOOKUP(Таблица1_113[[#This Row],[Марка]],Таблица13[#All],3,0)</f>
        <v>1992</v>
      </c>
      <c r="AH379" t="str">
        <f>VLOOKUP(Таблица1_113[[#This Row],[Марка]],Таблица13[#All],5,0)</f>
        <v>Нет</v>
      </c>
      <c r="AI379" s="12">
        <v>43770</v>
      </c>
      <c r="AJ379">
        <v>0</v>
      </c>
    </row>
    <row r="380" spans="5:36">
      <c r="E380"/>
      <c r="AD380" t="s">
        <v>5</v>
      </c>
      <c r="AE380" t="str">
        <f>VLOOKUP(Таблица1_113[[#This Row],[Марка]],Таблица13[#All],4,0)</f>
        <v>Япония</v>
      </c>
      <c r="AF380" t="str">
        <f>VLOOKUP(Таблица1_113[[#This Row],[Марка]],Таблица13[#All],2,0)</f>
        <v>Luxury</v>
      </c>
      <c r="AG380">
        <f>VLOOKUP(Таблица1_113[[#This Row],[Марка]],Таблица13[#All],3,0)</f>
        <v>1989</v>
      </c>
      <c r="AH380" t="str">
        <f>VLOOKUP(Таблица1_113[[#This Row],[Марка]],Таблица13[#All],5,0)</f>
        <v>Нет</v>
      </c>
      <c r="AI380" s="12">
        <v>43770</v>
      </c>
      <c r="AJ380">
        <v>183</v>
      </c>
    </row>
    <row r="381" spans="5:36">
      <c r="E381"/>
      <c r="AD381" t="s">
        <v>35</v>
      </c>
      <c r="AE381" t="str">
        <f>VLOOKUP(Таблица1_113[[#This Row],[Марка]],Таблица13[#All],4,0)</f>
        <v>Великобритания</v>
      </c>
      <c r="AF381" t="str">
        <f>VLOOKUP(Таблица1_113[[#This Row],[Марка]],Таблица13[#All],2,0)</f>
        <v>Luxury</v>
      </c>
      <c r="AG381">
        <f>VLOOKUP(Таблица1_113[[#This Row],[Марка]],Таблица13[#All],3,0)</f>
        <v>1948</v>
      </c>
      <c r="AH381" t="str">
        <f>VLOOKUP(Таблица1_113[[#This Row],[Марка]],Таблица13[#All],5,0)</f>
        <v>Нет</v>
      </c>
      <c r="AI381" s="12">
        <v>43770</v>
      </c>
      <c r="AJ381">
        <v>21</v>
      </c>
    </row>
    <row r="382" spans="5:36">
      <c r="E382"/>
      <c r="AD382" t="s">
        <v>19</v>
      </c>
      <c r="AE382" t="str">
        <f>VLOOKUP(Таблица1_113[[#This Row],[Марка]],Таблица13[#All],4,0)</f>
        <v>Россия</v>
      </c>
      <c r="AF382" t="str">
        <f>VLOOKUP(Таблица1_113[[#This Row],[Марка]],Таблица13[#All],2,0)</f>
        <v>Economy</v>
      </c>
      <c r="AG382">
        <f>VLOOKUP(Таблица1_113[[#This Row],[Марка]],Таблица13[#All],3,0)</f>
        <v>1970</v>
      </c>
      <c r="AH382" t="str">
        <f>VLOOKUP(Таблица1_113[[#This Row],[Марка]],Таблица13[#All],5,0)</f>
        <v>Крупноузловая</v>
      </c>
      <c r="AI382" s="12">
        <v>43770</v>
      </c>
      <c r="AJ382">
        <v>1490</v>
      </c>
    </row>
    <row r="383" spans="5:36">
      <c r="E383"/>
      <c r="AD383" t="s">
        <v>15</v>
      </c>
      <c r="AE383" t="str">
        <f>VLOOKUP(Таблица1_113[[#This Row],[Марка]],Таблица13[#All],4,0)</f>
        <v>Корея</v>
      </c>
      <c r="AF383" t="str">
        <f>VLOOKUP(Таблица1_113[[#This Row],[Марка]],Таблица13[#All],2,0)</f>
        <v>Economy</v>
      </c>
      <c r="AG383">
        <f>VLOOKUP(Таблица1_113[[#This Row],[Марка]],Таблица13[#All],3,0)</f>
        <v>1944</v>
      </c>
      <c r="AH383" t="str">
        <f>VLOOKUP(Таблица1_113[[#This Row],[Марка]],Таблица13[#All],5,0)</f>
        <v>Крупноузловая</v>
      </c>
      <c r="AI383" s="12">
        <v>43770</v>
      </c>
      <c r="AJ383">
        <v>511</v>
      </c>
    </row>
    <row r="384" spans="5:36">
      <c r="E384"/>
      <c r="AD384" t="s">
        <v>134</v>
      </c>
      <c r="AE384" t="str">
        <f>VLOOKUP(Таблица1_113[[#This Row],[Марка]],Таблица13[#All],4,0)</f>
        <v>Великобритания</v>
      </c>
      <c r="AF384" t="str">
        <f>VLOOKUP(Таблица1_113[[#This Row],[Марка]],Таблица13[#All],2,0)</f>
        <v>Luxury</v>
      </c>
      <c r="AG384">
        <f>VLOOKUP(Таблица1_113[[#This Row],[Марка]],Таблица13[#All],3,0)</f>
        <v>1922</v>
      </c>
      <c r="AH384" t="str">
        <f>VLOOKUP(Таблица1_113[[#This Row],[Марка]],Таблица13[#All],5,0)</f>
        <v>Нет</v>
      </c>
      <c r="AI384" s="12">
        <v>43770</v>
      </c>
      <c r="AJ384">
        <v>15</v>
      </c>
    </row>
    <row r="385" spans="5:36">
      <c r="E385"/>
      <c r="AD385" t="s">
        <v>4</v>
      </c>
      <c r="AE385" t="str">
        <f>VLOOKUP(Таблица1_113[[#This Row],[Марка]],Таблица13[#All],4,0)</f>
        <v>Китай</v>
      </c>
      <c r="AF385" t="str">
        <f>VLOOKUP(Таблица1_113[[#This Row],[Марка]],Таблица13[#All],2,0)</f>
        <v>Economy</v>
      </c>
      <c r="AG385">
        <f>VLOOKUP(Таблица1_113[[#This Row],[Марка]],Таблица13[#All],3,0)</f>
        <v>1964</v>
      </c>
      <c r="AH385" t="str">
        <f>VLOOKUP(Таблица1_113[[#This Row],[Марка]],Таблица13[#All],5,0)</f>
        <v>Крупноузловая</v>
      </c>
      <c r="AI385" s="12">
        <v>43770</v>
      </c>
      <c r="AJ385">
        <v>142</v>
      </c>
    </row>
    <row r="386" spans="5:36">
      <c r="E386"/>
      <c r="AD386" t="s">
        <v>140</v>
      </c>
      <c r="AE386" t="str">
        <f>VLOOKUP(Таблица1_113[[#This Row],[Марка]],Таблица13[#All],4,0)</f>
        <v>Япония</v>
      </c>
      <c r="AF386" t="str">
        <f>VLOOKUP(Таблица1_113[[#This Row],[Марка]],Таблица13[#All],2,0)</f>
        <v>Business</v>
      </c>
      <c r="AG386">
        <f>VLOOKUP(Таблица1_113[[#This Row],[Марка]],Таблица13[#All],3,0)</f>
        <v>1916</v>
      </c>
      <c r="AH386" t="str">
        <f>VLOOKUP(Таблица1_113[[#This Row],[Марка]],Таблица13[#All],5,0)</f>
        <v>Нет</v>
      </c>
      <c r="AI386" s="12">
        <v>43770</v>
      </c>
      <c r="AJ386">
        <v>31</v>
      </c>
    </row>
    <row r="387" spans="5:36">
      <c r="E387"/>
      <c r="AD387" t="s">
        <v>34</v>
      </c>
      <c r="AE387" t="str">
        <f>VLOOKUP(Таблица1_113[[#This Row],[Марка]],Таблица13[#All],4,0)</f>
        <v>Япония</v>
      </c>
      <c r="AF387" t="str">
        <f>VLOOKUP(Таблица1_113[[#This Row],[Марка]],Таблица13[#All],2,0)</f>
        <v>Luxury</v>
      </c>
      <c r="AG387">
        <f>VLOOKUP(Таблица1_113[[#This Row],[Марка]],Таблица13[#All],3,0)</f>
        <v>1989</v>
      </c>
      <c r="AH387" t="str">
        <f>VLOOKUP(Таблица1_113[[#This Row],[Марка]],Таблица13[#All],5,0)</f>
        <v>Нет</v>
      </c>
      <c r="AI387" s="12">
        <v>43770</v>
      </c>
      <c r="AJ387">
        <v>29</v>
      </c>
    </row>
    <row r="388" spans="5:36">
      <c r="E388"/>
      <c r="AD388" t="s">
        <v>0</v>
      </c>
      <c r="AE388" t="str">
        <f>VLOOKUP(Таблица1_113[[#This Row],[Марка]],Таблица13[#All],4,0)</f>
        <v>Корея</v>
      </c>
      <c r="AF388" t="str">
        <f>VLOOKUP(Таблица1_113[[#This Row],[Марка]],Таблица13[#All],2,0)</f>
        <v>Economy</v>
      </c>
      <c r="AG388">
        <f>VLOOKUP(Таблица1_113[[#This Row],[Марка]],Таблица13[#All],3,0)</f>
        <v>1967</v>
      </c>
      <c r="AH388" t="str">
        <f>VLOOKUP(Таблица1_113[[#This Row],[Марка]],Таблица13[#All],5,0)</f>
        <v>Крупноузловая</v>
      </c>
      <c r="AI388" s="12">
        <v>43770</v>
      </c>
      <c r="AJ388">
        <v>1701</v>
      </c>
    </row>
    <row r="389" spans="5:36">
      <c r="E389"/>
      <c r="AD389" t="s">
        <v>133</v>
      </c>
      <c r="AE389" t="str">
        <f>VLOOKUP(Таблица1_113[[#This Row],[Марка]],Таблица13[#All],4,0)</f>
        <v>Китай</v>
      </c>
      <c r="AF389" t="str">
        <f>VLOOKUP(Таблица1_113[[#This Row],[Марка]],Таблица13[#All],2,0)</f>
        <v>Economy</v>
      </c>
      <c r="AG389">
        <f>VLOOKUP(Таблица1_113[[#This Row],[Марка]],Таблица13[#All],3,0)</f>
        <v>1996</v>
      </c>
      <c r="AH389" t="str">
        <f>VLOOKUP(Таблица1_113[[#This Row],[Марка]],Таблица13[#All],5,0)</f>
        <v>Нет</v>
      </c>
      <c r="AI389" s="12">
        <v>43770</v>
      </c>
      <c r="AJ389">
        <v>12</v>
      </c>
    </row>
    <row r="390" spans="5:36">
      <c r="E390"/>
      <c r="AD390" t="s">
        <v>147</v>
      </c>
      <c r="AE390" t="str">
        <f>VLOOKUP(Таблица1_113[[#This Row],[Марка]],Таблица13[#All],4,0)</f>
        <v>США</v>
      </c>
      <c r="AF390" t="str">
        <f>VLOOKUP(Таблица1_113[[#This Row],[Марка]],Таблица13[#All],2,0)</f>
        <v>Economy</v>
      </c>
      <c r="AG390">
        <f>VLOOKUP(Таблица1_113[[#This Row],[Марка]],Таблица13[#All],3,0)</f>
        <v>1903</v>
      </c>
      <c r="AH390" t="str">
        <f>VLOOKUP(Таблица1_113[[#This Row],[Марка]],Таблица13[#All],5,0)</f>
        <v>Нет</v>
      </c>
      <c r="AI390" s="12">
        <v>43770</v>
      </c>
      <c r="AJ390">
        <v>0</v>
      </c>
    </row>
    <row r="391" spans="5:36">
      <c r="E391"/>
      <c r="AD391" t="s">
        <v>130</v>
      </c>
      <c r="AE391" t="str">
        <f>VLOOKUP(Таблица1_113[[#This Row],[Марка]],Таблица13[#All],4,0)</f>
        <v>Китай</v>
      </c>
      <c r="AF391" t="str">
        <f>VLOOKUP(Таблица1_113[[#This Row],[Марка]],Таблица13[#All],2,0)</f>
        <v>Economy</v>
      </c>
      <c r="AG391">
        <f>VLOOKUP(Таблица1_113[[#This Row],[Марка]],Таблица13[#All],3,0)</f>
        <v>1969</v>
      </c>
      <c r="AH391" t="str">
        <f>VLOOKUP(Таблица1_113[[#This Row],[Марка]],Таблица13[#All],5,0)</f>
        <v>Нет</v>
      </c>
      <c r="AI391" s="12">
        <v>43770</v>
      </c>
      <c r="AJ391">
        <v>0</v>
      </c>
    </row>
    <row r="392" spans="5:36">
      <c r="E392"/>
      <c r="AD392" t="s">
        <v>137</v>
      </c>
      <c r="AE392" t="str">
        <f>VLOOKUP(Таблица1_113[[#This Row],[Марка]],Таблица13[#All],4,0)</f>
        <v>Корея</v>
      </c>
      <c r="AF392" t="str">
        <f>VLOOKUP(Таблица1_113[[#This Row],[Марка]],Таблица13[#All],2,0)</f>
        <v>Economy</v>
      </c>
      <c r="AG392">
        <f>VLOOKUP(Таблица1_113[[#This Row],[Марка]],Таблица13[#All],3,0)</f>
        <v>1967</v>
      </c>
      <c r="AH392" t="str">
        <f>VLOOKUP(Таблица1_113[[#This Row],[Марка]],Таблица13[#All],5,0)</f>
        <v>Нет</v>
      </c>
      <c r="AI392" s="12">
        <v>43770</v>
      </c>
      <c r="AJ392">
        <v>5</v>
      </c>
    </row>
    <row r="393" spans="5:36">
      <c r="E393"/>
      <c r="AD393" t="s">
        <v>1</v>
      </c>
      <c r="AE393" t="str">
        <f>VLOOKUP(Таблица1_113[[#This Row],[Марка]],Таблица13[#All],4,0)</f>
        <v>США</v>
      </c>
      <c r="AF393" t="str">
        <f>VLOOKUP(Таблица1_113[[#This Row],[Марка]],Таблица13[#All],2,0)</f>
        <v>Economy</v>
      </c>
      <c r="AG393">
        <f>VLOOKUP(Таблица1_113[[#This Row],[Марка]],Таблица13[#All],3,0)</f>
        <v>1911</v>
      </c>
      <c r="AH393" t="str">
        <f>VLOOKUP(Таблица1_113[[#This Row],[Марка]],Таблица13[#All],5,0)</f>
        <v>Крупноузловая</v>
      </c>
      <c r="AI393" s="12">
        <v>43770</v>
      </c>
      <c r="AJ393">
        <v>75</v>
      </c>
    </row>
    <row r="394" spans="5:36">
      <c r="E394"/>
      <c r="AD394" t="s">
        <v>36</v>
      </c>
      <c r="AE394" t="str">
        <f>VLOOKUP(Таблица1_113[[#This Row],[Марка]],Таблица13[#All],4,0)</f>
        <v>США</v>
      </c>
      <c r="AF394" t="str">
        <f>VLOOKUP(Таблица1_113[[#This Row],[Марка]],Таблица13[#All],2,0)</f>
        <v>Luxury</v>
      </c>
      <c r="AG394">
        <f>VLOOKUP(Таблица1_113[[#This Row],[Марка]],Таблица13[#All],3,0)</f>
        <v>1902</v>
      </c>
      <c r="AH394" t="str">
        <f>VLOOKUP(Таблица1_113[[#This Row],[Марка]],Таблица13[#All],5,0)</f>
        <v>Нет</v>
      </c>
      <c r="AI394" s="12">
        <v>43770</v>
      </c>
      <c r="AJ394">
        <v>4</v>
      </c>
    </row>
    <row r="395" spans="5:36">
      <c r="E395"/>
      <c r="AD395" t="s">
        <v>8</v>
      </c>
      <c r="AE395" t="str">
        <f>VLOOKUP(Таблица1_113[[#This Row],[Марка]],Таблица13[#All],4,0)</f>
        <v>Германия</v>
      </c>
      <c r="AF395" t="str">
        <f>VLOOKUP(Таблица1_113[[#This Row],[Марка]],Таблица13[#All],2,0)</f>
        <v>Luxury</v>
      </c>
      <c r="AG395">
        <f>VLOOKUP(Таблица1_113[[#This Row],[Марка]],Таблица13[#All],3,0)</f>
        <v>1916</v>
      </c>
      <c r="AH395" t="str">
        <f>VLOOKUP(Таблица1_113[[#This Row],[Марка]],Таблица13[#All],5,0)</f>
        <v>Нет</v>
      </c>
      <c r="AI395" s="12">
        <v>43770</v>
      </c>
      <c r="AJ395">
        <v>81</v>
      </c>
    </row>
    <row r="396" spans="5:36">
      <c r="E396"/>
      <c r="AD396" t="s">
        <v>38</v>
      </c>
      <c r="AE396" t="str">
        <f>VLOOKUP(Таблица1_113[[#This Row],[Марка]],Таблица13[#All],4,0)</f>
        <v>Германия</v>
      </c>
      <c r="AF396" t="str">
        <f>VLOOKUP(Таблица1_113[[#This Row],[Марка]],Таблица13[#All],2,0)</f>
        <v>Luxury</v>
      </c>
      <c r="AG396">
        <f>VLOOKUP(Таблица1_113[[#This Row],[Марка]],Таблица13[#All],3,0)</f>
        <v>1932</v>
      </c>
      <c r="AH396" t="str">
        <f>VLOOKUP(Таблица1_113[[#This Row],[Марка]],Таблица13[#All],5,0)</f>
        <v>Нет</v>
      </c>
      <c r="AI396" s="12">
        <v>43770</v>
      </c>
      <c r="AJ396">
        <v>7</v>
      </c>
    </row>
    <row r="397" spans="5:36">
      <c r="E397"/>
      <c r="AD397" t="s">
        <v>145</v>
      </c>
      <c r="AE397" t="str">
        <f>VLOOKUP(Таблица1_113[[#This Row],[Марка]],Таблица13[#All],4,0)</f>
        <v>Китай</v>
      </c>
      <c r="AF397" t="str">
        <f>VLOOKUP(Таблица1_113[[#This Row],[Марка]],Таблица13[#All],2,0)</f>
        <v>Economy</v>
      </c>
      <c r="AG397">
        <f>VLOOKUP(Таблица1_113[[#This Row],[Марка]],Таблица13[#All],3,0)</f>
        <v>1997</v>
      </c>
      <c r="AH397" t="str">
        <f>VLOOKUP(Таблица1_113[[#This Row],[Марка]],Таблица13[#All],5,0)</f>
        <v>Нет</v>
      </c>
      <c r="AI397" s="12">
        <v>43770</v>
      </c>
      <c r="AJ397">
        <v>0</v>
      </c>
    </row>
    <row r="398" spans="5:36">
      <c r="E398"/>
      <c r="AD398" t="s">
        <v>136</v>
      </c>
      <c r="AE398" t="str">
        <f>VLOOKUP(Таблица1_113[[#This Row],[Марка]],Таблица13[#All],4,0)</f>
        <v>Россия</v>
      </c>
      <c r="AF398" t="str">
        <f>VLOOKUP(Таблица1_113[[#This Row],[Марка]],Таблица13[#All],2,0)</f>
        <v>Economy</v>
      </c>
      <c r="AG398">
        <f>VLOOKUP(Таблица1_113[[#This Row],[Марка]],Таблица13[#All],3,0)</f>
        <v>1941</v>
      </c>
      <c r="AH398" t="str">
        <f>VLOOKUP(Таблица1_113[[#This Row],[Марка]],Таблица13[#All],5,0)</f>
        <v>Нет</v>
      </c>
      <c r="AI398" s="12">
        <v>43800</v>
      </c>
      <c r="AJ398">
        <v>273</v>
      </c>
    </row>
    <row r="399" spans="5:36">
      <c r="E399"/>
      <c r="AD399" t="s">
        <v>135</v>
      </c>
      <c r="AE399" t="str">
        <f>VLOOKUP(Таблица1_113[[#This Row],[Марка]],Таблица13[#All],4,0)</f>
        <v>-</v>
      </c>
      <c r="AF399" t="str">
        <f>VLOOKUP(Таблица1_113[[#This Row],[Марка]],Таблица13[#All],2,0)</f>
        <v>-</v>
      </c>
      <c r="AG399" t="str">
        <f>VLOOKUP(Таблица1_113[[#This Row],[Марка]],Таблица13[#All],3,0)</f>
        <v>-</v>
      </c>
      <c r="AH399" t="str">
        <f>VLOOKUP(Таблица1_113[[#This Row],[Марка]],Таблица13[#All],5,0)</f>
        <v>-</v>
      </c>
      <c r="AI399" s="12">
        <v>43800</v>
      </c>
      <c r="AJ399">
        <v>0</v>
      </c>
    </row>
    <row r="400" spans="5:36">
      <c r="E400"/>
      <c r="AD400" t="s">
        <v>39</v>
      </c>
      <c r="AE400" t="str">
        <f>VLOOKUP(Таблица1_113[[#This Row],[Марка]],Таблица13[#All],4,0)</f>
        <v>Швеция</v>
      </c>
      <c r="AF400" t="str">
        <f>VLOOKUP(Таблица1_113[[#This Row],[Марка]],Таблица13[#All],2,0)</f>
        <v>Business</v>
      </c>
      <c r="AG400">
        <f>VLOOKUP(Таблица1_113[[#This Row],[Марка]],Таблица13[#All],3,0)</f>
        <v>1927</v>
      </c>
      <c r="AH400" t="str">
        <f>VLOOKUP(Таблица1_113[[#This Row],[Марка]],Таблица13[#All],5,0)</f>
        <v>Нет</v>
      </c>
      <c r="AI400" s="12">
        <v>43800</v>
      </c>
      <c r="AJ400">
        <v>5</v>
      </c>
    </row>
    <row r="401" spans="5:36">
      <c r="E401"/>
      <c r="AD401" t="s">
        <v>21</v>
      </c>
      <c r="AE401" t="str">
        <f>VLOOKUP(Таблица1_113[[#This Row],[Марка]],Таблица13[#All],4,0)</f>
        <v>Германия</v>
      </c>
      <c r="AF401" t="str">
        <f>VLOOKUP(Таблица1_113[[#This Row],[Марка]],Таблица13[#All],2,0)</f>
        <v>Business</v>
      </c>
      <c r="AG401">
        <f>VLOOKUP(Таблица1_113[[#This Row],[Марка]],Таблица13[#All],3,0)</f>
        <v>1937</v>
      </c>
      <c r="AH401" t="str">
        <f>VLOOKUP(Таблица1_113[[#This Row],[Марка]],Таблица13[#All],5,0)</f>
        <v>Нет</v>
      </c>
      <c r="AI401" s="12">
        <v>43800</v>
      </c>
      <c r="AJ401">
        <v>100</v>
      </c>
    </row>
    <row r="402" spans="5:36">
      <c r="E402"/>
      <c r="AD402" t="s">
        <v>2</v>
      </c>
      <c r="AE402" t="str">
        <f>VLOOKUP(Таблица1_113[[#This Row],[Марка]],Таблица13[#All],4,0)</f>
        <v>Япония</v>
      </c>
      <c r="AF402" t="str">
        <f>VLOOKUP(Таблица1_113[[#This Row],[Марка]],Таблица13[#All],2,0)</f>
        <v>Business</v>
      </c>
      <c r="AG402">
        <f>VLOOKUP(Таблица1_113[[#This Row],[Марка]],Таблица13[#All],3,0)</f>
        <v>1937</v>
      </c>
      <c r="AH402" t="str">
        <f>VLOOKUP(Таблица1_113[[#This Row],[Марка]],Таблица13[#All],5,0)</f>
        <v>Нет</v>
      </c>
      <c r="AI402" s="12">
        <v>43800</v>
      </c>
      <c r="AJ402">
        <v>1166</v>
      </c>
    </row>
    <row r="403" spans="5:36">
      <c r="E403"/>
      <c r="AD403" t="s">
        <v>125</v>
      </c>
      <c r="AE403" t="str">
        <f>VLOOKUP(Таблица1_113[[#This Row],[Марка]],Таблица13[#All],4,0)</f>
        <v>Япония</v>
      </c>
      <c r="AF403" t="str">
        <f>VLOOKUP(Таблица1_113[[#This Row],[Марка]],Таблица13[#All],2,0)</f>
        <v>Business</v>
      </c>
      <c r="AG403">
        <f>VLOOKUP(Таблица1_113[[#This Row],[Марка]],Таблица13[#All],3,0)</f>
        <v>1953</v>
      </c>
      <c r="AH403" t="str">
        <f>VLOOKUP(Таблица1_113[[#This Row],[Марка]],Таблица13[#All],5,0)</f>
        <v>Нет</v>
      </c>
      <c r="AI403" s="12">
        <v>43800</v>
      </c>
      <c r="AJ403">
        <v>66</v>
      </c>
    </row>
    <row r="404" spans="5:36">
      <c r="E404"/>
      <c r="AD404" t="s">
        <v>141</v>
      </c>
      <c r="AE404" t="str">
        <f>VLOOKUP(Таблица1_113[[#This Row],[Марка]],Таблица13[#All],4,0)</f>
        <v>Чехия</v>
      </c>
      <c r="AF404" t="str">
        <f>VLOOKUP(Таблица1_113[[#This Row],[Марка]],Таблица13[#All],2,0)</f>
        <v>Business</v>
      </c>
      <c r="AG404">
        <f>VLOOKUP(Таблица1_113[[#This Row],[Марка]],Таблица13[#All],3,0)</f>
        <v>1895</v>
      </c>
      <c r="AH404" t="str">
        <f>VLOOKUP(Таблица1_113[[#This Row],[Марка]],Таблица13[#All],5,0)</f>
        <v>Крупноузловая</v>
      </c>
      <c r="AI404" s="12">
        <v>43800</v>
      </c>
      <c r="AJ404">
        <v>132</v>
      </c>
    </row>
    <row r="405" spans="5:36">
      <c r="E405"/>
      <c r="AD405" t="s">
        <v>148</v>
      </c>
      <c r="AE405" t="str">
        <f>VLOOKUP(Таблица1_113[[#This Row],[Марка]],Таблица13[#All],4,0)</f>
        <v>Великобритания</v>
      </c>
      <c r="AF405" t="str">
        <f>VLOOKUP(Таблица1_113[[#This Row],[Марка]],Таблица13[#All],2,0)</f>
        <v>Luxury</v>
      </c>
      <c r="AG405">
        <f>VLOOKUP(Таблица1_113[[#This Row],[Марка]],Таблица13[#All],3,0)</f>
        <v>1904</v>
      </c>
      <c r="AH405" t="str">
        <f>VLOOKUP(Таблица1_113[[#This Row],[Марка]],Таблица13[#All],5,0)</f>
        <v>Нет</v>
      </c>
      <c r="AI405" s="12">
        <v>43800</v>
      </c>
      <c r="AJ405">
        <v>0</v>
      </c>
    </row>
    <row r="406" spans="5:36">
      <c r="E406"/>
      <c r="AD406" t="s">
        <v>23</v>
      </c>
      <c r="AE406" t="str">
        <f>VLOOKUP(Таблица1_113[[#This Row],[Марка]],Таблица13[#All],4,0)</f>
        <v>Франция</v>
      </c>
      <c r="AF406" t="str">
        <f>VLOOKUP(Таблица1_113[[#This Row],[Марка]],Таблица13[#All],2,0)</f>
        <v>Economy</v>
      </c>
      <c r="AG406">
        <f>VLOOKUP(Таблица1_113[[#This Row],[Марка]],Таблица13[#All],3,0)</f>
        <v>1899</v>
      </c>
      <c r="AH406" t="str">
        <f>VLOOKUP(Таблица1_113[[#This Row],[Марка]],Таблица13[#All],5,0)</f>
        <v>Крупноузловая</v>
      </c>
      <c r="AI406" s="12">
        <v>43800</v>
      </c>
      <c r="AJ406">
        <v>246</v>
      </c>
    </row>
    <row r="407" spans="5:36">
      <c r="E407"/>
      <c r="AD407" t="s">
        <v>142</v>
      </c>
      <c r="AE407" t="str">
        <f>VLOOKUP(Таблица1_113[[#This Row],[Марка]],Таблица13[#All],4,0)</f>
        <v>Узбекистан</v>
      </c>
      <c r="AF407" t="str">
        <f>VLOOKUP(Таблица1_113[[#This Row],[Марка]],Таблица13[#All],2,0)</f>
        <v>Economy</v>
      </c>
      <c r="AG407">
        <f>VLOOKUP(Таблица1_113[[#This Row],[Марка]],Таблица13[#All],3,0)</f>
        <v>2015</v>
      </c>
      <c r="AH407" t="str">
        <f>VLOOKUP(Таблица1_113[[#This Row],[Марка]],Таблица13[#All],5,0)</f>
        <v>Крупноузловая</v>
      </c>
      <c r="AI407" s="12">
        <v>43800</v>
      </c>
      <c r="AJ407">
        <v>756</v>
      </c>
    </row>
    <row r="408" spans="5:36">
      <c r="E408"/>
      <c r="AD408" t="s">
        <v>37</v>
      </c>
      <c r="AE408" t="str">
        <f>VLOOKUP(Таблица1_113[[#This Row],[Марка]],Таблица13[#All],4,0)</f>
        <v>Германия</v>
      </c>
      <c r="AF408" t="str">
        <f>VLOOKUP(Таблица1_113[[#This Row],[Марка]],Таблица13[#All],2,0)</f>
        <v>Luxury</v>
      </c>
      <c r="AG408">
        <f>VLOOKUP(Таблица1_113[[#This Row],[Марка]],Таблица13[#All],3,0)</f>
        <v>1931</v>
      </c>
      <c r="AH408" t="str">
        <f>VLOOKUP(Таблица1_113[[#This Row],[Марка]],Таблица13[#All],5,0)</f>
        <v>Нет</v>
      </c>
      <c r="AI408" s="12">
        <v>43800</v>
      </c>
      <c r="AJ408">
        <v>17</v>
      </c>
    </row>
    <row r="409" spans="5:36">
      <c r="E409"/>
      <c r="AD409" t="s">
        <v>146</v>
      </c>
      <c r="AE409" t="str">
        <f>VLOOKUP(Таблица1_113[[#This Row],[Марка]],Таблица13[#All],4,0)</f>
        <v>Франция</v>
      </c>
      <c r="AF409" t="str">
        <f>VLOOKUP(Таблица1_113[[#This Row],[Марка]],Таблица13[#All],2,0)</f>
        <v>Economy</v>
      </c>
      <c r="AG409">
        <f>VLOOKUP(Таблица1_113[[#This Row],[Марка]],Таблица13[#All],3,0)</f>
        <v>1810</v>
      </c>
      <c r="AH409" t="str">
        <f>VLOOKUP(Таблица1_113[[#This Row],[Марка]],Таблица13[#All],5,0)</f>
        <v>Нет</v>
      </c>
      <c r="AI409" s="12">
        <v>43800</v>
      </c>
      <c r="AJ409">
        <v>5</v>
      </c>
    </row>
    <row r="410" spans="5:36">
      <c r="E410"/>
      <c r="AD410" t="s">
        <v>22</v>
      </c>
      <c r="AE410" t="str">
        <f>VLOOKUP(Таблица1_113[[#This Row],[Марка]],Таблица13[#All],4,0)</f>
        <v>Япония</v>
      </c>
      <c r="AF410" t="str">
        <f>VLOOKUP(Таблица1_113[[#This Row],[Марка]],Таблица13[#All],2,0)</f>
        <v>Business</v>
      </c>
      <c r="AG410">
        <f>VLOOKUP(Таблица1_113[[#This Row],[Марка]],Таблица13[#All],3,0)</f>
        <v>1933</v>
      </c>
      <c r="AH410" t="str">
        <f>VLOOKUP(Таблица1_113[[#This Row],[Марка]],Таблица13[#All],5,0)</f>
        <v>Нет</v>
      </c>
      <c r="AI410" s="12">
        <v>43800</v>
      </c>
      <c r="AJ410">
        <v>207</v>
      </c>
    </row>
    <row r="411" spans="5:36">
      <c r="E411"/>
      <c r="AD411" t="s">
        <v>9</v>
      </c>
      <c r="AE411" t="str">
        <f>VLOOKUP(Таблица1_113[[#This Row],[Марка]],Таблица13[#All],4,0)</f>
        <v>Япония</v>
      </c>
      <c r="AF411" t="str">
        <f>VLOOKUP(Таблица1_113[[#This Row],[Марка]],Таблица13[#All],2,0)</f>
        <v>Business</v>
      </c>
      <c r="AG411">
        <f>VLOOKUP(Таблица1_113[[#This Row],[Марка]],Таблица13[#All],3,0)</f>
        <v>1870</v>
      </c>
      <c r="AH411" t="str">
        <f>VLOOKUP(Таблица1_113[[#This Row],[Марка]],Таблица13[#All],5,0)</f>
        <v>Нет</v>
      </c>
      <c r="AI411" s="12">
        <v>43800</v>
      </c>
      <c r="AJ411">
        <v>91</v>
      </c>
    </row>
    <row r="412" spans="5:36">
      <c r="E412"/>
      <c r="AD412" t="s">
        <v>40</v>
      </c>
      <c r="AE412" t="str">
        <f>VLOOKUP(Таблица1_113[[#This Row],[Марка]],Таблица13[#All],4,0)</f>
        <v>Великобритания</v>
      </c>
      <c r="AF412" t="str">
        <f>VLOOKUP(Таблица1_113[[#This Row],[Марка]],Таблица13[#All],2,0)</f>
        <v>Luxury</v>
      </c>
      <c r="AG412">
        <f>VLOOKUP(Таблица1_113[[#This Row],[Марка]],Таблица13[#All],3,0)</f>
        <v>1959</v>
      </c>
      <c r="AH412" t="str">
        <f>VLOOKUP(Таблица1_113[[#This Row],[Марка]],Таблица13[#All],5,0)</f>
        <v>Нет</v>
      </c>
      <c r="AI412" s="12">
        <v>43800</v>
      </c>
      <c r="AJ412">
        <v>0</v>
      </c>
    </row>
    <row r="413" spans="5:36">
      <c r="E413"/>
      <c r="AD413" t="s">
        <v>128</v>
      </c>
      <c r="AE413" t="str">
        <f>VLOOKUP(Таблица1_113[[#This Row],[Марка]],Таблица13[#All],4,0)</f>
        <v>Германия</v>
      </c>
      <c r="AF413" t="str">
        <f>VLOOKUP(Таблица1_113[[#This Row],[Марка]],Таблица13[#All],2,0)</f>
        <v>Luxury</v>
      </c>
      <c r="AG413">
        <f>VLOOKUP(Таблица1_113[[#This Row],[Марка]],Таблица13[#All],3,0)</f>
        <v>1926</v>
      </c>
      <c r="AH413" t="str">
        <f>VLOOKUP(Таблица1_113[[#This Row],[Марка]],Таблица13[#All],5,0)</f>
        <v>Нет</v>
      </c>
      <c r="AI413" s="12">
        <v>43800</v>
      </c>
      <c r="AJ413">
        <v>30</v>
      </c>
    </row>
    <row r="414" spans="5:36">
      <c r="E414"/>
      <c r="AD414" t="s">
        <v>139</v>
      </c>
      <c r="AE414" t="str">
        <f>VLOOKUP(Таблица1_113[[#This Row],[Марка]],Таблица13[#All],4,0)</f>
        <v>Япония</v>
      </c>
      <c r="AF414" t="str">
        <f>VLOOKUP(Таблица1_113[[#This Row],[Марка]],Таблица13[#All],2,0)</f>
        <v>Business</v>
      </c>
      <c r="AG414">
        <f>VLOOKUP(Таблица1_113[[#This Row],[Марка]],Таблица13[#All],3,0)</f>
        <v>1920</v>
      </c>
      <c r="AH414" t="str">
        <f>VLOOKUP(Таблица1_113[[#This Row],[Марка]],Таблица13[#All],5,0)</f>
        <v>Нет</v>
      </c>
      <c r="AI414" s="12">
        <v>43800</v>
      </c>
      <c r="AJ414">
        <v>44</v>
      </c>
    </row>
    <row r="415" spans="5:36">
      <c r="E415"/>
      <c r="AD415" t="s">
        <v>144</v>
      </c>
      <c r="AE415" t="str">
        <f>VLOOKUP(Таблица1_113[[#This Row],[Марка]],Таблица13[#All],4,0)</f>
        <v>Китай</v>
      </c>
      <c r="AF415" t="str">
        <f>VLOOKUP(Таблица1_113[[#This Row],[Марка]],Таблица13[#All],2,0)</f>
        <v>Economy</v>
      </c>
      <c r="AG415">
        <f>VLOOKUP(Таблица1_113[[#This Row],[Марка]],Таблица13[#All],3,0)</f>
        <v>1992</v>
      </c>
      <c r="AH415" t="str">
        <f>VLOOKUP(Таблица1_113[[#This Row],[Марка]],Таблица13[#All],5,0)</f>
        <v>Нет</v>
      </c>
      <c r="AI415" s="12">
        <v>43800</v>
      </c>
      <c r="AJ415">
        <v>0</v>
      </c>
    </row>
    <row r="416" spans="5:36">
      <c r="E416"/>
      <c r="AD416" t="s">
        <v>5</v>
      </c>
      <c r="AE416" t="str">
        <f>VLOOKUP(Таблица1_113[[#This Row],[Марка]],Таблица13[#All],4,0)</f>
        <v>Япония</v>
      </c>
      <c r="AF416" t="str">
        <f>VLOOKUP(Таблица1_113[[#This Row],[Марка]],Таблица13[#All],2,0)</f>
        <v>Luxury</v>
      </c>
      <c r="AG416">
        <f>VLOOKUP(Таблица1_113[[#This Row],[Марка]],Таблица13[#All],3,0)</f>
        <v>1989</v>
      </c>
      <c r="AH416" t="str">
        <f>VLOOKUP(Таблица1_113[[#This Row],[Марка]],Таблица13[#All],5,0)</f>
        <v>Нет</v>
      </c>
      <c r="AI416" s="12">
        <v>43800</v>
      </c>
      <c r="AJ416">
        <v>127</v>
      </c>
    </row>
    <row r="417" spans="5:36">
      <c r="E417"/>
      <c r="AD417" t="s">
        <v>35</v>
      </c>
      <c r="AE417" t="str">
        <f>VLOOKUP(Таблица1_113[[#This Row],[Марка]],Таблица13[#All],4,0)</f>
        <v>Великобритания</v>
      </c>
      <c r="AF417" t="str">
        <f>VLOOKUP(Таблица1_113[[#This Row],[Марка]],Таблица13[#All],2,0)</f>
        <v>Luxury</v>
      </c>
      <c r="AG417">
        <f>VLOOKUP(Таблица1_113[[#This Row],[Марка]],Таблица13[#All],3,0)</f>
        <v>1948</v>
      </c>
      <c r="AH417" t="str">
        <f>VLOOKUP(Таблица1_113[[#This Row],[Марка]],Таблица13[#All],5,0)</f>
        <v>Нет</v>
      </c>
      <c r="AI417" s="12">
        <v>43800</v>
      </c>
      <c r="AJ417">
        <v>28</v>
      </c>
    </row>
    <row r="418" spans="5:36">
      <c r="E418"/>
      <c r="AD418" t="s">
        <v>19</v>
      </c>
      <c r="AE418" t="str">
        <f>VLOOKUP(Таблица1_113[[#This Row],[Марка]],Таблица13[#All],4,0)</f>
        <v>Россия</v>
      </c>
      <c r="AF418" t="str">
        <f>VLOOKUP(Таблица1_113[[#This Row],[Марка]],Таблица13[#All],2,0)</f>
        <v>Economy</v>
      </c>
      <c r="AG418">
        <f>VLOOKUP(Таблица1_113[[#This Row],[Марка]],Таблица13[#All],3,0)</f>
        <v>1970</v>
      </c>
      <c r="AH418" t="str">
        <f>VLOOKUP(Таблица1_113[[#This Row],[Марка]],Таблица13[#All],5,0)</f>
        <v>Крупноузловая</v>
      </c>
      <c r="AI418" s="12">
        <v>43800</v>
      </c>
      <c r="AJ418">
        <v>1694</v>
      </c>
    </row>
    <row r="419" spans="5:36">
      <c r="E419"/>
      <c r="AD419" t="s">
        <v>15</v>
      </c>
      <c r="AE419" t="str">
        <f>VLOOKUP(Таблица1_113[[#This Row],[Марка]],Таблица13[#All],4,0)</f>
        <v>Корея</v>
      </c>
      <c r="AF419" t="str">
        <f>VLOOKUP(Таблица1_113[[#This Row],[Марка]],Таблица13[#All],2,0)</f>
        <v>Economy</v>
      </c>
      <c r="AG419">
        <f>VLOOKUP(Таблица1_113[[#This Row],[Марка]],Таблица13[#All],3,0)</f>
        <v>1944</v>
      </c>
      <c r="AH419" t="str">
        <f>VLOOKUP(Таблица1_113[[#This Row],[Марка]],Таблица13[#All],5,0)</f>
        <v>Крупноузловая</v>
      </c>
      <c r="AI419" s="12">
        <v>43800</v>
      </c>
      <c r="AJ419">
        <v>568</v>
      </c>
    </row>
    <row r="420" spans="5:36">
      <c r="E420"/>
      <c r="AD420" t="s">
        <v>134</v>
      </c>
      <c r="AE420" t="str">
        <f>VLOOKUP(Таблица1_113[[#This Row],[Марка]],Таблица13[#All],4,0)</f>
        <v>Великобритания</v>
      </c>
      <c r="AF420" t="str">
        <f>VLOOKUP(Таблица1_113[[#This Row],[Марка]],Таблица13[#All],2,0)</f>
        <v>Luxury</v>
      </c>
      <c r="AG420">
        <f>VLOOKUP(Таблица1_113[[#This Row],[Марка]],Таблица13[#All],3,0)</f>
        <v>1922</v>
      </c>
      <c r="AH420" t="str">
        <f>VLOOKUP(Таблица1_113[[#This Row],[Марка]],Таблица13[#All],5,0)</f>
        <v>Нет</v>
      </c>
      <c r="AI420" s="12">
        <v>43800</v>
      </c>
      <c r="AJ420">
        <v>9</v>
      </c>
    </row>
    <row r="421" spans="5:36">
      <c r="E421"/>
      <c r="AD421" t="s">
        <v>4</v>
      </c>
      <c r="AE421" t="str">
        <f>VLOOKUP(Таблица1_113[[#This Row],[Марка]],Таблица13[#All],4,0)</f>
        <v>Китай</v>
      </c>
      <c r="AF421" t="str">
        <f>VLOOKUP(Таблица1_113[[#This Row],[Марка]],Таблица13[#All],2,0)</f>
        <v>Economy</v>
      </c>
      <c r="AG421">
        <f>VLOOKUP(Таблица1_113[[#This Row],[Марка]],Таблица13[#All],3,0)</f>
        <v>1964</v>
      </c>
      <c r="AH421" t="str">
        <f>VLOOKUP(Таблица1_113[[#This Row],[Марка]],Таблица13[#All],5,0)</f>
        <v>Крупноузловая</v>
      </c>
      <c r="AI421" s="12">
        <v>43800</v>
      </c>
      <c r="AJ421">
        <v>238</v>
      </c>
    </row>
    <row r="422" spans="5:36">
      <c r="E422"/>
      <c r="AD422" t="s">
        <v>140</v>
      </c>
      <c r="AE422" t="str">
        <f>VLOOKUP(Таблица1_113[[#This Row],[Марка]],Таблица13[#All],4,0)</f>
        <v>Япония</v>
      </c>
      <c r="AF422" t="str">
        <f>VLOOKUP(Таблица1_113[[#This Row],[Марка]],Таблица13[#All],2,0)</f>
        <v>Business</v>
      </c>
      <c r="AG422">
        <f>VLOOKUP(Таблица1_113[[#This Row],[Марка]],Таблица13[#All],3,0)</f>
        <v>1916</v>
      </c>
      <c r="AH422" t="str">
        <f>VLOOKUP(Таблица1_113[[#This Row],[Марка]],Таблица13[#All],5,0)</f>
        <v>Нет</v>
      </c>
      <c r="AI422" s="12">
        <v>43800</v>
      </c>
      <c r="AJ422">
        <v>46</v>
      </c>
    </row>
    <row r="423" spans="5:36">
      <c r="E423"/>
      <c r="AD423" t="s">
        <v>34</v>
      </c>
      <c r="AE423" t="str">
        <f>VLOOKUP(Таблица1_113[[#This Row],[Марка]],Таблица13[#All],4,0)</f>
        <v>Япония</v>
      </c>
      <c r="AF423" t="str">
        <f>VLOOKUP(Таблица1_113[[#This Row],[Марка]],Таблица13[#All],2,0)</f>
        <v>Luxury</v>
      </c>
      <c r="AG423">
        <f>VLOOKUP(Таблица1_113[[#This Row],[Марка]],Таблица13[#All],3,0)</f>
        <v>1989</v>
      </c>
      <c r="AH423" t="str">
        <f>VLOOKUP(Таблица1_113[[#This Row],[Марка]],Таблица13[#All],5,0)</f>
        <v>Нет</v>
      </c>
      <c r="AI423" s="12">
        <v>43800</v>
      </c>
      <c r="AJ423">
        <v>38</v>
      </c>
    </row>
    <row r="424" spans="5:36">
      <c r="E424"/>
      <c r="AD424" t="s">
        <v>0</v>
      </c>
      <c r="AE424" t="str">
        <f>VLOOKUP(Таблица1_113[[#This Row],[Марка]],Таблица13[#All],4,0)</f>
        <v>Корея</v>
      </c>
      <c r="AF424" t="str">
        <f>VLOOKUP(Таблица1_113[[#This Row],[Марка]],Таблица13[#All],2,0)</f>
        <v>Economy</v>
      </c>
      <c r="AG424">
        <f>VLOOKUP(Таблица1_113[[#This Row],[Марка]],Таблица13[#All],3,0)</f>
        <v>1967</v>
      </c>
      <c r="AH424" t="str">
        <f>VLOOKUP(Таблица1_113[[#This Row],[Марка]],Таблица13[#All],5,0)</f>
        <v>Крупноузловая</v>
      </c>
      <c r="AI424" s="12">
        <v>43800</v>
      </c>
      <c r="AJ424">
        <v>1858</v>
      </c>
    </row>
    <row r="425" spans="5:36">
      <c r="E425"/>
      <c r="AD425" t="s">
        <v>133</v>
      </c>
      <c r="AE425" t="str">
        <f>VLOOKUP(Таблица1_113[[#This Row],[Марка]],Таблица13[#All],4,0)</f>
        <v>Китай</v>
      </c>
      <c r="AF425" t="str">
        <f>VLOOKUP(Таблица1_113[[#This Row],[Марка]],Таблица13[#All],2,0)</f>
        <v>Economy</v>
      </c>
      <c r="AG425">
        <f>VLOOKUP(Таблица1_113[[#This Row],[Марка]],Таблица13[#All],3,0)</f>
        <v>1996</v>
      </c>
      <c r="AH425" t="str">
        <f>VLOOKUP(Таблица1_113[[#This Row],[Марка]],Таблица13[#All],5,0)</f>
        <v>Нет</v>
      </c>
      <c r="AI425" s="12">
        <v>43800</v>
      </c>
      <c r="AJ425">
        <v>6</v>
      </c>
    </row>
    <row r="426" spans="5:36">
      <c r="E426"/>
      <c r="AD426" t="s">
        <v>147</v>
      </c>
      <c r="AE426" t="str">
        <f>VLOOKUP(Таблица1_113[[#This Row],[Марка]],Таблица13[#All],4,0)</f>
        <v>США</v>
      </c>
      <c r="AF426" t="str">
        <f>VLOOKUP(Таблица1_113[[#This Row],[Марка]],Таблица13[#All],2,0)</f>
        <v>Economy</v>
      </c>
      <c r="AG426">
        <f>VLOOKUP(Таблица1_113[[#This Row],[Марка]],Таблица13[#All],3,0)</f>
        <v>1903</v>
      </c>
      <c r="AH426" t="str">
        <f>VLOOKUP(Таблица1_113[[#This Row],[Марка]],Таблица13[#All],5,0)</f>
        <v>Нет</v>
      </c>
      <c r="AI426" s="12">
        <v>43800</v>
      </c>
      <c r="AJ426">
        <v>3</v>
      </c>
    </row>
    <row r="427" spans="5:36">
      <c r="E427"/>
      <c r="AD427" t="s">
        <v>130</v>
      </c>
      <c r="AE427" t="str">
        <f>VLOOKUP(Таблица1_113[[#This Row],[Марка]],Таблица13[#All],4,0)</f>
        <v>Китай</v>
      </c>
      <c r="AF427" t="str">
        <f>VLOOKUP(Таблица1_113[[#This Row],[Марка]],Таблица13[#All],2,0)</f>
        <v>Economy</v>
      </c>
      <c r="AG427">
        <f>VLOOKUP(Таблица1_113[[#This Row],[Марка]],Таблица13[#All],3,0)</f>
        <v>1969</v>
      </c>
      <c r="AH427" t="str">
        <f>VLOOKUP(Таблица1_113[[#This Row],[Марка]],Таблица13[#All],5,0)</f>
        <v>Нет</v>
      </c>
      <c r="AI427" s="12">
        <v>43800</v>
      </c>
      <c r="AJ427">
        <v>0</v>
      </c>
    </row>
    <row r="428" spans="5:36">
      <c r="E428"/>
      <c r="AD428" t="s">
        <v>137</v>
      </c>
      <c r="AE428" t="str">
        <f>VLOOKUP(Таблица1_113[[#This Row],[Марка]],Таблица13[#All],4,0)</f>
        <v>Корея</v>
      </c>
      <c r="AF428" t="str">
        <f>VLOOKUP(Таблица1_113[[#This Row],[Марка]],Таблица13[#All],2,0)</f>
        <v>Economy</v>
      </c>
      <c r="AG428">
        <f>VLOOKUP(Таблица1_113[[#This Row],[Марка]],Таблица13[#All],3,0)</f>
        <v>1967</v>
      </c>
      <c r="AH428" t="str">
        <f>VLOOKUP(Таблица1_113[[#This Row],[Марка]],Таблица13[#All],5,0)</f>
        <v>Нет</v>
      </c>
      <c r="AI428" s="12">
        <v>43800</v>
      </c>
      <c r="AJ428">
        <v>9</v>
      </c>
    </row>
    <row r="429" spans="5:36">
      <c r="E429"/>
      <c r="AD429" t="s">
        <v>1</v>
      </c>
      <c r="AE429" t="str">
        <f>VLOOKUP(Таблица1_113[[#This Row],[Марка]],Таблица13[#All],4,0)</f>
        <v>США</v>
      </c>
      <c r="AF429" t="str">
        <f>VLOOKUP(Таблица1_113[[#This Row],[Марка]],Таблица13[#All],2,0)</f>
        <v>Economy</v>
      </c>
      <c r="AG429">
        <f>VLOOKUP(Таблица1_113[[#This Row],[Марка]],Таблица13[#All],3,0)</f>
        <v>1911</v>
      </c>
      <c r="AH429" t="str">
        <f>VLOOKUP(Таблица1_113[[#This Row],[Марка]],Таблица13[#All],5,0)</f>
        <v>Крупноузловая</v>
      </c>
      <c r="AI429" s="12">
        <v>43800</v>
      </c>
      <c r="AJ429">
        <v>55</v>
      </c>
    </row>
    <row r="430" spans="5:36">
      <c r="E430"/>
      <c r="AD430" t="s">
        <v>36</v>
      </c>
      <c r="AE430" t="str">
        <f>VLOOKUP(Таблица1_113[[#This Row],[Марка]],Таблица13[#All],4,0)</f>
        <v>США</v>
      </c>
      <c r="AF430" t="str">
        <f>VLOOKUP(Таблица1_113[[#This Row],[Марка]],Таблица13[#All],2,0)</f>
        <v>Luxury</v>
      </c>
      <c r="AG430">
        <f>VLOOKUP(Таблица1_113[[#This Row],[Марка]],Таблица13[#All],3,0)</f>
        <v>1902</v>
      </c>
      <c r="AH430" t="str">
        <f>VLOOKUP(Таблица1_113[[#This Row],[Марка]],Таблица13[#All],5,0)</f>
        <v>Нет</v>
      </c>
      <c r="AI430" s="12">
        <v>43800</v>
      </c>
      <c r="AJ430">
        <v>12</v>
      </c>
    </row>
    <row r="431" spans="5:36">
      <c r="E431"/>
      <c r="AD431" t="s">
        <v>8</v>
      </c>
      <c r="AE431" t="str">
        <f>VLOOKUP(Таблица1_113[[#This Row],[Марка]],Таблица13[#All],4,0)</f>
        <v>Германия</v>
      </c>
      <c r="AF431" t="str">
        <f>VLOOKUP(Таблица1_113[[#This Row],[Марка]],Таблица13[#All],2,0)</f>
        <v>Luxury</v>
      </c>
      <c r="AG431">
        <f>VLOOKUP(Таблица1_113[[#This Row],[Марка]],Таблица13[#All],3,0)</f>
        <v>1916</v>
      </c>
      <c r="AH431" t="str">
        <f>VLOOKUP(Таблица1_113[[#This Row],[Марка]],Таблица13[#All],5,0)</f>
        <v>Нет</v>
      </c>
      <c r="AI431" s="12">
        <v>43800</v>
      </c>
      <c r="AJ431">
        <v>55</v>
      </c>
    </row>
    <row r="432" spans="5:36">
      <c r="E432"/>
      <c r="AD432" t="s">
        <v>38</v>
      </c>
      <c r="AE432" t="str">
        <f>VLOOKUP(Таблица1_113[[#This Row],[Марка]],Таблица13[#All],4,0)</f>
        <v>Германия</v>
      </c>
      <c r="AF432" t="str">
        <f>VLOOKUP(Таблица1_113[[#This Row],[Марка]],Таблица13[#All],2,0)</f>
        <v>Luxury</v>
      </c>
      <c r="AG432">
        <f>VLOOKUP(Таблица1_113[[#This Row],[Марка]],Таблица13[#All],3,0)</f>
        <v>1932</v>
      </c>
      <c r="AH432" t="str">
        <f>VLOOKUP(Таблица1_113[[#This Row],[Марка]],Таблица13[#All],5,0)</f>
        <v>Нет</v>
      </c>
      <c r="AI432" s="12">
        <v>43800</v>
      </c>
      <c r="AJ432">
        <v>1</v>
      </c>
    </row>
    <row r="433" spans="5:36">
      <c r="E433"/>
      <c r="AD433" t="s">
        <v>145</v>
      </c>
      <c r="AE433" t="str">
        <f>VLOOKUP(Таблица1_113[[#This Row],[Марка]],Таблица13[#All],4,0)</f>
        <v>Китай</v>
      </c>
      <c r="AF433" t="str">
        <f>VLOOKUP(Таблица1_113[[#This Row],[Марка]],Таблица13[#All],2,0)</f>
        <v>Economy</v>
      </c>
      <c r="AG433">
        <f>VLOOKUP(Таблица1_113[[#This Row],[Марка]],Таблица13[#All],3,0)</f>
        <v>1997</v>
      </c>
      <c r="AH433" t="str">
        <f>VLOOKUP(Таблица1_113[[#This Row],[Марка]],Таблица13[#All],5,0)</f>
        <v>Нет</v>
      </c>
      <c r="AI433" s="12">
        <v>43800</v>
      </c>
      <c r="AJ433">
        <v>0</v>
      </c>
    </row>
    <row r="434" spans="5:36">
      <c r="E434"/>
      <c r="AD434" t="s">
        <v>136</v>
      </c>
      <c r="AE434" t="str">
        <f>VLOOKUP(Таблица1_113[[#This Row],[Марка]],Таблица13[#All],4,0)</f>
        <v>Россия</v>
      </c>
      <c r="AF434" t="str">
        <f>VLOOKUP(Таблица1_113[[#This Row],[Марка]],Таблица13[#All],2,0)</f>
        <v>Economy</v>
      </c>
      <c r="AG434">
        <f>VLOOKUP(Таблица1_113[[#This Row],[Марка]],Таблица13[#All],3,0)</f>
        <v>1941</v>
      </c>
      <c r="AH434" t="str">
        <f>VLOOKUP(Таблица1_113[[#This Row],[Марка]],Таблица13[#All],5,0)</f>
        <v>Нет</v>
      </c>
      <c r="AI434" s="12">
        <v>43831</v>
      </c>
      <c r="AJ434">
        <v>72</v>
      </c>
    </row>
    <row r="435" spans="5:36">
      <c r="E435"/>
      <c r="AD435" t="s">
        <v>135</v>
      </c>
      <c r="AE435" t="str">
        <f>VLOOKUP(Таблица1_113[[#This Row],[Марка]],Таблица13[#All],4,0)</f>
        <v>-</v>
      </c>
      <c r="AF435" t="str">
        <f>VLOOKUP(Таблица1_113[[#This Row],[Марка]],Таблица13[#All],2,0)</f>
        <v>-</v>
      </c>
      <c r="AG435" t="str">
        <f>VLOOKUP(Таблица1_113[[#This Row],[Марка]],Таблица13[#All],3,0)</f>
        <v>-</v>
      </c>
      <c r="AH435" t="str">
        <f>VLOOKUP(Таблица1_113[[#This Row],[Марка]],Таблица13[#All],5,0)</f>
        <v>-</v>
      </c>
      <c r="AI435" s="12">
        <v>43831</v>
      </c>
      <c r="AJ435">
        <v>4</v>
      </c>
    </row>
    <row r="436" spans="5:36">
      <c r="E436"/>
      <c r="AD436" t="s">
        <v>39</v>
      </c>
      <c r="AE436" t="str">
        <f>VLOOKUP(Таблица1_113[[#This Row],[Марка]],Таблица13[#All],4,0)</f>
        <v>Швеция</v>
      </c>
      <c r="AF436" t="str">
        <f>VLOOKUP(Таблица1_113[[#This Row],[Марка]],Таблица13[#All],2,0)</f>
        <v>Business</v>
      </c>
      <c r="AG436">
        <f>VLOOKUP(Таблица1_113[[#This Row],[Марка]],Таблица13[#All],3,0)</f>
        <v>1927</v>
      </c>
      <c r="AH436" t="str">
        <f>VLOOKUP(Таблица1_113[[#This Row],[Марка]],Таблица13[#All],5,0)</f>
        <v>Нет</v>
      </c>
      <c r="AI436" s="12">
        <v>43831</v>
      </c>
      <c r="AJ436">
        <v>11</v>
      </c>
    </row>
    <row r="437" spans="5:36">
      <c r="E437"/>
      <c r="AD437" t="s">
        <v>21</v>
      </c>
      <c r="AE437" t="str">
        <f>VLOOKUP(Таблица1_113[[#This Row],[Марка]],Таблица13[#All],4,0)</f>
        <v>Германия</v>
      </c>
      <c r="AF437" t="str">
        <f>VLOOKUP(Таблица1_113[[#This Row],[Марка]],Таблица13[#All],2,0)</f>
        <v>Business</v>
      </c>
      <c r="AG437">
        <f>VLOOKUP(Таблица1_113[[#This Row],[Марка]],Таблица13[#All],3,0)</f>
        <v>1937</v>
      </c>
      <c r="AH437" t="str">
        <f>VLOOKUP(Таблица1_113[[#This Row],[Марка]],Таблица13[#All],5,0)</f>
        <v>Нет</v>
      </c>
      <c r="AI437" s="12">
        <v>43831</v>
      </c>
      <c r="AJ437">
        <v>165</v>
      </c>
    </row>
    <row r="438" spans="5:36">
      <c r="E438"/>
      <c r="AD438" t="s">
        <v>2</v>
      </c>
      <c r="AE438" t="str">
        <f>VLOOKUP(Таблица1_113[[#This Row],[Марка]],Таблица13[#All],4,0)</f>
        <v>Япония</v>
      </c>
      <c r="AF438" t="str">
        <f>VLOOKUP(Таблица1_113[[#This Row],[Марка]],Таблица13[#All],2,0)</f>
        <v>Business</v>
      </c>
      <c r="AG438">
        <f>VLOOKUP(Таблица1_113[[#This Row],[Марка]],Таблица13[#All],3,0)</f>
        <v>1937</v>
      </c>
      <c r="AH438" t="str">
        <f>VLOOKUP(Таблица1_113[[#This Row],[Марка]],Таблица13[#All],5,0)</f>
        <v>Нет</v>
      </c>
      <c r="AI438" s="12">
        <v>43831</v>
      </c>
      <c r="AJ438">
        <v>701</v>
      </c>
    </row>
    <row r="439" spans="5:36">
      <c r="E439"/>
      <c r="AD439" t="s">
        <v>143</v>
      </c>
      <c r="AE439" t="str">
        <f>VLOOKUP(Таблица1_113[[#This Row],[Марка]],Таблица13[#All],4,0)</f>
        <v>Япония</v>
      </c>
      <c r="AF439" t="str">
        <f>VLOOKUP(Таблица1_113[[#This Row],[Марка]],Таблица13[#All],2,0)</f>
        <v>Economy</v>
      </c>
      <c r="AG439">
        <f>VLOOKUP(Таблица1_113[[#This Row],[Марка]],Таблица13[#All],3,0)</f>
        <v>1909</v>
      </c>
      <c r="AH439" t="str">
        <f>VLOOKUP(Таблица1_113[[#This Row],[Марка]],Таблица13[#All],5,0)</f>
        <v>Нет</v>
      </c>
      <c r="AI439" s="12">
        <v>43831</v>
      </c>
      <c r="AJ439">
        <v>3</v>
      </c>
    </row>
    <row r="440" spans="5:36">
      <c r="E440"/>
      <c r="AD440" t="s">
        <v>125</v>
      </c>
      <c r="AE440" t="str">
        <f>VLOOKUP(Таблица1_113[[#This Row],[Марка]],Таблица13[#All],4,0)</f>
        <v>Япония</v>
      </c>
      <c r="AF440" t="str">
        <f>VLOOKUP(Таблица1_113[[#This Row],[Марка]],Таблица13[#All],2,0)</f>
        <v>Business</v>
      </c>
      <c r="AG440">
        <f>VLOOKUP(Таблица1_113[[#This Row],[Марка]],Таблица13[#All],3,0)</f>
        <v>1953</v>
      </c>
      <c r="AH440" t="str">
        <f>VLOOKUP(Таблица1_113[[#This Row],[Марка]],Таблица13[#All],5,0)</f>
        <v>Нет</v>
      </c>
      <c r="AI440" s="12">
        <v>43831</v>
      </c>
      <c r="AJ440">
        <v>42</v>
      </c>
    </row>
    <row r="441" spans="5:36">
      <c r="E441"/>
      <c r="AD441" t="s">
        <v>141</v>
      </c>
      <c r="AE441" t="str">
        <f>VLOOKUP(Таблица1_113[[#This Row],[Марка]],Таблица13[#All],4,0)</f>
        <v>Чехия</v>
      </c>
      <c r="AF441" t="str">
        <f>VLOOKUP(Таблица1_113[[#This Row],[Марка]],Таблица13[#All],2,0)</f>
        <v>Business</v>
      </c>
      <c r="AG441">
        <f>VLOOKUP(Таблица1_113[[#This Row],[Марка]],Таблица13[#All],3,0)</f>
        <v>1895</v>
      </c>
      <c r="AH441" t="str">
        <f>VLOOKUP(Таблица1_113[[#This Row],[Марка]],Таблица13[#All],5,0)</f>
        <v>Крупноузловая</v>
      </c>
      <c r="AI441" s="12">
        <v>43831</v>
      </c>
      <c r="AJ441">
        <v>65</v>
      </c>
    </row>
    <row r="442" spans="5:36">
      <c r="E442"/>
      <c r="AD442" t="s">
        <v>23</v>
      </c>
      <c r="AE442" t="str">
        <f>VLOOKUP(Таблица1_113[[#This Row],[Марка]],Таблица13[#All],4,0)</f>
        <v>Франция</v>
      </c>
      <c r="AF442" t="str">
        <f>VLOOKUP(Таблица1_113[[#This Row],[Марка]],Таблица13[#All],2,0)</f>
        <v>Economy</v>
      </c>
      <c r="AG442">
        <f>VLOOKUP(Таблица1_113[[#This Row],[Марка]],Таблица13[#All],3,0)</f>
        <v>1899</v>
      </c>
      <c r="AH442" t="str">
        <f>VLOOKUP(Таблица1_113[[#This Row],[Марка]],Таблица13[#All],5,0)</f>
        <v>Крупноузловая</v>
      </c>
      <c r="AI442" s="12">
        <v>43831</v>
      </c>
      <c r="AJ442">
        <v>248</v>
      </c>
    </row>
    <row r="443" spans="5:36">
      <c r="E443"/>
      <c r="AD443" t="s">
        <v>142</v>
      </c>
      <c r="AE443" t="str">
        <f>VLOOKUP(Таблица1_113[[#This Row],[Марка]],Таблица13[#All],4,0)</f>
        <v>Узбекистан</v>
      </c>
      <c r="AF443" t="str">
        <f>VLOOKUP(Таблица1_113[[#This Row],[Марка]],Таблица13[#All],2,0)</f>
        <v>Economy</v>
      </c>
      <c r="AG443">
        <f>VLOOKUP(Таблица1_113[[#This Row],[Марка]],Таблица13[#All],3,0)</f>
        <v>2015</v>
      </c>
      <c r="AH443" t="str">
        <f>VLOOKUP(Таблица1_113[[#This Row],[Марка]],Таблица13[#All],5,0)</f>
        <v>Крупноузловая</v>
      </c>
      <c r="AI443" s="12">
        <v>43831</v>
      </c>
      <c r="AJ443">
        <v>652</v>
      </c>
    </row>
    <row r="444" spans="5:36">
      <c r="E444"/>
      <c r="AD444" t="s">
        <v>37</v>
      </c>
      <c r="AE444" t="str">
        <f>VLOOKUP(Таблица1_113[[#This Row],[Марка]],Таблица13[#All],4,0)</f>
        <v>Германия</v>
      </c>
      <c r="AF444" t="str">
        <f>VLOOKUP(Таблица1_113[[#This Row],[Марка]],Таблица13[#All],2,0)</f>
        <v>Luxury</v>
      </c>
      <c r="AG444">
        <f>VLOOKUP(Таблица1_113[[#This Row],[Марка]],Таблица13[#All],3,0)</f>
        <v>1931</v>
      </c>
      <c r="AH444" t="str">
        <f>VLOOKUP(Таблица1_113[[#This Row],[Марка]],Таблица13[#All],5,0)</f>
        <v>Нет</v>
      </c>
      <c r="AI444" s="12">
        <v>43831</v>
      </c>
      <c r="AJ444">
        <v>15</v>
      </c>
    </row>
    <row r="445" spans="5:36">
      <c r="E445"/>
      <c r="AD445" t="s">
        <v>22</v>
      </c>
      <c r="AE445" t="str">
        <f>VLOOKUP(Таблица1_113[[#This Row],[Марка]],Таблица13[#All],4,0)</f>
        <v>Япония</v>
      </c>
      <c r="AF445" t="str">
        <f>VLOOKUP(Таблица1_113[[#This Row],[Марка]],Таблица13[#All],2,0)</f>
        <v>Business</v>
      </c>
      <c r="AG445">
        <f>VLOOKUP(Таблица1_113[[#This Row],[Марка]],Таблица13[#All],3,0)</f>
        <v>1933</v>
      </c>
      <c r="AH445" t="str">
        <f>VLOOKUP(Таблица1_113[[#This Row],[Марка]],Таблица13[#All],5,0)</f>
        <v>Нет</v>
      </c>
      <c r="AI445" s="12">
        <v>43831</v>
      </c>
      <c r="AJ445">
        <v>114</v>
      </c>
    </row>
    <row r="446" spans="5:36">
      <c r="E446"/>
      <c r="AD446" t="s">
        <v>9</v>
      </c>
      <c r="AE446" t="str">
        <f>VLOOKUP(Таблица1_113[[#This Row],[Марка]],Таблица13[#All],4,0)</f>
        <v>Япония</v>
      </c>
      <c r="AF446" t="str">
        <f>VLOOKUP(Таблица1_113[[#This Row],[Марка]],Таблица13[#All],2,0)</f>
        <v>Business</v>
      </c>
      <c r="AG446">
        <f>VLOOKUP(Таблица1_113[[#This Row],[Марка]],Таблица13[#All],3,0)</f>
        <v>1870</v>
      </c>
      <c r="AH446" t="str">
        <f>VLOOKUP(Таблица1_113[[#This Row],[Марка]],Таблица13[#All],5,0)</f>
        <v>Нет</v>
      </c>
      <c r="AI446" s="12">
        <v>43831</v>
      </c>
      <c r="AJ446">
        <v>54</v>
      </c>
    </row>
    <row r="447" spans="5:36">
      <c r="E447"/>
      <c r="AD447" t="s">
        <v>40</v>
      </c>
      <c r="AE447" t="str">
        <f>VLOOKUP(Таблица1_113[[#This Row],[Марка]],Таблица13[#All],4,0)</f>
        <v>Великобритания</v>
      </c>
      <c r="AF447" t="str">
        <f>VLOOKUP(Таблица1_113[[#This Row],[Марка]],Таблица13[#All],2,0)</f>
        <v>Luxury</v>
      </c>
      <c r="AG447">
        <f>VLOOKUP(Таблица1_113[[#This Row],[Марка]],Таблица13[#All],3,0)</f>
        <v>1959</v>
      </c>
      <c r="AH447" t="str">
        <f>VLOOKUP(Таблица1_113[[#This Row],[Марка]],Таблица13[#All],5,0)</f>
        <v>Нет</v>
      </c>
      <c r="AI447" s="12">
        <v>43831</v>
      </c>
      <c r="AJ447">
        <v>0</v>
      </c>
    </row>
    <row r="448" spans="5:36">
      <c r="E448"/>
      <c r="AD448" t="s">
        <v>128</v>
      </c>
      <c r="AE448" t="str">
        <f>VLOOKUP(Таблица1_113[[#This Row],[Марка]],Таблица13[#All],4,0)</f>
        <v>Германия</v>
      </c>
      <c r="AF448" t="str">
        <f>VLOOKUP(Таблица1_113[[#This Row],[Марка]],Таблица13[#All],2,0)</f>
        <v>Luxury</v>
      </c>
      <c r="AG448">
        <f>VLOOKUP(Таблица1_113[[#This Row],[Марка]],Таблица13[#All],3,0)</f>
        <v>1926</v>
      </c>
      <c r="AH448" t="str">
        <f>VLOOKUP(Таблица1_113[[#This Row],[Марка]],Таблица13[#All],5,0)</f>
        <v>Нет</v>
      </c>
      <c r="AI448" s="12">
        <v>43831</v>
      </c>
      <c r="AJ448">
        <v>34</v>
      </c>
    </row>
    <row r="449" spans="5:36">
      <c r="E449"/>
      <c r="AD449" t="s">
        <v>139</v>
      </c>
      <c r="AE449" t="str">
        <f>VLOOKUP(Таблица1_113[[#This Row],[Марка]],Таблица13[#All],4,0)</f>
        <v>Япония</v>
      </c>
      <c r="AF449" t="str">
        <f>VLOOKUP(Таблица1_113[[#This Row],[Марка]],Таблица13[#All],2,0)</f>
        <v>Business</v>
      </c>
      <c r="AG449">
        <f>VLOOKUP(Таблица1_113[[#This Row],[Марка]],Таблица13[#All],3,0)</f>
        <v>1920</v>
      </c>
      <c r="AH449" t="str">
        <f>VLOOKUP(Таблица1_113[[#This Row],[Марка]],Таблица13[#All],5,0)</f>
        <v>Нет</v>
      </c>
      <c r="AI449" s="12">
        <v>43831</v>
      </c>
      <c r="AJ449">
        <v>23</v>
      </c>
    </row>
    <row r="450" spans="5:36">
      <c r="E450"/>
      <c r="AD450" t="s">
        <v>5</v>
      </c>
      <c r="AE450" t="str">
        <f>VLOOKUP(Таблица1_113[[#This Row],[Марка]],Таблица13[#All],4,0)</f>
        <v>Япония</v>
      </c>
      <c r="AF450" t="str">
        <f>VLOOKUP(Таблица1_113[[#This Row],[Марка]],Таблица13[#All],2,0)</f>
        <v>Luxury</v>
      </c>
      <c r="AG450">
        <f>VLOOKUP(Таблица1_113[[#This Row],[Марка]],Таблица13[#All],3,0)</f>
        <v>1989</v>
      </c>
      <c r="AH450" t="str">
        <f>VLOOKUP(Таблица1_113[[#This Row],[Марка]],Таблица13[#All],5,0)</f>
        <v>Нет</v>
      </c>
      <c r="AI450" s="12">
        <v>43831</v>
      </c>
      <c r="AJ450">
        <v>129</v>
      </c>
    </row>
    <row r="451" spans="5:36">
      <c r="E451"/>
      <c r="AD451" t="s">
        <v>35</v>
      </c>
      <c r="AE451" t="str">
        <f>VLOOKUP(Таблица1_113[[#This Row],[Марка]],Таблица13[#All],4,0)</f>
        <v>Великобритания</v>
      </c>
      <c r="AF451" t="str">
        <f>VLOOKUP(Таблица1_113[[#This Row],[Марка]],Таблица13[#All],2,0)</f>
        <v>Luxury</v>
      </c>
      <c r="AG451">
        <f>VLOOKUP(Таблица1_113[[#This Row],[Марка]],Таблица13[#All],3,0)</f>
        <v>1948</v>
      </c>
      <c r="AH451" t="str">
        <f>VLOOKUP(Таблица1_113[[#This Row],[Марка]],Таблица13[#All],5,0)</f>
        <v>Нет</v>
      </c>
      <c r="AI451" s="12">
        <v>43831</v>
      </c>
      <c r="AJ451">
        <v>18</v>
      </c>
    </row>
    <row r="452" spans="5:36">
      <c r="E452"/>
      <c r="AD452" t="s">
        <v>19</v>
      </c>
      <c r="AE452" t="str">
        <f>VLOOKUP(Таблица1_113[[#This Row],[Марка]],Таблица13[#All],4,0)</f>
        <v>Россия</v>
      </c>
      <c r="AF452" t="str">
        <f>VLOOKUP(Таблица1_113[[#This Row],[Марка]],Таблица13[#All],2,0)</f>
        <v>Economy</v>
      </c>
      <c r="AG452">
        <f>VLOOKUP(Таблица1_113[[#This Row],[Марка]],Таблица13[#All],3,0)</f>
        <v>1970</v>
      </c>
      <c r="AH452" t="str">
        <f>VLOOKUP(Таблица1_113[[#This Row],[Марка]],Таблица13[#All],5,0)</f>
        <v>Крупноузловая</v>
      </c>
      <c r="AI452" s="12">
        <v>43831</v>
      </c>
      <c r="AJ452">
        <v>914</v>
      </c>
    </row>
    <row r="453" spans="5:36">
      <c r="E453"/>
      <c r="AD453" t="s">
        <v>15</v>
      </c>
      <c r="AE453" t="str">
        <f>VLOOKUP(Таблица1_113[[#This Row],[Марка]],Таблица13[#All],4,0)</f>
        <v>Корея</v>
      </c>
      <c r="AF453" t="str">
        <f>VLOOKUP(Таблица1_113[[#This Row],[Марка]],Таблица13[#All],2,0)</f>
        <v>Economy</v>
      </c>
      <c r="AG453">
        <f>VLOOKUP(Таблица1_113[[#This Row],[Марка]],Таблица13[#All],3,0)</f>
        <v>1944</v>
      </c>
      <c r="AH453" t="str">
        <f>VLOOKUP(Таблица1_113[[#This Row],[Марка]],Таблица13[#All],5,0)</f>
        <v>Крупноузловая</v>
      </c>
      <c r="AI453" s="12">
        <v>43831</v>
      </c>
      <c r="AJ453">
        <v>513</v>
      </c>
    </row>
    <row r="454" spans="5:36">
      <c r="E454"/>
      <c r="AD454" t="s">
        <v>134</v>
      </c>
      <c r="AE454" t="str">
        <f>VLOOKUP(Таблица1_113[[#This Row],[Марка]],Таблица13[#All],4,0)</f>
        <v>Великобритания</v>
      </c>
      <c r="AF454" t="str">
        <f>VLOOKUP(Таблица1_113[[#This Row],[Марка]],Таблица13[#All],2,0)</f>
        <v>Luxury</v>
      </c>
      <c r="AG454">
        <f>VLOOKUP(Таблица1_113[[#This Row],[Марка]],Таблица13[#All],3,0)</f>
        <v>1922</v>
      </c>
      <c r="AH454" t="str">
        <f>VLOOKUP(Таблица1_113[[#This Row],[Марка]],Таблица13[#All],5,0)</f>
        <v>Нет</v>
      </c>
      <c r="AI454" s="12">
        <v>43831</v>
      </c>
      <c r="AJ454">
        <v>6</v>
      </c>
    </row>
    <row r="455" spans="5:36">
      <c r="E455"/>
      <c r="AD455" t="s">
        <v>4</v>
      </c>
      <c r="AE455" t="str">
        <f>VLOOKUP(Таблица1_113[[#This Row],[Марка]],Таблица13[#All],4,0)</f>
        <v>Китай</v>
      </c>
      <c r="AF455" t="str">
        <f>VLOOKUP(Таблица1_113[[#This Row],[Марка]],Таблица13[#All],2,0)</f>
        <v>Economy</v>
      </c>
      <c r="AG455">
        <f>VLOOKUP(Таблица1_113[[#This Row],[Марка]],Таблица13[#All],3,0)</f>
        <v>1964</v>
      </c>
      <c r="AH455" t="str">
        <f>VLOOKUP(Таблица1_113[[#This Row],[Марка]],Таблица13[#All],5,0)</f>
        <v>Крупноузловая</v>
      </c>
      <c r="AI455" s="12">
        <v>43831</v>
      </c>
      <c r="AJ455">
        <v>71</v>
      </c>
    </row>
    <row r="456" spans="5:36">
      <c r="E456"/>
      <c r="AD456" t="s">
        <v>140</v>
      </c>
      <c r="AE456" t="str">
        <f>VLOOKUP(Таблица1_113[[#This Row],[Марка]],Таблица13[#All],4,0)</f>
        <v>Япония</v>
      </c>
      <c r="AF456" t="str">
        <f>VLOOKUP(Таблица1_113[[#This Row],[Марка]],Таблица13[#All],2,0)</f>
        <v>Business</v>
      </c>
      <c r="AG456">
        <f>VLOOKUP(Таблица1_113[[#This Row],[Марка]],Таблица13[#All],3,0)</f>
        <v>1916</v>
      </c>
      <c r="AH456" t="str">
        <f>VLOOKUP(Таблица1_113[[#This Row],[Марка]],Таблица13[#All],5,0)</f>
        <v>Нет</v>
      </c>
      <c r="AI456" s="12">
        <v>43831</v>
      </c>
      <c r="AJ456">
        <v>18</v>
      </c>
    </row>
    <row r="457" spans="5:36">
      <c r="E457"/>
      <c r="AD457" t="s">
        <v>34</v>
      </c>
      <c r="AE457" t="str">
        <f>VLOOKUP(Таблица1_113[[#This Row],[Марка]],Таблица13[#All],4,0)</f>
        <v>Япония</v>
      </c>
      <c r="AF457" t="str">
        <f>VLOOKUP(Таблица1_113[[#This Row],[Марка]],Таблица13[#All],2,0)</f>
        <v>Luxury</v>
      </c>
      <c r="AG457">
        <f>VLOOKUP(Таблица1_113[[#This Row],[Марка]],Таблица13[#All],3,0)</f>
        <v>1989</v>
      </c>
      <c r="AH457" t="str">
        <f>VLOOKUP(Таблица1_113[[#This Row],[Марка]],Таблица13[#All],5,0)</f>
        <v>Нет</v>
      </c>
      <c r="AI457" s="12">
        <v>43831</v>
      </c>
      <c r="AJ457">
        <v>12</v>
      </c>
    </row>
    <row r="458" spans="5:36">
      <c r="E458"/>
      <c r="AD458" t="s">
        <v>0</v>
      </c>
      <c r="AE458" t="str">
        <f>VLOOKUP(Таблица1_113[[#This Row],[Марка]],Таблица13[#All],4,0)</f>
        <v>Корея</v>
      </c>
      <c r="AF458" t="str">
        <f>VLOOKUP(Таблица1_113[[#This Row],[Марка]],Таблица13[#All],2,0)</f>
        <v>Economy</v>
      </c>
      <c r="AG458">
        <f>VLOOKUP(Таблица1_113[[#This Row],[Марка]],Таблица13[#All],3,0)</f>
        <v>1967</v>
      </c>
      <c r="AH458" t="str">
        <f>VLOOKUP(Таблица1_113[[#This Row],[Марка]],Таблица13[#All],5,0)</f>
        <v>Крупноузловая</v>
      </c>
      <c r="AI458" s="12">
        <v>43831</v>
      </c>
      <c r="AJ458">
        <v>1164</v>
      </c>
    </row>
    <row r="459" spans="5:36">
      <c r="E459"/>
      <c r="AD459" t="s">
        <v>138</v>
      </c>
      <c r="AE459" t="str">
        <f>VLOOKUP(Таблица1_113[[#This Row],[Марка]],Таблица13[#All],4,0)</f>
        <v>Корея</v>
      </c>
      <c r="AF459" t="str">
        <f>VLOOKUP(Таблица1_113[[#This Row],[Марка]],Таблица13[#All],2,0)</f>
        <v>Luxury</v>
      </c>
      <c r="AG459">
        <f>VLOOKUP(Таблица1_113[[#This Row],[Марка]],Таблица13[#All],3,0)</f>
        <v>2015</v>
      </c>
      <c r="AH459" t="str">
        <f>VLOOKUP(Таблица1_113[[#This Row],[Марка]],Таблица13[#All],5,0)</f>
        <v>Нет</v>
      </c>
      <c r="AI459" s="12">
        <v>43831</v>
      </c>
      <c r="AJ459">
        <v>0</v>
      </c>
    </row>
    <row r="460" spans="5:36">
      <c r="E460"/>
      <c r="AD460" t="s">
        <v>133</v>
      </c>
      <c r="AE460" t="str">
        <f>VLOOKUP(Таблица1_113[[#This Row],[Марка]],Таблица13[#All],4,0)</f>
        <v>Китай</v>
      </c>
      <c r="AF460" t="str">
        <f>VLOOKUP(Таблица1_113[[#This Row],[Марка]],Таблица13[#All],2,0)</f>
        <v>Economy</v>
      </c>
      <c r="AG460">
        <f>VLOOKUP(Таблица1_113[[#This Row],[Марка]],Таблица13[#All],3,0)</f>
        <v>1996</v>
      </c>
      <c r="AH460" t="str">
        <f>VLOOKUP(Таблица1_113[[#This Row],[Марка]],Таблица13[#All],5,0)</f>
        <v>Нет</v>
      </c>
      <c r="AI460" s="12">
        <v>43831</v>
      </c>
      <c r="AJ460">
        <v>6</v>
      </c>
    </row>
    <row r="461" spans="5:36">
      <c r="E461"/>
      <c r="AD461" t="s">
        <v>130</v>
      </c>
      <c r="AE461" t="str">
        <f>VLOOKUP(Таблица1_113[[#This Row],[Марка]],Таблица13[#All],4,0)</f>
        <v>Китай</v>
      </c>
      <c r="AF461" t="str">
        <f>VLOOKUP(Таблица1_113[[#This Row],[Марка]],Таблица13[#All],2,0)</f>
        <v>Economy</v>
      </c>
      <c r="AG461">
        <f>VLOOKUP(Таблица1_113[[#This Row],[Марка]],Таблица13[#All],3,0)</f>
        <v>1969</v>
      </c>
      <c r="AH461" t="str">
        <f>VLOOKUP(Таблица1_113[[#This Row],[Марка]],Таблица13[#All],5,0)</f>
        <v>Нет</v>
      </c>
      <c r="AI461" s="12">
        <v>43831</v>
      </c>
      <c r="AJ461">
        <v>0</v>
      </c>
    </row>
    <row r="462" spans="5:36">
      <c r="E462"/>
      <c r="AD462" t="s">
        <v>137</v>
      </c>
      <c r="AE462" t="str">
        <f>VLOOKUP(Таблица1_113[[#This Row],[Марка]],Таблица13[#All],4,0)</f>
        <v>Корея</v>
      </c>
      <c r="AF462" t="str">
        <f>VLOOKUP(Таблица1_113[[#This Row],[Марка]],Таблица13[#All],2,0)</f>
        <v>Economy</v>
      </c>
      <c r="AG462">
        <f>VLOOKUP(Таблица1_113[[#This Row],[Марка]],Таблица13[#All],3,0)</f>
        <v>1967</v>
      </c>
      <c r="AH462" t="str">
        <f>VLOOKUP(Таблица1_113[[#This Row],[Марка]],Таблица13[#All],5,0)</f>
        <v>Нет</v>
      </c>
      <c r="AI462" s="12">
        <v>43831</v>
      </c>
      <c r="AJ462">
        <v>0</v>
      </c>
    </row>
    <row r="463" spans="5:36">
      <c r="E463"/>
      <c r="AD463" t="s">
        <v>1</v>
      </c>
      <c r="AE463" t="str">
        <f>VLOOKUP(Таблица1_113[[#This Row],[Марка]],Таблица13[#All],4,0)</f>
        <v>США</v>
      </c>
      <c r="AF463" t="str">
        <f>VLOOKUP(Таблица1_113[[#This Row],[Марка]],Таблица13[#All],2,0)</f>
        <v>Economy</v>
      </c>
      <c r="AG463">
        <f>VLOOKUP(Таблица1_113[[#This Row],[Марка]],Таблица13[#All],3,0)</f>
        <v>1911</v>
      </c>
      <c r="AH463" t="str">
        <f>VLOOKUP(Таблица1_113[[#This Row],[Марка]],Таблица13[#All],5,0)</f>
        <v>Крупноузловая</v>
      </c>
      <c r="AI463" s="12">
        <v>43831</v>
      </c>
      <c r="AJ463">
        <v>31</v>
      </c>
    </row>
    <row r="464" spans="5:36">
      <c r="E464"/>
      <c r="AD464" t="s">
        <v>36</v>
      </c>
      <c r="AE464" t="str">
        <f>VLOOKUP(Таблица1_113[[#This Row],[Марка]],Таблица13[#All],4,0)</f>
        <v>США</v>
      </c>
      <c r="AF464" t="str">
        <f>VLOOKUP(Таблица1_113[[#This Row],[Марка]],Таблица13[#All],2,0)</f>
        <v>Luxury</v>
      </c>
      <c r="AG464">
        <f>VLOOKUP(Таблица1_113[[#This Row],[Марка]],Таблица13[#All],3,0)</f>
        <v>1902</v>
      </c>
      <c r="AH464" t="str">
        <f>VLOOKUP(Таблица1_113[[#This Row],[Марка]],Таблица13[#All],5,0)</f>
        <v>Нет</v>
      </c>
      <c r="AI464" s="12">
        <v>43831</v>
      </c>
      <c r="AJ464">
        <v>0</v>
      </c>
    </row>
    <row r="465" spans="5:36">
      <c r="E465"/>
      <c r="AD465" t="s">
        <v>8</v>
      </c>
      <c r="AE465" t="str">
        <f>VLOOKUP(Таблица1_113[[#This Row],[Марка]],Таблица13[#All],4,0)</f>
        <v>Германия</v>
      </c>
      <c r="AF465" t="str">
        <f>VLOOKUP(Таблица1_113[[#This Row],[Марка]],Таблица13[#All],2,0)</f>
        <v>Luxury</v>
      </c>
      <c r="AG465">
        <f>VLOOKUP(Таблица1_113[[#This Row],[Марка]],Таблица13[#All],3,0)</f>
        <v>1916</v>
      </c>
      <c r="AH465" t="str">
        <f>VLOOKUP(Таблица1_113[[#This Row],[Марка]],Таблица13[#All],5,0)</f>
        <v>Нет</v>
      </c>
      <c r="AI465" s="12">
        <v>43831</v>
      </c>
      <c r="AJ465">
        <v>57</v>
      </c>
    </row>
    <row r="466" spans="5:36">
      <c r="E466"/>
      <c r="AD466" t="s">
        <v>38</v>
      </c>
      <c r="AE466" t="str">
        <f>VLOOKUP(Таблица1_113[[#This Row],[Марка]],Таблица13[#All],4,0)</f>
        <v>Германия</v>
      </c>
      <c r="AF466" t="str">
        <f>VLOOKUP(Таблица1_113[[#This Row],[Марка]],Таблица13[#All],2,0)</f>
        <v>Luxury</v>
      </c>
      <c r="AG466">
        <f>VLOOKUP(Таблица1_113[[#This Row],[Марка]],Таблица13[#All],3,0)</f>
        <v>1932</v>
      </c>
      <c r="AH466" t="str">
        <f>VLOOKUP(Таблица1_113[[#This Row],[Марка]],Таблица13[#All],5,0)</f>
        <v>Нет</v>
      </c>
      <c r="AI466" s="12">
        <v>43831</v>
      </c>
      <c r="AJ466">
        <v>7</v>
      </c>
    </row>
    <row r="467" spans="5:36">
      <c r="E467"/>
      <c r="AD467" t="s">
        <v>136</v>
      </c>
      <c r="AE467" t="str">
        <f>VLOOKUP(Таблица1_113[[#This Row],[Марка]],Таблица13[#All],4,0)</f>
        <v>Россия</v>
      </c>
      <c r="AF467" t="str">
        <f>VLOOKUP(Таблица1_113[[#This Row],[Марка]],Таблица13[#All],2,0)</f>
        <v>Economy</v>
      </c>
      <c r="AG467">
        <f>VLOOKUP(Таблица1_113[[#This Row],[Марка]],Таблица13[#All],3,0)</f>
        <v>1941</v>
      </c>
      <c r="AH467" t="str">
        <f>VLOOKUP(Таблица1_113[[#This Row],[Марка]],Таблица13[#All],5,0)</f>
        <v>Нет</v>
      </c>
      <c r="AI467" s="12">
        <v>43862</v>
      </c>
      <c r="AJ467">
        <v>111</v>
      </c>
    </row>
    <row r="468" spans="5:36">
      <c r="E468"/>
      <c r="AD468" t="s">
        <v>135</v>
      </c>
      <c r="AE468" t="str">
        <f>VLOOKUP(Таблица1_113[[#This Row],[Марка]],Таблица13[#All],4,0)</f>
        <v>-</v>
      </c>
      <c r="AF468" t="str">
        <f>VLOOKUP(Таблица1_113[[#This Row],[Марка]],Таблица13[#All],2,0)</f>
        <v>-</v>
      </c>
      <c r="AG468" t="str">
        <f>VLOOKUP(Таблица1_113[[#This Row],[Марка]],Таблица13[#All],3,0)</f>
        <v>-</v>
      </c>
      <c r="AH468" t="str">
        <f>VLOOKUP(Таблица1_113[[#This Row],[Марка]],Таблица13[#All],5,0)</f>
        <v>-</v>
      </c>
      <c r="AI468" s="12">
        <v>43862</v>
      </c>
      <c r="AJ468">
        <v>5</v>
      </c>
    </row>
    <row r="469" spans="5:36">
      <c r="E469"/>
      <c r="AD469" t="s">
        <v>39</v>
      </c>
      <c r="AE469" t="str">
        <f>VLOOKUP(Таблица1_113[[#This Row],[Марка]],Таблица13[#All],4,0)</f>
        <v>Швеция</v>
      </c>
      <c r="AF469" t="str">
        <f>VLOOKUP(Таблица1_113[[#This Row],[Марка]],Таблица13[#All],2,0)</f>
        <v>Business</v>
      </c>
      <c r="AG469">
        <f>VLOOKUP(Таблица1_113[[#This Row],[Марка]],Таблица13[#All],3,0)</f>
        <v>1927</v>
      </c>
      <c r="AH469" t="str">
        <f>VLOOKUP(Таблица1_113[[#This Row],[Марка]],Таблица13[#All],5,0)</f>
        <v>Нет</v>
      </c>
      <c r="AI469" s="12">
        <v>43862</v>
      </c>
      <c r="AJ469">
        <v>6</v>
      </c>
    </row>
    <row r="470" spans="5:36">
      <c r="E470"/>
      <c r="AD470" t="s">
        <v>21</v>
      </c>
      <c r="AE470" t="str">
        <f>VLOOKUP(Таблица1_113[[#This Row],[Марка]],Таблица13[#All],4,0)</f>
        <v>Германия</v>
      </c>
      <c r="AF470" t="str">
        <f>VLOOKUP(Таблица1_113[[#This Row],[Марка]],Таблица13[#All],2,0)</f>
        <v>Business</v>
      </c>
      <c r="AG470">
        <f>VLOOKUP(Таблица1_113[[#This Row],[Марка]],Таблица13[#All],3,0)</f>
        <v>1937</v>
      </c>
      <c r="AH470" t="str">
        <f>VLOOKUP(Таблица1_113[[#This Row],[Марка]],Таблица13[#All],5,0)</f>
        <v>Нет</v>
      </c>
      <c r="AI470" s="12">
        <v>43862</v>
      </c>
      <c r="AJ470">
        <v>172</v>
      </c>
    </row>
    <row r="471" spans="5:36">
      <c r="E471"/>
      <c r="AD471" t="s">
        <v>2</v>
      </c>
      <c r="AE471" t="str">
        <f>VLOOKUP(Таблица1_113[[#This Row],[Марка]],Таблица13[#All],4,0)</f>
        <v>Япония</v>
      </c>
      <c r="AF471" t="str">
        <f>VLOOKUP(Таблица1_113[[#This Row],[Марка]],Таблица13[#All],2,0)</f>
        <v>Business</v>
      </c>
      <c r="AG471">
        <f>VLOOKUP(Таблица1_113[[#This Row],[Марка]],Таблица13[#All],3,0)</f>
        <v>1937</v>
      </c>
      <c r="AH471" t="str">
        <f>VLOOKUP(Таблица1_113[[#This Row],[Марка]],Таблица13[#All],5,0)</f>
        <v>Нет</v>
      </c>
      <c r="AI471" s="12">
        <v>43862</v>
      </c>
      <c r="AJ471">
        <v>726</v>
      </c>
    </row>
    <row r="472" spans="5:36">
      <c r="E472"/>
      <c r="AD472" t="s">
        <v>143</v>
      </c>
      <c r="AE472" t="str">
        <f>VLOOKUP(Таблица1_113[[#This Row],[Марка]],Таблица13[#All],4,0)</f>
        <v>Япония</v>
      </c>
      <c r="AF472" t="str">
        <f>VLOOKUP(Таблица1_113[[#This Row],[Марка]],Таблица13[#All],2,0)</f>
        <v>Economy</v>
      </c>
      <c r="AG472">
        <f>VLOOKUP(Таблица1_113[[#This Row],[Марка]],Таблица13[#All],3,0)</f>
        <v>1909</v>
      </c>
      <c r="AH472" t="str">
        <f>VLOOKUP(Таблица1_113[[#This Row],[Марка]],Таблица13[#All],5,0)</f>
        <v>Нет</v>
      </c>
      <c r="AI472" s="12">
        <v>43862</v>
      </c>
      <c r="AJ472">
        <v>3</v>
      </c>
    </row>
    <row r="473" spans="5:36">
      <c r="E473"/>
      <c r="AD473" t="s">
        <v>125</v>
      </c>
      <c r="AE473" t="str">
        <f>VLOOKUP(Таблица1_113[[#This Row],[Марка]],Таблица13[#All],4,0)</f>
        <v>Япония</v>
      </c>
      <c r="AF473" t="str">
        <f>VLOOKUP(Таблица1_113[[#This Row],[Марка]],Таблица13[#All],2,0)</f>
        <v>Business</v>
      </c>
      <c r="AG473">
        <f>VLOOKUP(Таблица1_113[[#This Row],[Марка]],Таблица13[#All],3,0)</f>
        <v>1953</v>
      </c>
      <c r="AH473" t="str">
        <f>VLOOKUP(Таблица1_113[[#This Row],[Марка]],Таблица13[#All],5,0)</f>
        <v>Нет</v>
      </c>
      <c r="AI473" s="12">
        <v>43862</v>
      </c>
      <c r="AJ473">
        <v>55</v>
      </c>
    </row>
    <row r="474" spans="5:36">
      <c r="E474"/>
      <c r="AD474" t="s">
        <v>141</v>
      </c>
      <c r="AE474" t="str">
        <f>VLOOKUP(Таблица1_113[[#This Row],[Марка]],Таблица13[#All],4,0)</f>
        <v>Чехия</v>
      </c>
      <c r="AF474" t="str">
        <f>VLOOKUP(Таблица1_113[[#This Row],[Марка]],Таблица13[#All],2,0)</f>
        <v>Business</v>
      </c>
      <c r="AG474">
        <f>VLOOKUP(Таблица1_113[[#This Row],[Марка]],Таблица13[#All],3,0)</f>
        <v>1895</v>
      </c>
      <c r="AH474" t="str">
        <f>VLOOKUP(Таблица1_113[[#This Row],[Марка]],Таблица13[#All],5,0)</f>
        <v>Крупноузловая</v>
      </c>
      <c r="AI474" s="12">
        <v>43862</v>
      </c>
      <c r="AJ474">
        <v>23</v>
      </c>
    </row>
    <row r="475" spans="5:36">
      <c r="E475"/>
      <c r="AD475" t="s">
        <v>23</v>
      </c>
      <c r="AE475" t="str">
        <f>VLOOKUP(Таблица1_113[[#This Row],[Марка]],Таблица13[#All],4,0)</f>
        <v>Франция</v>
      </c>
      <c r="AF475" t="str">
        <f>VLOOKUP(Таблица1_113[[#This Row],[Марка]],Таблица13[#All],2,0)</f>
        <v>Economy</v>
      </c>
      <c r="AG475">
        <f>VLOOKUP(Таблица1_113[[#This Row],[Марка]],Таблица13[#All],3,0)</f>
        <v>1899</v>
      </c>
      <c r="AH475" t="str">
        <f>VLOOKUP(Таблица1_113[[#This Row],[Марка]],Таблица13[#All],5,0)</f>
        <v>Крупноузловая</v>
      </c>
      <c r="AI475" s="12">
        <v>43862</v>
      </c>
      <c r="AJ475">
        <v>255</v>
      </c>
    </row>
    <row r="476" spans="5:36">
      <c r="E476"/>
      <c r="AD476" t="s">
        <v>142</v>
      </c>
      <c r="AE476" t="str">
        <f>VLOOKUP(Таблица1_113[[#This Row],[Марка]],Таблица13[#All],4,0)</f>
        <v>Узбекистан</v>
      </c>
      <c r="AF476" t="str">
        <f>VLOOKUP(Таблица1_113[[#This Row],[Марка]],Таблица13[#All],2,0)</f>
        <v>Economy</v>
      </c>
      <c r="AG476">
        <f>VLOOKUP(Таблица1_113[[#This Row],[Марка]],Таблица13[#All],3,0)</f>
        <v>2015</v>
      </c>
      <c r="AH476" t="str">
        <f>VLOOKUP(Таблица1_113[[#This Row],[Марка]],Таблица13[#All],5,0)</f>
        <v>Крупноузловая</v>
      </c>
      <c r="AI476" s="12">
        <v>43862</v>
      </c>
      <c r="AJ476">
        <v>629</v>
      </c>
    </row>
    <row r="477" spans="5:36">
      <c r="E477"/>
      <c r="AD477" t="s">
        <v>37</v>
      </c>
      <c r="AE477" t="str">
        <f>VLOOKUP(Таблица1_113[[#This Row],[Марка]],Таблица13[#All],4,0)</f>
        <v>Германия</v>
      </c>
      <c r="AF477" t="str">
        <f>VLOOKUP(Таблица1_113[[#This Row],[Марка]],Таблица13[#All],2,0)</f>
        <v>Luxury</v>
      </c>
      <c r="AG477">
        <f>VLOOKUP(Таблица1_113[[#This Row],[Марка]],Таблица13[#All],3,0)</f>
        <v>1931</v>
      </c>
      <c r="AH477" t="str">
        <f>VLOOKUP(Таблица1_113[[#This Row],[Марка]],Таблица13[#All],5,0)</f>
        <v>Нет</v>
      </c>
      <c r="AI477" s="12">
        <v>43862</v>
      </c>
      <c r="AJ477">
        <v>22</v>
      </c>
    </row>
    <row r="478" spans="5:36">
      <c r="E478"/>
      <c r="AD478" t="s">
        <v>22</v>
      </c>
      <c r="AE478" t="str">
        <f>VLOOKUP(Таблица1_113[[#This Row],[Марка]],Таблица13[#All],4,0)</f>
        <v>Япония</v>
      </c>
      <c r="AF478" t="str">
        <f>VLOOKUP(Таблица1_113[[#This Row],[Марка]],Таблица13[#All],2,0)</f>
        <v>Business</v>
      </c>
      <c r="AG478">
        <f>VLOOKUP(Таблица1_113[[#This Row],[Марка]],Таблица13[#All],3,0)</f>
        <v>1933</v>
      </c>
      <c r="AH478" t="str">
        <f>VLOOKUP(Таблица1_113[[#This Row],[Марка]],Таблица13[#All],5,0)</f>
        <v>Нет</v>
      </c>
      <c r="AI478" s="12">
        <v>43862</v>
      </c>
      <c r="AJ478">
        <v>167</v>
      </c>
    </row>
    <row r="479" spans="5:36">
      <c r="E479"/>
      <c r="AD479" t="s">
        <v>9</v>
      </c>
      <c r="AE479" t="str">
        <f>VLOOKUP(Таблица1_113[[#This Row],[Марка]],Таблица13[#All],4,0)</f>
        <v>Япония</v>
      </c>
      <c r="AF479" t="str">
        <f>VLOOKUP(Таблица1_113[[#This Row],[Марка]],Таблица13[#All],2,0)</f>
        <v>Business</v>
      </c>
      <c r="AG479">
        <f>VLOOKUP(Таблица1_113[[#This Row],[Марка]],Таблица13[#All],3,0)</f>
        <v>1870</v>
      </c>
      <c r="AH479" t="str">
        <f>VLOOKUP(Таблица1_113[[#This Row],[Марка]],Таблица13[#All],5,0)</f>
        <v>Нет</v>
      </c>
      <c r="AI479" s="12">
        <v>43862</v>
      </c>
      <c r="AJ479">
        <v>73</v>
      </c>
    </row>
    <row r="480" spans="5:36">
      <c r="E480"/>
      <c r="AD480" t="s">
        <v>40</v>
      </c>
      <c r="AE480" t="str">
        <f>VLOOKUP(Таблица1_113[[#This Row],[Марка]],Таблица13[#All],4,0)</f>
        <v>Великобритания</v>
      </c>
      <c r="AF480" t="str">
        <f>VLOOKUP(Таблица1_113[[#This Row],[Марка]],Таблица13[#All],2,0)</f>
        <v>Luxury</v>
      </c>
      <c r="AG480">
        <f>VLOOKUP(Таблица1_113[[#This Row],[Марка]],Таблица13[#All],3,0)</f>
        <v>1959</v>
      </c>
      <c r="AH480" t="str">
        <f>VLOOKUP(Таблица1_113[[#This Row],[Марка]],Таблица13[#All],5,0)</f>
        <v>Нет</v>
      </c>
      <c r="AI480" s="12">
        <v>43862</v>
      </c>
      <c r="AJ480">
        <v>4</v>
      </c>
    </row>
    <row r="481" spans="5:36">
      <c r="E481"/>
      <c r="AD481" t="s">
        <v>128</v>
      </c>
      <c r="AE481" t="str">
        <f>VLOOKUP(Таблица1_113[[#This Row],[Марка]],Таблица13[#All],4,0)</f>
        <v>Германия</v>
      </c>
      <c r="AF481" t="str">
        <f>VLOOKUP(Таблица1_113[[#This Row],[Марка]],Таблица13[#All],2,0)</f>
        <v>Luxury</v>
      </c>
      <c r="AG481">
        <f>VLOOKUP(Таблица1_113[[#This Row],[Марка]],Таблица13[#All],3,0)</f>
        <v>1926</v>
      </c>
      <c r="AH481" t="str">
        <f>VLOOKUP(Таблица1_113[[#This Row],[Марка]],Таблица13[#All],5,0)</f>
        <v>Нет</v>
      </c>
      <c r="AI481" s="12">
        <v>43862</v>
      </c>
      <c r="AJ481">
        <v>29</v>
      </c>
    </row>
    <row r="482" spans="5:36">
      <c r="E482"/>
      <c r="AD482" t="s">
        <v>139</v>
      </c>
      <c r="AE482" t="str">
        <f>VLOOKUP(Таблица1_113[[#This Row],[Марка]],Таблица13[#All],4,0)</f>
        <v>Япония</v>
      </c>
      <c r="AF482" t="str">
        <f>VLOOKUP(Таблица1_113[[#This Row],[Марка]],Таблица13[#All],2,0)</f>
        <v>Business</v>
      </c>
      <c r="AG482">
        <f>VLOOKUP(Таблица1_113[[#This Row],[Марка]],Таблица13[#All],3,0)</f>
        <v>1920</v>
      </c>
      <c r="AH482" t="str">
        <f>VLOOKUP(Таблица1_113[[#This Row],[Марка]],Таблица13[#All],5,0)</f>
        <v>Нет</v>
      </c>
      <c r="AI482" s="12">
        <v>43862</v>
      </c>
      <c r="AJ482">
        <v>20</v>
      </c>
    </row>
    <row r="483" spans="5:36">
      <c r="E483"/>
      <c r="AD483" t="s">
        <v>5</v>
      </c>
      <c r="AE483" t="str">
        <f>VLOOKUP(Таблица1_113[[#This Row],[Марка]],Таблица13[#All],4,0)</f>
        <v>Япония</v>
      </c>
      <c r="AF483" t="str">
        <f>VLOOKUP(Таблица1_113[[#This Row],[Марка]],Таблица13[#All],2,0)</f>
        <v>Luxury</v>
      </c>
      <c r="AG483">
        <f>VLOOKUP(Таблица1_113[[#This Row],[Марка]],Таблица13[#All],3,0)</f>
        <v>1989</v>
      </c>
      <c r="AH483" t="str">
        <f>VLOOKUP(Таблица1_113[[#This Row],[Марка]],Таблица13[#All],5,0)</f>
        <v>Нет</v>
      </c>
      <c r="AI483" s="12">
        <v>43862</v>
      </c>
      <c r="AJ483">
        <v>94</v>
      </c>
    </row>
    <row r="484" spans="5:36">
      <c r="E484"/>
      <c r="AD484" t="s">
        <v>35</v>
      </c>
      <c r="AE484" t="str">
        <f>VLOOKUP(Таблица1_113[[#This Row],[Марка]],Таблица13[#All],4,0)</f>
        <v>Великобритания</v>
      </c>
      <c r="AF484" t="str">
        <f>VLOOKUP(Таблица1_113[[#This Row],[Марка]],Таблица13[#All],2,0)</f>
        <v>Luxury</v>
      </c>
      <c r="AG484">
        <f>VLOOKUP(Таблица1_113[[#This Row],[Марка]],Таблица13[#All],3,0)</f>
        <v>1948</v>
      </c>
      <c r="AH484" t="str">
        <f>VLOOKUP(Таблица1_113[[#This Row],[Марка]],Таблица13[#All],5,0)</f>
        <v>Нет</v>
      </c>
      <c r="AI484" s="12">
        <v>43862</v>
      </c>
      <c r="AJ484">
        <v>11</v>
      </c>
    </row>
    <row r="485" spans="5:36">
      <c r="E485"/>
      <c r="AD485" t="s">
        <v>19</v>
      </c>
      <c r="AE485" t="str">
        <f>VLOOKUP(Таблица1_113[[#This Row],[Марка]],Таблица13[#All],4,0)</f>
        <v>Россия</v>
      </c>
      <c r="AF485" t="str">
        <f>VLOOKUP(Таблица1_113[[#This Row],[Марка]],Таблица13[#All],2,0)</f>
        <v>Economy</v>
      </c>
      <c r="AG485">
        <f>VLOOKUP(Таблица1_113[[#This Row],[Марка]],Таблица13[#All],3,0)</f>
        <v>1970</v>
      </c>
      <c r="AH485" t="str">
        <f>VLOOKUP(Таблица1_113[[#This Row],[Марка]],Таблица13[#All],5,0)</f>
        <v>Крупноузловая</v>
      </c>
      <c r="AI485" s="12">
        <v>43862</v>
      </c>
      <c r="AJ485">
        <v>1110</v>
      </c>
    </row>
    <row r="486" spans="5:36">
      <c r="E486"/>
      <c r="AD486" t="s">
        <v>15</v>
      </c>
      <c r="AE486" t="str">
        <f>VLOOKUP(Таблица1_113[[#This Row],[Марка]],Таблица13[#All],4,0)</f>
        <v>Корея</v>
      </c>
      <c r="AF486" t="str">
        <f>VLOOKUP(Таблица1_113[[#This Row],[Марка]],Таблица13[#All],2,0)</f>
        <v>Economy</v>
      </c>
      <c r="AG486">
        <f>VLOOKUP(Таблица1_113[[#This Row],[Марка]],Таблица13[#All],3,0)</f>
        <v>1944</v>
      </c>
      <c r="AH486" t="str">
        <f>VLOOKUP(Таблица1_113[[#This Row],[Марка]],Таблица13[#All],5,0)</f>
        <v>Крупноузловая</v>
      </c>
      <c r="AI486" s="12">
        <v>43862</v>
      </c>
      <c r="AJ486">
        <v>579</v>
      </c>
    </row>
    <row r="487" spans="5:36">
      <c r="E487"/>
      <c r="AD487" t="s">
        <v>134</v>
      </c>
      <c r="AE487" t="str">
        <f>VLOOKUP(Таблица1_113[[#This Row],[Марка]],Таблица13[#All],4,0)</f>
        <v>Великобритания</v>
      </c>
      <c r="AF487" t="str">
        <f>VLOOKUP(Таблица1_113[[#This Row],[Марка]],Таблица13[#All],2,0)</f>
        <v>Luxury</v>
      </c>
      <c r="AG487">
        <f>VLOOKUP(Таблица1_113[[#This Row],[Марка]],Таблица13[#All],3,0)</f>
        <v>1922</v>
      </c>
      <c r="AH487" t="str">
        <f>VLOOKUP(Таблица1_113[[#This Row],[Марка]],Таблица13[#All],5,0)</f>
        <v>Нет</v>
      </c>
      <c r="AI487" s="12">
        <v>43862</v>
      </c>
      <c r="AJ487">
        <v>5</v>
      </c>
    </row>
    <row r="488" spans="5:36">
      <c r="E488"/>
      <c r="AD488" t="s">
        <v>4</v>
      </c>
      <c r="AE488" t="str">
        <f>VLOOKUP(Таблица1_113[[#This Row],[Марка]],Таблица13[#All],4,0)</f>
        <v>Китай</v>
      </c>
      <c r="AF488" t="str">
        <f>VLOOKUP(Таблица1_113[[#This Row],[Марка]],Таблица13[#All],2,0)</f>
        <v>Economy</v>
      </c>
      <c r="AG488">
        <f>VLOOKUP(Таблица1_113[[#This Row],[Марка]],Таблица13[#All],3,0)</f>
        <v>1964</v>
      </c>
      <c r="AH488" t="str">
        <f>VLOOKUP(Таблица1_113[[#This Row],[Марка]],Таблица13[#All],5,0)</f>
        <v>Крупноузловая</v>
      </c>
      <c r="AI488" s="12">
        <v>43862</v>
      </c>
      <c r="AJ488">
        <v>56</v>
      </c>
    </row>
    <row r="489" spans="5:36">
      <c r="E489"/>
      <c r="AD489" t="s">
        <v>140</v>
      </c>
      <c r="AE489" t="str">
        <f>VLOOKUP(Таблица1_113[[#This Row],[Марка]],Таблица13[#All],4,0)</f>
        <v>Япония</v>
      </c>
      <c r="AF489" t="str">
        <f>VLOOKUP(Таблица1_113[[#This Row],[Марка]],Таблица13[#All],2,0)</f>
        <v>Business</v>
      </c>
      <c r="AG489">
        <f>VLOOKUP(Таблица1_113[[#This Row],[Марка]],Таблица13[#All],3,0)</f>
        <v>1916</v>
      </c>
      <c r="AH489" t="str">
        <f>VLOOKUP(Таблица1_113[[#This Row],[Марка]],Таблица13[#All],5,0)</f>
        <v>Нет</v>
      </c>
      <c r="AI489" s="12">
        <v>43862</v>
      </c>
      <c r="AJ489">
        <v>25</v>
      </c>
    </row>
    <row r="490" spans="5:36">
      <c r="E490"/>
      <c r="AD490" t="s">
        <v>34</v>
      </c>
      <c r="AE490" t="str">
        <f>VLOOKUP(Таблица1_113[[#This Row],[Марка]],Таблица13[#All],4,0)</f>
        <v>Япония</v>
      </c>
      <c r="AF490" t="str">
        <f>VLOOKUP(Таблица1_113[[#This Row],[Марка]],Таблица13[#All],2,0)</f>
        <v>Luxury</v>
      </c>
      <c r="AG490">
        <f>VLOOKUP(Таблица1_113[[#This Row],[Марка]],Таблица13[#All],3,0)</f>
        <v>1989</v>
      </c>
      <c r="AH490" t="str">
        <f>VLOOKUP(Таблица1_113[[#This Row],[Марка]],Таблица13[#All],5,0)</f>
        <v>Нет</v>
      </c>
      <c r="AI490" s="12">
        <v>43862</v>
      </c>
      <c r="AJ490">
        <v>3</v>
      </c>
    </row>
    <row r="491" spans="5:36">
      <c r="E491"/>
      <c r="AD491" t="s">
        <v>0</v>
      </c>
      <c r="AE491" t="str">
        <f>VLOOKUP(Таблица1_113[[#This Row],[Марка]],Таблица13[#All],4,0)</f>
        <v>Корея</v>
      </c>
      <c r="AF491" t="str">
        <f>VLOOKUP(Таблица1_113[[#This Row],[Марка]],Таблица13[#All],2,0)</f>
        <v>Economy</v>
      </c>
      <c r="AG491">
        <f>VLOOKUP(Таблица1_113[[#This Row],[Марка]],Таблица13[#All],3,0)</f>
        <v>1967</v>
      </c>
      <c r="AH491" t="str">
        <f>VLOOKUP(Таблица1_113[[#This Row],[Марка]],Таблица13[#All],5,0)</f>
        <v>Крупноузловая</v>
      </c>
      <c r="AI491" s="12">
        <v>43862</v>
      </c>
      <c r="AJ491">
        <v>1033</v>
      </c>
    </row>
    <row r="492" spans="5:36">
      <c r="E492"/>
      <c r="AD492" t="s">
        <v>138</v>
      </c>
      <c r="AE492" t="str">
        <f>VLOOKUP(Таблица1_113[[#This Row],[Марка]],Таблица13[#All],4,0)</f>
        <v>Корея</v>
      </c>
      <c r="AF492" t="str">
        <f>VLOOKUP(Таблица1_113[[#This Row],[Марка]],Таблица13[#All],2,0)</f>
        <v>Luxury</v>
      </c>
      <c r="AG492">
        <f>VLOOKUP(Таблица1_113[[#This Row],[Марка]],Таблица13[#All],3,0)</f>
        <v>2015</v>
      </c>
      <c r="AH492" t="str">
        <f>VLOOKUP(Таблица1_113[[#This Row],[Марка]],Таблица13[#All],5,0)</f>
        <v>Нет</v>
      </c>
      <c r="AI492" s="12">
        <v>43862</v>
      </c>
      <c r="AJ492">
        <v>0</v>
      </c>
    </row>
    <row r="493" spans="5:36">
      <c r="E493"/>
      <c r="AD493" t="s">
        <v>133</v>
      </c>
      <c r="AE493" t="str">
        <f>VLOOKUP(Таблица1_113[[#This Row],[Марка]],Таблица13[#All],4,0)</f>
        <v>Китай</v>
      </c>
      <c r="AF493" t="str">
        <f>VLOOKUP(Таблица1_113[[#This Row],[Марка]],Таблица13[#All],2,0)</f>
        <v>Economy</v>
      </c>
      <c r="AG493">
        <f>VLOOKUP(Таблица1_113[[#This Row],[Марка]],Таблица13[#All],3,0)</f>
        <v>1996</v>
      </c>
      <c r="AH493" t="str">
        <f>VLOOKUP(Таблица1_113[[#This Row],[Марка]],Таблица13[#All],5,0)</f>
        <v>Нет</v>
      </c>
      <c r="AI493" s="12">
        <v>43862</v>
      </c>
      <c r="AJ493">
        <v>0</v>
      </c>
    </row>
    <row r="494" spans="5:36">
      <c r="E494"/>
      <c r="AD494" t="s">
        <v>130</v>
      </c>
      <c r="AE494" t="str">
        <f>VLOOKUP(Таблица1_113[[#This Row],[Марка]],Таблица13[#All],4,0)</f>
        <v>Китай</v>
      </c>
      <c r="AF494" t="str">
        <f>VLOOKUP(Таблица1_113[[#This Row],[Марка]],Таблица13[#All],2,0)</f>
        <v>Economy</v>
      </c>
      <c r="AG494">
        <f>VLOOKUP(Таблица1_113[[#This Row],[Марка]],Таблица13[#All],3,0)</f>
        <v>1969</v>
      </c>
      <c r="AH494" t="str">
        <f>VLOOKUP(Таблица1_113[[#This Row],[Марка]],Таблица13[#All],5,0)</f>
        <v>Нет</v>
      </c>
      <c r="AI494" s="12">
        <v>43862</v>
      </c>
      <c r="AJ494">
        <v>4</v>
      </c>
    </row>
    <row r="495" spans="5:36">
      <c r="E495"/>
      <c r="AD495" t="s">
        <v>137</v>
      </c>
      <c r="AE495" t="str">
        <f>VLOOKUP(Таблица1_113[[#This Row],[Марка]],Таблица13[#All],4,0)</f>
        <v>Корея</v>
      </c>
      <c r="AF495" t="str">
        <f>VLOOKUP(Таблица1_113[[#This Row],[Марка]],Таблица13[#All],2,0)</f>
        <v>Economy</v>
      </c>
      <c r="AG495">
        <f>VLOOKUP(Таблица1_113[[#This Row],[Марка]],Таблица13[#All],3,0)</f>
        <v>1967</v>
      </c>
      <c r="AH495" t="str">
        <f>VLOOKUP(Таблица1_113[[#This Row],[Марка]],Таблица13[#All],5,0)</f>
        <v>Нет</v>
      </c>
      <c r="AI495" s="12">
        <v>43862</v>
      </c>
      <c r="AJ495">
        <v>0</v>
      </c>
    </row>
    <row r="496" spans="5:36">
      <c r="E496"/>
      <c r="AD496" t="s">
        <v>1</v>
      </c>
      <c r="AE496" t="str">
        <f>VLOOKUP(Таблица1_113[[#This Row],[Марка]],Таблица13[#All],4,0)</f>
        <v>США</v>
      </c>
      <c r="AF496" t="str">
        <f>VLOOKUP(Таблица1_113[[#This Row],[Марка]],Таблица13[#All],2,0)</f>
        <v>Economy</v>
      </c>
      <c r="AG496">
        <f>VLOOKUP(Таблица1_113[[#This Row],[Марка]],Таблица13[#All],3,0)</f>
        <v>1911</v>
      </c>
      <c r="AH496" t="str">
        <f>VLOOKUP(Таблица1_113[[#This Row],[Марка]],Таблица13[#All],5,0)</f>
        <v>Крупноузловая</v>
      </c>
      <c r="AI496" s="12">
        <v>43862</v>
      </c>
      <c r="AJ496">
        <v>53</v>
      </c>
    </row>
    <row r="497" spans="5:36">
      <c r="E497"/>
      <c r="AD497" t="s">
        <v>36</v>
      </c>
      <c r="AE497" t="str">
        <f>VLOOKUP(Таблица1_113[[#This Row],[Марка]],Таблица13[#All],4,0)</f>
        <v>США</v>
      </c>
      <c r="AF497" t="str">
        <f>VLOOKUP(Таблица1_113[[#This Row],[Марка]],Таблица13[#All],2,0)</f>
        <v>Luxury</v>
      </c>
      <c r="AG497">
        <f>VLOOKUP(Таблица1_113[[#This Row],[Марка]],Таблица13[#All],3,0)</f>
        <v>1902</v>
      </c>
      <c r="AH497" t="str">
        <f>VLOOKUP(Таблица1_113[[#This Row],[Марка]],Таблица13[#All],5,0)</f>
        <v>Нет</v>
      </c>
      <c r="AI497" s="12">
        <v>43862</v>
      </c>
      <c r="AJ497">
        <v>2</v>
      </c>
    </row>
    <row r="498" spans="5:36">
      <c r="E498"/>
      <c r="AD498" t="s">
        <v>8</v>
      </c>
      <c r="AE498" t="str">
        <f>VLOOKUP(Таблица1_113[[#This Row],[Марка]],Таблица13[#All],4,0)</f>
        <v>Германия</v>
      </c>
      <c r="AF498" t="str">
        <f>VLOOKUP(Таблица1_113[[#This Row],[Марка]],Таблица13[#All],2,0)</f>
        <v>Luxury</v>
      </c>
      <c r="AG498">
        <f>VLOOKUP(Таблица1_113[[#This Row],[Марка]],Таблица13[#All],3,0)</f>
        <v>1916</v>
      </c>
      <c r="AH498" t="str">
        <f>VLOOKUP(Таблица1_113[[#This Row],[Марка]],Таблица13[#All],5,0)</f>
        <v>Нет</v>
      </c>
      <c r="AI498" s="12">
        <v>43862</v>
      </c>
      <c r="AJ498">
        <v>57</v>
      </c>
    </row>
    <row r="499" spans="5:36">
      <c r="E499"/>
      <c r="AD499" t="s">
        <v>38</v>
      </c>
      <c r="AE499" t="str">
        <f>VLOOKUP(Таблица1_113[[#This Row],[Марка]],Таблица13[#All],4,0)</f>
        <v>Германия</v>
      </c>
      <c r="AF499" t="str">
        <f>VLOOKUP(Таблица1_113[[#This Row],[Марка]],Таблица13[#All],2,0)</f>
        <v>Luxury</v>
      </c>
      <c r="AG499">
        <f>VLOOKUP(Таблица1_113[[#This Row],[Марка]],Таблица13[#All],3,0)</f>
        <v>1932</v>
      </c>
      <c r="AH499" t="str">
        <f>VLOOKUP(Таблица1_113[[#This Row],[Марка]],Таблица13[#All],5,0)</f>
        <v>Нет</v>
      </c>
      <c r="AI499" s="12">
        <v>43862</v>
      </c>
      <c r="AJ499">
        <v>13</v>
      </c>
    </row>
    <row r="500" spans="5:36">
      <c r="E500"/>
      <c r="AD500" t="s">
        <v>136</v>
      </c>
      <c r="AE500" t="str">
        <f>VLOOKUP(Таблица1_113[[#This Row],[Марка]],Таблица13[#All],4,0)</f>
        <v>Россия</v>
      </c>
      <c r="AF500" t="str">
        <f>VLOOKUP(Таблица1_113[[#This Row],[Марка]],Таблица13[#All],2,0)</f>
        <v>Economy</v>
      </c>
      <c r="AG500">
        <f>VLOOKUP(Таблица1_113[[#This Row],[Марка]],Таблица13[#All],3,0)</f>
        <v>1941</v>
      </c>
      <c r="AH500" t="str">
        <f>VLOOKUP(Таблица1_113[[#This Row],[Марка]],Таблица13[#All],5,0)</f>
        <v>Нет</v>
      </c>
      <c r="AI500" s="12">
        <v>43891</v>
      </c>
      <c r="AJ500">
        <v>118</v>
      </c>
    </row>
    <row r="501" spans="5:36">
      <c r="E501"/>
      <c r="AD501" t="s">
        <v>135</v>
      </c>
      <c r="AE501" t="str">
        <f>VLOOKUP(Таблица1_113[[#This Row],[Марка]],Таблица13[#All],4,0)</f>
        <v>-</v>
      </c>
      <c r="AF501" t="str">
        <f>VLOOKUP(Таблица1_113[[#This Row],[Марка]],Таблица13[#All],2,0)</f>
        <v>-</v>
      </c>
      <c r="AG501" t="str">
        <f>VLOOKUP(Таблица1_113[[#This Row],[Марка]],Таблица13[#All],3,0)</f>
        <v>-</v>
      </c>
      <c r="AH501" t="str">
        <f>VLOOKUP(Таблица1_113[[#This Row],[Марка]],Таблица13[#All],5,0)</f>
        <v>-</v>
      </c>
      <c r="AI501" s="12">
        <v>43891</v>
      </c>
      <c r="AJ501">
        <v>4</v>
      </c>
    </row>
    <row r="502" spans="5:36">
      <c r="E502"/>
      <c r="AD502" t="s">
        <v>39</v>
      </c>
      <c r="AE502" t="str">
        <f>VLOOKUP(Таблица1_113[[#This Row],[Марка]],Таблица13[#All],4,0)</f>
        <v>Швеция</v>
      </c>
      <c r="AF502" t="str">
        <f>VLOOKUP(Таблица1_113[[#This Row],[Марка]],Таблица13[#All],2,0)</f>
        <v>Business</v>
      </c>
      <c r="AG502">
        <f>VLOOKUP(Таблица1_113[[#This Row],[Марка]],Таблица13[#All],3,0)</f>
        <v>1927</v>
      </c>
      <c r="AH502" t="str">
        <f>VLOOKUP(Таблица1_113[[#This Row],[Марка]],Таблица13[#All],5,0)</f>
        <v>Нет</v>
      </c>
      <c r="AI502" s="12">
        <v>43891</v>
      </c>
      <c r="AJ502">
        <v>8</v>
      </c>
    </row>
    <row r="503" spans="5:36">
      <c r="E503"/>
      <c r="AD503" t="s">
        <v>21</v>
      </c>
      <c r="AE503" t="str">
        <f>VLOOKUP(Таблица1_113[[#This Row],[Марка]],Таблица13[#All],4,0)</f>
        <v>Германия</v>
      </c>
      <c r="AF503" t="str">
        <f>VLOOKUP(Таблица1_113[[#This Row],[Марка]],Таблица13[#All],2,0)</f>
        <v>Business</v>
      </c>
      <c r="AG503">
        <f>VLOOKUP(Таблица1_113[[#This Row],[Марка]],Таблица13[#All],3,0)</f>
        <v>1937</v>
      </c>
      <c r="AH503" t="str">
        <f>VLOOKUP(Таблица1_113[[#This Row],[Марка]],Таблица13[#All],5,0)</f>
        <v>Нет</v>
      </c>
      <c r="AI503" s="12">
        <v>43891</v>
      </c>
      <c r="AJ503">
        <v>175</v>
      </c>
    </row>
    <row r="504" spans="5:36">
      <c r="E504"/>
      <c r="AD504" t="s">
        <v>2</v>
      </c>
      <c r="AE504" t="str">
        <f>VLOOKUP(Таблица1_113[[#This Row],[Марка]],Таблица13[#All],4,0)</f>
        <v>Япония</v>
      </c>
      <c r="AF504" t="str">
        <f>VLOOKUP(Таблица1_113[[#This Row],[Марка]],Таблица13[#All],2,0)</f>
        <v>Business</v>
      </c>
      <c r="AG504">
        <f>VLOOKUP(Таблица1_113[[#This Row],[Марка]],Таблица13[#All],3,0)</f>
        <v>1937</v>
      </c>
      <c r="AH504" t="str">
        <f>VLOOKUP(Таблица1_113[[#This Row],[Марка]],Таблица13[#All],5,0)</f>
        <v>Нет</v>
      </c>
      <c r="AI504" s="12">
        <v>43891</v>
      </c>
      <c r="AJ504">
        <v>1219</v>
      </c>
    </row>
    <row r="505" spans="5:36">
      <c r="E505"/>
      <c r="AD505" t="s">
        <v>143</v>
      </c>
      <c r="AE505" t="str">
        <f>VLOOKUP(Таблица1_113[[#This Row],[Марка]],Таблица13[#All],4,0)</f>
        <v>Япония</v>
      </c>
      <c r="AF505" t="str">
        <f>VLOOKUP(Таблица1_113[[#This Row],[Марка]],Таблица13[#All],2,0)</f>
        <v>Economy</v>
      </c>
      <c r="AG505">
        <f>VLOOKUP(Таблица1_113[[#This Row],[Марка]],Таблица13[#All],3,0)</f>
        <v>1909</v>
      </c>
      <c r="AH505" t="str">
        <f>VLOOKUP(Таблица1_113[[#This Row],[Марка]],Таблица13[#All],5,0)</f>
        <v>Нет</v>
      </c>
      <c r="AI505" s="12">
        <v>43891</v>
      </c>
      <c r="AJ505">
        <v>8</v>
      </c>
    </row>
    <row r="506" spans="5:36">
      <c r="E506"/>
      <c r="AD506" t="s">
        <v>125</v>
      </c>
      <c r="AE506" t="str">
        <f>VLOOKUP(Таблица1_113[[#This Row],[Марка]],Таблица13[#All],4,0)</f>
        <v>Япония</v>
      </c>
      <c r="AF506" t="str">
        <f>VLOOKUP(Таблица1_113[[#This Row],[Марка]],Таблица13[#All],2,0)</f>
        <v>Business</v>
      </c>
      <c r="AG506">
        <f>VLOOKUP(Таблица1_113[[#This Row],[Марка]],Таблица13[#All],3,0)</f>
        <v>1953</v>
      </c>
      <c r="AH506" t="str">
        <f>VLOOKUP(Таблица1_113[[#This Row],[Марка]],Таблица13[#All],5,0)</f>
        <v>Нет</v>
      </c>
      <c r="AI506" s="12">
        <v>43891</v>
      </c>
      <c r="AJ506">
        <v>79</v>
      </c>
    </row>
    <row r="507" spans="5:36">
      <c r="E507"/>
      <c r="AD507" t="s">
        <v>141</v>
      </c>
      <c r="AE507" t="str">
        <f>VLOOKUP(Таблица1_113[[#This Row],[Марка]],Таблица13[#All],4,0)</f>
        <v>Чехия</v>
      </c>
      <c r="AF507" t="str">
        <f>VLOOKUP(Таблица1_113[[#This Row],[Марка]],Таблица13[#All],2,0)</f>
        <v>Business</v>
      </c>
      <c r="AG507">
        <f>VLOOKUP(Таблица1_113[[#This Row],[Марка]],Таблица13[#All],3,0)</f>
        <v>1895</v>
      </c>
      <c r="AH507" t="str">
        <f>VLOOKUP(Таблица1_113[[#This Row],[Марка]],Таблица13[#All],5,0)</f>
        <v>Крупноузловая</v>
      </c>
      <c r="AI507" s="12">
        <v>43891</v>
      </c>
      <c r="AJ507">
        <v>43</v>
      </c>
    </row>
    <row r="508" spans="5:36">
      <c r="E508"/>
      <c r="AD508" t="s">
        <v>23</v>
      </c>
      <c r="AE508" t="str">
        <f>VLOOKUP(Таблица1_113[[#This Row],[Марка]],Таблица13[#All],4,0)</f>
        <v>Франция</v>
      </c>
      <c r="AF508" t="str">
        <f>VLOOKUP(Таблица1_113[[#This Row],[Марка]],Таблица13[#All],2,0)</f>
        <v>Economy</v>
      </c>
      <c r="AG508">
        <f>VLOOKUP(Таблица1_113[[#This Row],[Марка]],Таблица13[#All],3,0)</f>
        <v>1899</v>
      </c>
      <c r="AH508" t="str">
        <f>VLOOKUP(Таблица1_113[[#This Row],[Марка]],Таблица13[#All],5,0)</f>
        <v>Крупноузловая</v>
      </c>
      <c r="AI508" s="12">
        <v>43891</v>
      </c>
      <c r="AJ508">
        <v>257</v>
      </c>
    </row>
    <row r="509" spans="5:36">
      <c r="E509"/>
      <c r="AD509" t="s">
        <v>142</v>
      </c>
      <c r="AE509" t="str">
        <f>VLOOKUP(Таблица1_113[[#This Row],[Марка]],Таблица13[#All],4,0)</f>
        <v>Узбекистан</v>
      </c>
      <c r="AF509" t="str">
        <f>VLOOKUP(Таблица1_113[[#This Row],[Марка]],Таблица13[#All],2,0)</f>
        <v>Economy</v>
      </c>
      <c r="AG509">
        <f>VLOOKUP(Таблица1_113[[#This Row],[Марка]],Таблица13[#All],3,0)</f>
        <v>2015</v>
      </c>
      <c r="AH509" t="str">
        <f>VLOOKUP(Таблица1_113[[#This Row],[Марка]],Таблица13[#All],5,0)</f>
        <v>Крупноузловая</v>
      </c>
      <c r="AI509" s="12">
        <v>43891</v>
      </c>
      <c r="AJ509">
        <v>586</v>
      </c>
    </row>
    <row r="510" spans="5:36">
      <c r="E510"/>
      <c r="AD510" t="s">
        <v>37</v>
      </c>
      <c r="AE510" t="str">
        <f>VLOOKUP(Таблица1_113[[#This Row],[Марка]],Таблица13[#All],4,0)</f>
        <v>Германия</v>
      </c>
      <c r="AF510" t="str">
        <f>VLOOKUP(Таблица1_113[[#This Row],[Марка]],Таблица13[#All],2,0)</f>
        <v>Luxury</v>
      </c>
      <c r="AG510">
        <f>VLOOKUP(Таблица1_113[[#This Row],[Марка]],Таблица13[#All],3,0)</f>
        <v>1931</v>
      </c>
      <c r="AH510" t="str">
        <f>VLOOKUP(Таблица1_113[[#This Row],[Марка]],Таблица13[#All],5,0)</f>
        <v>Нет</v>
      </c>
      <c r="AI510" s="12">
        <v>43891</v>
      </c>
      <c r="AJ510">
        <v>3</v>
      </c>
    </row>
    <row r="511" spans="5:36">
      <c r="E511"/>
      <c r="AD511" t="s">
        <v>22</v>
      </c>
      <c r="AE511" t="str">
        <f>VLOOKUP(Таблица1_113[[#This Row],[Марка]],Таблица13[#All],4,0)</f>
        <v>Япония</v>
      </c>
      <c r="AF511" t="str">
        <f>VLOOKUP(Таблица1_113[[#This Row],[Марка]],Таблица13[#All],2,0)</f>
        <v>Business</v>
      </c>
      <c r="AG511">
        <f>VLOOKUP(Таблица1_113[[#This Row],[Марка]],Таблица13[#All],3,0)</f>
        <v>1933</v>
      </c>
      <c r="AH511" t="str">
        <f>VLOOKUP(Таблица1_113[[#This Row],[Марка]],Таблица13[#All],5,0)</f>
        <v>Нет</v>
      </c>
      <c r="AI511" s="12">
        <v>43891</v>
      </c>
      <c r="AJ511">
        <v>218</v>
      </c>
    </row>
    <row r="512" spans="5:36">
      <c r="E512"/>
      <c r="AD512" t="s">
        <v>9</v>
      </c>
      <c r="AE512" t="str">
        <f>VLOOKUP(Таблица1_113[[#This Row],[Марка]],Таблица13[#All],4,0)</f>
        <v>Япония</v>
      </c>
      <c r="AF512" t="str">
        <f>VLOOKUP(Таблица1_113[[#This Row],[Марка]],Таблица13[#All],2,0)</f>
        <v>Business</v>
      </c>
      <c r="AG512">
        <f>VLOOKUP(Таблица1_113[[#This Row],[Марка]],Таблица13[#All],3,0)</f>
        <v>1870</v>
      </c>
      <c r="AH512" t="str">
        <f>VLOOKUP(Таблица1_113[[#This Row],[Марка]],Таблица13[#All],5,0)</f>
        <v>Нет</v>
      </c>
      <c r="AI512" s="12">
        <v>43891</v>
      </c>
      <c r="AJ512">
        <v>69</v>
      </c>
    </row>
    <row r="513" spans="5:36">
      <c r="E513"/>
      <c r="AD513" t="s">
        <v>40</v>
      </c>
      <c r="AE513" t="str">
        <f>VLOOKUP(Таблица1_113[[#This Row],[Марка]],Таблица13[#All],4,0)</f>
        <v>Великобритания</v>
      </c>
      <c r="AF513" t="str">
        <f>VLOOKUP(Таблица1_113[[#This Row],[Марка]],Таблица13[#All],2,0)</f>
        <v>Luxury</v>
      </c>
      <c r="AG513">
        <f>VLOOKUP(Таблица1_113[[#This Row],[Марка]],Таблица13[#All],3,0)</f>
        <v>1959</v>
      </c>
      <c r="AH513" t="str">
        <f>VLOOKUP(Таблица1_113[[#This Row],[Марка]],Таблица13[#All],5,0)</f>
        <v>Нет</v>
      </c>
      <c r="AI513" s="12">
        <v>43891</v>
      </c>
      <c r="AJ513">
        <v>2</v>
      </c>
    </row>
    <row r="514" spans="5:36">
      <c r="E514"/>
      <c r="AD514" t="s">
        <v>128</v>
      </c>
      <c r="AE514" t="str">
        <f>VLOOKUP(Таблица1_113[[#This Row],[Марка]],Таблица13[#All],4,0)</f>
        <v>Германия</v>
      </c>
      <c r="AF514" t="str">
        <f>VLOOKUP(Таблица1_113[[#This Row],[Марка]],Таблица13[#All],2,0)</f>
        <v>Luxury</v>
      </c>
      <c r="AG514">
        <f>VLOOKUP(Таблица1_113[[#This Row],[Марка]],Таблица13[#All],3,0)</f>
        <v>1926</v>
      </c>
      <c r="AH514" t="str">
        <f>VLOOKUP(Таблица1_113[[#This Row],[Марка]],Таблица13[#All],5,0)</f>
        <v>Нет</v>
      </c>
      <c r="AI514" s="12">
        <v>43891</v>
      </c>
      <c r="AJ514">
        <v>61</v>
      </c>
    </row>
    <row r="515" spans="5:36">
      <c r="E515"/>
      <c r="AD515" t="s">
        <v>139</v>
      </c>
      <c r="AE515" t="str">
        <f>VLOOKUP(Таблица1_113[[#This Row],[Марка]],Таблица13[#All],4,0)</f>
        <v>Япония</v>
      </c>
      <c r="AF515" t="str">
        <f>VLOOKUP(Таблица1_113[[#This Row],[Марка]],Таблица13[#All],2,0)</f>
        <v>Business</v>
      </c>
      <c r="AG515">
        <f>VLOOKUP(Таблица1_113[[#This Row],[Марка]],Таблица13[#All],3,0)</f>
        <v>1920</v>
      </c>
      <c r="AH515" t="str">
        <f>VLOOKUP(Таблица1_113[[#This Row],[Марка]],Таблица13[#All],5,0)</f>
        <v>Нет</v>
      </c>
      <c r="AI515" s="12">
        <v>43891</v>
      </c>
      <c r="AJ515">
        <v>34</v>
      </c>
    </row>
    <row r="516" spans="5:36">
      <c r="E516"/>
      <c r="AD516" t="s">
        <v>5</v>
      </c>
      <c r="AE516" t="str">
        <f>VLOOKUP(Таблица1_113[[#This Row],[Марка]],Таблица13[#All],4,0)</f>
        <v>Япония</v>
      </c>
      <c r="AF516" t="str">
        <f>VLOOKUP(Таблица1_113[[#This Row],[Марка]],Таблица13[#All],2,0)</f>
        <v>Luxury</v>
      </c>
      <c r="AG516">
        <f>VLOOKUP(Таблица1_113[[#This Row],[Марка]],Таблица13[#All],3,0)</f>
        <v>1989</v>
      </c>
      <c r="AH516" t="str">
        <f>VLOOKUP(Таблица1_113[[#This Row],[Марка]],Таблица13[#All],5,0)</f>
        <v>Нет</v>
      </c>
      <c r="AI516" s="12">
        <v>43891</v>
      </c>
      <c r="AJ516">
        <v>141</v>
      </c>
    </row>
    <row r="517" spans="5:36">
      <c r="E517"/>
      <c r="AD517" t="s">
        <v>35</v>
      </c>
      <c r="AE517" t="str">
        <f>VLOOKUP(Таблица1_113[[#This Row],[Марка]],Таблица13[#All],4,0)</f>
        <v>Великобритания</v>
      </c>
      <c r="AF517" t="str">
        <f>VLOOKUP(Таблица1_113[[#This Row],[Марка]],Таблица13[#All],2,0)</f>
        <v>Luxury</v>
      </c>
      <c r="AG517">
        <f>VLOOKUP(Таблица1_113[[#This Row],[Марка]],Таблица13[#All],3,0)</f>
        <v>1948</v>
      </c>
      <c r="AH517" t="str">
        <f>VLOOKUP(Таблица1_113[[#This Row],[Марка]],Таблица13[#All],5,0)</f>
        <v>Нет</v>
      </c>
      <c r="AI517" s="12">
        <v>43891</v>
      </c>
      <c r="AJ517">
        <v>9</v>
      </c>
    </row>
    <row r="518" spans="5:36">
      <c r="E518"/>
      <c r="AD518" t="s">
        <v>19</v>
      </c>
      <c r="AE518" t="str">
        <f>VLOOKUP(Таблица1_113[[#This Row],[Марка]],Таблица13[#All],4,0)</f>
        <v>Россия</v>
      </c>
      <c r="AF518" t="str">
        <f>VLOOKUP(Таблица1_113[[#This Row],[Марка]],Таблица13[#All],2,0)</f>
        <v>Economy</v>
      </c>
      <c r="AG518">
        <f>VLOOKUP(Таблица1_113[[#This Row],[Марка]],Таблица13[#All],3,0)</f>
        <v>1970</v>
      </c>
      <c r="AH518" t="str">
        <f>VLOOKUP(Таблица1_113[[#This Row],[Марка]],Таблица13[#All],5,0)</f>
        <v>Крупноузловая</v>
      </c>
      <c r="AI518" s="12">
        <v>43891</v>
      </c>
      <c r="AJ518">
        <v>1520</v>
      </c>
    </row>
    <row r="519" spans="5:36">
      <c r="E519"/>
      <c r="AD519" t="s">
        <v>15</v>
      </c>
      <c r="AE519" t="str">
        <f>VLOOKUP(Таблица1_113[[#This Row],[Марка]],Таблица13[#All],4,0)</f>
        <v>Корея</v>
      </c>
      <c r="AF519" t="str">
        <f>VLOOKUP(Таблица1_113[[#This Row],[Марка]],Таблица13[#All],2,0)</f>
        <v>Economy</v>
      </c>
      <c r="AG519">
        <f>VLOOKUP(Таблица1_113[[#This Row],[Марка]],Таблица13[#All],3,0)</f>
        <v>1944</v>
      </c>
      <c r="AH519" t="str">
        <f>VLOOKUP(Таблица1_113[[#This Row],[Марка]],Таблица13[#All],5,0)</f>
        <v>Крупноузловая</v>
      </c>
      <c r="AI519" s="12">
        <v>43891</v>
      </c>
      <c r="AJ519">
        <v>827</v>
      </c>
    </row>
    <row r="520" spans="5:36">
      <c r="E520"/>
      <c r="AD520" t="s">
        <v>134</v>
      </c>
      <c r="AE520" t="str">
        <f>VLOOKUP(Таблица1_113[[#This Row],[Марка]],Таблица13[#All],4,0)</f>
        <v>Великобритания</v>
      </c>
      <c r="AF520" t="str">
        <f>VLOOKUP(Таблица1_113[[#This Row],[Марка]],Таблица13[#All],2,0)</f>
        <v>Luxury</v>
      </c>
      <c r="AG520">
        <f>VLOOKUP(Таблица1_113[[#This Row],[Марка]],Таблица13[#All],3,0)</f>
        <v>1922</v>
      </c>
      <c r="AH520" t="str">
        <f>VLOOKUP(Таблица1_113[[#This Row],[Марка]],Таблица13[#All],5,0)</f>
        <v>Нет</v>
      </c>
      <c r="AI520" s="12">
        <v>43891</v>
      </c>
      <c r="AJ520">
        <v>8</v>
      </c>
    </row>
    <row r="521" spans="5:36">
      <c r="E521"/>
      <c r="AD521" t="s">
        <v>4</v>
      </c>
      <c r="AE521" t="str">
        <f>VLOOKUP(Таблица1_113[[#This Row],[Марка]],Таблица13[#All],4,0)</f>
        <v>Китай</v>
      </c>
      <c r="AF521" t="str">
        <f>VLOOKUP(Таблица1_113[[#This Row],[Марка]],Таблица13[#All],2,0)</f>
        <v>Economy</v>
      </c>
      <c r="AG521">
        <f>VLOOKUP(Таблица1_113[[#This Row],[Марка]],Таблица13[#All],3,0)</f>
        <v>1964</v>
      </c>
      <c r="AH521" t="str">
        <f>VLOOKUP(Таблица1_113[[#This Row],[Марка]],Таблица13[#All],5,0)</f>
        <v>Крупноузловая</v>
      </c>
      <c r="AI521" s="12">
        <v>43891</v>
      </c>
      <c r="AJ521">
        <v>80</v>
      </c>
    </row>
    <row r="522" spans="5:36">
      <c r="E522"/>
      <c r="AD522" t="s">
        <v>140</v>
      </c>
      <c r="AE522" t="str">
        <f>VLOOKUP(Таблица1_113[[#This Row],[Марка]],Таблица13[#All],4,0)</f>
        <v>Япония</v>
      </c>
      <c r="AF522" t="str">
        <f>VLOOKUP(Таблица1_113[[#This Row],[Марка]],Таблица13[#All],2,0)</f>
        <v>Business</v>
      </c>
      <c r="AG522">
        <f>VLOOKUP(Таблица1_113[[#This Row],[Марка]],Таблица13[#All],3,0)</f>
        <v>1916</v>
      </c>
      <c r="AH522" t="str">
        <f>VLOOKUP(Таблица1_113[[#This Row],[Марка]],Таблица13[#All],5,0)</f>
        <v>Нет</v>
      </c>
      <c r="AI522" s="12">
        <v>43891</v>
      </c>
      <c r="AJ522">
        <v>15</v>
      </c>
    </row>
    <row r="523" spans="5:36">
      <c r="E523"/>
      <c r="AD523" t="s">
        <v>34</v>
      </c>
      <c r="AE523" t="str">
        <f>VLOOKUP(Таблица1_113[[#This Row],[Марка]],Таблица13[#All],4,0)</f>
        <v>Япония</v>
      </c>
      <c r="AF523" t="str">
        <f>VLOOKUP(Таблица1_113[[#This Row],[Марка]],Таблица13[#All],2,0)</f>
        <v>Luxury</v>
      </c>
      <c r="AG523">
        <f>VLOOKUP(Таблица1_113[[#This Row],[Марка]],Таблица13[#All],3,0)</f>
        <v>1989</v>
      </c>
      <c r="AH523" t="str">
        <f>VLOOKUP(Таблица1_113[[#This Row],[Марка]],Таблица13[#All],5,0)</f>
        <v>Нет</v>
      </c>
      <c r="AI523" s="12">
        <v>43891</v>
      </c>
      <c r="AJ523">
        <v>28</v>
      </c>
    </row>
    <row r="524" spans="5:36">
      <c r="E524"/>
      <c r="AD524" t="s">
        <v>0</v>
      </c>
      <c r="AE524" t="str">
        <f>VLOOKUP(Таблица1_113[[#This Row],[Марка]],Таблица13[#All],4,0)</f>
        <v>Корея</v>
      </c>
      <c r="AF524" t="str">
        <f>VLOOKUP(Таблица1_113[[#This Row],[Марка]],Таблица13[#All],2,0)</f>
        <v>Economy</v>
      </c>
      <c r="AG524">
        <f>VLOOKUP(Таблица1_113[[#This Row],[Марка]],Таблица13[#All],3,0)</f>
        <v>1967</v>
      </c>
      <c r="AH524" t="str">
        <f>VLOOKUP(Таблица1_113[[#This Row],[Марка]],Таблица13[#All],5,0)</f>
        <v>Крупноузловая</v>
      </c>
      <c r="AI524" s="12">
        <v>43891</v>
      </c>
      <c r="AJ524">
        <v>978</v>
      </c>
    </row>
    <row r="525" spans="5:36">
      <c r="E525"/>
      <c r="AD525" t="s">
        <v>138</v>
      </c>
      <c r="AE525" t="str">
        <f>VLOOKUP(Таблица1_113[[#This Row],[Марка]],Таблица13[#All],4,0)</f>
        <v>Корея</v>
      </c>
      <c r="AF525" t="str">
        <f>VLOOKUP(Таблица1_113[[#This Row],[Марка]],Таблица13[#All],2,0)</f>
        <v>Luxury</v>
      </c>
      <c r="AG525">
        <f>VLOOKUP(Таблица1_113[[#This Row],[Марка]],Таблица13[#All],3,0)</f>
        <v>2015</v>
      </c>
      <c r="AH525" t="str">
        <f>VLOOKUP(Таблица1_113[[#This Row],[Марка]],Таблица13[#All],5,0)</f>
        <v>Нет</v>
      </c>
      <c r="AI525" s="12">
        <v>43891</v>
      </c>
      <c r="AJ525">
        <v>0</v>
      </c>
    </row>
    <row r="526" spans="5:36">
      <c r="E526"/>
      <c r="AD526" t="s">
        <v>133</v>
      </c>
      <c r="AE526" t="str">
        <f>VLOOKUP(Таблица1_113[[#This Row],[Марка]],Таблица13[#All],4,0)</f>
        <v>Китай</v>
      </c>
      <c r="AF526" t="str">
        <f>VLOOKUP(Таблица1_113[[#This Row],[Марка]],Таблица13[#All],2,0)</f>
        <v>Economy</v>
      </c>
      <c r="AG526">
        <f>VLOOKUP(Таблица1_113[[#This Row],[Марка]],Таблица13[#All],3,0)</f>
        <v>1996</v>
      </c>
      <c r="AH526" t="str">
        <f>VLOOKUP(Таблица1_113[[#This Row],[Марка]],Таблица13[#All],5,0)</f>
        <v>Нет</v>
      </c>
      <c r="AI526" s="12">
        <v>43891</v>
      </c>
      <c r="AJ526">
        <v>0</v>
      </c>
    </row>
    <row r="527" spans="5:36">
      <c r="E527"/>
      <c r="AD527" t="s">
        <v>130</v>
      </c>
      <c r="AE527" t="str">
        <f>VLOOKUP(Таблица1_113[[#This Row],[Марка]],Таблица13[#All],4,0)</f>
        <v>Китай</v>
      </c>
      <c r="AF527" t="str">
        <f>VLOOKUP(Таблица1_113[[#This Row],[Марка]],Таблица13[#All],2,0)</f>
        <v>Economy</v>
      </c>
      <c r="AG527">
        <f>VLOOKUP(Таблица1_113[[#This Row],[Марка]],Таблица13[#All],3,0)</f>
        <v>1969</v>
      </c>
      <c r="AH527" t="str">
        <f>VLOOKUP(Таблица1_113[[#This Row],[Марка]],Таблица13[#All],5,0)</f>
        <v>Нет</v>
      </c>
      <c r="AI527" s="12">
        <v>43891</v>
      </c>
      <c r="AJ527">
        <v>0</v>
      </c>
    </row>
    <row r="528" spans="5:36">
      <c r="E528"/>
      <c r="AD528" t="s">
        <v>137</v>
      </c>
      <c r="AE528" t="str">
        <f>VLOOKUP(Таблица1_113[[#This Row],[Марка]],Таблица13[#All],4,0)</f>
        <v>Корея</v>
      </c>
      <c r="AF528" t="str">
        <f>VLOOKUP(Таблица1_113[[#This Row],[Марка]],Таблица13[#All],2,0)</f>
        <v>Economy</v>
      </c>
      <c r="AG528">
        <f>VLOOKUP(Таблица1_113[[#This Row],[Марка]],Таблица13[#All],3,0)</f>
        <v>1967</v>
      </c>
      <c r="AH528" t="str">
        <f>VLOOKUP(Таблица1_113[[#This Row],[Марка]],Таблица13[#All],5,0)</f>
        <v>Нет</v>
      </c>
      <c r="AI528" s="12">
        <v>43891</v>
      </c>
      <c r="AJ528">
        <v>5</v>
      </c>
    </row>
    <row r="529" spans="5:36">
      <c r="E529"/>
      <c r="AD529" t="s">
        <v>1</v>
      </c>
      <c r="AE529" t="str">
        <f>VLOOKUP(Таблица1_113[[#This Row],[Марка]],Таблица13[#All],4,0)</f>
        <v>США</v>
      </c>
      <c r="AF529" t="str">
        <f>VLOOKUP(Таблица1_113[[#This Row],[Марка]],Таблица13[#All],2,0)</f>
        <v>Economy</v>
      </c>
      <c r="AG529">
        <f>VLOOKUP(Таблица1_113[[#This Row],[Марка]],Таблица13[#All],3,0)</f>
        <v>1911</v>
      </c>
      <c r="AH529" t="str">
        <f>VLOOKUP(Таблица1_113[[#This Row],[Марка]],Таблица13[#All],5,0)</f>
        <v>Крупноузловая</v>
      </c>
      <c r="AI529" s="12">
        <v>43891</v>
      </c>
      <c r="AJ529">
        <v>54</v>
      </c>
    </row>
    <row r="530" spans="5:36">
      <c r="E530"/>
      <c r="AD530" t="s">
        <v>36</v>
      </c>
      <c r="AE530" t="str">
        <f>VLOOKUP(Таблица1_113[[#This Row],[Марка]],Таблица13[#All],4,0)</f>
        <v>США</v>
      </c>
      <c r="AF530" t="str">
        <f>VLOOKUP(Таблица1_113[[#This Row],[Марка]],Таблица13[#All],2,0)</f>
        <v>Luxury</v>
      </c>
      <c r="AG530">
        <f>VLOOKUP(Таблица1_113[[#This Row],[Марка]],Таблица13[#All],3,0)</f>
        <v>1902</v>
      </c>
      <c r="AH530" t="str">
        <f>VLOOKUP(Таблица1_113[[#This Row],[Марка]],Таблица13[#All],5,0)</f>
        <v>Нет</v>
      </c>
      <c r="AI530" s="12">
        <v>43891</v>
      </c>
      <c r="AJ530">
        <v>0</v>
      </c>
    </row>
    <row r="531" spans="5:36">
      <c r="E531"/>
      <c r="AD531" t="s">
        <v>8</v>
      </c>
      <c r="AE531" t="str">
        <f>VLOOKUP(Таблица1_113[[#This Row],[Марка]],Таблица13[#All],4,0)</f>
        <v>Германия</v>
      </c>
      <c r="AF531" t="str">
        <f>VLOOKUP(Таблица1_113[[#This Row],[Марка]],Таблица13[#All],2,0)</f>
        <v>Luxury</v>
      </c>
      <c r="AG531">
        <f>VLOOKUP(Таблица1_113[[#This Row],[Марка]],Таблица13[#All],3,0)</f>
        <v>1916</v>
      </c>
      <c r="AH531" t="str">
        <f>VLOOKUP(Таблица1_113[[#This Row],[Марка]],Таблица13[#All],5,0)</f>
        <v>Нет</v>
      </c>
      <c r="AI531" s="12">
        <v>43891</v>
      </c>
      <c r="AJ531">
        <v>58</v>
      </c>
    </row>
    <row r="532" spans="5:36">
      <c r="E532"/>
      <c r="AD532" t="s">
        <v>38</v>
      </c>
      <c r="AE532" t="str">
        <f>VLOOKUP(Таблица1_113[[#This Row],[Марка]],Таблица13[#All],4,0)</f>
        <v>Германия</v>
      </c>
      <c r="AF532" t="str">
        <f>VLOOKUP(Таблица1_113[[#This Row],[Марка]],Таблица13[#All],2,0)</f>
        <v>Luxury</v>
      </c>
      <c r="AG532">
        <f>VLOOKUP(Таблица1_113[[#This Row],[Марка]],Таблица13[#All],3,0)</f>
        <v>1932</v>
      </c>
      <c r="AH532" t="str">
        <f>VLOOKUP(Таблица1_113[[#This Row],[Марка]],Таблица13[#All],5,0)</f>
        <v>Нет</v>
      </c>
      <c r="AI532" s="12">
        <v>43891</v>
      </c>
      <c r="AJ532">
        <v>8</v>
      </c>
    </row>
    <row r="533" spans="5:36">
      <c r="E533"/>
      <c r="AD533" t="s">
        <v>136</v>
      </c>
      <c r="AE533" t="str">
        <f>VLOOKUP(Таблица1_113[[#This Row],[Марка]],Таблица13[#All],4,0)</f>
        <v>Россия</v>
      </c>
      <c r="AF533" t="str">
        <f>VLOOKUP(Таблица1_113[[#This Row],[Марка]],Таблица13[#All],2,0)</f>
        <v>Economy</v>
      </c>
      <c r="AG533">
        <f>VLOOKUP(Таблица1_113[[#This Row],[Марка]],Таблица13[#All],3,0)</f>
        <v>1941</v>
      </c>
      <c r="AH533" t="str">
        <f>VLOOKUP(Таблица1_113[[#This Row],[Марка]],Таблица13[#All],5,0)</f>
        <v>Нет</v>
      </c>
      <c r="AI533" s="12">
        <v>43922</v>
      </c>
      <c r="AJ533">
        <v>138</v>
      </c>
    </row>
    <row r="534" spans="5:36">
      <c r="E534"/>
      <c r="AD534" t="s">
        <v>135</v>
      </c>
      <c r="AE534" t="str">
        <f>VLOOKUP(Таблица1_113[[#This Row],[Марка]],Таблица13[#All],4,0)</f>
        <v>-</v>
      </c>
      <c r="AF534" t="str">
        <f>VLOOKUP(Таблица1_113[[#This Row],[Марка]],Таблица13[#All],2,0)</f>
        <v>-</v>
      </c>
      <c r="AG534" t="str">
        <f>VLOOKUP(Таблица1_113[[#This Row],[Марка]],Таблица13[#All],3,0)</f>
        <v>-</v>
      </c>
      <c r="AH534" t="str">
        <f>VLOOKUP(Таблица1_113[[#This Row],[Марка]],Таблица13[#All],5,0)</f>
        <v>-</v>
      </c>
      <c r="AI534" s="12">
        <v>43922</v>
      </c>
      <c r="AJ534">
        <v>0</v>
      </c>
    </row>
    <row r="535" spans="5:36">
      <c r="E535"/>
      <c r="AD535" t="s">
        <v>39</v>
      </c>
      <c r="AE535" t="str">
        <f>VLOOKUP(Таблица1_113[[#This Row],[Марка]],Таблица13[#All],4,0)</f>
        <v>Швеция</v>
      </c>
      <c r="AF535" t="str">
        <f>VLOOKUP(Таблица1_113[[#This Row],[Марка]],Таблица13[#All],2,0)</f>
        <v>Business</v>
      </c>
      <c r="AG535">
        <f>VLOOKUP(Таблица1_113[[#This Row],[Марка]],Таблица13[#All],3,0)</f>
        <v>1927</v>
      </c>
      <c r="AH535" t="str">
        <f>VLOOKUP(Таблица1_113[[#This Row],[Марка]],Таблица13[#All],5,0)</f>
        <v>Нет</v>
      </c>
      <c r="AI535" s="12">
        <v>43922</v>
      </c>
      <c r="AJ535">
        <v>0</v>
      </c>
    </row>
    <row r="536" spans="5:36">
      <c r="E536"/>
      <c r="AD536" t="s">
        <v>21</v>
      </c>
      <c r="AE536" t="str">
        <f>VLOOKUP(Таблица1_113[[#This Row],[Марка]],Таблица13[#All],4,0)</f>
        <v>Германия</v>
      </c>
      <c r="AF536" t="str">
        <f>VLOOKUP(Таблица1_113[[#This Row],[Марка]],Таблица13[#All],2,0)</f>
        <v>Business</v>
      </c>
      <c r="AG536">
        <f>VLOOKUP(Таблица1_113[[#This Row],[Марка]],Таблица13[#All],3,0)</f>
        <v>1937</v>
      </c>
      <c r="AH536" t="str">
        <f>VLOOKUP(Таблица1_113[[#This Row],[Марка]],Таблица13[#All],5,0)</f>
        <v>Нет</v>
      </c>
      <c r="AI536" s="12">
        <v>43922</v>
      </c>
      <c r="AJ536">
        <v>20</v>
      </c>
    </row>
    <row r="537" spans="5:36">
      <c r="E537"/>
      <c r="AD537" t="s">
        <v>2</v>
      </c>
      <c r="AE537" t="str">
        <f>VLOOKUP(Таблица1_113[[#This Row],[Марка]],Таблица13[#All],4,0)</f>
        <v>Япония</v>
      </c>
      <c r="AF537" t="str">
        <f>VLOOKUP(Таблица1_113[[#This Row],[Марка]],Таблица13[#All],2,0)</f>
        <v>Business</v>
      </c>
      <c r="AG537">
        <f>VLOOKUP(Таблица1_113[[#This Row],[Марка]],Таблица13[#All],3,0)</f>
        <v>1937</v>
      </c>
      <c r="AH537" t="str">
        <f>VLOOKUP(Таблица1_113[[#This Row],[Марка]],Таблица13[#All],5,0)</f>
        <v>Нет</v>
      </c>
      <c r="AI537" s="12">
        <v>43922</v>
      </c>
      <c r="AJ537">
        <v>228</v>
      </c>
    </row>
    <row r="538" spans="5:36">
      <c r="E538"/>
      <c r="AD538" t="s">
        <v>143</v>
      </c>
      <c r="AE538" t="str">
        <f>VLOOKUP(Таблица1_113[[#This Row],[Марка]],Таблица13[#All],4,0)</f>
        <v>Япония</v>
      </c>
      <c r="AF538" t="str">
        <f>VLOOKUP(Таблица1_113[[#This Row],[Марка]],Таблица13[#All],2,0)</f>
        <v>Economy</v>
      </c>
      <c r="AG538">
        <f>VLOOKUP(Таблица1_113[[#This Row],[Марка]],Таблица13[#All],3,0)</f>
        <v>1909</v>
      </c>
      <c r="AH538" t="str">
        <f>VLOOKUP(Таблица1_113[[#This Row],[Марка]],Таблица13[#All],5,0)</f>
        <v>Нет</v>
      </c>
      <c r="AI538" s="12">
        <v>43922</v>
      </c>
      <c r="AJ538">
        <v>0</v>
      </c>
    </row>
    <row r="539" spans="5:36">
      <c r="E539"/>
      <c r="AD539" t="s">
        <v>125</v>
      </c>
      <c r="AE539" t="str">
        <f>VLOOKUP(Таблица1_113[[#This Row],[Марка]],Таблица13[#All],4,0)</f>
        <v>Япония</v>
      </c>
      <c r="AF539" t="str">
        <f>VLOOKUP(Таблица1_113[[#This Row],[Марка]],Таблица13[#All],2,0)</f>
        <v>Business</v>
      </c>
      <c r="AG539">
        <f>VLOOKUP(Таблица1_113[[#This Row],[Марка]],Таблица13[#All],3,0)</f>
        <v>1953</v>
      </c>
      <c r="AH539" t="str">
        <f>VLOOKUP(Таблица1_113[[#This Row],[Марка]],Таблица13[#All],5,0)</f>
        <v>Нет</v>
      </c>
      <c r="AI539" s="12">
        <v>43922</v>
      </c>
      <c r="AJ539">
        <v>20</v>
      </c>
    </row>
    <row r="540" spans="5:36">
      <c r="E540"/>
      <c r="AD540" t="s">
        <v>141</v>
      </c>
      <c r="AE540" t="str">
        <f>VLOOKUP(Таблица1_113[[#This Row],[Марка]],Таблица13[#All],4,0)</f>
        <v>Чехия</v>
      </c>
      <c r="AF540" t="str">
        <f>VLOOKUP(Таблица1_113[[#This Row],[Марка]],Таблица13[#All],2,0)</f>
        <v>Business</v>
      </c>
      <c r="AG540">
        <f>VLOOKUP(Таблица1_113[[#This Row],[Марка]],Таблица13[#All],3,0)</f>
        <v>1895</v>
      </c>
      <c r="AH540" t="str">
        <f>VLOOKUP(Таблица1_113[[#This Row],[Марка]],Таблица13[#All],5,0)</f>
        <v>Крупноузловая</v>
      </c>
      <c r="AI540" s="12">
        <v>43922</v>
      </c>
      <c r="AJ540">
        <v>18</v>
      </c>
    </row>
    <row r="541" spans="5:36">
      <c r="E541"/>
      <c r="AD541" t="s">
        <v>23</v>
      </c>
      <c r="AE541" t="str">
        <f>VLOOKUP(Таблица1_113[[#This Row],[Марка]],Таблица13[#All],4,0)</f>
        <v>Франция</v>
      </c>
      <c r="AF541" t="str">
        <f>VLOOKUP(Таблица1_113[[#This Row],[Марка]],Таблица13[#All],2,0)</f>
        <v>Economy</v>
      </c>
      <c r="AG541">
        <f>VLOOKUP(Таблица1_113[[#This Row],[Марка]],Таблица13[#All],3,0)</f>
        <v>1899</v>
      </c>
      <c r="AH541" t="str">
        <f>VLOOKUP(Таблица1_113[[#This Row],[Марка]],Таблица13[#All],5,0)</f>
        <v>Крупноузловая</v>
      </c>
      <c r="AI541" s="12">
        <v>43922</v>
      </c>
      <c r="AJ541">
        <v>70</v>
      </c>
    </row>
    <row r="542" spans="5:36">
      <c r="E542"/>
      <c r="AD542" t="s">
        <v>142</v>
      </c>
      <c r="AE542" t="str">
        <f>VLOOKUP(Таблица1_113[[#This Row],[Марка]],Таблица13[#All],4,0)</f>
        <v>Узбекистан</v>
      </c>
      <c r="AF542" t="str">
        <f>VLOOKUP(Таблица1_113[[#This Row],[Марка]],Таблица13[#All],2,0)</f>
        <v>Economy</v>
      </c>
      <c r="AG542">
        <f>VLOOKUP(Таблица1_113[[#This Row],[Марка]],Таблица13[#All],3,0)</f>
        <v>2015</v>
      </c>
      <c r="AH542" t="str">
        <f>VLOOKUP(Таблица1_113[[#This Row],[Марка]],Таблица13[#All],5,0)</f>
        <v>Крупноузловая</v>
      </c>
      <c r="AI542" s="12">
        <v>43922</v>
      </c>
      <c r="AJ542">
        <v>14</v>
      </c>
    </row>
    <row r="543" spans="5:36">
      <c r="E543"/>
      <c r="AD543" t="s">
        <v>37</v>
      </c>
      <c r="AE543" t="str">
        <f>VLOOKUP(Таблица1_113[[#This Row],[Марка]],Таблица13[#All],4,0)</f>
        <v>Германия</v>
      </c>
      <c r="AF543" t="str">
        <f>VLOOKUP(Таблица1_113[[#This Row],[Марка]],Таблица13[#All],2,0)</f>
        <v>Luxury</v>
      </c>
      <c r="AG543">
        <f>VLOOKUP(Таблица1_113[[#This Row],[Марка]],Таблица13[#All],3,0)</f>
        <v>1931</v>
      </c>
      <c r="AH543" t="str">
        <f>VLOOKUP(Таблица1_113[[#This Row],[Марка]],Таблица13[#All],5,0)</f>
        <v>Нет</v>
      </c>
      <c r="AI543" s="12">
        <v>43922</v>
      </c>
      <c r="AJ543">
        <v>3</v>
      </c>
    </row>
    <row r="544" spans="5:36">
      <c r="E544"/>
      <c r="AD544" t="s">
        <v>22</v>
      </c>
      <c r="AE544" t="str">
        <f>VLOOKUP(Таблица1_113[[#This Row],[Марка]],Таблица13[#All],4,0)</f>
        <v>Япония</v>
      </c>
      <c r="AF544" t="str">
        <f>VLOOKUP(Таблица1_113[[#This Row],[Марка]],Таблица13[#All],2,0)</f>
        <v>Business</v>
      </c>
      <c r="AG544">
        <f>VLOOKUP(Таблица1_113[[#This Row],[Марка]],Таблица13[#All],3,0)</f>
        <v>1933</v>
      </c>
      <c r="AH544" t="str">
        <f>VLOOKUP(Таблица1_113[[#This Row],[Марка]],Таблица13[#All],5,0)</f>
        <v>Нет</v>
      </c>
      <c r="AI544" s="12">
        <v>43922</v>
      </c>
      <c r="AJ544">
        <v>8</v>
      </c>
    </row>
    <row r="545" spans="5:36">
      <c r="E545"/>
      <c r="AD545" t="s">
        <v>9</v>
      </c>
      <c r="AE545" t="str">
        <f>VLOOKUP(Таблица1_113[[#This Row],[Марка]],Таблица13[#All],4,0)</f>
        <v>Япония</v>
      </c>
      <c r="AF545" t="str">
        <f>VLOOKUP(Таблица1_113[[#This Row],[Марка]],Таблица13[#All],2,0)</f>
        <v>Business</v>
      </c>
      <c r="AG545">
        <f>VLOOKUP(Таблица1_113[[#This Row],[Марка]],Таблица13[#All],3,0)</f>
        <v>1870</v>
      </c>
      <c r="AH545" t="str">
        <f>VLOOKUP(Таблица1_113[[#This Row],[Марка]],Таблица13[#All],5,0)</f>
        <v>Нет</v>
      </c>
      <c r="AI545" s="12">
        <v>43922</v>
      </c>
      <c r="AJ545">
        <v>0</v>
      </c>
    </row>
    <row r="546" spans="5:36">
      <c r="E546"/>
      <c r="AD546" t="s">
        <v>40</v>
      </c>
      <c r="AE546" t="str">
        <f>VLOOKUP(Таблица1_113[[#This Row],[Марка]],Таблица13[#All],4,0)</f>
        <v>Великобритания</v>
      </c>
      <c r="AF546" t="str">
        <f>VLOOKUP(Таблица1_113[[#This Row],[Марка]],Таблица13[#All],2,0)</f>
        <v>Luxury</v>
      </c>
      <c r="AG546">
        <f>VLOOKUP(Таблица1_113[[#This Row],[Марка]],Таблица13[#All],3,0)</f>
        <v>1959</v>
      </c>
      <c r="AH546" t="str">
        <f>VLOOKUP(Таблица1_113[[#This Row],[Марка]],Таблица13[#All],5,0)</f>
        <v>Нет</v>
      </c>
      <c r="AI546" s="12">
        <v>43922</v>
      </c>
      <c r="AJ546">
        <v>0</v>
      </c>
    </row>
    <row r="547" spans="5:36">
      <c r="E547"/>
      <c r="AD547" t="s">
        <v>128</v>
      </c>
      <c r="AE547" t="str">
        <f>VLOOKUP(Таблица1_113[[#This Row],[Марка]],Таблица13[#All],4,0)</f>
        <v>Германия</v>
      </c>
      <c r="AF547" t="str">
        <f>VLOOKUP(Таблица1_113[[#This Row],[Марка]],Таблица13[#All],2,0)</f>
        <v>Luxury</v>
      </c>
      <c r="AG547">
        <f>VLOOKUP(Таблица1_113[[#This Row],[Марка]],Таблица13[#All],3,0)</f>
        <v>1926</v>
      </c>
      <c r="AH547" t="str">
        <f>VLOOKUP(Таблица1_113[[#This Row],[Марка]],Таблица13[#All],5,0)</f>
        <v>Нет</v>
      </c>
      <c r="AI547" s="12">
        <v>43922</v>
      </c>
      <c r="AJ547">
        <v>12</v>
      </c>
    </row>
    <row r="548" spans="5:36">
      <c r="E548"/>
      <c r="AD548" t="s">
        <v>139</v>
      </c>
      <c r="AE548" t="str">
        <f>VLOOKUP(Таблица1_113[[#This Row],[Марка]],Таблица13[#All],4,0)</f>
        <v>Япония</v>
      </c>
      <c r="AF548" t="str">
        <f>VLOOKUP(Таблица1_113[[#This Row],[Марка]],Таблица13[#All],2,0)</f>
        <v>Business</v>
      </c>
      <c r="AG548">
        <f>VLOOKUP(Таблица1_113[[#This Row],[Марка]],Таблица13[#All],3,0)</f>
        <v>1920</v>
      </c>
      <c r="AH548" t="str">
        <f>VLOOKUP(Таблица1_113[[#This Row],[Марка]],Таблица13[#All],5,0)</f>
        <v>Нет</v>
      </c>
      <c r="AI548" s="12">
        <v>43922</v>
      </c>
      <c r="AJ548">
        <v>0</v>
      </c>
    </row>
    <row r="549" spans="5:36">
      <c r="E549"/>
      <c r="AD549" t="s">
        <v>5</v>
      </c>
      <c r="AE549" t="str">
        <f>VLOOKUP(Таблица1_113[[#This Row],[Марка]],Таблица13[#All],4,0)</f>
        <v>Япония</v>
      </c>
      <c r="AF549" t="str">
        <f>VLOOKUP(Таблица1_113[[#This Row],[Марка]],Таблица13[#All],2,0)</f>
        <v>Luxury</v>
      </c>
      <c r="AG549">
        <f>VLOOKUP(Таблица1_113[[#This Row],[Марка]],Таблица13[#All],3,0)</f>
        <v>1989</v>
      </c>
      <c r="AH549" t="str">
        <f>VLOOKUP(Таблица1_113[[#This Row],[Марка]],Таблица13[#All],5,0)</f>
        <v>Нет</v>
      </c>
      <c r="AI549" s="12">
        <v>43922</v>
      </c>
      <c r="AJ549">
        <v>26</v>
      </c>
    </row>
    <row r="550" spans="5:36">
      <c r="E550"/>
      <c r="AD550" t="s">
        <v>35</v>
      </c>
      <c r="AE550" t="str">
        <f>VLOOKUP(Таблица1_113[[#This Row],[Марка]],Таблица13[#All],4,0)</f>
        <v>Великобритания</v>
      </c>
      <c r="AF550" t="str">
        <f>VLOOKUP(Таблица1_113[[#This Row],[Марка]],Таблица13[#All],2,0)</f>
        <v>Luxury</v>
      </c>
      <c r="AG550">
        <f>VLOOKUP(Таблица1_113[[#This Row],[Марка]],Таблица13[#All],3,0)</f>
        <v>1948</v>
      </c>
      <c r="AH550" t="str">
        <f>VLOOKUP(Таблица1_113[[#This Row],[Марка]],Таблица13[#All],5,0)</f>
        <v>Нет</v>
      </c>
      <c r="AI550" s="12">
        <v>43922</v>
      </c>
      <c r="AJ550">
        <v>4</v>
      </c>
    </row>
    <row r="551" spans="5:36">
      <c r="E551"/>
      <c r="AD551" t="s">
        <v>19</v>
      </c>
      <c r="AE551" t="str">
        <f>VLOOKUP(Таблица1_113[[#This Row],[Марка]],Таблица13[#All],4,0)</f>
        <v>Россия</v>
      </c>
      <c r="AF551" t="str">
        <f>VLOOKUP(Таблица1_113[[#This Row],[Марка]],Таблица13[#All],2,0)</f>
        <v>Economy</v>
      </c>
      <c r="AG551">
        <f>VLOOKUP(Таблица1_113[[#This Row],[Марка]],Таблица13[#All],3,0)</f>
        <v>1970</v>
      </c>
      <c r="AH551" t="str">
        <f>VLOOKUP(Таблица1_113[[#This Row],[Марка]],Таблица13[#All],5,0)</f>
        <v>Крупноузловая</v>
      </c>
      <c r="AI551" s="12">
        <v>43922</v>
      </c>
      <c r="AJ551">
        <v>159</v>
      </c>
    </row>
    <row r="552" spans="5:36">
      <c r="E552"/>
      <c r="AD552" t="s">
        <v>15</v>
      </c>
      <c r="AE552" t="str">
        <f>VLOOKUP(Таблица1_113[[#This Row],[Марка]],Таблица13[#All],4,0)</f>
        <v>Корея</v>
      </c>
      <c r="AF552" t="str">
        <f>VLOOKUP(Таблица1_113[[#This Row],[Марка]],Таблица13[#All],2,0)</f>
        <v>Economy</v>
      </c>
      <c r="AG552">
        <f>VLOOKUP(Таблица1_113[[#This Row],[Марка]],Таблица13[#All],3,0)</f>
        <v>1944</v>
      </c>
      <c r="AH552" t="str">
        <f>VLOOKUP(Таблица1_113[[#This Row],[Марка]],Таблица13[#All],5,0)</f>
        <v>Крупноузловая</v>
      </c>
      <c r="AI552" s="12">
        <v>43922</v>
      </c>
      <c r="AJ552">
        <v>40</v>
      </c>
    </row>
    <row r="553" spans="5:36">
      <c r="E553"/>
      <c r="AD553" t="s">
        <v>134</v>
      </c>
      <c r="AE553" t="str">
        <f>VLOOKUP(Таблица1_113[[#This Row],[Марка]],Таблица13[#All],4,0)</f>
        <v>Великобритания</v>
      </c>
      <c r="AF553" t="str">
        <f>VLOOKUP(Таблица1_113[[#This Row],[Марка]],Таблица13[#All],2,0)</f>
        <v>Luxury</v>
      </c>
      <c r="AG553">
        <f>VLOOKUP(Таблица1_113[[#This Row],[Марка]],Таблица13[#All],3,0)</f>
        <v>1922</v>
      </c>
      <c r="AH553" t="str">
        <f>VLOOKUP(Таблица1_113[[#This Row],[Марка]],Таблица13[#All],5,0)</f>
        <v>Нет</v>
      </c>
      <c r="AI553" s="12">
        <v>43922</v>
      </c>
      <c r="AJ553">
        <v>0</v>
      </c>
    </row>
    <row r="554" spans="5:36">
      <c r="E554"/>
      <c r="AD554" t="s">
        <v>4</v>
      </c>
      <c r="AE554" t="str">
        <f>VLOOKUP(Таблица1_113[[#This Row],[Марка]],Таблица13[#All],4,0)</f>
        <v>Китай</v>
      </c>
      <c r="AF554" t="str">
        <f>VLOOKUP(Таблица1_113[[#This Row],[Марка]],Таблица13[#All],2,0)</f>
        <v>Economy</v>
      </c>
      <c r="AG554">
        <f>VLOOKUP(Таблица1_113[[#This Row],[Марка]],Таблица13[#All],3,0)</f>
        <v>1964</v>
      </c>
      <c r="AH554" t="str">
        <f>VLOOKUP(Таблица1_113[[#This Row],[Марка]],Таблица13[#All],5,0)</f>
        <v>Крупноузловая</v>
      </c>
      <c r="AI554" s="12">
        <v>43922</v>
      </c>
      <c r="AJ554">
        <v>21</v>
      </c>
    </row>
    <row r="555" spans="5:36">
      <c r="E555"/>
      <c r="AD555" t="s">
        <v>140</v>
      </c>
      <c r="AE555" t="str">
        <f>VLOOKUP(Таблица1_113[[#This Row],[Марка]],Таблица13[#All],4,0)</f>
        <v>Япония</v>
      </c>
      <c r="AF555" t="str">
        <f>VLOOKUP(Таблица1_113[[#This Row],[Марка]],Таблица13[#All],2,0)</f>
        <v>Business</v>
      </c>
      <c r="AG555">
        <f>VLOOKUP(Таблица1_113[[#This Row],[Марка]],Таблица13[#All],3,0)</f>
        <v>1916</v>
      </c>
      <c r="AH555" t="str">
        <f>VLOOKUP(Таблица1_113[[#This Row],[Марка]],Таблица13[#All],5,0)</f>
        <v>Нет</v>
      </c>
      <c r="AI555" s="12">
        <v>43922</v>
      </c>
      <c r="AJ555">
        <v>0</v>
      </c>
    </row>
    <row r="556" spans="5:36">
      <c r="E556"/>
      <c r="AD556" t="s">
        <v>34</v>
      </c>
      <c r="AE556" t="str">
        <f>VLOOKUP(Таблица1_113[[#This Row],[Марка]],Таблица13[#All],4,0)</f>
        <v>Япония</v>
      </c>
      <c r="AF556" t="str">
        <f>VLOOKUP(Таблица1_113[[#This Row],[Марка]],Таблица13[#All],2,0)</f>
        <v>Luxury</v>
      </c>
      <c r="AG556">
        <f>VLOOKUP(Таблица1_113[[#This Row],[Марка]],Таблица13[#All],3,0)</f>
        <v>1989</v>
      </c>
      <c r="AH556" t="str">
        <f>VLOOKUP(Таблица1_113[[#This Row],[Марка]],Таблица13[#All],5,0)</f>
        <v>Нет</v>
      </c>
      <c r="AI556" s="12">
        <v>43922</v>
      </c>
      <c r="AJ556">
        <v>0</v>
      </c>
    </row>
    <row r="557" spans="5:36">
      <c r="E557"/>
      <c r="AD557" t="s">
        <v>0</v>
      </c>
      <c r="AE557" t="str">
        <f>VLOOKUP(Таблица1_113[[#This Row],[Марка]],Таблица13[#All],4,0)</f>
        <v>Корея</v>
      </c>
      <c r="AF557" t="str">
        <f>VLOOKUP(Таблица1_113[[#This Row],[Марка]],Таблица13[#All],2,0)</f>
        <v>Economy</v>
      </c>
      <c r="AG557">
        <f>VLOOKUP(Таблица1_113[[#This Row],[Марка]],Таблица13[#All],3,0)</f>
        <v>1967</v>
      </c>
      <c r="AH557" t="str">
        <f>VLOOKUP(Таблица1_113[[#This Row],[Марка]],Таблица13[#All],5,0)</f>
        <v>Крупноузловая</v>
      </c>
      <c r="AI557" s="12">
        <v>43922</v>
      </c>
      <c r="AJ557">
        <v>100</v>
      </c>
    </row>
    <row r="558" spans="5:36">
      <c r="E558"/>
      <c r="AD558" t="s">
        <v>138</v>
      </c>
      <c r="AE558" t="str">
        <f>VLOOKUP(Таблица1_113[[#This Row],[Марка]],Таблица13[#All],4,0)</f>
        <v>Корея</v>
      </c>
      <c r="AF558" t="str">
        <f>VLOOKUP(Таблица1_113[[#This Row],[Марка]],Таблица13[#All],2,0)</f>
        <v>Luxury</v>
      </c>
      <c r="AG558">
        <f>VLOOKUP(Таблица1_113[[#This Row],[Марка]],Таблица13[#All],3,0)</f>
        <v>2015</v>
      </c>
      <c r="AH558" t="str">
        <f>VLOOKUP(Таблица1_113[[#This Row],[Марка]],Таблица13[#All],5,0)</f>
        <v>Нет</v>
      </c>
      <c r="AI558" s="12">
        <v>43922</v>
      </c>
      <c r="AJ558">
        <v>7</v>
      </c>
    </row>
    <row r="559" spans="5:36">
      <c r="E559"/>
      <c r="AD559" t="s">
        <v>133</v>
      </c>
      <c r="AE559" t="str">
        <f>VLOOKUP(Таблица1_113[[#This Row],[Марка]],Таблица13[#All],4,0)</f>
        <v>Китай</v>
      </c>
      <c r="AF559" t="str">
        <f>VLOOKUP(Таблица1_113[[#This Row],[Марка]],Таблица13[#All],2,0)</f>
        <v>Economy</v>
      </c>
      <c r="AG559">
        <f>VLOOKUP(Таблица1_113[[#This Row],[Марка]],Таблица13[#All],3,0)</f>
        <v>1996</v>
      </c>
      <c r="AH559" t="str">
        <f>VLOOKUP(Таблица1_113[[#This Row],[Марка]],Таблица13[#All],5,0)</f>
        <v>Нет</v>
      </c>
      <c r="AI559" s="12">
        <v>43922</v>
      </c>
      <c r="AJ559">
        <v>0</v>
      </c>
    </row>
    <row r="560" spans="5:36">
      <c r="E560"/>
      <c r="AD560" t="s">
        <v>130</v>
      </c>
      <c r="AE560" t="str">
        <f>VLOOKUP(Таблица1_113[[#This Row],[Марка]],Таблица13[#All],4,0)</f>
        <v>Китай</v>
      </c>
      <c r="AF560" t="str">
        <f>VLOOKUP(Таблица1_113[[#This Row],[Марка]],Таблица13[#All],2,0)</f>
        <v>Economy</v>
      </c>
      <c r="AG560">
        <f>VLOOKUP(Таблица1_113[[#This Row],[Марка]],Таблица13[#All],3,0)</f>
        <v>1969</v>
      </c>
      <c r="AH560" t="str">
        <f>VLOOKUP(Таблица1_113[[#This Row],[Марка]],Таблица13[#All],5,0)</f>
        <v>Нет</v>
      </c>
      <c r="AI560" s="12">
        <v>43922</v>
      </c>
      <c r="AJ560">
        <v>0</v>
      </c>
    </row>
    <row r="561" spans="5:36">
      <c r="E561"/>
      <c r="AD561" t="s">
        <v>137</v>
      </c>
      <c r="AE561" t="str">
        <f>VLOOKUP(Таблица1_113[[#This Row],[Марка]],Таблица13[#All],4,0)</f>
        <v>Корея</v>
      </c>
      <c r="AF561" t="str">
        <f>VLOOKUP(Таблица1_113[[#This Row],[Марка]],Таблица13[#All],2,0)</f>
        <v>Economy</v>
      </c>
      <c r="AG561">
        <f>VLOOKUP(Таблица1_113[[#This Row],[Марка]],Таблица13[#All],3,0)</f>
        <v>1967</v>
      </c>
      <c r="AH561" t="str">
        <f>VLOOKUP(Таблица1_113[[#This Row],[Марка]],Таблица13[#All],5,0)</f>
        <v>Нет</v>
      </c>
      <c r="AI561" s="12">
        <v>43922</v>
      </c>
      <c r="AJ561">
        <v>0</v>
      </c>
    </row>
    <row r="562" spans="5:36">
      <c r="E562"/>
      <c r="AD562" t="s">
        <v>1</v>
      </c>
      <c r="AE562" t="str">
        <f>VLOOKUP(Таблица1_113[[#This Row],[Марка]],Таблица13[#All],4,0)</f>
        <v>США</v>
      </c>
      <c r="AF562" t="str">
        <f>VLOOKUP(Таблица1_113[[#This Row],[Марка]],Таблица13[#All],2,0)</f>
        <v>Economy</v>
      </c>
      <c r="AG562">
        <f>VLOOKUP(Таблица1_113[[#This Row],[Марка]],Таблица13[#All],3,0)</f>
        <v>1911</v>
      </c>
      <c r="AH562" t="str">
        <f>VLOOKUP(Таблица1_113[[#This Row],[Марка]],Таблица13[#All],5,0)</f>
        <v>Крупноузловая</v>
      </c>
      <c r="AI562" s="12">
        <v>43922</v>
      </c>
      <c r="AJ562">
        <v>60</v>
      </c>
    </row>
    <row r="563" spans="5:36">
      <c r="E563"/>
      <c r="AD563" t="s">
        <v>36</v>
      </c>
      <c r="AE563" t="str">
        <f>VLOOKUP(Таблица1_113[[#This Row],[Марка]],Таблица13[#All],4,0)</f>
        <v>США</v>
      </c>
      <c r="AF563" t="str">
        <f>VLOOKUP(Таблица1_113[[#This Row],[Марка]],Таблица13[#All],2,0)</f>
        <v>Luxury</v>
      </c>
      <c r="AG563">
        <f>VLOOKUP(Таблица1_113[[#This Row],[Марка]],Таблица13[#All],3,0)</f>
        <v>1902</v>
      </c>
      <c r="AH563" t="str">
        <f>VLOOKUP(Таблица1_113[[#This Row],[Марка]],Таблица13[#All],5,0)</f>
        <v>Нет</v>
      </c>
      <c r="AI563" s="12">
        <v>43922</v>
      </c>
      <c r="AJ563">
        <v>0</v>
      </c>
    </row>
    <row r="564" spans="5:36">
      <c r="E564"/>
      <c r="AD564" t="s">
        <v>8</v>
      </c>
      <c r="AE564" t="str">
        <f>VLOOKUP(Таблица1_113[[#This Row],[Марка]],Таблица13[#All],4,0)</f>
        <v>Германия</v>
      </c>
      <c r="AF564" t="str">
        <f>VLOOKUP(Таблица1_113[[#This Row],[Марка]],Таблица13[#All],2,0)</f>
        <v>Luxury</v>
      </c>
      <c r="AG564">
        <f>VLOOKUP(Таблица1_113[[#This Row],[Марка]],Таблица13[#All],3,0)</f>
        <v>1916</v>
      </c>
      <c r="AH564" t="str">
        <f>VLOOKUP(Таблица1_113[[#This Row],[Марка]],Таблица13[#All],5,0)</f>
        <v>Нет</v>
      </c>
      <c r="AI564" s="12">
        <v>43922</v>
      </c>
      <c r="AJ564">
        <v>40</v>
      </c>
    </row>
    <row r="565" spans="5:36">
      <c r="E565"/>
      <c r="AD565" t="s">
        <v>38</v>
      </c>
      <c r="AE565" t="str">
        <f>VLOOKUP(Таблица1_113[[#This Row],[Марка]],Таблица13[#All],4,0)</f>
        <v>Германия</v>
      </c>
      <c r="AF565" t="str">
        <f>VLOOKUP(Таблица1_113[[#This Row],[Марка]],Таблица13[#All],2,0)</f>
        <v>Luxury</v>
      </c>
      <c r="AG565">
        <f>VLOOKUP(Таблица1_113[[#This Row],[Марка]],Таблица13[#All],3,0)</f>
        <v>1932</v>
      </c>
      <c r="AH565" t="str">
        <f>VLOOKUP(Таблица1_113[[#This Row],[Марка]],Таблица13[#All],5,0)</f>
        <v>Нет</v>
      </c>
      <c r="AI565" s="12">
        <v>43922</v>
      </c>
      <c r="AJ565">
        <v>2</v>
      </c>
    </row>
    <row r="566" spans="5:36">
      <c r="E566"/>
      <c r="AD566" t="s">
        <v>136</v>
      </c>
      <c r="AE566" t="str">
        <f>VLOOKUP(Таблица1_113[[#This Row],[Марка]],Таблица13[#All],4,0)</f>
        <v>Россия</v>
      </c>
      <c r="AF566" t="str">
        <f>VLOOKUP(Таблица1_113[[#This Row],[Марка]],Таблица13[#All],2,0)</f>
        <v>Economy</v>
      </c>
      <c r="AG566">
        <f>VLOOKUP(Таблица1_113[[#This Row],[Марка]],Таблица13[#All],3,0)</f>
        <v>1941</v>
      </c>
      <c r="AH566" t="str">
        <f>VLOOKUP(Таблица1_113[[#This Row],[Марка]],Таблица13[#All],5,0)</f>
        <v>Нет</v>
      </c>
      <c r="AI566" s="12">
        <v>43952</v>
      </c>
      <c r="AJ566">
        <v>171</v>
      </c>
    </row>
    <row r="567" spans="5:36">
      <c r="E567"/>
      <c r="AD567" t="s">
        <v>135</v>
      </c>
      <c r="AE567" t="str">
        <f>VLOOKUP(Таблица1_113[[#This Row],[Марка]],Таблица13[#All],4,0)</f>
        <v>-</v>
      </c>
      <c r="AF567" t="str">
        <f>VLOOKUP(Таблица1_113[[#This Row],[Марка]],Таблица13[#All],2,0)</f>
        <v>-</v>
      </c>
      <c r="AG567" t="str">
        <f>VLOOKUP(Таблица1_113[[#This Row],[Марка]],Таблица13[#All],3,0)</f>
        <v>-</v>
      </c>
      <c r="AH567" t="str">
        <f>VLOOKUP(Таблица1_113[[#This Row],[Марка]],Таблица13[#All],5,0)</f>
        <v>-</v>
      </c>
      <c r="AI567" s="12">
        <v>43952</v>
      </c>
      <c r="AJ567">
        <v>0</v>
      </c>
    </row>
    <row r="568" spans="5:36">
      <c r="E568"/>
      <c r="AD568" t="s">
        <v>39</v>
      </c>
      <c r="AE568" t="str">
        <f>VLOOKUP(Таблица1_113[[#This Row],[Марка]],Таблица13[#All],4,0)</f>
        <v>Швеция</v>
      </c>
      <c r="AF568" t="str">
        <f>VLOOKUP(Таблица1_113[[#This Row],[Марка]],Таблица13[#All],2,0)</f>
        <v>Business</v>
      </c>
      <c r="AG568">
        <f>VLOOKUP(Таблица1_113[[#This Row],[Марка]],Таблица13[#All],3,0)</f>
        <v>1927</v>
      </c>
      <c r="AH568" t="str">
        <f>VLOOKUP(Таблица1_113[[#This Row],[Марка]],Таблица13[#All],5,0)</f>
        <v>Нет</v>
      </c>
      <c r="AI568" s="12">
        <v>43952</v>
      </c>
      <c r="AJ568">
        <v>0</v>
      </c>
    </row>
    <row r="569" spans="5:36">
      <c r="E569"/>
      <c r="AD569" t="s">
        <v>21</v>
      </c>
      <c r="AE569" t="str">
        <f>VLOOKUP(Таблица1_113[[#This Row],[Марка]],Таблица13[#All],4,0)</f>
        <v>Германия</v>
      </c>
      <c r="AF569" t="str">
        <f>VLOOKUP(Таблица1_113[[#This Row],[Марка]],Таблица13[#All],2,0)</f>
        <v>Business</v>
      </c>
      <c r="AG569">
        <f>VLOOKUP(Таблица1_113[[#This Row],[Марка]],Таблица13[#All],3,0)</f>
        <v>1937</v>
      </c>
      <c r="AH569" t="str">
        <f>VLOOKUP(Таблица1_113[[#This Row],[Марка]],Таблица13[#All],5,0)</f>
        <v>Нет</v>
      </c>
      <c r="AI569" s="12">
        <v>43952</v>
      </c>
      <c r="AJ569">
        <v>137</v>
      </c>
    </row>
    <row r="570" spans="5:36">
      <c r="E570"/>
      <c r="AD570" t="s">
        <v>2</v>
      </c>
      <c r="AE570" t="str">
        <f>VLOOKUP(Таблица1_113[[#This Row],[Марка]],Таблица13[#All],4,0)</f>
        <v>Япония</v>
      </c>
      <c r="AF570" t="str">
        <f>VLOOKUP(Таблица1_113[[#This Row],[Марка]],Таблица13[#All],2,0)</f>
        <v>Business</v>
      </c>
      <c r="AG570">
        <f>VLOOKUP(Таблица1_113[[#This Row],[Марка]],Таблица13[#All],3,0)</f>
        <v>1937</v>
      </c>
      <c r="AH570" t="str">
        <f>VLOOKUP(Таблица1_113[[#This Row],[Марка]],Таблица13[#All],5,0)</f>
        <v>Нет</v>
      </c>
      <c r="AI570" s="12">
        <v>43952</v>
      </c>
      <c r="AJ570">
        <v>841</v>
      </c>
    </row>
    <row r="571" spans="5:36">
      <c r="E571"/>
      <c r="AD571" t="s">
        <v>143</v>
      </c>
      <c r="AE571" t="str">
        <f>VLOOKUP(Таблица1_113[[#This Row],[Марка]],Таблица13[#All],4,0)</f>
        <v>Япония</v>
      </c>
      <c r="AF571" t="str">
        <f>VLOOKUP(Таблица1_113[[#This Row],[Марка]],Таблица13[#All],2,0)</f>
        <v>Economy</v>
      </c>
      <c r="AG571">
        <f>VLOOKUP(Таблица1_113[[#This Row],[Марка]],Таблица13[#All],3,0)</f>
        <v>1909</v>
      </c>
      <c r="AH571" t="str">
        <f>VLOOKUP(Таблица1_113[[#This Row],[Марка]],Таблица13[#All],5,0)</f>
        <v>Нет</v>
      </c>
      <c r="AI571" s="12">
        <v>43952</v>
      </c>
      <c r="AJ571">
        <v>0</v>
      </c>
    </row>
    <row r="572" spans="5:36">
      <c r="E572"/>
      <c r="AD572" t="s">
        <v>125</v>
      </c>
      <c r="AE572" t="str">
        <f>VLOOKUP(Таблица1_113[[#This Row],[Марка]],Таблица13[#All],4,0)</f>
        <v>Япония</v>
      </c>
      <c r="AF572" t="str">
        <f>VLOOKUP(Таблица1_113[[#This Row],[Марка]],Таблица13[#All],2,0)</f>
        <v>Business</v>
      </c>
      <c r="AG572">
        <f>VLOOKUP(Таблица1_113[[#This Row],[Марка]],Таблица13[#All],3,0)</f>
        <v>1953</v>
      </c>
      <c r="AH572" t="str">
        <f>VLOOKUP(Таблица1_113[[#This Row],[Марка]],Таблица13[#All],5,0)</f>
        <v>Нет</v>
      </c>
      <c r="AI572" s="12">
        <v>43952</v>
      </c>
      <c r="AJ572">
        <v>38</v>
      </c>
    </row>
    <row r="573" spans="5:36">
      <c r="E573"/>
      <c r="AD573" t="s">
        <v>141</v>
      </c>
      <c r="AE573" t="str">
        <f>VLOOKUP(Таблица1_113[[#This Row],[Марка]],Таблица13[#All],4,0)</f>
        <v>Чехия</v>
      </c>
      <c r="AF573" t="str">
        <f>VLOOKUP(Таблица1_113[[#This Row],[Марка]],Таблица13[#All],2,0)</f>
        <v>Business</v>
      </c>
      <c r="AG573">
        <f>VLOOKUP(Таблица1_113[[#This Row],[Марка]],Таблица13[#All],3,0)</f>
        <v>1895</v>
      </c>
      <c r="AH573" t="str">
        <f>VLOOKUP(Таблица1_113[[#This Row],[Марка]],Таблица13[#All],5,0)</f>
        <v>Крупноузловая</v>
      </c>
      <c r="AI573" s="12">
        <v>43952</v>
      </c>
      <c r="AJ573">
        <v>34</v>
      </c>
    </row>
    <row r="574" spans="5:36">
      <c r="E574"/>
      <c r="AD574" t="s">
        <v>23</v>
      </c>
      <c r="AE574" t="str">
        <f>VLOOKUP(Таблица1_113[[#This Row],[Марка]],Таблица13[#All],4,0)</f>
        <v>Франция</v>
      </c>
      <c r="AF574" t="str">
        <f>VLOOKUP(Таблица1_113[[#This Row],[Марка]],Таблица13[#All],2,0)</f>
        <v>Economy</v>
      </c>
      <c r="AG574">
        <f>VLOOKUP(Таблица1_113[[#This Row],[Марка]],Таблица13[#All],3,0)</f>
        <v>1899</v>
      </c>
      <c r="AH574" t="str">
        <f>VLOOKUP(Таблица1_113[[#This Row],[Марка]],Таблица13[#All],5,0)</f>
        <v>Крупноузловая</v>
      </c>
      <c r="AI574" s="12">
        <v>43952</v>
      </c>
      <c r="AJ574">
        <v>240</v>
      </c>
    </row>
    <row r="575" spans="5:36">
      <c r="E575"/>
      <c r="AD575" t="s">
        <v>142</v>
      </c>
      <c r="AE575" t="str">
        <f>VLOOKUP(Таблица1_113[[#This Row],[Марка]],Таблица13[#All],4,0)</f>
        <v>Узбекистан</v>
      </c>
      <c r="AF575" t="str">
        <f>VLOOKUP(Таблица1_113[[#This Row],[Марка]],Таблица13[#All],2,0)</f>
        <v>Economy</v>
      </c>
      <c r="AG575">
        <f>VLOOKUP(Таблица1_113[[#This Row],[Марка]],Таблица13[#All],3,0)</f>
        <v>2015</v>
      </c>
      <c r="AH575" t="str">
        <f>VLOOKUP(Таблица1_113[[#This Row],[Марка]],Таблица13[#All],5,0)</f>
        <v>Крупноузловая</v>
      </c>
      <c r="AI575" s="12">
        <v>43952</v>
      </c>
      <c r="AJ575">
        <v>1044</v>
      </c>
    </row>
    <row r="576" spans="5:36">
      <c r="E576"/>
      <c r="AD576" t="s">
        <v>37</v>
      </c>
      <c r="AE576" t="str">
        <f>VLOOKUP(Таблица1_113[[#This Row],[Марка]],Таблица13[#All],4,0)</f>
        <v>Германия</v>
      </c>
      <c r="AF576" t="str">
        <f>VLOOKUP(Таблица1_113[[#This Row],[Марка]],Таблица13[#All],2,0)</f>
        <v>Luxury</v>
      </c>
      <c r="AG576">
        <f>VLOOKUP(Таблица1_113[[#This Row],[Марка]],Таблица13[#All],3,0)</f>
        <v>1931</v>
      </c>
      <c r="AH576" t="str">
        <f>VLOOKUP(Таблица1_113[[#This Row],[Марка]],Таблица13[#All],5,0)</f>
        <v>Нет</v>
      </c>
      <c r="AI576" s="12">
        <v>43952</v>
      </c>
      <c r="AJ576">
        <v>18</v>
      </c>
    </row>
    <row r="577" spans="5:36">
      <c r="E577"/>
      <c r="AD577" t="s">
        <v>22</v>
      </c>
      <c r="AE577" t="str">
        <f>VLOOKUP(Таблица1_113[[#This Row],[Марка]],Таблица13[#All],4,0)</f>
        <v>Япония</v>
      </c>
      <c r="AF577" t="str">
        <f>VLOOKUP(Таблица1_113[[#This Row],[Марка]],Таблица13[#All],2,0)</f>
        <v>Business</v>
      </c>
      <c r="AG577">
        <f>VLOOKUP(Таблица1_113[[#This Row],[Марка]],Таблица13[#All],3,0)</f>
        <v>1933</v>
      </c>
      <c r="AH577" t="str">
        <f>VLOOKUP(Таблица1_113[[#This Row],[Марка]],Таблица13[#All],5,0)</f>
        <v>Нет</v>
      </c>
      <c r="AI577" s="12">
        <v>43952</v>
      </c>
      <c r="AJ577">
        <v>168</v>
      </c>
    </row>
    <row r="578" spans="5:36">
      <c r="E578"/>
      <c r="AD578" t="s">
        <v>9</v>
      </c>
      <c r="AE578" t="str">
        <f>VLOOKUP(Таблица1_113[[#This Row],[Марка]],Таблица13[#All],4,0)</f>
        <v>Япония</v>
      </c>
      <c r="AF578" t="str">
        <f>VLOOKUP(Таблица1_113[[#This Row],[Марка]],Таблица13[#All],2,0)</f>
        <v>Business</v>
      </c>
      <c r="AG578">
        <f>VLOOKUP(Таблица1_113[[#This Row],[Марка]],Таблица13[#All],3,0)</f>
        <v>1870</v>
      </c>
      <c r="AH578" t="str">
        <f>VLOOKUP(Таблица1_113[[#This Row],[Марка]],Таблица13[#All],5,0)</f>
        <v>Нет</v>
      </c>
      <c r="AI578" s="12">
        <v>43952</v>
      </c>
      <c r="AJ578">
        <v>33</v>
      </c>
    </row>
    <row r="579" spans="5:36">
      <c r="E579"/>
      <c r="AD579" t="s">
        <v>40</v>
      </c>
      <c r="AE579" t="str">
        <f>VLOOKUP(Таблица1_113[[#This Row],[Марка]],Таблица13[#All],4,0)</f>
        <v>Великобритания</v>
      </c>
      <c r="AF579" t="str">
        <f>VLOOKUP(Таблица1_113[[#This Row],[Марка]],Таблица13[#All],2,0)</f>
        <v>Luxury</v>
      </c>
      <c r="AG579">
        <f>VLOOKUP(Таблица1_113[[#This Row],[Марка]],Таблица13[#All],3,0)</f>
        <v>1959</v>
      </c>
      <c r="AH579" t="str">
        <f>VLOOKUP(Таблица1_113[[#This Row],[Марка]],Таблица13[#All],5,0)</f>
        <v>Нет</v>
      </c>
      <c r="AI579" s="12">
        <v>43952</v>
      </c>
      <c r="AJ579">
        <v>5</v>
      </c>
    </row>
    <row r="580" spans="5:36">
      <c r="E580"/>
      <c r="AD580" t="s">
        <v>128</v>
      </c>
      <c r="AE580" t="str">
        <f>VLOOKUP(Таблица1_113[[#This Row],[Марка]],Таблица13[#All],4,0)</f>
        <v>Германия</v>
      </c>
      <c r="AF580" t="str">
        <f>VLOOKUP(Таблица1_113[[#This Row],[Марка]],Таблица13[#All],2,0)</f>
        <v>Luxury</v>
      </c>
      <c r="AG580">
        <f>VLOOKUP(Таблица1_113[[#This Row],[Марка]],Таблица13[#All],3,0)</f>
        <v>1926</v>
      </c>
      <c r="AH580" t="str">
        <f>VLOOKUP(Таблица1_113[[#This Row],[Марка]],Таблица13[#All],5,0)</f>
        <v>Нет</v>
      </c>
      <c r="AI580" s="12">
        <v>43952</v>
      </c>
      <c r="AJ580">
        <v>17</v>
      </c>
    </row>
    <row r="581" spans="5:36">
      <c r="E581"/>
      <c r="AD581" t="s">
        <v>139</v>
      </c>
      <c r="AE581" t="str">
        <f>VLOOKUP(Таблица1_113[[#This Row],[Марка]],Таблица13[#All],4,0)</f>
        <v>Япония</v>
      </c>
      <c r="AF581" t="str">
        <f>VLOOKUP(Таблица1_113[[#This Row],[Марка]],Таблица13[#All],2,0)</f>
        <v>Business</v>
      </c>
      <c r="AG581">
        <f>VLOOKUP(Таблица1_113[[#This Row],[Марка]],Таблица13[#All],3,0)</f>
        <v>1920</v>
      </c>
      <c r="AH581" t="str">
        <f>VLOOKUP(Таблица1_113[[#This Row],[Марка]],Таблица13[#All],5,0)</f>
        <v>Нет</v>
      </c>
      <c r="AI581" s="12">
        <v>43952</v>
      </c>
      <c r="AJ581">
        <v>35</v>
      </c>
    </row>
    <row r="582" spans="5:36">
      <c r="E582"/>
      <c r="AD582" t="s">
        <v>5</v>
      </c>
      <c r="AE582" t="str">
        <f>VLOOKUP(Таблица1_113[[#This Row],[Марка]],Таблица13[#All],4,0)</f>
        <v>Япония</v>
      </c>
      <c r="AF582" t="str">
        <f>VLOOKUP(Таблица1_113[[#This Row],[Марка]],Таблица13[#All],2,0)</f>
        <v>Luxury</v>
      </c>
      <c r="AG582">
        <f>VLOOKUP(Таблица1_113[[#This Row],[Марка]],Таблица13[#All],3,0)</f>
        <v>1989</v>
      </c>
      <c r="AH582" t="str">
        <f>VLOOKUP(Таблица1_113[[#This Row],[Марка]],Таблица13[#All],5,0)</f>
        <v>Нет</v>
      </c>
      <c r="AI582" s="12">
        <v>43952</v>
      </c>
      <c r="AJ582">
        <v>100</v>
      </c>
    </row>
    <row r="583" spans="5:36">
      <c r="E583"/>
      <c r="AD583" t="s">
        <v>35</v>
      </c>
      <c r="AE583" t="str">
        <f>VLOOKUP(Таблица1_113[[#This Row],[Марка]],Таблица13[#All],4,0)</f>
        <v>Великобритания</v>
      </c>
      <c r="AF583" t="str">
        <f>VLOOKUP(Таблица1_113[[#This Row],[Марка]],Таблица13[#All],2,0)</f>
        <v>Luxury</v>
      </c>
      <c r="AG583">
        <f>VLOOKUP(Таблица1_113[[#This Row],[Марка]],Таблица13[#All],3,0)</f>
        <v>1948</v>
      </c>
      <c r="AH583" t="str">
        <f>VLOOKUP(Таблица1_113[[#This Row],[Марка]],Таблица13[#All],5,0)</f>
        <v>Нет</v>
      </c>
      <c r="AI583" s="12">
        <v>43952</v>
      </c>
      <c r="AJ583">
        <v>31</v>
      </c>
    </row>
    <row r="584" spans="5:36">
      <c r="E584"/>
      <c r="AD584" t="s">
        <v>19</v>
      </c>
      <c r="AE584" t="str">
        <f>VLOOKUP(Таблица1_113[[#This Row],[Марка]],Таблица13[#All],4,0)</f>
        <v>Россия</v>
      </c>
      <c r="AF584" t="str">
        <f>VLOOKUP(Таблица1_113[[#This Row],[Марка]],Таблица13[#All],2,0)</f>
        <v>Economy</v>
      </c>
      <c r="AG584">
        <f>VLOOKUP(Таблица1_113[[#This Row],[Марка]],Таблица13[#All],3,0)</f>
        <v>1970</v>
      </c>
      <c r="AH584" t="str">
        <f>VLOOKUP(Таблица1_113[[#This Row],[Марка]],Таблица13[#All],5,0)</f>
        <v>Крупноузловая</v>
      </c>
      <c r="AI584" s="12">
        <v>43952</v>
      </c>
      <c r="AJ584">
        <v>1702</v>
      </c>
    </row>
    <row r="585" spans="5:36">
      <c r="E585"/>
      <c r="AD585" t="s">
        <v>15</v>
      </c>
      <c r="AE585" t="str">
        <f>VLOOKUP(Таблица1_113[[#This Row],[Марка]],Таблица13[#All],4,0)</f>
        <v>Корея</v>
      </c>
      <c r="AF585" t="str">
        <f>VLOOKUP(Таблица1_113[[#This Row],[Марка]],Таблица13[#All],2,0)</f>
        <v>Economy</v>
      </c>
      <c r="AG585">
        <f>VLOOKUP(Таблица1_113[[#This Row],[Марка]],Таблица13[#All],3,0)</f>
        <v>1944</v>
      </c>
      <c r="AH585" t="str">
        <f>VLOOKUP(Таблица1_113[[#This Row],[Марка]],Таблица13[#All],5,0)</f>
        <v>Крупноузловая</v>
      </c>
      <c r="AI585" s="12">
        <v>43952</v>
      </c>
      <c r="AJ585">
        <v>500</v>
      </c>
    </row>
    <row r="586" spans="5:36">
      <c r="E586"/>
      <c r="AD586" t="s">
        <v>134</v>
      </c>
      <c r="AE586" t="str">
        <f>VLOOKUP(Таблица1_113[[#This Row],[Марка]],Таблица13[#All],4,0)</f>
        <v>Великобритания</v>
      </c>
      <c r="AF586" t="str">
        <f>VLOOKUP(Таблица1_113[[#This Row],[Марка]],Таблица13[#All],2,0)</f>
        <v>Luxury</v>
      </c>
      <c r="AG586">
        <f>VLOOKUP(Таблица1_113[[#This Row],[Марка]],Таблица13[#All],3,0)</f>
        <v>1922</v>
      </c>
      <c r="AH586" t="str">
        <f>VLOOKUP(Таблица1_113[[#This Row],[Марка]],Таблица13[#All],5,0)</f>
        <v>Нет</v>
      </c>
      <c r="AI586" s="12">
        <v>43952</v>
      </c>
      <c r="AJ586">
        <v>7</v>
      </c>
    </row>
    <row r="587" spans="5:36">
      <c r="E587"/>
      <c r="AD587" t="s">
        <v>4</v>
      </c>
      <c r="AE587" t="str">
        <f>VLOOKUP(Таблица1_113[[#This Row],[Марка]],Таблица13[#All],4,0)</f>
        <v>Китай</v>
      </c>
      <c r="AF587" t="str">
        <f>VLOOKUP(Таблица1_113[[#This Row],[Марка]],Таблица13[#All],2,0)</f>
        <v>Economy</v>
      </c>
      <c r="AG587">
        <f>VLOOKUP(Таблица1_113[[#This Row],[Марка]],Таблица13[#All],3,0)</f>
        <v>1964</v>
      </c>
      <c r="AH587" t="str">
        <f>VLOOKUP(Таблица1_113[[#This Row],[Марка]],Таблица13[#All],5,0)</f>
        <v>Крупноузловая</v>
      </c>
      <c r="AI587" s="12">
        <v>43952</v>
      </c>
      <c r="AJ587">
        <v>67</v>
      </c>
    </row>
    <row r="588" spans="5:36">
      <c r="E588"/>
      <c r="AD588" t="s">
        <v>140</v>
      </c>
      <c r="AE588" t="str">
        <f>VLOOKUP(Таблица1_113[[#This Row],[Марка]],Таблица13[#All],4,0)</f>
        <v>Япония</v>
      </c>
      <c r="AF588" t="str">
        <f>VLOOKUP(Таблица1_113[[#This Row],[Марка]],Таблица13[#All],2,0)</f>
        <v>Business</v>
      </c>
      <c r="AG588">
        <f>VLOOKUP(Таблица1_113[[#This Row],[Марка]],Таблица13[#All],3,0)</f>
        <v>1916</v>
      </c>
      <c r="AH588" t="str">
        <f>VLOOKUP(Таблица1_113[[#This Row],[Марка]],Таблица13[#All],5,0)</f>
        <v>Нет</v>
      </c>
      <c r="AI588" s="12">
        <v>43952</v>
      </c>
      <c r="AJ588">
        <v>18</v>
      </c>
    </row>
    <row r="589" spans="5:36">
      <c r="E589"/>
      <c r="AD589" t="s">
        <v>34</v>
      </c>
      <c r="AE589" t="str">
        <f>VLOOKUP(Таблица1_113[[#This Row],[Марка]],Таблица13[#All],4,0)</f>
        <v>Япония</v>
      </c>
      <c r="AF589" t="str">
        <f>VLOOKUP(Таблица1_113[[#This Row],[Марка]],Таблица13[#All],2,0)</f>
        <v>Luxury</v>
      </c>
      <c r="AG589">
        <f>VLOOKUP(Таблица1_113[[#This Row],[Марка]],Таблица13[#All],3,0)</f>
        <v>1989</v>
      </c>
      <c r="AH589" t="str">
        <f>VLOOKUP(Таблица1_113[[#This Row],[Марка]],Таблица13[#All],5,0)</f>
        <v>Нет</v>
      </c>
      <c r="AI589" s="12">
        <v>43952</v>
      </c>
      <c r="AJ589">
        <v>5</v>
      </c>
    </row>
    <row r="590" spans="5:36">
      <c r="E590"/>
      <c r="AD590" t="s">
        <v>0</v>
      </c>
      <c r="AE590" t="str">
        <f>VLOOKUP(Таблица1_113[[#This Row],[Марка]],Таблица13[#All],4,0)</f>
        <v>Корея</v>
      </c>
      <c r="AF590" t="str">
        <f>VLOOKUP(Таблица1_113[[#This Row],[Марка]],Таблица13[#All],2,0)</f>
        <v>Economy</v>
      </c>
      <c r="AG590">
        <f>VLOOKUP(Таблица1_113[[#This Row],[Марка]],Таблица13[#All],3,0)</f>
        <v>1967</v>
      </c>
      <c r="AH590" t="str">
        <f>VLOOKUP(Таблица1_113[[#This Row],[Марка]],Таблица13[#All],5,0)</f>
        <v>Крупноузловая</v>
      </c>
      <c r="AI590" s="12">
        <v>43952</v>
      </c>
      <c r="AJ590">
        <v>1636</v>
      </c>
    </row>
    <row r="591" spans="5:36">
      <c r="E591"/>
      <c r="AD591" t="s">
        <v>138</v>
      </c>
      <c r="AE591" t="str">
        <f>VLOOKUP(Таблица1_113[[#This Row],[Марка]],Таблица13[#All],4,0)</f>
        <v>Корея</v>
      </c>
      <c r="AF591" t="str">
        <f>VLOOKUP(Таблица1_113[[#This Row],[Марка]],Таблица13[#All],2,0)</f>
        <v>Luxury</v>
      </c>
      <c r="AG591">
        <f>VLOOKUP(Таблица1_113[[#This Row],[Марка]],Таблица13[#All],3,0)</f>
        <v>2015</v>
      </c>
      <c r="AH591" t="str">
        <f>VLOOKUP(Таблица1_113[[#This Row],[Марка]],Таблица13[#All],5,0)</f>
        <v>Нет</v>
      </c>
      <c r="AI591" s="12">
        <v>43952</v>
      </c>
      <c r="AJ591">
        <v>0</v>
      </c>
    </row>
    <row r="592" spans="5:36">
      <c r="E592"/>
      <c r="AD592" t="s">
        <v>133</v>
      </c>
      <c r="AE592" t="str">
        <f>VLOOKUP(Таблица1_113[[#This Row],[Марка]],Таблица13[#All],4,0)</f>
        <v>Китай</v>
      </c>
      <c r="AF592" t="str">
        <f>VLOOKUP(Таблица1_113[[#This Row],[Марка]],Таблица13[#All],2,0)</f>
        <v>Economy</v>
      </c>
      <c r="AG592">
        <f>VLOOKUP(Таблица1_113[[#This Row],[Марка]],Таблица13[#All],3,0)</f>
        <v>1996</v>
      </c>
      <c r="AH592" t="str">
        <f>VLOOKUP(Таблица1_113[[#This Row],[Марка]],Таблица13[#All],5,0)</f>
        <v>Нет</v>
      </c>
      <c r="AI592" s="12">
        <v>43952</v>
      </c>
      <c r="AJ592">
        <v>0</v>
      </c>
    </row>
    <row r="593" spans="5:36">
      <c r="E593"/>
      <c r="AD593" t="s">
        <v>130</v>
      </c>
      <c r="AE593" t="str">
        <f>VLOOKUP(Таблица1_113[[#This Row],[Марка]],Таблица13[#All],4,0)</f>
        <v>Китай</v>
      </c>
      <c r="AF593" t="str">
        <f>VLOOKUP(Таблица1_113[[#This Row],[Марка]],Таблица13[#All],2,0)</f>
        <v>Economy</v>
      </c>
      <c r="AG593">
        <f>VLOOKUP(Таблица1_113[[#This Row],[Марка]],Таблица13[#All],3,0)</f>
        <v>1969</v>
      </c>
      <c r="AH593" t="str">
        <f>VLOOKUP(Таблица1_113[[#This Row],[Марка]],Таблица13[#All],5,0)</f>
        <v>Нет</v>
      </c>
      <c r="AI593" s="12">
        <v>43952</v>
      </c>
      <c r="AJ593">
        <v>0</v>
      </c>
    </row>
    <row r="594" spans="5:36">
      <c r="E594"/>
      <c r="AD594" t="s">
        <v>137</v>
      </c>
      <c r="AE594" t="str">
        <f>VLOOKUP(Таблица1_113[[#This Row],[Марка]],Таблица13[#All],4,0)</f>
        <v>Корея</v>
      </c>
      <c r="AF594" t="str">
        <f>VLOOKUP(Таблица1_113[[#This Row],[Марка]],Таблица13[#All],2,0)</f>
        <v>Economy</v>
      </c>
      <c r="AG594">
        <f>VLOOKUP(Таблица1_113[[#This Row],[Марка]],Таблица13[#All],3,0)</f>
        <v>1967</v>
      </c>
      <c r="AH594" t="str">
        <f>VLOOKUP(Таблица1_113[[#This Row],[Марка]],Таблица13[#All],5,0)</f>
        <v>Нет</v>
      </c>
      <c r="AI594" s="12">
        <v>43952</v>
      </c>
      <c r="AJ594">
        <v>0</v>
      </c>
    </row>
    <row r="595" spans="5:36">
      <c r="E595"/>
      <c r="AD595" t="s">
        <v>1</v>
      </c>
      <c r="AE595" t="str">
        <f>VLOOKUP(Таблица1_113[[#This Row],[Марка]],Таблица13[#All],4,0)</f>
        <v>США</v>
      </c>
      <c r="AF595" t="str">
        <f>VLOOKUP(Таблица1_113[[#This Row],[Марка]],Таблица13[#All],2,0)</f>
        <v>Economy</v>
      </c>
      <c r="AG595">
        <f>VLOOKUP(Таблица1_113[[#This Row],[Марка]],Таблица13[#All],3,0)</f>
        <v>1911</v>
      </c>
      <c r="AH595" t="str">
        <f>VLOOKUP(Таблица1_113[[#This Row],[Марка]],Таблица13[#All],5,0)</f>
        <v>Крупноузловая</v>
      </c>
      <c r="AI595" s="12">
        <v>43952</v>
      </c>
      <c r="AJ595">
        <v>140</v>
      </c>
    </row>
    <row r="596" spans="5:36">
      <c r="E596"/>
      <c r="AD596" t="s">
        <v>36</v>
      </c>
      <c r="AE596" t="str">
        <f>VLOOKUP(Таблица1_113[[#This Row],[Марка]],Таблица13[#All],4,0)</f>
        <v>США</v>
      </c>
      <c r="AF596" t="str">
        <f>VLOOKUP(Таблица1_113[[#This Row],[Марка]],Таблица13[#All],2,0)</f>
        <v>Luxury</v>
      </c>
      <c r="AG596">
        <f>VLOOKUP(Таблица1_113[[#This Row],[Марка]],Таблица13[#All],3,0)</f>
        <v>1902</v>
      </c>
      <c r="AH596" t="str">
        <f>VLOOKUP(Таблица1_113[[#This Row],[Марка]],Таблица13[#All],5,0)</f>
        <v>Нет</v>
      </c>
      <c r="AI596" s="12">
        <v>43952</v>
      </c>
      <c r="AJ596">
        <v>13</v>
      </c>
    </row>
    <row r="597" spans="5:36">
      <c r="E597"/>
      <c r="AD597" t="s">
        <v>8</v>
      </c>
      <c r="AE597" t="str">
        <f>VLOOKUP(Таблица1_113[[#This Row],[Марка]],Таблица13[#All],4,0)</f>
        <v>Германия</v>
      </c>
      <c r="AF597" t="str">
        <f>VLOOKUP(Таблица1_113[[#This Row],[Марка]],Таблица13[#All],2,0)</f>
        <v>Luxury</v>
      </c>
      <c r="AG597">
        <f>VLOOKUP(Таблица1_113[[#This Row],[Марка]],Таблица13[#All],3,0)</f>
        <v>1916</v>
      </c>
      <c r="AH597" t="str">
        <f>VLOOKUP(Таблица1_113[[#This Row],[Марка]],Таблица13[#All],5,0)</f>
        <v>Нет</v>
      </c>
      <c r="AI597" s="12">
        <v>43952</v>
      </c>
      <c r="AJ597">
        <v>72</v>
      </c>
    </row>
    <row r="598" spans="5:36">
      <c r="E598"/>
      <c r="AD598" t="s">
        <v>38</v>
      </c>
      <c r="AE598" t="str">
        <f>VLOOKUP(Таблица1_113[[#This Row],[Марка]],Таблица13[#All],4,0)</f>
        <v>Германия</v>
      </c>
      <c r="AF598" t="str">
        <f>VLOOKUP(Таблица1_113[[#This Row],[Марка]],Таблица13[#All],2,0)</f>
        <v>Luxury</v>
      </c>
      <c r="AG598">
        <f>VLOOKUP(Таблица1_113[[#This Row],[Марка]],Таблица13[#All],3,0)</f>
        <v>1932</v>
      </c>
      <c r="AH598" t="str">
        <f>VLOOKUP(Таблица1_113[[#This Row],[Марка]],Таблица13[#All],5,0)</f>
        <v>Нет</v>
      </c>
      <c r="AI598" s="12">
        <v>43952</v>
      </c>
      <c r="AJ598">
        <v>9</v>
      </c>
    </row>
    <row r="599" spans="5:36">
      <c r="E599"/>
      <c r="AD599" t="s">
        <v>136</v>
      </c>
      <c r="AE599" t="str">
        <f>VLOOKUP(Таблица1_113[[#This Row],[Марка]],Таблица13[#All],4,0)</f>
        <v>Россия</v>
      </c>
      <c r="AF599" t="str">
        <f>VLOOKUP(Таблица1_113[[#This Row],[Марка]],Таблица13[#All],2,0)</f>
        <v>Economy</v>
      </c>
      <c r="AG599">
        <f>VLOOKUP(Таблица1_113[[#This Row],[Марка]],Таблица13[#All],3,0)</f>
        <v>1941</v>
      </c>
      <c r="AH599" t="str">
        <f>VLOOKUP(Таблица1_113[[#This Row],[Марка]],Таблица13[#All],5,0)</f>
        <v>Нет</v>
      </c>
      <c r="AI599" s="12">
        <v>43983</v>
      </c>
      <c r="AJ599">
        <v>246</v>
      </c>
    </row>
    <row r="600" spans="5:36">
      <c r="E600"/>
      <c r="AD600" t="s">
        <v>135</v>
      </c>
      <c r="AE600" t="str">
        <f>VLOOKUP(Таблица1_113[[#This Row],[Марка]],Таблица13[#All],4,0)</f>
        <v>-</v>
      </c>
      <c r="AF600" t="str">
        <f>VLOOKUP(Таблица1_113[[#This Row],[Марка]],Таблица13[#All],2,0)</f>
        <v>-</v>
      </c>
      <c r="AG600" t="str">
        <f>VLOOKUP(Таблица1_113[[#This Row],[Марка]],Таблица13[#All],3,0)</f>
        <v>-</v>
      </c>
      <c r="AH600" t="str">
        <f>VLOOKUP(Таблица1_113[[#This Row],[Марка]],Таблица13[#All],5,0)</f>
        <v>-</v>
      </c>
      <c r="AI600" s="12">
        <v>43983</v>
      </c>
      <c r="AJ600">
        <v>29</v>
      </c>
    </row>
    <row r="601" spans="5:36">
      <c r="E601"/>
      <c r="AD601" t="s">
        <v>39</v>
      </c>
      <c r="AE601" t="str">
        <f>VLOOKUP(Таблица1_113[[#This Row],[Марка]],Таблица13[#All],4,0)</f>
        <v>Швеция</v>
      </c>
      <c r="AF601" t="str">
        <f>VLOOKUP(Таблица1_113[[#This Row],[Марка]],Таблица13[#All],2,0)</f>
        <v>Business</v>
      </c>
      <c r="AG601">
        <f>VLOOKUP(Таблица1_113[[#This Row],[Марка]],Таблица13[#All],3,0)</f>
        <v>1927</v>
      </c>
      <c r="AH601" t="str">
        <f>VLOOKUP(Таблица1_113[[#This Row],[Марка]],Таблица13[#All],5,0)</f>
        <v>Нет</v>
      </c>
      <c r="AI601" s="12">
        <v>43983</v>
      </c>
      <c r="AJ601">
        <v>7</v>
      </c>
    </row>
    <row r="602" spans="5:36">
      <c r="E602"/>
      <c r="AD602" t="s">
        <v>21</v>
      </c>
      <c r="AE602" t="str">
        <f>VLOOKUP(Таблица1_113[[#This Row],[Марка]],Таблица13[#All],4,0)</f>
        <v>Германия</v>
      </c>
      <c r="AF602" t="str">
        <f>VLOOKUP(Таблица1_113[[#This Row],[Марка]],Таблица13[#All],2,0)</f>
        <v>Business</v>
      </c>
      <c r="AG602">
        <f>VLOOKUP(Таблица1_113[[#This Row],[Марка]],Таблица13[#All],3,0)</f>
        <v>1937</v>
      </c>
      <c r="AH602" t="str">
        <f>VLOOKUP(Таблица1_113[[#This Row],[Марка]],Таблица13[#All],5,0)</f>
        <v>Нет</v>
      </c>
      <c r="AI602" s="12">
        <v>43983</v>
      </c>
      <c r="AJ602">
        <v>233</v>
      </c>
    </row>
    <row r="603" spans="5:36">
      <c r="E603"/>
      <c r="AD603" t="s">
        <v>2</v>
      </c>
      <c r="AE603" t="str">
        <f>VLOOKUP(Таблица1_113[[#This Row],[Марка]],Таблица13[#All],4,0)</f>
        <v>Япония</v>
      </c>
      <c r="AF603" t="str">
        <f>VLOOKUP(Таблица1_113[[#This Row],[Марка]],Таблица13[#All],2,0)</f>
        <v>Business</v>
      </c>
      <c r="AG603">
        <f>VLOOKUP(Таблица1_113[[#This Row],[Марка]],Таблица13[#All],3,0)</f>
        <v>1937</v>
      </c>
      <c r="AH603" t="str">
        <f>VLOOKUP(Таблица1_113[[#This Row],[Марка]],Таблица13[#All],5,0)</f>
        <v>Нет</v>
      </c>
      <c r="AI603" s="12">
        <v>43983</v>
      </c>
      <c r="AJ603">
        <v>1039</v>
      </c>
    </row>
    <row r="604" spans="5:36">
      <c r="E604"/>
      <c r="AD604" t="s">
        <v>143</v>
      </c>
      <c r="AE604" t="str">
        <f>VLOOKUP(Таблица1_113[[#This Row],[Марка]],Таблица13[#All],4,0)</f>
        <v>Япония</v>
      </c>
      <c r="AF604" t="str">
        <f>VLOOKUP(Таблица1_113[[#This Row],[Марка]],Таблица13[#All],2,0)</f>
        <v>Economy</v>
      </c>
      <c r="AG604">
        <f>VLOOKUP(Таблица1_113[[#This Row],[Марка]],Таблица13[#All],3,0)</f>
        <v>1909</v>
      </c>
      <c r="AH604" t="str">
        <f>VLOOKUP(Таблица1_113[[#This Row],[Марка]],Таблица13[#All],5,0)</f>
        <v>Нет</v>
      </c>
      <c r="AI604" s="12">
        <v>43983</v>
      </c>
      <c r="AJ604">
        <v>0</v>
      </c>
    </row>
    <row r="605" spans="5:36">
      <c r="E605"/>
      <c r="AD605" t="s">
        <v>125</v>
      </c>
      <c r="AE605" t="str">
        <f>VLOOKUP(Таблица1_113[[#This Row],[Марка]],Таблица13[#All],4,0)</f>
        <v>Япония</v>
      </c>
      <c r="AF605" t="str">
        <f>VLOOKUP(Таблица1_113[[#This Row],[Марка]],Таблица13[#All],2,0)</f>
        <v>Business</v>
      </c>
      <c r="AG605">
        <f>VLOOKUP(Таблица1_113[[#This Row],[Марка]],Таблица13[#All],3,0)</f>
        <v>1953</v>
      </c>
      <c r="AH605" t="str">
        <f>VLOOKUP(Таблица1_113[[#This Row],[Марка]],Таблица13[#All],5,0)</f>
        <v>Нет</v>
      </c>
      <c r="AI605" s="12">
        <v>43983</v>
      </c>
      <c r="AJ605">
        <v>65</v>
      </c>
    </row>
    <row r="606" spans="5:36">
      <c r="E606"/>
      <c r="AD606" t="s">
        <v>141</v>
      </c>
      <c r="AE606" t="str">
        <f>VLOOKUP(Таблица1_113[[#This Row],[Марка]],Таблица13[#All],4,0)</f>
        <v>Чехия</v>
      </c>
      <c r="AF606" t="str">
        <f>VLOOKUP(Таблица1_113[[#This Row],[Марка]],Таблица13[#All],2,0)</f>
        <v>Business</v>
      </c>
      <c r="AG606">
        <f>VLOOKUP(Таблица1_113[[#This Row],[Марка]],Таблица13[#All],3,0)</f>
        <v>1895</v>
      </c>
      <c r="AH606" t="str">
        <f>VLOOKUP(Таблица1_113[[#This Row],[Марка]],Таблица13[#All],5,0)</f>
        <v>Крупноузловая</v>
      </c>
      <c r="AI606" s="12">
        <v>43983</v>
      </c>
      <c r="AJ606">
        <v>24</v>
      </c>
    </row>
    <row r="607" spans="5:36">
      <c r="E607"/>
      <c r="AD607" t="s">
        <v>23</v>
      </c>
      <c r="AE607" t="str">
        <f>VLOOKUP(Таблица1_113[[#This Row],[Марка]],Таблица13[#All],4,0)</f>
        <v>Франция</v>
      </c>
      <c r="AF607" t="str">
        <f>VLOOKUP(Таблица1_113[[#This Row],[Марка]],Таблица13[#All],2,0)</f>
        <v>Economy</v>
      </c>
      <c r="AG607">
        <f>VLOOKUP(Таблица1_113[[#This Row],[Марка]],Таблица13[#All],3,0)</f>
        <v>1899</v>
      </c>
      <c r="AH607" t="str">
        <f>VLOOKUP(Таблица1_113[[#This Row],[Марка]],Таблица13[#All],5,0)</f>
        <v>Крупноузловая</v>
      </c>
      <c r="AI607" s="12">
        <v>43983</v>
      </c>
      <c r="AJ607">
        <v>235</v>
      </c>
    </row>
    <row r="608" spans="5:36">
      <c r="E608"/>
      <c r="AD608" t="s">
        <v>142</v>
      </c>
      <c r="AE608" t="str">
        <f>VLOOKUP(Таблица1_113[[#This Row],[Марка]],Таблица13[#All],4,0)</f>
        <v>Узбекистан</v>
      </c>
      <c r="AF608" t="str">
        <f>VLOOKUP(Таблица1_113[[#This Row],[Марка]],Таблица13[#All],2,0)</f>
        <v>Economy</v>
      </c>
      <c r="AG608">
        <f>VLOOKUP(Таблица1_113[[#This Row],[Марка]],Таблица13[#All],3,0)</f>
        <v>2015</v>
      </c>
      <c r="AH608" t="str">
        <f>VLOOKUP(Таблица1_113[[#This Row],[Марка]],Таблица13[#All],5,0)</f>
        <v>Крупноузловая</v>
      </c>
      <c r="AI608" s="12">
        <v>43983</v>
      </c>
      <c r="AJ608">
        <v>1263</v>
      </c>
    </row>
    <row r="609" spans="5:36">
      <c r="E609"/>
      <c r="AD609" t="s">
        <v>37</v>
      </c>
      <c r="AE609" t="str">
        <f>VLOOKUP(Таблица1_113[[#This Row],[Марка]],Таблица13[#All],4,0)</f>
        <v>Германия</v>
      </c>
      <c r="AF609" t="str">
        <f>VLOOKUP(Таблица1_113[[#This Row],[Марка]],Таблица13[#All],2,0)</f>
        <v>Luxury</v>
      </c>
      <c r="AG609">
        <f>VLOOKUP(Таблица1_113[[#This Row],[Марка]],Таблица13[#All],3,0)</f>
        <v>1931</v>
      </c>
      <c r="AH609" t="str">
        <f>VLOOKUP(Таблица1_113[[#This Row],[Марка]],Таблица13[#All],5,0)</f>
        <v>Нет</v>
      </c>
      <c r="AI609" s="12">
        <v>43983</v>
      </c>
      <c r="AJ609">
        <v>9</v>
      </c>
    </row>
    <row r="610" spans="5:36">
      <c r="E610"/>
      <c r="AD610" t="s">
        <v>22</v>
      </c>
      <c r="AE610" t="str">
        <f>VLOOKUP(Таблица1_113[[#This Row],[Марка]],Таблица13[#All],4,0)</f>
        <v>Япония</v>
      </c>
      <c r="AF610" t="str">
        <f>VLOOKUP(Таблица1_113[[#This Row],[Марка]],Таблица13[#All],2,0)</f>
        <v>Business</v>
      </c>
      <c r="AG610">
        <f>VLOOKUP(Таблица1_113[[#This Row],[Марка]],Таблица13[#All],3,0)</f>
        <v>1933</v>
      </c>
      <c r="AH610" t="str">
        <f>VLOOKUP(Таблица1_113[[#This Row],[Марка]],Таблица13[#All],5,0)</f>
        <v>Нет</v>
      </c>
      <c r="AI610" s="12">
        <v>43983</v>
      </c>
      <c r="AJ610">
        <v>241</v>
      </c>
    </row>
    <row r="611" spans="5:36">
      <c r="E611"/>
      <c r="AD611" t="s">
        <v>9</v>
      </c>
      <c r="AE611" t="str">
        <f>VLOOKUP(Таблица1_113[[#This Row],[Марка]],Таблица13[#All],4,0)</f>
        <v>Япония</v>
      </c>
      <c r="AF611" t="str">
        <f>VLOOKUP(Таблица1_113[[#This Row],[Марка]],Таблица13[#All],2,0)</f>
        <v>Business</v>
      </c>
      <c r="AG611">
        <f>VLOOKUP(Таблица1_113[[#This Row],[Марка]],Таблица13[#All],3,0)</f>
        <v>1870</v>
      </c>
      <c r="AH611" t="str">
        <f>VLOOKUP(Таблица1_113[[#This Row],[Марка]],Таблица13[#All],5,0)</f>
        <v>Нет</v>
      </c>
      <c r="AI611" s="12">
        <v>43983</v>
      </c>
      <c r="AJ611">
        <v>62</v>
      </c>
    </row>
    <row r="612" spans="5:36">
      <c r="E612"/>
      <c r="AD612" t="s">
        <v>40</v>
      </c>
      <c r="AE612" t="str">
        <f>VLOOKUP(Таблица1_113[[#This Row],[Марка]],Таблица13[#All],4,0)</f>
        <v>Великобритания</v>
      </c>
      <c r="AF612" t="str">
        <f>VLOOKUP(Таблица1_113[[#This Row],[Марка]],Таблица13[#All],2,0)</f>
        <v>Luxury</v>
      </c>
      <c r="AG612">
        <f>VLOOKUP(Таблица1_113[[#This Row],[Марка]],Таблица13[#All],3,0)</f>
        <v>1959</v>
      </c>
      <c r="AH612" t="str">
        <f>VLOOKUP(Таблица1_113[[#This Row],[Марка]],Таблица13[#All],5,0)</f>
        <v>Нет</v>
      </c>
      <c r="AI612" s="12">
        <v>43983</v>
      </c>
      <c r="AJ612">
        <v>2</v>
      </c>
    </row>
    <row r="613" spans="5:36">
      <c r="E613"/>
      <c r="AD613" t="s">
        <v>128</v>
      </c>
      <c r="AE613" t="str">
        <f>VLOOKUP(Таблица1_113[[#This Row],[Марка]],Таблица13[#All],4,0)</f>
        <v>Германия</v>
      </c>
      <c r="AF613" t="str">
        <f>VLOOKUP(Таблица1_113[[#This Row],[Марка]],Таблица13[#All],2,0)</f>
        <v>Luxury</v>
      </c>
      <c r="AG613">
        <f>VLOOKUP(Таблица1_113[[#This Row],[Марка]],Таблица13[#All],3,0)</f>
        <v>1926</v>
      </c>
      <c r="AH613" t="str">
        <f>VLOOKUP(Таблица1_113[[#This Row],[Марка]],Таблица13[#All],5,0)</f>
        <v>Нет</v>
      </c>
      <c r="AI613" s="12">
        <v>43983</v>
      </c>
      <c r="AJ613">
        <v>33</v>
      </c>
    </row>
    <row r="614" spans="5:36">
      <c r="E614"/>
      <c r="AD614" t="s">
        <v>139</v>
      </c>
      <c r="AE614" t="str">
        <f>VLOOKUP(Таблица1_113[[#This Row],[Марка]],Таблица13[#All],4,0)</f>
        <v>Япония</v>
      </c>
      <c r="AF614" t="str">
        <f>VLOOKUP(Таблица1_113[[#This Row],[Марка]],Таблица13[#All],2,0)</f>
        <v>Business</v>
      </c>
      <c r="AG614">
        <f>VLOOKUP(Таблица1_113[[#This Row],[Марка]],Таблица13[#All],3,0)</f>
        <v>1920</v>
      </c>
      <c r="AH614" t="str">
        <f>VLOOKUP(Таблица1_113[[#This Row],[Марка]],Таблица13[#All],5,0)</f>
        <v>Нет</v>
      </c>
      <c r="AI614" s="12">
        <v>43983</v>
      </c>
      <c r="AJ614">
        <v>31</v>
      </c>
    </row>
    <row r="615" spans="5:36">
      <c r="E615"/>
      <c r="AD615" t="s">
        <v>5</v>
      </c>
      <c r="AE615" t="str">
        <f>VLOOKUP(Таблица1_113[[#This Row],[Марка]],Таблица13[#All],4,0)</f>
        <v>Япония</v>
      </c>
      <c r="AF615" t="str">
        <f>VLOOKUP(Таблица1_113[[#This Row],[Марка]],Таблица13[#All],2,0)</f>
        <v>Luxury</v>
      </c>
      <c r="AG615">
        <f>VLOOKUP(Таблица1_113[[#This Row],[Марка]],Таблица13[#All],3,0)</f>
        <v>1989</v>
      </c>
      <c r="AH615" t="str">
        <f>VLOOKUP(Таблица1_113[[#This Row],[Марка]],Таблица13[#All],5,0)</f>
        <v>Нет</v>
      </c>
      <c r="AI615" s="12">
        <v>43983</v>
      </c>
      <c r="AJ615">
        <v>147</v>
      </c>
    </row>
    <row r="616" spans="5:36">
      <c r="E616"/>
      <c r="AD616" t="s">
        <v>35</v>
      </c>
      <c r="AE616" t="str">
        <f>VLOOKUP(Таблица1_113[[#This Row],[Марка]],Таблица13[#All],4,0)</f>
        <v>Великобритания</v>
      </c>
      <c r="AF616" t="str">
        <f>VLOOKUP(Таблица1_113[[#This Row],[Марка]],Таблица13[#All],2,0)</f>
        <v>Luxury</v>
      </c>
      <c r="AG616">
        <f>VLOOKUP(Таблица1_113[[#This Row],[Марка]],Таблица13[#All],3,0)</f>
        <v>1948</v>
      </c>
      <c r="AH616" t="str">
        <f>VLOOKUP(Таблица1_113[[#This Row],[Марка]],Таблица13[#All],5,0)</f>
        <v>Нет</v>
      </c>
      <c r="AI616" s="12">
        <v>43983</v>
      </c>
      <c r="AJ616">
        <v>24</v>
      </c>
    </row>
    <row r="617" spans="5:36">
      <c r="E617"/>
      <c r="AD617" t="s">
        <v>19</v>
      </c>
      <c r="AE617" t="str">
        <f>VLOOKUP(Таблица1_113[[#This Row],[Марка]],Таблица13[#All],4,0)</f>
        <v>Россия</v>
      </c>
      <c r="AF617" t="str">
        <f>VLOOKUP(Таблица1_113[[#This Row],[Марка]],Таблица13[#All],2,0)</f>
        <v>Economy</v>
      </c>
      <c r="AG617">
        <f>VLOOKUP(Таблица1_113[[#This Row],[Марка]],Таблица13[#All],3,0)</f>
        <v>1970</v>
      </c>
      <c r="AH617" t="str">
        <f>VLOOKUP(Таблица1_113[[#This Row],[Марка]],Таблица13[#All],5,0)</f>
        <v>Крупноузловая</v>
      </c>
      <c r="AI617" s="12">
        <v>43983</v>
      </c>
      <c r="AJ617">
        <v>2529</v>
      </c>
    </row>
    <row r="618" spans="5:36">
      <c r="E618"/>
      <c r="AD618" t="s">
        <v>15</v>
      </c>
      <c r="AE618" t="str">
        <f>VLOOKUP(Таблица1_113[[#This Row],[Марка]],Таблица13[#All],4,0)</f>
        <v>Корея</v>
      </c>
      <c r="AF618" t="str">
        <f>VLOOKUP(Таблица1_113[[#This Row],[Марка]],Таблица13[#All],2,0)</f>
        <v>Economy</v>
      </c>
      <c r="AG618">
        <f>VLOOKUP(Таблица1_113[[#This Row],[Марка]],Таблица13[#All],3,0)</f>
        <v>1944</v>
      </c>
      <c r="AH618" t="str">
        <f>VLOOKUP(Таблица1_113[[#This Row],[Марка]],Таблица13[#All],5,0)</f>
        <v>Крупноузловая</v>
      </c>
      <c r="AI618" s="12">
        <v>43983</v>
      </c>
      <c r="AJ618">
        <v>658</v>
      </c>
    </row>
    <row r="619" spans="5:36">
      <c r="E619"/>
      <c r="AD619" t="s">
        <v>134</v>
      </c>
      <c r="AE619" t="str">
        <f>VLOOKUP(Таблица1_113[[#This Row],[Марка]],Таблица13[#All],4,0)</f>
        <v>Великобритания</v>
      </c>
      <c r="AF619" t="str">
        <f>VLOOKUP(Таблица1_113[[#This Row],[Марка]],Таблица13[#All],2,0)</f>
        <v>Luxury</v>
      </c>
      <c r="AG619">
        <f>VLOOKUP(Таблица1_113[[#This Row],[Марка]],Таблица13[#All],3,0)</f>
        <v>1922</v>
      </c>
      <c r="AH619" t="str">
        <f>VLOOKUP(Таблица1_113[[#This Row],[Марка]],Таблица13[#All],5,0)</f>
        <v>Нет</v>
      </c>
      <c r="AI619" s="12">
        <v>43983</v>
      </c>
      <c r="AJ619">
        <v>10</v>
      </c>
    </row>
    <row r="620" spans="5:36">
      <c r="E620"/>
      <c r="AD620" t="s">
        <v>4</v>
      </c>
      <c r="AE620" t="str">
        <f>VLOOKUP(Таблица1_113[[#This Row],[Марка]],Таблица13[#All],4,0)</f>
        <v>Китай</v>
      </c>
      <c r="AF620" t="str">
        <f>VLOOKUP(Таблица1_113[[#This Row],[Марка]],Таблица13[#All],2,0)</f>
        <v>Economy</v>
      </c>
      <c r="AG620">
        <f>VLOOKUP(Таблица1_113[[#This Row],[Марка]],Таблица13[#All],3,0)</f>
        <v>1964</v>
      </c>
      <c r="AH620" t="str">
        <f>VLOOKUP(Таблица1_113[[#This Row],[Марка]],Таблица13[#All],5,0)</f>
        <v>Крупноузловая</v>
      </c>
      <c r="AI620" s="12">
        <v>43983</v>
      </c>
      <c r="AJ620">
        <v>173</v>
      </c>
    </row>
    <row r="621" spans="5:36">
      <c r="E621"/>
      <c r="AD621" t="s">
        <v>140</v>
      </c>
      <c r="AE621" t="str">
        <f>VLOOKUP(Таблица1_113[[#This Row],[Марка]],Таблица13[#All],4,0)</f>
        <v>Япония</v>
      </c>
      <c r="AF621" t="str">
        <f>VLOOKUP(Таблица1_113[[#This Row],[Марка]],Таблица13[#All],2,0)</f>
        <v>Business</v>
      </c>
      <c r="AG621">
        <f>VLOOKUP(Таблица1_113[[#This Row],[Марка]],Таблица13[#All],3,0)</f>
        <v>1916</v>
      </c>
      <c r="AH621" t="str">
        <f>VLOOKUP(Таблица1_113[[#This Row],[Марка]],Таблица13[#All],5,0)</f>
        <v>Нет</v>
      </c>
      <c r="AI621" s="12">
        <v>43983</v>
      </c>
      <c r="AJ621">
        <v>27</v>
      </c>
    </row>
    <row r="622" spans="5:36">
      <c r="E622"/>
      <c r="AD622" t="s">
        <v>34</v>
      </c>
      <c r="AE622" t="str">
        <f>VLOOKUP(Таблица1_113[[#This Row],[Марка]],Таблица13[#All],4,0)</f>
        <v>Япония</v>
      </c>
      <c r="AF622" t="str">
        <f>VLOOKUP(Таблица1_113[[#This Row],[Марка]],Таблица13[#All],2,0)</f>
        <v>Luxury</v>
      </c>
      <c r="AG622">
        <f>VLOOKUP(Таблица1_113[[#This Row],[Марка]],Таблица13[#All],3,0)</f>
        <v>1989</v>
      </c>
      <c r="AH622" t="str">
        <f>VLOOKUP(Таблица1_113[[#This Row],[Марка]],Таблица13[#All],5,0)</f>
        <v>Нет</v>
      </c>
      <c r="AI622" s="12">
        <v>43983</v>
      </c>
      <c r="AJ622">
        <v>28</v>
      </c>
    </row>
    <row r="623" spans="5:36">
      <c r="E623"/>
      <c r="AD623" t="s">
        <v>0</v>
      </c>
      <c r="AE623" t="str">
        <f>VLOOKUP(Таблица1_113[[#This Row],[Марка]],Таблица13[#All],4,0)</f>
        <v>Корея</v>
      </c>
      <c r="AF623" t="str">
        <f>VLOOKUP(Таблица1_113[[#This Row],[Марка]],Таблица13[#All],2,0)</f>
        <v>Economy</v>
      </c>
      <c r="AG623">
        <f>VLOOKUP(Таблица1_113[[#This Row],[Марка]],Таблица13[#All],3,0)</f>
        <v>1967</v>
      </c>
      <c r="AH623" t="str">
        <f>VLOOKUP(Таблица1_113[[#This Row],[Марка]],Таблица13[#All],5,0)</f>
        <v>Крупноузловая</v>
      </c>
      <c r="AI623" s="12">
        <v>43983</v>
      </c>
      <c r="AJ623">
        <v>2052</v>
      </c>
    </row>
    <row r="624" spans="5:36">
      <c r="E624"/>
      <c r="AD624" t="s">
        <v>138</v>
      </c>
      <c r="AE624" t="str">
        <f>VLOOKUP(Таблица1_113[[#This Row],[Марка]],Таблица13[#All],4,0)</f>
        <v>Корея</v>
      </c>
      <c r="AF624" t="str">
        <f>VLOOKUP(Таблица1_113[[#This Row],[Марка]],Таблица13[#All],2,0)</f>
        <v>Luxury</v>
      </c>
      <c r="AG624">
        <f>VLOOKUP(Таблица1_113[[#This Row],[Марка]],Таблица13[#All],3,0)</f>
        <v>2015</v>
      </c>
      <c r="AH624" t="str">
        <f>VLOOKUP(Таблица1_113[[#This Row],[Марка]],Таблица13[#All],5,0)</f>
        <v>Нет</v>
      </c>
      <c r="AI624" s="12">
        <v>43983</v>
      </c>
      <c r="AJ624">
        <v>0</v>
      </c>
    </row>
    <row r="625" spans="5:36">
      <c r="E625"/>
      <c r="AD625" t="s">
        <v>133</v>
      </c>
      <c r="AE625" t="str">
        <f>VLOOKUP(Таблица1_113[[#This Row],[Марка]],Таблица13[#All],4,0)</f>
        <v>Китай</v>
      </c>
      <c r="AF625" t="str">
        <f>VLOOKUP(Таблица1_113[[#This Row],[Марка]],Таблица13[#All],2,0)</f>
        <v>Economy</v>
      </c>
      <c r="AG625">
        <f>VLOOKUP(Таблица1_113[[#This Row],[Марка]],Таблица13[#All],3,0)</f>
        <v>1996</v>
      </c>
      <c r="AH625" t="str">
        <f>VLOOKUP(Таблица1_113[[#This Row],[Марка]],Таблица13[#All],5,0)</f>
        <v>Нет</v>
      </c>
      <c r="AI625" s="12">
        <v>43983</v>
      </c>
      <c r="AJ625">
        <v>0</v>
      </c>
    </row>
    <row r="626" spans="5:36">
      <c r="E626"/>
      <c r="AD626" t="s">
        <v>130</v>
      </c>
      <c r="AE626" t="str">
        <f>VLOOKUP(Таблица1_113[[#This Row],[Марка]],Таблица13[#All],4,0)</f>
        <v>Китай</v>
      </c>
      <c r="AF626" t="str">
        <f>VLOOKUP(Таблица1_113[[#This Row],[Марка]],Таблица13[#All],2,0)</f>
        <v>Economy</v>
      </c>
      <c r="AG626">
        <f>VLOOKUP(Таблица1_113[[#This Row],[Марка]],Таблица13[#All],3,0)</f>
        <v>1969</v>
      </c>
      <c r="AH626" t="str">
        <f>VLOOKUP(Таблица1_113[[#This Row],[Марка]],Таблица13[#All],5,0)</f>
        <v>Нет</v>
      </c>
      <c r="AI626" s="12">
        <v>43983</v>
      </c>
      <c r="AJ626">
        <v>12</v>
      </c>
    </row>
    <row r="627" spans="5:36">
      <c r="E627"/>
      <c r="AD627" t="s">
        <v>137</v>
      </c>
      <c r="AE627" t="str">
        <f>VLOOKUP(Таблица1_113[[#This Row],[Марка]],Таблица13[#All],4,0)</f>
        <v>Корея</v>
      </c>
      <c r="AF627" t="str">
        <f>VLOOKUP(Таблица1_113[[#This Row],[Марка]],Таблица13[#All],2,0)</f>
        <v>Economy</v>
      </c>
      <c r="AG627">
        <f>VLOOKUP(Таблица1_113[[#This Row],[Марка]],Таблица13[#All],3,0)</f>
        <v>1967</v>
      </c>
      <c r="AH627" t="str">
        <f>VLOOKUP(Таблица1_113[[#This Row],[Марка]],Таблица13[#All],5,0)</f>
        <v>Нет</v>
      </c>
      <c r="AI627" s="12">
        <v>43983</v>
      </c>
      <c r="AJ627">
        <v>8</v>
      </c>
    </row>
    <row r="628" spans="5:36">
      <c r="E628"/>
      <c r="AD628" t="s">
        <v>1</v>
      </c>
      <c r="AE628" t="str">
        <f>VLOOKUP(Таблица1_113[[#This Row],[Марка]],Таблица13[#All],4,0)</f>
        <v>США</v>
      </c>
      <c r="AF628" t="str">
        <f>VLOOKUP(Таблица1_113[[#This Row],[Марка]],Таблица13[#All],2,0)</f>
        <v>Economy</v>
      </c>
      <c r="AG628">
        <f>VLOOKUP(Таблица1_113[[#This Row],[Марка]],Таблица13[#All],3,0)</f>
        <v>1911</v>
      </c>
      <c r="AH628" t="str">
        <f>VLOOKUP(Таблица1_113[[#This Row],[Марка]],Таблица13[#All],5,0)</f>
        <v>Крупноузловая</v>
      </c>
      <c r="AI628" s="12">
        <v>43983</v>
      </c>
      <c r="AJ628">
        <v>305</v>
      </c>
    </row>
    <row r="629" spans="5:36">
      <c r="E629"/>
      <c r="AD629" t="s">
        <v>36</v>
      </c>
      <c r="AE629" t="str">
        <f>VLOOKUP(Таблица1_113[[#This Row],[Марка]],Таблица13[#All],4,0)</f>
        <v>США</v>
      </c>
      <c r="AF629" t="str">
        <f>VLOOKUP(Таблица1_113[[#This Row],[Марка]],Таблица13[#All],2,0)</f>
        <v>Luxury</v>
      </c>
      <c r="AG629">
        <f>VLOOKUP(Таблица1_113[[#This Row],[Марка]],Таблица13[#All],3,0)</f>
        <v>1902</v>
      </c>
      <c r="AH629" t="str">
        <f>VLOOKUP(Таблица1_113[[#This Row],[Марка]],Таблица13[#All],5,0)</f>
        <v>Нет</v>
      </c>
      <c r="AI629" s="12">
        <v>43983</v>
      </c>
      <c r="AJ629">
        <v>17</v>
      </c>
    </row>
    <row r="630" spans="5:36">
      <c r="E630"/>
      <c r="AD630" t="s">
        <v>8</v>
      </c>
      <c r="AE630" t="str">
        <f>VLOOKUP(Таблица1_113[[#This Row],[Марка]],Таблица13[#All],4,0)</f>
        <v>Германия</v>
      </c>
      <c r="AF630" t="str">
        <f>VLOOKUP(Таблица1_113[[#This Row],[Марка]],Таблица13[#All],2,0)</f>
        <v>Luxury</v>
      </c>
      <c r="AG630">
        <f>VLOOKUP(Таблица1_113[[#This Row],[Марка]],Таблица13[#All],3,0)</f>
        <v>1916</v>
      </c>
      <c r="AH630" t="str">
        <f>VLOOKUP(Таблица1_113[[#This Row],[Марка]],Таблица13[#All],5,0)</f>
        <v>Нет</v>
      </c>
      <c r="AI630" s="12">
        <v>43983</v>
      </c>
      <c r="AJ630">
        <v>101</v>
      </c>
    </row>
    <row r="631" spans="5:36">
      <c r="E631"/>
      <c r="AD631" t="s">
        <v>38</v>
      </c>
      <c r="AE631" t="str">
        <f>VLOOKUP(Таблица1_113[[#This Row],[Марка]],Таблица13[#All],4,0)</f>
        <v>Германия</v>
      </c>
      <c r="AF631" t="str">
        <f>VLOOKUP(Таблица1_113[[#This Row],[Марка]],Таблица13[#All],2,0)</f>
        <v>Luxury</v>
      </c>
      <c r="AG631">
        <f>VLOOKUP(Таблица1_113[[#This Row],[Марка]],Таблица13[#All],3,0)</f>
        <v>1932</v>
      </c>
      <c r="AH631" t="str">
        <f>VLOOKUP(Таблица1_113[[#This Row],[Марка]],Таблица13[#All],5,0)</f>
        <v>Нет</v>
      </c>
      <c r="AI631" s="12">
        <v>43983</v>
      </c>
      <c r="AJ631">
        <v>16</v>
      </c>
    </row>
    <row r="632" spans="5:36">
      <c r="E632"/>
      <c r="AD632" t="s">
        <v>136</v>
      </c>
      <c r="AE632" t="str">
        <f>VLOOKUP(Таблица1_113[[#This Row],[Марка]],Таблица13[#All],4,0)</f>
        <v>Россия</v>
      </c>
      <c r="AF632" t="str">
        <f>VLOOKUP(Таблица1_113[[#This Row],[Марка]],Таблица13[#All],2,0)</f>
        <v>Economy</v>
      </c>
      <c r="AG632">
        <f>VLOOKUP(Таблица1_113[[#This Row],[Марка]],Таблица13[#All],3,0)</f>
        <v>1941</v>
      </c>
      <c r="AH632" t="str">
        <f>VLOOKUP(Таблица1_113[[#This Row],[Марка]],Таблица13[#All],5,0)</f>
        <v>Нет</v>
      </c>
      <c r="AI632" s="12">
        <v>44013</v>
      </c>
      <c r="AJ632">
        <v>130</v>
      </c>
    </row>
    <row r="633" spans="5:36">
      <c r="E633"/>
      <c r="AD633" t="s">
        <v>135</v>
      </c>
      <c r="AE633" t="str">
        <f>VLOOKUP(Таблица1_113[[#This Row],[Марка]],Таблица13[#All],4,0)</f>
        <v>-</v>
      </c>
      <c r="AF633" t="str">
        <f>VLOOKUP(Таблица1_113[[#This Row],[Марка]],Таблица13[#All],2,0)</f>
        <v>-</v>
      </c>
      <c r="AG633" t="str">
        <f>VLOOKUP(Таблица1_113[[#This Row],[Марка]],Таблица13[#All],3,0)</f>
        <v>-</v>
      </c>
      <c r="AH633" t="str">
        <f>VLOOKUP(Таблица1_113[[#This Row],[Марка]],Таблица13[#All],5,0)</f>
        <v>-</v>
      </c>
      <c r="AI633" s="12">
        <v>44013</v>
      </c>
      <c r="AJ633">
        <v>14</v>
      </c>
    </row>
    <row r="634" spans="5:36">
      <c r="E634"/>
      <c r="AD634" t="s">
        <v>39</v>
      </c>
      <c r="AE634" t="str">
        <f>VLOOKUP(Таблица1_113[[#This Row],[Марка]],Таблица13[#All],4,0)</f>
        <v>Швеция</v>
      </c>
      <c r="AF634" t="str">
        <f>VLOOKUP(Таблица1_113[[#This Row],[Марка]],Таблица13[#All],2,0)</f>
        <v>Business</v>
      </c>
      <c r="AG634">
        <f>VLOOKUP(Таблица1_113[[#This Row],[Марка]],Таблица13[#All],3,0)</f>
        <v>1927</v>
      </c>
      <c r="AH634" t="str">
        <f>VLOOKUP(Таблица1_113[[#This Row],[Марка]],Таблица13[#All],5,0)</f>
        <v>Нет</v>
      </c>
      <c r="AI634" s="12">
        <v>44013</v>
      </c>
      <c r="AJ634">
        <v>11</v>
      </c>
    </row>
    <row r="635" spans="5:36">
      <c r="E635"/>
      <c r="AD635" t="s">
        <v>21</v>
      </c>
      <c r="AE635" t="str">
        <f>VLOOKUP(Таблица1_113[[#This Row],[Марка]],Таблица13[#All],4,0)</f>
        <v>Германия</v>
      </c>
      <c r="AF635" t="str">
        <f>VLOOKUP(Таблица1_113[[#This Row],[Марка]],Таблица13[#All],2,0)</f>
        <v>Business</v>
      </c>
      <c r="AG635">
        <f>VLOOKUP(Таблица1_113[[#This Row],[Марка]],Таблица13[#All],3,0)</f>
        <v>1937</v>
      </c>
      <c r="AH635" t="str">
        <f>VLOOKUP(Таблица1_113[[#This Row],[Марка]],Таблица13[#All],5,0)</f>
        <v>Нет</v>
      </c>
      <c r="AI635" s="12">
        <v>44013</v>
      </c>
      <c r="AJ635">
        <v>254</v>
      </c>
    </row>
    <row r="636" spans="5:36">
      <c r="E636"/>
      <c r="AD636" t="s">
        <v>2</v>
      </c>
      <c r="AE636" t="str">
        <f>VLOOKUP(Таблица1_113[[#This Row],[Марка]],Таблица13[#All],4,0)</f>
        <v>Япония</v>
      </c>
      <c r="AF636" t="str">
        <f>VLOOKUP(Таблица1_113[[#This Row],[Марка]],Таблица13[#All],2,0)</f>
        <v>Business</v>
      </c>
      <c r="AG636">
        <f>VLOOKUP(Таблица1_113[[#This Row],[Марка]],Таблица13[#All],3,0)</f>
        <v>1937</v>
      </c>
      <c r="AH636" t="str">
        <f>VLOOKUP(Таблица1_113[[#This Row],[Марка]],Таблица13[#All],5,0)</f>
        <v>Нет</v>
      </c>
      <c r="AI636" s="12">
        <v>44013</v>
      </c>
      <c r="AJ636">
        <v>844</v>
      </c>
    </row>
    <row r="637" spans="5:36">
      <c r="E637"/>
      <c r="AD637" t="s">
        <v>143</v>
      </c>
      <c r="AE637" t="str">
        <f>VLOOKUP(Таблица1_113[[#This Row],[Марка]],Таблица13[#All],4,0)</f>
        <v>Япония</v>
      </c>
      <c r="AF637" t="str">
        <f>VLOOKUP(Таблица1_113[[#This Row],[Марка]],Таблица13[#All],2,0)</f>
        <v>Economy</v>
      </c>
      <c r="AG637">
        <f>VLOOKUP(Таблица1_113[[#This Row],[Марка]],Таблица13[#All],3,0)</f>
        <v>1909</v>
      </c>
      <c r="AH637" t="str">
        <f>VLOOKUP(Таблица1_113[[#This Row],[Марка]],Таблица13[#All],5,0)</f>
        <v>Нет</v>
      </c>
      <c r="AI637" s="12">
        <v>44013</v>
      </c>
      <c r="AJ637">
        <v>0</v>
      </c>
    </row>
    <row r="638" spans="5:36">
      <c r="E638"/>
      <c r="AD638" t="s">
        <v>125</v>
      </c>
      <c r="AE638" t="str">
        <f>VLOOKUP(Таблица1_113[[#This Row],[Марка]],Таблица13[#All],4,0)</f>
        <v>Япония</v>
      </c>
      <c r="AF638" t="str">
        <f>VLOOKUP(Таблица1_113[[#This Row],[Марка]],Таблица13[#All],2,0)</f>
        <v>Business</v>
      </c>
      <c r="AG638">
        <f>VLOOKUP(Таблица1_113[[#This Row],[Марка]],Таблица13[#All],3,0)</f>
        <v>1953</v>
      </c>
      <c r="AH638" t="str">
        <f>VLOOKUP(Таблица1_113[[#This Row],[Марка]],Таблица13[#All],5,0)</f>
        <v>Нет</v>
      </c>
      <c r="AI638" s="12">
        <v>44013</v>
      </c>
      <c r="AJ638">
        <v>62</v>
      </c>
    </row>
    <row r="639" spans="5:36">
      <c r="E639"/>
      <c r="AD639" t="s">
        <v>141</v>
      </c>
      <c r="AE639" t="str">
        <f>VLOOKUP(Таблица1_113[[#This Row],[Марка]],Таблица13[#All],4,0)</f>
        <v>Чехия</v>
      </c>
      <c r="AF639" t="str">
        <f>VLOOKUP(Таблица1_113[[#This Row],[Марка]],Таблица13[#All],2,0)</f>
        <v>Business</v>
      </c>
      <c r="AG639">
        <f>VLOOKUP(Таблица1_113[[#This Row],[Марка]],Таблица13[#All],3,0)</f>
        <v>1895</v>
      </c>
      <c r="AH639" t="str">
        <f>VLOOKUP(Таблица1_113[[#This Row],[Марка]],Таблица13[#All],5,0)</f>
        <v>Крупноузловая</v>
      </c>
      <c r="AI639" s="12">
        <v>44013</v>
      </c>
      <c r="AJ639">
        <v>11</v>
      </c>
    </row>
    <row r="640" spans="5:36">
      <c r="E640"/>
      <c r="AD640" t="s">
        <v>23</v>
      </c>
      <c r="AE640" t="str">
        <f>VLOOKUP(Таблица1_113[[#This Row],[Марка]],Таблица13[#All],4,0)</f>
        <v>Франция</v>
      </c>
      <c r="AF640" t="str">
        <f>VLOOKUP(Таблица1_113[[#This Row],[Марка]],Таблица13[#All],2,0)</f>
        <v>Economy</v>
      </c>
      <c r="AG640">
        <f>VLOOKUP(Таблица1_113[[#This Row],[Марка]],Таблица13[#All],3,0)</f>
        <v>1899</v>
      </c>
      <c r="AH640" t="str">
        <f>VLOOKUP(Таблица1_113[[#This Row],[Марка]],Таблица13[#All],5,0)</f>
        <v>Крупноузловая</v>
      </c>
      <c r="AI640" s="12">
        <v>44013</v>
      </c>
      <c r="AJ640">
        <v>179</v>
      </c>
    </row>
    <row r="641" spans="5:36">
      <c r="E641"/>
      <c r="AD641" t="s">
        <v>142</v>
      </c>
      <c r="AE641" t="str">
        <f>VLOOKUP(Таблица1_113[[#This Row],[Марка]],Таблица13[#All],4,0)</f>
        <v>Узбекистан</v>
      </c>
      <c r="AF641" t="str">
        <f>VLOOKUP(Таблица1_113[[#This Row],[Марка]],Таблица13[#All],2,0)</f>
        <v>Economy</v>
      </c>
      <c r="AG641">
        <f>VLOOKUP(Таблица1_113[[#This Row],[Марка]],Таблица13[#All],3,0)</f>
        <v>2015</v>
      </c>
      <c r="AH641" t="str">
        <f>VLOOKUP(Таблица1_113[[#This Row],[Марка]],Таблица13[#All],5,0)</f>
        <v>Крупноузловая</v>
      </c>
      <c r="AI641" s="12">
        <v>44013</v>
      </c>
      <c r="AJ641">
        <v>922</v>
      </c>
    </row>
    <row r="642" spans="5:36">
      <c r="E642"/>
      <c r="AD642" t="s">
        <v>37</v>
      </c>
      <c r="AE642" t="str">
        <f>VLOOKUP(Таблица1_113[[#This Row],[Марка]],Таблица13[#All],4,0)</f>
        <v>Германия</v>
      </c>
      <c r="AF642" t="str">
        <f>VLOOKUP(Таблица1_113[[#This Row],[Марка]],Таблица13[#All],2,0)</f>
        <v>Luxury</v>
      </c>
      <c r="AG642">
        <f>VLOOKUP(Таблица1_113[[#This Row],[Марка]],Таблица13[#All],3,0)</f>
        <v>1931</v>
      </c>
      <c r="AH642" t="str">
        <f>VLOOKUP(Таблица1_113[[#This Row],[Марка]],Таблица13[#All],5,0)</f>
        <v>Нет</v>
      </c>
      <c r="AI642" s="12">
        <v>44013</v>
      </c>
      <c r="AJ642">
        <v>24</v>
      </c>
    </row>
    <row r="643" spans="5:36">
      <c r="E643"/>
      <c r="AD643" t="s">
        <v>22</v>
      </c>
      <c r="AE643" t="str">
        <f>VLOOKUP(Таблица1_113[[#This Row],[Марка]],Таблица13[#All],4,0)</f>
        <v>Япония</v>
      </c>
      <c r="AF643" t="str">
        <f>VLOOKUP(Таблица1_113[[#This Row],[Марка]],Таблица13[#All],2,0)</f>
        <v>Business</v>
      </c>
      <c r="AG643">
        <f>VLOOKUP(Таблица1_113[[#This Row],[Марка]],Таблица13[#All],3,0)</f>
        <v>1933</v>
      </c>
      <c r="AH643" t="str">
        <f>VLOOKUP(Таблица1_113[[#This Row],[Марка]],Таблица13[#All],5,0)</f>
        <v>Нет</v>
      </c>
      <c r="AI643" s="12">
        <v>44013</v>
      </c>
      <c r="AJ643">
        <v>212</v>
      </c>
    </row>
    <row r="644" spans="5:36">
      <c r="E644"/>
      <c r="AD644" t="s">
        <v>9</v>
      </c>
      <c r="AE644" t="str">
        <f>VLOOKUP(Таблица1_113[[#This Row],[Марка]],Таблица13[#All],4,0)</f>
        <v>Япония</v>
      </c>
      <c r="AF644" t="str">
        <f>VLOOKUP(Таблица1_113[[#This Row],[Марка]],Таблица13[#All],2,0)</f>
        <v>Business</v>
      </c>
      <c r="AG644">
        <f>VLOOKUP(Таблица1_113[[#This Row],[Марка]],Таблица13[#All],3,0)</f>
        <v>1870</v>
      </c>
      <c r="AH644" t="str">
        <f>VLOOKUP(Таблица1_113[[#This Row],[Марка]],Таблица13[#All],5,0)</f>
        <v>Нет</v>
      </c>
      <c r="AI644" s="12">
        <v>44013</v>
      </c>
      <c r="AJ644">
        <v>55</v>
      </c>
    </row>
    <row r="645" spans="5:36">
      <c r="E645"/>
      <c r="AD645" t="s">
        <v>40</v>
      </c>
      <c r="AE645" t="str">
        <f>VLOOKUP(Таблица1_113[[#This Row],[Марка]],Таблица13[#All],4,0)</f>
        <v>Великобритания</v>
      </c>
      <c r="AF645" t="str">
        <f>VLOOKUP(Таблица1_113[[#This Row],[Марка]],Таблица13[#All],2,0)</f>
        <v>Luxury</v>
      </c>
      <c r="AG645">
        <f>VLOOKUP(Таблица1_113[[#This Row],[Марка]],Таблица13[#All],3,0)</f>
        <v>1959</v>
      </c>
      <c r="AH645" t="str">
        <f>VLOOKUP(Таблица1_113[[#This Row],[Марка]],Таблица13[#All],5,0)</f>
        <v>Нет</v>
      </c>
      <c r="AI645" s="12">
        <v>44013</v>
      </c>
      <c r="AJ645">
        <v>5</v>
      </c>
    </row>
    <row r="646" spans="5:36">
      <c r="E646"/>
      <c r="AD646" t="s">
        <v>128</v>
      </c>
      <c r="AE646" t="str">
        <f>VLOOKUP(Таблица1_113[[#This Row],[Марка]],Таблица13[#All],4,0)</f>
        <v>Германия</v>
      </c>
      <c r="AF646" t="str">
        <f>VLOOKUP(Таблица1_113[[#This Row],[Марка]],Таблица13[#All],2,0)</f>
        <v>Luxury</v>
      </c>
      <c r="AG646">
        <f>VLOOKUP(Таблица1_113[[#This Row],[Марка]],Таблица13[#All],3,0)</f>
        <v>1926</v>
      </c>
      <c r="AH646" t="str">
        <f>VLOOKUP(Таблица1_113[[#This Row],[Марка]],Таблица13[#All],5,0)</f>
        <v>Нет</v>
      </c>
      <c r="AI646" s="12">
        <v>44013</v>
      </c>
      <c r="AJ646">
        <v>49</v>
      </c>
    </row>
    <row r="647" spans="5:36">
      <c r="E647"/>
      <c r="AD647" t="s">
        <v>139</v>
      </c>
      <c r="AE647" t="str">
        <f>VLOOKUP(Таблица1_113[[#This Row],[Марка]],Таблица13[#All],4,0)</f>
        <v>Япония</v>
      </c>
      <c r="AF647" t="str">
        <f>VLOOKUP(Таблица1_113[[#This Row],[Марка]],Таблица13[#All],2,0)</f>
        <v>Business</v>
      </c>
      <c r="AG647">
        <f>VLOOKUP(Таблица1_113[[#This Row],[Марка]],Таблица13[#All],3,0)</f>
        <v>1920</v>
      </c>
      <c r="AH647" t="str">
        <f>VLOOKUP(Таблица1_113[[#This Row],[Марка]],Таблица13[#All],5,0)</f>
        <v>Нет</v>
      </c>
      <c r="AI647" s="12">
        <v>44013</v>
      </c>
      <c r="AJ647">
        <v>32</v>
      </c>
    </row>
    <row r="648" spans="5:36">
      <c r="E648"/>
      <c r="AD648" t="s">
        <v>5</v>
      </c>
      <c r="AE648" t="str">
        <f>VLOOKUP(Таблица1_113[[#This Row],[Марка]],Таблица13[#All],4,0)</f>
        <v>Япония</v>
      </c>
      <c r="AF648" t="str">
        <f>VLOOKUP(Таблица1_113[[#This Row],[Марка]],Таблица13[#All],2,0)</f>
        <v>Luxury</v>
      </c>
      <c r="AG648">
        <f>VLOOKUP(Таблица1_113[[#This Row],[Марка]],Таблица13[#All],3,0)</f>
        <v>1989</v>
      </c>
      <c r="AH648" t="str">
        <f>VLOOKUP(Таблица1_113[[#This Row],[Марка]],Таблица13[#All],5,0)</f>
        <v>Нет</v>
      </c>
      <c r="AI648" s="12">
        <v>44013</v>
      </c>
      <c r="AJ648">
        <v>105</v>
      </c>
    </row>
    <row r="649" spans="5:36">
      <c r="E649"/>
      <c r="AD649" t="s">
        <v>35</v>
      </c>
      <c r="AE649" t="str">
        <f>VLOOKUP(Таблица1_113[[#This Row],[Марка]],Таблица13[#All],4,0)</f>
        <v>Великобритания</v>
      </c>
      <c r="AF649" t="str">
        <f>VLOOKUP(Таблица1_113[[#This Row],[Марка]],Таблица13[#All],2,0)</f>
        <v>Luxury</v>
      </c>
      <c r="AG649">
        <f>VLOOKUP(Таблица1_113[[#This Row],[Марка]],Таблица13[#All],3,0)</f>
        <v>1948</v>
      </c>
      <c r="AH649" t="str">
        <f>VLOOKUP(Таблица1_113[[#This Row],[Марка]],Таблица13[#All],5,0)</f>
        <v>Нет</v>
      </c>
      <c r="AI649" s="12">
        <v>44013</v>
      </c>
      <c r="AJ649">
        <v>4</v>
      </c>
    </row>
    <row r="650" spans="5:36">
      <c r="E650"/>
      <c r="AD650" t="s">
        <v>19</v>
      </c>
      <c r="AE650" t="str">
        <f>VLOOKUP(Таблица1_113[[#This Row],[Марка]],Таблица13[#All],4,0)</f>
        <v>Россия</v>
      </c>
      <c r="AF650" t="str">
        <f>VLOOKUP(Таблица1_113[[#This Row],[Марка]],Таблица13[#All],2,0)</f>
        <v>Economy</v>
      </c>
      <c r="AG650">
        <f>VLOOKUP(Таблица1_113[[#This Row],[Марка]],Таблица13[#All],3,0)</f>
        <v>1970</v>
      </c>
      <c r="AH650" t="str">
        <f>VLOOKUP(Таблица1_113[[#This Row],[Марка]],Таблица13[#All],5,0)</f>
        <v>Крупноузловая</v>
      </c>
      <c r="AI650" s="12">
        <v>44013</v>
      </c>
      <c r="AJ650">
        <v>1769</v>
      </c>
    </row>
    <row r="651" spans="5:36">
      <c r="E651"/>
      <c r="AD651" t="s">
        <v>15</v>
      </c>
      <c r="AE651" t="str">
        <f>VLOOKUP(Таблица1_113[[#This Row],[Марка]],Таблица13[#All],4,0)</f>
        <v>Корея</v>
      </c>
      <c r="AF651" t="str">
        <f>VLOOKUP(Таблица1_113[[#This Row],[Марка]],Таблица13[#All],2,0)</f>
        <v>Economy</v>
      </c>
      <c r="AG651">
        <f>VLOOKUP(Таблица1_113[[#This Row],[Марка]],Таблица13[#All],3,0)</f>
        <v>1944</v>
      </c>
      <c r="AH651" t="str">
        <f>VLOOKUP(Таблица1_113[[#This Row],[Марка]],Таблица13[#All],5,0)</f>
        <v>Крупноузловая</v>
      </c>
      <c r="AI651" s="12">
        <v>44013</v>
      </c>
      <c r="AJ651">
        <v>615</v>
      </c>
    </row>
    <row r="652" spans="5:36">
      <c r="E652"/>
      <c r="AD652" t="s">
        <v>134</v>
      </c>
      <c r="AE652" t="str">
        <f>VLOOKUP(Таблица1_113[[#This Row],[Марка]],Таблица13[#All],4,0)</f>
        <v>Великобритания</v>
      </c>
      <c r="AF652" t="str">
        <f>VLOOKUP(Таблица1_113[[#This Row],[Марка]],Таблица13[#All],2,0)</f>
        <v>Luxury</v>
      </c>
      <c r="AG652">
        <f>VLOOKUP(Таблица1_113[[#This Row],[Марка]],Таблица13[#All],3,0)</f>
        <v>1922</v>
      </c>
      <c r="AH652" t="str">
        <f>VLOOKUP(Таблица1_113[[#This Row],[Марка]],Таблица13[#All],5,0)</f>
        <v>Нет</v>
      </c>
      <c r="AI652" s="12">
        <v>44013</v>
      </c>
      <c r="AJ652">
        <v>0</v>
      </c>
    </row>
    <row r="653" spans="5:36">
      <c r="E653"/>
      <c r="AD653" t="s">
        <v>4</v>
      </c>
      <c r="AE653" t="str">
        <f>VLOOKUP(Таблица1_113[[#This Row],[Марка]],Таблица13[#All],4,0)</f>
        <v>Китай</v>
      </c>
      <c r="AF653" t="str">
        <f>VLOOKUP(Таблица1_113[[#This Row],[Марка]],Таблица13[#All],2,0)</f>
        <v>Economy</v>
      </c>
      <c r="AG653">
        <f>VLOOKUP(Таблица1_113[[#This Row],[Марка]],Таблица13[#All],3,0)</f>
        <v>1964</v>
      </c>
      <c r="AH653" t="str">
        <f>VLOOKUP(Таблица1_113[[#This Row],[Марка]],Таблица13[#All],5,0)</f>
        <v>Крупноузловая</v>
      </c>
      <c r="AI653" s="12">
        <v>44013</v>
      </c>
      <c r="AJ653">
        <v>161</v>
      </c>
    </row>
    <row r="654" spans="5:36">
      <c r="E654"/>
      <c r="AD654" t="s">
        <v>140</v>
      </c>
      <c r="AE654" t="str">
        <f>VLOOKUP(Таблица1_113[[#This Row],[Марка]],Таблица13[#All],4,0)</f>
        <v>Япония</v>
      </c>
      <c r="AF654" t="str">
        <f>VLOOKUP(Таблица1_113[[#This Row],[Марка]],Таблица13[#All],2,0)</f>
        <v>Business</v>
      </c>
      <c r="AG654">
        <f>VLOOKUP(Таблица1_113[[#This Row],[Марка]],Таблица13[#All],3,0)</f>
        <v>1916</v>
      </c>
      <c r="AH654" t="str">
        <f>VLOOKUP(Таблица1_113[[#This Row],[Марка]],Таблица13[#All],5,0)</f>
        <v>Нет</v>
      </c>
      <c r="AI654" s="12">
        <v>44013</v>
      </c>
      <c r="AJ654">
        <v>13</v>
      </c>
    </row>
    <row r="655" spans="5:36">
      <c r="E655"/>
      <c r="AD655" t="s">
        <v>34</v>
      </c>
      <c r="AE655" t="str">
        <f>VLOOKUP(Таблица1_113[[#This Row],[Марка]],Таблица13[#All],4,0)</f>
        <v>Япония</v>
      </c>
      <c r="AF655" t="str">
        <f>VLOOKUP(Таблица1_113[[#This Row],[Марка]],Таблица13[#All],2,0)</f>
        <v>Luxury</v>
      </c>
      <c r="AG655">
        <f>VLOOKUP(Таблица1_113[[#This Row],[Марка]],Таблица13[#All],3,0)</f>
        <v>1989</v>
      </c>
      <c r="AH655" t="str">
        <f>VLOOKUP(Таблица1_113[[#This Row],[Марка]],Таблица13[#All],5,0)</f>
        <v>Нет</v>
      </c>
      <c r="AI655" s="12">
        <v>44013</v>
      </c>
      <c r="AJ655">
        <v>24</v>
      </c>
    </row>
    <row r="656" spans="5:36">
      <c r="E656"/>
      <c r="AD656" t="s">
        <v>0</v>
      </c>
      <c r="AE656" t="str">
        <f>VLOOKUP(Таблица1_113[[#This Row],[Марка]],Таблица13[#All],4,0)</f>
        <v>Корея</v>
      </c>
      <c r="AF656" t="str">
        <f>VLOOKUP(Таблица1_113[[#This Row],[Марка]],Таблица13[#All],2,0)</f>
        <v>Economy</v>
      </c>
      <c r="AG656">
        <f>VLOOKUP(Таблица1_113[[#This Row],[Марка]],Таблица13[#All],3,0)</f>
        <v>1967</v>
      </c>
      <c r="AH656" t="str">
        <f>VLOOKUP(Таблица1_113[[#This Row],[Марка]],Таблица13[#All],5,0)</f>
        <v>Крупноузловая</v>
      </c>
      <c r="AI656" s="12">
        <v>44013</v>
      </c>
      <c r="AJ656">
        <v>1253</v>
      </c>
    </row>
    <row r="657" spans="5:36">
      <c r="E657"/>
      <c r="AD657" t="s">
        <v>138</v>
      </c>
      <c r="AE657" t="str">
        <f>VLOOKUP(Таблица1_113[[#This Row],[Марка]],Таблица13[#All],4,0)</f>
        <v>Корея</v>
      </c>
      <c r="AF657" t="str">
        <f>VLOOKUP(Таблица1_113[[#This Row],[Марка]],Таблица13[#All],2,0)</f>
        <v>Luxury</v>
      </c>
      <c r="AG657">
        <f>VLOOKUP(Таблица1_113[[#This Row],[Марка]],Таблица13[#All],3,0)</f>
        <v>2015</v>
      </c>
      <c r="AH657" t="str">
        <f>VLOOKUP(Таблица1_113[[#This Row],[Марка]],Таблица13[#All],5,0)</f>
        <v>Нет</v>
      </c>
      <c r="AI657" s="12">
        <v>44013</v>
      </c>
      <c r="AJ657">
        <v>0</v>
      </c>
    </row>
    <row r="658" spans="5:36">
      <c r="E658"/>
      <c r="AD658" t="s">
        <v>133</v>
      </c>
      <c r="AE658" t="str">
        <f>VLOOKUP(Таблица1_113[[#This Row],[Марка]],Таблица13[#All],4,0)</f>
        <v>Китай</v>
      </c>
      <c r="AF658" t="str">
        <f>VLOOKUP(Таблица1_113[[#This Row],[Марка]],Таблица13[#All],2,0)</f>
        <v>Economy</v>
      </c>
      <c r="AG658">
        <f>VLOOKUP(Таблица1_113[[#This Row],[Марка]],Таблица13[#All],3,0)</f>
        <v>1996</v>
      </c>
      <c r="AH658" t="str">
        <f>VLOOKUP(Таблица1_113[[#This Row],[Марка]],Таблица13[#All],5,0)</f>
        <v>Нет</v>
      </c>
      <c r="AI658" s="12">
        <v>44013</v>
      </c>
      <c r="AJ658">
        <v>0</v>
      </c>
    </row>
    <row r="659" spans="5:36">
      <c r="E659"/>
      <c r="AD659" t="s">
        <v>130</v>
      </c>
      <c r="AE659" t="str">
        <f>VLOOKUP(Таблица1_113[[#This Row],[Марка]],Таблица13[#All],4,0)</f>
        <v>Китай</v>
      </c>
      <c r="AF659" t="str">
        <f>VLOOKUP(Таблица1_113[[#This Row],[Марка]],Таблица13[#All],2,0)</f>
        <v>Economy</v>
      </c>
      <c r="AG659">
        <f>VLOOKUP(Таблица1_113[[#This Row],[Марка]],Таблица13[#All],3,0)</f>
        <v>1969</v>
      </c>
      <c r="AH659" t="str">
        <f>VLOOKUP(Таблица1_113[[#This Row],[Марка]],Таблица13[#All],5,0)</f>
        <v>Нет</v>
      </c>
      <c r="AI659" s="12">
        <v>44013</v>
      </c>
      <c r="AJ659">
        <v>14</v>
      </c>
    </row>
    <row r="660" spans="5:36">
      <c r="E660"/>
      <c r="AD660" t="s">
        <v>137</v>
      </c>
      <c r="AE660" t="str">
        <f>VLOOKUP(Таблица1_113[[#This Row],[Марка]],Таблица13[#All],4,0)</f>
        <v>Корея</v>
      </c>
      <c r="AF660" t="str">
        <f>VLOOKUP(Таблица1_113[[#This Row],[Марка]],Таблица13[#All],2,0)</f>
        <v>Economy</v>
      </c>
      <c r="AG660">
        <f>VLOOKUP(Таблица1_113[[#This Row],[Марка]],Таблица13[#All],3,0)</f>
        <v>1967</v>
      </c>
      <c r="AH660" t="str">
        <f>VLOOKUP(Таблица1_113[[#This Row],[Марка]],Таблица13[#All],5,0)</f>
        <v>Нет</v>
      </c>
      <c r="AI660" s="12">
        <v>44013</v>
      </c>
      <c r="AJ660">
        <v>16</v>
      </c>
    </row>
    <row r="661" spans="5:36">
      <c r="E661"/>
      <c r="AD661" t="s">
        <v>1</v>
      </c>
      <c r="AE661" t="str">
        <f>VLOOKUP(Таблица1_113[[#This Row],[Марка]],Таблица13[#All],4,0)</f>
        <v>США</v>
      </c>
      <c r="AF661" t="str">
        <f>VLOOKUP(Таблица1_113[[#This Row],[Марка]],Таблица13[#All],2,0)</f>
        <v>Economy</v>
      </c>
      <c r="AG661">
        <f>VLOOKUP(Таблица1_113[[#This Row],[Марка]],Таблица13[#All],3,0)</f>
        <v>1911</v>
      </c>
      <c r="AH661" t="str">
        <f>VLOOKUP(Таблица1_113[[#This Row],[Марка]],Таблица13[#All],5,0)</f>
        <v>Крупноузловая</v>
      </c>
      <c r="AI661" s="12">
        <v>44013</v>
      </c>
      <c r="AJ661">
        <v>354</v>
      </c>
    </row>
    <row r="662" spans="5:36">
      <c r="E662"/>
      <c r="AD662" t="s">
        <v>36</v>
      </c>
      <c r="AE662" t="str">
        <f>VLOOKUP(Таблица1_113[[#This Row],[Марка]],Таблица13[#All],4,0)</f>
        <v>США</v>
      </c>
      <c r="AF662" t="str">
        <f>VLOOKUP(Таблица1_113[[#This Row],[Марка]],Таблица13[#All],2,0)</f>
        <v>Luxury</v>
      </c>
      <c r="AG662">
        <f>VLOOKUP(Таблица1_113[[#This Row],[Марка]],Таблица13[#All],3,0)</f>
        <v>1902</v>
      </c>
      <c r="AH662" t="str">
        <f>VLOOKUP(Таблица1_113[[#This Row],[Марка]],Таблица13[#All],5,0)</f>
        <v>Нет</v>
      </c>
      <c r="AI662" s="12">
        <v>44013</v>
      </c>
      <c r="AJ662">
        <v>23</v>
      </c>
    </row>
    <row r="663" spans="5:36">
      <c r="E663"/>
      <c r="AD663" t="s">
        <v>8</v>
      </c>
      <c r="AE663" t="str">
        <f>VLOOKUP(Таблица1_113[[#This Row],[Марка]],Таблица13[#All],4,0)</f>
        <v>Германия</v>
      </c>
      <c r="AF663" t="str">
        <f>VLOOKUP(Таблица1_113[[#This Row],[Марка]],Таблица13[#All],2,0)</f>
        <v>Luxury</v>
      </c>
      <c r="AG663">
        <f>VLOOKUP(Таблица1_113[[#This Row],[Марка]],Таблица13[#All],3,0)</f>
        <v>1916</v>
      </c>
      <c r="AH663" t="str">
        <f>VLOOKUP(Таблица1_113[[#This Row],[Марка]],Таблица13[#All],5,0)</f>
        <v>Нет</v>
      </c>
      <c r="AI663" s="12">
        <v>44013</v>
      </c>
      <c r="AJ663">
        <v>66</v>
      </c>
    </row>
    <row r="664" spans="5:36">
      <c r="E664"/>
      <c r="AD664" t="s">
        <v>38</v>
      </c>
      <c r="AE664" t="str">
        <f>VLOOKUP(Таблица1_113[[#This Row],[Марка]],Таблица13[#All],4,0)</f>
        <v>Германия</v>
      </c>
      <c r="AF664" t="str">
        <f>VLOOKUP(Таблица1_113[[#This Row],[Марка]],Таблица13[#All],2,0)</f>
        <v>Luxury</v>
      </c>
      <c r="AG664">
        <f>VLOOKUP(Таблица1_113[[#This Row],[Марка]],Таблица13[#All],3,0)</f>
        <v>1932</v>
      </c>
      <c r="AH664" t="str">
        <f>VLOOKUP(Таблица1_113[[#This Row],[Марка]],Таблица13[#All],5,0)</f>
        <v>Нет</v>
      </c>
      <c r="AI664" s="12">
        <v>44013</v>
      </c>
      <c r="AJ664">
        <v>9</v>
      </c>
    </row>
    <row r="665" spans="5:36">
      <c r="E665"/>
      <c r="AD665" t="s">
        <v>136</v>
      </c>
      <c r="AE665" t="str">
        <f>VLOOKUP(Таблица1_113[[#This Row],[Марка]],Таблица13[#All],4,0)</f>
        <v>Россия</v>
      </c>
      <c r="AF665" t="str">
        <f>VLOOKUP(Таблица1_113[[#This Row],[Марка]],Таблица13[#All],2,0)</f>
        <v>Economy</v>
      </c>
      <c r="AG665">
        <f>VLOOKUP(Таблица1_113[[#This Row],[Марка]],Таблица13[#All],3,0)</f>
        <v>1941</v>
      </c>
      <c r="AH665" t="str">
        <f>VLOOKUP(Таблица1_113[[#This Row],[Марка]],Таблица13[#All],5,0)</f>
        <v>Нет</v>
      </c>
      <c r="AI665" s="12">
        <v>44044</v>
      </c>
      <c r="AJ665">
        <v>166</v>
      </c>
    </row>
    <row r="666" spans="5:36">
      <c r="E666"/>
      <c r="AD666" t="s">
        <v>135</v>
      </c>
      <c r="AE666" t="str">
        <f>VLOOKUP(Таблица1_113[[#This Row],[Марка]],Таблица13[#All],4,0)</f>
        <v>-</v>
      </c>
      <c r="AF666" t="str">
        <f>VLOOKUP(Таблица1_113[[#This Row],[Марка]],Таблица13[#All],2,0)</f>
        <v>-</v>
      </c>
      <c r="AG666" t="str">
        <f>VLOOKUP(Таблица1_113[[#This Row],[Марка]],Таблица13[#All],3,0)</f>
        <v>-</v>
      </c>
      <c r="AH666" t="str">
        <f>VLOOKUP(Таблица1_113[[#This Row],[Марка]],Таблица13[#All],5,0)</f>
        <v>-</v>
      </c>
      <c r="AI666" s="12">
        <v>44044</v>
      </c>
      <c r="AJ666">
        <v>1</v>
      </c>
    </row>
    <row r="667" spans="5:36">
      <c r="E667"/>
      <c r="AD667" t="s">
        <v>39</v>
      </c>
      <c r="AE667" t="str">
        <f>VLOOKUP(Таблица1_113[[#This Row],[Марка]],Таблица13[#All],4,0)</f>
        <v>Швеция</v>
      </c>
      <c r="AF667" t="str">
        <f>VLOOKUP(Таблица1_113[[#This Row],[Марка]],Таблица13[#All],2,0)</f>
        <v>Business</v>
      </c>
      <c r="AG667">
        <f>VLOOKUP(Таблица1_113[[#This Row],[Марка]],Таблица13[#All],3,0)</f>
        <v>1927</v>
      </c>
      <c r="AH667" t="str">
        <f>VLOOKUP(Таблица1_113[[#This Row],[Марка]],Таблица13[#All],5,0)</f>
        <v>Нет</v>
      </c>
      <c r="AI667" s="12">
        <v>44044</v>
      </c>
      <c r="AJ667">
        <v>8</v>
      </c>
    </row>
    <row r="668" spans="5:36">
      <c r="E668"/>
      <c r="AD668" t="s">
        <v>21</v>
      </c>
      <c r="AE668" t="str">
        <f>VLOOKUP(Таблица1_113[[#This Row],[Марка]],Таблица13[#All],4,0)</f>
        <v>Германия</v>
      </c>
      <c r="AF668" t="str">
        <f>VLOOKUP(Таблица1_113[[#This Row],[Марка]],Таблица13[#All],2,0)</f>
        <v>Business</v>
      </c>
      <c r="AG668">
        <f>VLOOKUP(Таблица1_113[[#This Row],[Марка]],Таблица13[#All],3,0)</f>
        <v>1937</v>
      </c>
      <c r="AH668" t="str">
        <f>VLOOKUP(Таблица1_113[[#This Row],[Марка]],Таблица13[#All],5,0)</f>
        <v>Нет</v>
      </c>
      <c r="AI668" s="12">
        <v>44044</v>
      </c>
      <c r="AJ668">
        <v>301</v>
      </c>
    </row>
    <row r="669" spans="5:36">
      <c r="E669"/>
      <c r="AD669" t="s">
        <v>2</v>
      </c>
      <c r="AE669" t="str">
        <f>VLOOKUP(Таблица1_113[[#This Row],[Марка]],Таблица13[#All],4,0)</f>
        <v>Япония</v>
      </c>
      <c r="AF669" t="str">
        <f>VLOOKUP(Таблица1_113[[#This Row],[Марка]],Таблица13[#All],2,0)</f>
        <v>Business</v>
      </c>
      <c r="AG669">
        <f>VLOOKUP(Таблица1_113[[#This Row],[Марка]],Таблица13[#All],3,0)</f>
        <v>1937</v>
      </c>
      <c r="AH669" t="str">
        <f>VLOOKUP(Таблица1_113[[#This Row],[Марка]],Таблица13[#All],5,0)</f>
        <v>Нет</v>
      </c>
      <c r="AI669" s="12">
        <v>44044</v>
      </c>
      <c r="AJ669">
        <v>1155</v>
      </c>
    </row>
    <row r="670" spans="5:36">
      <c r="E670"/>
      <c r="AD670" t="s">
        <v>143</v>
      </c>
      <c r="AE670" t="str">
        <f>VLOOKUP(Таблица1_113[[#This Row],[Марка]],Таблица13[#All],4,0)</f>
        <v>Япония</v>
      </c>
      <c r="AF670" t="str">
        <f>VLOOKUP(Таблица1_113[[#This Row],[Марка]],Таблица13[#All],2,0)</f>
        <v>Economy</v>
      </c>
      <c r="AG670">
        <f>VLOOKUP(Таблица1_113[[#This Row],[Марка]],Таблица13[#All],3,0)</f>
        <v>1909</v>
      </c>
      <c r="AH670" t="str">
        <f>VLOOKUP(Таблица1_113[[#This Row],[Марка]],Таблица13[#All],5,0)</f>
        <v>Нет</v>
      </c>
      <c r="AI670" s="12">
        <v>44044</v>
      </c>
      <c r="AJ670">
        <v>0</v>
      </c>
    </row>
    <row r="671" spans="5:36">
      <c r="AD671" t="s">
        <v>125</v>
      </c>
      <c r="AE671" t="str">
        <f>VLOOKUP(Таблица1_113[[#This Row],[Марка]],Таблица13[#All],4,0)</f>
        <v>Япония</v>
      </c>
      <c r="AF671" t="str">
        <f>VLOOKUP(Таблица1_113[[#This Row],[Марка]],Таблица13[#All],2,0)</f>
        <v>Business</v>
      </c>
      <c r="AG671">
        <f>VLOOKUP(Таблица1_113[[#This Row],[Марка]],Таблица13[#All],3,0)</f>
        <v>1953</v>
      </c>
      <c r="AH671" t="str">
        <f>VLOOKUP(Таблица1_113[[#This Row],[Марка]],Таблица13[#All],5,0)</f>
        <v>Нет</v>
      </c>
      <c r="AI671" s="12">
        <v>44044</v>
      </c>
      <c r="AJ671">
        <v>72</v>
      </c>
    </row>
    <row r="672" spans="5:36">
      <c r="AD672" t="s">
        <v>141</v>
      </c>
      <c r="AE672" t="str">
        <f>VLOOKUP(Таблица1_113[[#This Row],[Марка]],Таблица13[#All],4,0)</f>
        <v>Чехия</v>
      </c>
      <c r="AF672" t="str">
        <f>VLOOKUP(Таблица1_113[[#This Row],[Марка]],Таблица13[#All],2,0)</f>
        <v>Business</v>
      </c>
      <c r="AG672">
        <f>VLOOKUP(Таблица1_113[[#This Row],[Марка]],Таблица13[#All],3,0)</f>
        <v>1895</v>
      </c>
      <c r="AH672" t="str">
        <f>VLOOKUP(Таблица1_113[[#This Row],[Марка]],Таблица13[#All],5,0)</f>
        <v>Крупноузловая</v>
      </c>
      <c r="AI672" s="12">
        <v>44044</v>
      </c>
      <c r="AJ672">
        <v>6</v>
      </c>
    </row>
    <row r="673" spans="30:36">
      <c r="AD673" t="s">
        <v>23</v>
      </c>
      <c r="AE673" t="str">
        <f>VLOOKUP(Таблица1_113[[#This Row],[Марка]],Таблица13[#All],4,0)</f>
        <v>Франция</v>
      </c>
      <c r="AF673" t="str">
        <f>VLOOKUP(Таблица1_113[[#This Row],[Марка]],Таблица13[#All],2,0)</f>
        <v>Economy</v>
      </c>
      <c r="AG673">
        <f>VLOOKUP(Таблица1_113[[#This Row],[Марка]],Таблица13[#All],3,0)</f>
        <v>1899</v>
      </c>
      <c r="AH673" t="str">
        <f>VLOOKUP(Таблица1_113[[#This Row],[Марка]],Таблица13[#All],5,0)</f>
        <v>Крупноузловая</v>
      </c>
      <c r="AI673" s="12">
        <v>44044</v>
      </c>
      <c r="AJ673">
        <v>212</v>
      </c>
    </row>
    <row r="674" spans="30:36">
      <c r="AD674" t="s">
        <v>142</v>
      </c>
      <c r="AE674" t="str">
        <f>VLOOKUP(Таблица1_113[[#This Row],[Марка]],Таблица13[#All],4,0)</f>
        <v>Узбекистан</v>
      </c>
      <c r="AF674" t="str">
        <f>VLOOKUP(Таблица1_113[[#This Row],[Марка]],Таблица13[#All],2,0)</f>
        <v>Economy</v>
      </c>
      <c r="AG674">
        <f>VLOOKUP(Таблица1_113[[#This Row],[Марка]],Таблица13[#All],3,0)</f>
        <v>2015</v>
      </c>
      <c r="AH674" t="str">
        <f>VLOOKUP(Таблица1_113[[#This Row],[Марка]],Таблица13[#All],5,0)</f>
        <v>Крупноузловая</v>
      </c>
      <c r="AI674" s="12">
        <v>44044</v>
      </c>
      <c r="AJ674">
        <v>822</v>
      </c>
    </row>
    <row r="675" spans="30:36">
      <c r="AD675" t="s">
        <v>37</v>
      </c>
      <c r="AE675" t="str">
        <f>VLOOKUP(Таблица1_113[[#This Row],[Марка]],Таблица13[#All],4,0)</f>
        <v>Германия</v>
      </c>
      <c r="AF675" t="str">
        <f>VLOOKUP(Таблица1_113[[#This Row],[Марка]],Таблица13[#All],2,0)</f>
        <v>Luxury</v>
      </c>
      <c r="AG675">
        <f>VLOOKUP(Таблица1_113[[#This Row],[Марка]],Таблица13[#All],3,0)</f>
        <v>1931</v>
      </c>
      <c r="AH675" t="str">
        <f>VLOOKUP(Таблица1_113[[#This Row],[Марка]],Таблица13[#All],5,0)</f>
        <v>Нет</v>
      </c>
      <c r="AI675" s="12">
        <v>44044</v>
      </c>
      <c r="AJ675">
        <v>8</v>
      </c>
    </row>
    <row r="676" spans="30:36">
      <c r="AD676" t="s">
        <v>22</v>
      </c>
      <c r="AE676" t="str">
        <f>VLOOKUP(Таблица1_113[[#This Row],[Марка]],Таблица13[#All],4,0)</f>
        <v>Япония</v>
      </c>
      <c r="AF676" t="str">
        <f>VLOOKUP(Таблица1_113[[#This Row],[Марка]],Таблица13[#All],2,0)</f>
        <v>Business</v>
      </c>
      <c r="AG676">
        <f>VLOOKUP(Таблица1_113[[#This Row],[Марка]],Таблица13[#All],3,0)</f>
        <v>1933</v>
      </c>
      <c r="AH676" t="str">
        <f>VLOOKUP(Таблица1_113[[#This Row],[Марка]],Таблица13[#All],5,0)</f>
        <v>Нет</v>
      </c>
      <c r="AI676" s="12">
        <v>44044</v>
      </c>
      <c r="AJ676">
        <v>253</v>
      </c>
    </row>
    <row r="677" spans="30:36">
      <c r="AD677" t="s">
        <v>9</v>
      </c>
      <c r="AE677" t="str">
        <f>VLOOKUP(Таблица1_113[[#This Row],[Марка]],Таблица13[#All],4,0)</f>
        <v>Япония</v>
      </c>
      <c r="AF677" t="str">
        <f>VLOOKUP(Таблица1_113[[#This Row],[Марка]],Таблица13[#All],2,0)</f>
        <v>Business</v>
      </c>
      <c r="AG677">
        <f>VLOOKUP(Таблица1_113[[#This Row],[Марка]],Таблица13[#All],3,0)</f>
        <v>1870</v>
      </c>
      <c r="AH677" t="str">
        <f>VLOOKUP(Таблица1_113[[#This Row],[Марка]],Таблица13[#All],5,0)</f>
        <v>Нет</v>
      </c>
      <c r="AI677" s="12">
        <v>44044</v>
      </c>
      <c r="AJ677">
        <v>72</v>
      </c>
    </row>
    <row r="678" spans="30:36">
      <c r="AD678" t="s">
        <v>40</v>
      </c>
      <c r="AE678" t="str">
        <f>VLOOKUP(Таблица1_113[[#This Row],[Марка]],Таблица13[#All],4,0)</f>
        <v>Великобритания</v>
      </c>
      <c r="AF678" t="str">
        <f>VLOOKUP(Таблица1_113[[#This Row],[Марка]],Таблица13[#All],2,0)</f>
        <v>Luxury</v>
      </c>
      <c r="AG678">
        <f>VLOOKUP(Таблица1_113[[#This Row],[Марка]],Таблица13[#All],3,0)</f>
        <v>1959</v>
      </c>
      <c r="AH678" t="str">
        <f>VLOOKUP(Таблица1_113[[#This Row],[Марка]],Таблица13[#All],5,0)</f>
        <v>Нет</v>
      </c>
      <c r="AI678" s="12">
        <v>44044</v>
      </c>
      <c r="AJ678">
        <v>0</v>
      </c>
    </row>
    <row r="679" spans="30:36">
      <c r="AD679" t="s">
        <v>128</v>
      </c>
      <c r="AE679" t="str">
        <f>VLOOKUP(Таблица1_113[[#This Row],[Марка]],Таблица13[#All],4,0)</f>
        <v>Германия</v>
      </c>
      <c r="AF679" t="str">
        <f>VLOOKUP(Таблица1_113[[#This Row],[Марка]],Таблица13[#All],2,0)</f>
        <v>Luxury</v>
      </c>
      <c r="AG679">
        <f>VLOOKUP(Таблица1_113[[#This Row],[Марка]],Таблица13[#All],3,0)</f>
        <v>1926</v>
      </c>
      <c r="AH679" t="str">
        <f>VLOOKUP(Таблица1_113[[#This Row],[Марка]],Таблица13[#All],5,0)</f>
        <v>Нет</v>
      </c>
      <c r="AI679" s="12">
        <v>44044</v>
      </c>
      <c r="AJ679">
        <v>23</v>
      </c>
    </row>
    <row r="680" spans="30:36">
      <c r="AD680" t="s">
        <v>139</v>
      </c>
      <c r="AE680" t="str">
        <f>VLOOKUP(Таблица1_113[[#This Row],[Марка]],Таблица13[#All],4,0)</f>
        <v>Япония</v>
      </c>
      <c r="AF680" t="str">
        <f>VLOOKUP(Таблица1_113[[#This Row],[Марка]],Таблица13[#All],2,0)</f>
        <v>Business</v>
      </c>
      <c r="AG680">
        <f>VLOOKUP(Таблица1_113[[#This Row],[Марка]],Таблица13[#All],3,0)</f>
        <v>1920</v>
      </c>
      <c r="AH680" t="str">
        <f>VLOOKUP(Таблица1_113[[#This Row],[Марка]],Таблица13[#All],5,0)</f>
        <v>Нет</v>
      </c>
      <c r="AI680" s="12">
        <v>44044</v>
      </c>
      <c r="AJ680">
        <v>26</v>
      </c>
    </row>
    <row r="681" spans="30:36">
      <c r="AD681" t="s">
        <v>5</v>
      </c>
      <c r="AE681" t="str">
        <f>VLOOKUP(Таблица1_113[[#This Row],[Марка]],Таблица13[#All],4,0)</f>
        <v>Япония</v>
      </c>
      <c r="AF681" t="str">
        <f>VLOOKUP(Таблица1_113[[#This Row],[Марка]],Таблица13[#All],2,0)</f>
        <v>Luxury</v>
      </c>
      <c r="AG681">
        <f>VLOOKUP(Таблица1_113[[#This Row],[Марка]],Таблица13[#All],3,0)</f>
        <v>1989</v>
      </c>
      <c r="AH681" t="str">
        <f>VLOOKUP(Таблица1_113[[#This Row],[Марка]],Таблица13[#All],5,0)</f>
        <v>Нет</v>
      </c>
      <c r="AI681" s="12">
        <v>44044</v>
      </c>
      <c r="AJ681">
        <v>239</v>
      </c>
    </row>
    <row r="682" spans="30:36">
      <c r="AD682" t="s">
        <v>35</v>
      </c>
      <c r="AE682" t="str">
        <f>VLOOKUP(Таблица1_113[[#This Row],[Марка]],Таблица13[#All],4,0)</f>
        <v>Великобритания</v>
      </c>
      <c r="AF682" t="str">
        <f>VLOOKUP(Таблица1_113[[#This Row],[Марка]],Таблица13[#All],2,0)</f>
        <v>Luxury</v>
      </c>
      <c r="AG682">
        <f>VLOOKUP(Таблица1_113[[#This Row],[Марка]],Таблица13[#All],3,0)</f>
        <v>1948</v>
      </c>
      <c r="AH682" t="str">
        <f>VLOOKUP(Таблица1_113[[#This Row],[Марка]],Таблица13[#All],5,0)</f>
        <v>Нет</v>
      </c>
      <c r="AI682" s="12">
        <v>44044</v>
      </c>
      <c r="AJ682">
        <v>23</v>
      </c>
    </row>
    <row r="683" spans="30:36">
      <c r="AD683" t="s">
        <v>19</v>
      </c>
      <c r="AE683" t="str">
        <f>VLOOKUP(Таблица1_113[[#This Row],[Марка]],Таблица13[#All],4,0)</f>
        <v>Россия</v>
      </c>
      <c r="AF683" t="str">
        <f>VLOOKUP(Таблица1_113[[#This Row],[Марка]],Таблица13[#All],2,0)</f>
        <v>Economy</v>
      </c>
      <c r="AG683">
        <f>VLOOKUP(Таблица1_113[[#This Row],[Марка]],Таблица13[#All],3,0)</f>
        <v>1970</v>
      </c>
      <c r="AH683" t="str">
        <f>VLOOKUP(Таблица1_113[[#This Row],[Марка]],Таблица13[#All],5,0)</f>
        <v>Крупноузловая</v>
      </c>
      <c r="AI683" s="12">
        <v>44044</v>
      </c>
      <c r="AJ683">
        <v>1645</v>
      </c>
    </row>
    <row r="684" spans="30:36">
      <c r="AD684" t="s">
        <v>15</v>
      </c>
      <c r="AE684" t="str">
        <f>VLOOKUP(Таблица1_113[[#This Row],[Марка]],Таблица13[#All],4,0)</f>
        <v>Корея</v>
      </c>
      <c r="AF684" t="str">
        <f>VLOOKUP(Таблица1_113[[#This Row],[Марка]],Таблица13[#All],2,0)</f>
        <v>Economy</v>
      </c>
      <c r="AG684">
        <f>VLOOKUP(Таблица1_113[[#This Row],[Марка]],Таблица13[#All],3,0)</f>
        <v>1944</v>
      </c>
      <c r="AH684" t="str">
        <f>VLOOKUP(Таблица1_113[[#This Row],[Марка]],Таблица13[#All],5,0)</f>
        <v>Крупноузловая</v>
      </c>
      <c r="AI684" s="12">
        <v>44044</v>
      </c>
      <c r="AJ684">
        <v>595</v>
      </c>
    </row>
    <row r="685" spans="30:36">
      <c r="AD685" t="s">
        <v>134</v>
      </c>
      <c r="AE685" t="str">
        <f>VLOOKUP(Таблица1_113[[#This Row],[Марка]],Таблица13[#All],4,0)</f>
        <v>Великобритания</v>
      </c>
      <c r="AF685" t="str">
        <f>VLOOKUP(Таблица1_113[[#This Row],[Марка]],Таблица13[#All],2,0)</f>
        <v>Luxury</v>
      </c>
      <c r="AG685">
        <f>VLOOKUP(Таблица1_113[[#This Row],[Марка]],Таблица13[#All],3,0)</f>
        <v>1922</v>
      </c>
      <c r="AH685" t="str">
        <f>VLOOKUP(Таблица1_113[[#This Row],[Марка]],Таблица13[#All],5,0)</f>
        <v>Нет</v>
      </c>
      <c r="AI685" s="12">
        <v>44044</v>
      </c>
      <c r="AJ685">
        <v>12</v>
      </c>
    </row>
    <row r="686" spans="30:36">
      <c r="AD686" t="s">
        <v>4</v>
      </c>
      <c r="AE686" t="str">
        <f>VLOOKUP(Таблица1_113[[#This Row],[Марка]],Таблица13[#All],4,0)</f>
        <v>Китай</v>
      </c>
      <c r="AF686" t="str">
        <f>VLOOKUP(Таблица1_113[[#This Row],[Марка]],Таблица13[#All],2,0)</f>
        <v>Economy</v>
      </c>
      <c r="AG686">
        <f>VLOOKUP(Таблица1_113[[#This Row],[Марка]],Таблица13[#All],3,0)</f>
        <v>1964</v>
      </c>
      <c r="AH686" t="str">
        <f>VLOOKUP(Таблица1_113[[#This Row],[Марка]],Таблица13[#All],5,0)</f>
        <v>Крупноузловая</v>
      </c>
      <c r="AI686" s="12">
        <v>44044</v>
      </c>
      <c r="AJ686">
        <v>407</v>
      </c>
    </row>
    <row r="687" spans="30:36">
      <c r="AD687" t="s">
        <v>140</v>
      </c>
      <c r="AE687" t="str">
        <f>VLOOKUP(Таблица1_113[[#This Row],[Марка]],Таблица13[#All],4,0)</f>
        <v>Япония</v>
      </c>
      <c r="AF687" t="str">
        <f>VLOOKUP(Таблица1_113[[#This Row],[Марка]],Таблица13[#All],2,0)</f>
        <v>Business</v>
      </c>
      <c r="AG687">
        <f>VLOOKUP(Таблица1_113[[#This Row],[Марка]],Таблица13[#All],3,0)</f>
        <v>1916</v>
      </c>
      <c r="AH687" t="str">
        <f>VLOOKUP(Таблица1_113[[#This Row],[Марка]],Таблица13[#All],5,0)</f>
        <v>Нет</v>
      </c>
      <c r="AI687" s="12">
        <v>44044</v>
      </c>
      <c r="AJ687">
        <v>6</v>
      </c>
    </row>
    <row r="688" spans="30:36">
      <c r="AD688" t="s">
        <v>34</v>
      </c>
      <c r="AE688" t="str">
        <f>VLOOKUP(Таблица1_113[[#This Row],[Марка]],Таблица13[#All],4,0)</f>
        <v>Япония</v>
      </c>
      <c r="AF688" t="str">
        <f>VLOOKUP(Таблица1_113[[#This Row],[Марка]],Таблица13[#All],2,0)</f>
        <v>Luxury</v>
      </c>
      <c r="AG688">
        <f>VLOOKUP(Таблица1_113[[#This Row],[Марка]],Таблица13[#All],3,0)</f>
        <v>1989</v>
      </c>
      <c r="AH688" t="str">
        <f>VLOOKUP(Таблица1_113[[#This Row],[Марка]],Таблица13[#All],5,0)</f>
        <v>Нет</v>
      </c>
      <c r="AI688" s="12">
        <v>44044</v>
      </c>
      <c r="AJ688">
        <v>22</v>
      </c>
    </row>
    <row r="689" spans="30:36">
      <c r="AD689" t="s">
        <v>0</v>
      </c>
      <c r="AE689" t="str">
        <f>VLOOKUP(Таблица1_113[[#This Row],[Марка]],Таблица13[#All],4,0)</f>
        <v>Корея</v>
      </c>
      <c r="AF689" t="str">
        <f>VLOOKUP(Таблица1_113[[#This Row],[Марка]],Таблица13[#All],2,0)</f>
        <v>Economy</v>
      </c>
      <c r="AG689">
        <f>VLOOKUP(Таблица1_113[[#This Row],[Марка]],Таблица13[#All],3,0)</f>
        <v>1967</v>
      </c>
      <c r="AH689" t="str">
        <f>VLOOKUP(Таблица1_113[[#This Row],[Марка]],Таблица13[#All],5,0)</f>
        <v>Крупноузловая</v>
      </c>
      <c r="AI689" s="12">
        <v>44044</v>
      </c>
      <c r="AJ689">
        <v>1765</v>
      </c>
    </row>
    <row r="690" spans="30:36">
      <c r="AD690" t="s">
        <v>138</v>
      </c>
      <c r="AE690" t="str">
        <f>VLOOKUP(Таблица1_113[[#This Row],[Марка]],Таблица13[#All],4,0)</f>
        <v>Корея</v>
      </c>
      <c r="AF690" t="str">
        <f>VLOOKUP(Таблица1_113[[#This Row],[Марка]],Таблица13[#All],2,0)</f>
        <v>Luxury</v>
      </c>
      <c r="AG690">
        <f>VLOOKUP(Таблица1_113[[#This Row],[Марка]],Таблица13[#All],3,0)</f>
        <v>2015</v>
      </c>
      <c r="AH690" t="str">
        <f>VLOOKUP(Таблица1_113[[#This Row],[Марка]],Таблица13[#All],5,0)</f>
        <v>Нет</v>
      </c>
      <c r="AI690" s="12">
        <v>44044</v>
      </c>
      <c r="AJ690">
        <v>0</v>
      </c>
    </row>
    <row r="691" spans="30:36">
      <c r="AD691" t="s">
        <v>133</v>
      </c>
      <c r="AE691" t="str">
        <f>VLOOKUP(Таблица1_113[[#This Row],[Марка]],Таблица13[#All],4,0)</f>
        <v>Китай</v>
      </c>
      <c r="AF691" t="str">
        <f>VLOOKUP(Таблица1_113[[#This Row],[Марка]],Таблица13[#All],2,0)</f>
        <v>Economy</v>
      </c>
      <c r="AG691">
        <f>VLOOKUP(Таблица1_113[[#This Row],[Марка]],Таблица13[#All],3,0)</f>
        <v>1996</v>
      </c>
      <c r="AH691" t="str">
        <f>VLOOKUP(Таблица1_113[[#This Row],[Марка]],Таблица13[#All],5,0)</f>
        <v>Нет</v>
      </c>
      <c r="AI691" s="12">
        <v>44044</v>
      </c>
      <c r="AJ691">
        <v>0</v>
      </c>
    </row>
    <row r="692" spans="30:36">
      <c r="AD692" t="s">
        <v>130</v>
      </c>
      <c r="AE692" t="str">
        <f>VLOOKUP(Таблица1_113[[#This Row],[Марка]],Таблица13[#All],4,0)</f>
        <v>Китай</v>
      </c>
      <c r="AF692" t="str">
        <f>VLOOKUP(Таблица1_113[[#This Row],[Марка]],Таблица13[#All],2,0)</f>
        <v>Economy</v>
      </c>
      <c r="AG692">
        <f>VLOOKUP(Таблица1_113[[#This Row],[Марка]],Таблица13[#All],3,0)</f>
        <v>1969</v>
      </c>
      <c r="AH692" t="str">
        <f>VLOOKUP(Таблица1_113[[#This Row],[Марка]],Таблица13[#All],5,0)</f>
        <v>Нет</v>
      </c>
      <c r="AI692" s="12">
        <v>44044</v>
      </c>
      <c r="AJ692">
        <v>10</v>
      </c>
    </row>
    <row r="693" spans="30:36">
      <c r="AD693" t="s">
        <v>137</v>
      </c>
      <c r="AE693" t="str">
        <f>VLOOKUP(Таблица1_113[[#This Row],[Марка]],Таблица13[#All],4,0)</f>
        <v>Корея</v>
      </c>
      <c r="AF693" t="str">
        <f>VLOOKUP(Таблица1_113[[#This Row],[Марка]],Таблица13[#All],2,0)</f>
        <v>Economy</v>
      </c>
      <c r="AG693">
        <f>VLOOKUP(Таблица1_113[[#This Row],[Марка]],Таблица13[#All],3,0)</f>
        <v>1967</v>
      </c>
      <c r="AH693" t="str">
        <f>VLOOKUP(Таблица1_113[[#This Row],[Марка]],Таблица13[#All],5,0)</f>
        <v>Нет</v>
      </c>
      <c r="AI693" s="12">
        <v>44044</v>
      </c>
      <c r="AJ693">
        <v>6</v>
      </c>
    </row>
    <row r="694" spans="30:36">
      <c r="AD694" t="s">
        <v>1</v>
      </c>
      <c r="AE694" t="str">
        <f>VLOOKUP(Таблица1_113[[#This Row],[Марка]],Таблица13[#All],4,0)</f>
        <v>США</v>
      </c>
      <c r="AF694" t="str">
        <f>VLOOKUP(Таблица1_113[[#This Row],[Марка]],Таблица13[#All],2,0)</f>
        <v>Economy</v>
      </c>
      <c r="AG694">
        <f>VLOOKUP(Таблица1_113[[#This Row],[Марка]],Таблица13[#All],3,0)</f>
        <v>1911</v>
      </c>
      <c r="AH694" t="str">
        <f>VLOOKUP(Таблица1_113[[#This Row],[Марка]],Таблица13[#All],5,0)</f>
        <v>Крупноузловая</v>
      </c>
      <c r="AI694" s="12">
        <v>44044</v>
      </c>
      <c r="AJ694">
        <v>1285</v>
      </c>
    </row>
    <row r="695" spans="30:36">
      <c r="AD695" t="s">
        <v>36</v>
      </c>
      <c r="AE695" t="str">
        <f>VLOOKUP(Таблица1_113[[#This Row],[Марка]],Таблица13[#All],4,0)</f>
        <v>США</v>
      </c>
      <c r="AF695" t="str">
        <f>VLOOKUP(Таблица1_113[[#This Row],[Марка]],Таблица13[#All],2,0)</f>
        <v>Luxury</v>
      </c>
      <c r="AG695">
        <f>VLOOKUP(Таблица1_113[[#This Row],[Марка]],Таблица13[#All],3,0)</f>
        <v>1902</v>
      </c>
      <c r="AH695" t="str">
        <f>VLOOKUP(Таблица1_113[[#This Row],[Марка]],Таблица13[#All],5,0)</f>
        <v>Нет</v>
      </c>
      <c r="AI695" s="12">
        <v>44044</v>
      </c>
      <c r="AJ695">
        <v>19</v>
      </c>
    </row>
    <row r="696" spans="30:36">
      <c r="AD696" t="s">
        <v>8</v>
      </c>
      <c r="AE696" t="str">
        <f>VLOOKUP(Таблица1_113[[#This Row],[Марка]],Таблица13[#All],4,0)</f>
        <v>Германия</v>
      </c>
      <c r="AF696" t="str">
        <f>VLOOKUP(Таблица1_113[[#This Row],[Марка]],Таблица13[#All],2,0)</f>
        <v>Luxury</v>
      </c>
      <c r="AG696">
        <f>VLOOKUP(Таблица1_113[[#This Row],[Марка]],Таблица13[#All],3,0)</f>
        <v>1916</v>
      </c>
      <c r="AH696" t="str">
        <f>VLOOKUP(Таблица1_113[[#This Row],[Марка]],Таблица13[#All],5,0)</f>
        <v>Нет</v>
      </c>
      <c r="AI696" s="12">
        <v>44044</v>
      </c>
      <c r="AJ696">
        <v>43</v>
      </c>
    </row>
    <row r="697" spans="30:36">
      <c r="AD697" t="s">
        <v>38</v>
      </c>
      <c r="AE697" t="str">
        <f>VLOOKUP(Таблица1_113[[#This Row],[Марка]],Таблица13[#All],4,0)</f>
        <v>Германия</v>
      </c>
      <c r="AF697" t="str">
        <f>VLOOKUP(Таблица1_113[[#This Row],[Марка]],Таблица13[#All],2,0)</f>
        <v>Luxury</v>
      </c>
      <c r="AG697">
        <f>VLOOKUP(Таблица1_113[[#This Row],[Марка]],Таблица13[#All],3,0)</f>
        <v>1932</v>
      </c>
      <c r="AH697" t="str">
        <f>VLOOKUP(Таблица1_113[[#This Row],[Марка]],Таблица13[#All],5,0)</f>
        <v>Нет</v>
      </c>
      <c r="AI697" s="12">
        <v>44044</v>
      </c>
      <c r="AJ697">
        <v>27</v>
      </c>
    </row>
    <row r="698" spans="30:36">
      <c r="AD698" t="s">
        <v>136</v>
      </c>
      <c r="AE698" t="str">
        <f>VLOOKUP(Таблица1_113[[#This Row],[Марка]],Таблица13[#All],4,0)</f>
        <v>Россия</v>
      </c>
      <c r="AF698" t="str">
        <f>VLOOKUP(Таблица1_113[[#This Row],[Марка]],Таблица13[#All],2,0)</f>
        <v>Economy</v>
      </c>
      <c r="AG698">
        <f>VLOOKUP(Таблица1_113[[#This Row],[Марка]],Таблица13[#All],3,0)</f>
        <v>1941</v>
      </c>
      <c r="AH698" t="str">
        <f>VLOOKUP(Таблица1_113[[#This Row],[Марка]],Таблица13[#All],5,0)</f>
        <v>Нет</v>
      </c>
      <c r="AI698" s="12">
        <v>44075</v>
      </c>
      <c r="AJ698">
        <v>143</v>
      </c>
    </row>
    <row r="699" spans="30:36">
      <c r="AD699" t="s">
        <v>135</v>
      </c>
      <c r="AE699" t="str">
        <f>VLOOKUP(Таблица1_113[[#This Row],[Марка]],Таблица13[#All],4,0)</f>
        <v>-</v>
      </c>
      <c r="AF699" t="str">
        <f>VLOOKUP(Таблица1_113[[#This Row],[Марка]],Таблица13[#All],2,0)</f>
        <v>-</v>
      </c>
      <c r="AG699" t="str">
        <f>VLOOKUP(Таблица1_113[[#This Row],[Марка]],Таблица13[#All],3,0)</f>
        <v>-</v>
      </c>
      <c r="AH699" t="str">
        <f>VLOOKUP(Таблица1_113[[#This Row],[Марка]],Таблица13[#All],5,0)</f>
        <v>-</v>
      </c>
      <c r="AI699" s="12">
        <v>44075</v>
      </c>
      <c r="AJ699">
        <v>6</v>
      </c>
    </row>
    <row r="700" spans="30:36">
      <c r="AD700" t="s">
        <v>39</v>
      </c>
      <c r="AE700" t="str">
        <f>VLOOKUP(Таблица1_113[[#This Row],[Марка]],Таблица13[#All],4,0)</f>
        <v>Швеция</v>
      </c>
      <c r="AF700" t="str">
        <f>VLOOKUP(Таблица1_113[[#This Row],[Марка]],Таблица13[#All],2,0)</f>
        <v>Business</v>
      </c>
      <c r="AG700">
        <f>VLOOKUP(Таблица1_113[[#This Row],[Марка]],Таблица13[#All],3,0)</f>
        <v>1927</v>
      </c>
      <c r="AH700" t="str">
        <f>VLOOKUP(Таблица1_113[[#This Row],[Марка]],Таблица13[#All],5,0)</f>
        <v>Нет</v>
      </c>
      <c r="AI700" s="12">
        <v>44075</v>
      </c>
      <c r="AJ700">
        <v>16</v>
      </c>
    </row>
    <row r="701" spans="30:36">
      <c r="AD701" t="s">
        <v>21</v>
      </c>
      <c r="AE701" t="str">
        <f>VLOOKUP(Таблица1_113[[#This Row],[Марка]],Таблица13[#All],4,0)</f>
        <v>Германия</v>
      </c>
      <c r="AF701" t="str">
        <f>VLOOKUP(Таблица1_113[[#This Row],[Марка]],Таблица13[#All],2,0)</f>
        <v>Business</v>
      </c>
      <c r="AG701">
        <f>VLOOKUP(Таблица1_113[[#This Row],[Марка]],Таблица13[#All],3,0)</f>
        <v>1937</v>
      </c>
      <c r="AH701" t="str">
        <f>VLOOKUP(Таблица1_113[[#This Row],[Марка]],Таблица13[#All],5,0)</f>
        <v>Нет</v>
      </c>
      <c r="AI701" s="12">
        <v>44075</v>
      </c>
      <c r="AJ701">
        <v>348</v>
      </c>
    </row>
    <row r="702" spans="30:36">
      <c r="AD702" t="s">
        <v>2</v>
      </c>
      <c r="AE702" t="str">
        <f>VLOOKUP(Таблица1_113[[#This Row],[Марка]],Таблица13[#All],4,0)</f>
        <v>Япония</v>
      </c>
      <c r="AF702" t="str">
        <f>VLOOKUP(Таблица1_113[[#This Row],[Марка]],Таблица13[#All],2,0)</f>
        <v>Business</v>
      </c>
      <c r="AG702">
        <f>VLOOKUP(Таблица1_113[[#This Row],[Марка]],Таблица13[#All],3,0)</f>
        <v>1937</v>
      </c>
      <c r="AH702" t="str">
        <f>VLOOKUP(Таблица1_113[[#This Row],[Марка]],Таблица13[#All],5,0)</f>
        <v>Нет</v>
      </c>
      <c r="AI702" s="12">
        <v>44075</v>
      </c>
      <c r="AJ702">
        <v>1110</v>
      </c>
    </row>
    <row r="703" spans="30:36">
      <c r="AD703" t="s">
        <v>143</v>
      </c>
      <c r="AE703" t="str">
        <f>VLOOKUP(Таблица1_113[[#This Row],[Марка]],Таблица13[#All],4,0)</f>
        <v>Япония</v>
      </c>
      <c r="AF703" t="str">
        <f>VLOOKUP(Таблица1_113[[#This Row],[Марка]],Таблица13[#All],2,0)</f>
        <v>Economy</v>
      </c>
      <c r="AG703">
        <f>VLOOKUP(Таблица1_113[[#This Row],[Марка]],Таблица13[#All],3,0)</f>
        <v>1909</v>
      </c>
      <c r="AH703" t="str">
        <f>VLOOKUP(Таблица1_113[[#This Row],[Марка]],Таблица13[#All],5,0)</f>
        <v>Нет</v>
      </c>
      <c r="AI703" s="12">
        <v>44075</v>
      </c>
      <c r="AJ703">
        <v>0</v>
      </c>
    </row>
    <row r="704" spans="30:36">
      <c r="AD704" t="s">
        <v>125</v>
      </c>
      <c r="AE704" t="str">
        <f>VLOOKUP(Таблица1_113[[#This Row],[Марка]],Таблица13[#All],4,0)</f>
        <v>Япония</v>
      </c>
      <c r="AF704" t="str">
        <f>VLOOKUP(Таблица1_113[[#This Row],[Марка]],Таблица13[#All],2,0)</f>
        <v>Business</v>
      </c>
      <c r="AG704">
        <f>VLOOKUP(Таблица1_113[[#This Row],[Марка]],Таблица13[#All],3,0)</f>
        <v>1953</v>
      </c>
      <c r="AH704" t="str">
        <f>VLOOKUP(Таблица1_113[[#This Row],[Марка]],Таблица13[#All],5,0)</f>
        <v>Нет</v>
      </c>
      <c r="AI704" s="12">
        <v>44075</v>
      </c>
      <c r="AJ704">
        <v>67</v>
      </c>
    </row>
    <row r="705" spans="30:36">
      <c r="AD705" t="s">
        <v>141</v>
      </c>
      <c r="AE705" t="str">
        <f>VLOOKUP(Таблица1_113[[#This Row],[Марка]],Таблица13[#All],4,0)</f>
        <v>Чехия</v>
      </c>
      <c r="AF705" t="str">
        <f>VLOOKUP(Таблица1_113[[#This Row],[Марка]],Таблица13[#All],2,0)</f>
        <v>Business</v>
      </c>
      <c r="AG705">
        <f>VLOOKUP(Таблица1_113[[#This Row],[Марка]],Таблица13[#All],3,0)</f>
        <v>1895</v>
      </c>
      <c r="AH705" t="str">
        <f>VLOOKUP(Таблица1_113[[#This Row],[Марка]],Таблица13[#All],5,0)</f>
        <v>Крупноузловая</v>
      </c>
      <c r="AI705" s="12">
        <v>44075</v>
      </c>
      <c r="AJ705">
        <v>23</v>
      </c>
    </row>
    <row r="706" spans="30:36">
      <c r="AD706" t="s">
        <v>23</v>
      </c>
      <c r="AE706" t="str">
        <f>VLOOKUP(Таблица1_113[[#This Row],[Марка]],Таблица13[#All],4,0)</f>
        <v>Франция</v>
      </c>
      <c r="AF706" t="str">
        <f>VLOOKUP(Таблица1_113[[#This Row],[Марка]],Таблица13[#All],2,0)</f>
        <v>Economy</v>
      </c>
      <c r="AG706">
        <f>VLOOKUP(Таблица1_113[[#This Row],[Марка]],Таблица13[#All],3,0)</f>
        <v>1899</v>
      </c>
      <c r="AH706" t="str">
        <f>VLOOKUP(Таблица1_113[[#This Row],[Марка]],Таблица13[#All],5,0)</f>
        <v>Крупноузловая</v>
      </c>
      <c r="AI706" s="12">
        <v>44075</v>
      </c>
      <c r="AJ706">
        <v>260</v>
      </c>
    </row>
    <row r="707" spans="30:36">
      <c r="AD707" t="s">
        <v>142</v>
      </c>
      <c r="AE707" t="str">
        <f>VLOOKUP(Таблица1_113[[#This Row],[Марка]],Таблица13[#All],4,0)</f>
        <v>Узбекистан</v>
      </c>
      <c r="AF707" t="str">
        <f>VLOOKUP(Таблица1_113[[#This Row],[Марка]],Таблица13[#All],2,0)</f>
        <v>Economy</v>
      </c>
      <c r="AG707">
        <f>VLOOKUP(Таблица1_113[[#This Row],[Марка]],Таблица13[#All],3,0)</f>
        <v>2015</v>
      </c>
      <c r="AH707" t="str">
        <f>VLOOKUP(Таблица1_113[[#This Row],[Марка]],Таблица13[#All],5,0)</f>
        <v>Крупноузловая</v>
      </c>
      <c r="AI707" s="12">
        <v>44075</v>
      </c>
      <c r="AJ707">
        <v>609</v>
      </c>
    </row>
    <row r="708" spans="30:36">
      <c r="AD708" t="s">
        <v>37</v>
      </c>
      <c r="AE708" t="str">
        <f>VLOOKUP(Таблица1_113[[#This Row],[Марка]],Таблица13[#All],4,0)</f>
        <v>Германия</v>
      </c>
      <c r="AF708" t="str">
        <f>VLOOKUP(Таблица1_113[[#This Row],[Марка]],Таблица13[#All],2,0)</f>
        <v>Luxury</v>
      </c>
      <c r="AG708">
        <f>VLOOKUP(Таблица1_113[[#This Row],[Марка]],Таблица13[#All],3,0)</f>
        <v>1931</v>
      </c>
      <c r="AH708" t="str">
        <f>VLOOKUP(Таблица1_113[[#This Row],[Марка]],Таблица13[#All],5,0)</f>
        <v>Нет</v>
      </c>
      <c r="AI708" s="12">
        <v>44075</v>
      </c>
      <c r="AJ708">
        <v>20</v>
      </c>
    </row>
    <row r="709" spans="30:36">
      <c r="AD709" t="s">
        <v>22</v>
      </c>
      <c r="AE709" t="str">
        <f>VLOOKUP(Таблица1_113[[#This Row],[Марка]],Таблица13[#All],4,0)</f>
        <v>Япония</v>
      </c>
      <c r="AF709" t="str">
        <f>VLOOKUP(Таблица1_113[[#This Row],[Марка]],Таблица13[#All],2,0)</f>
        <v>Business</v>
      </c>
      <c r="AG709">
        <f>VLOOKUP(Таблица1_113[[#This Row],[Марка]],Таблица13[#All],3,0)</f>
        <v>1933</v>
      </c>
      <c r="AH709" t="str">
        <f>VLOOKUP(Таблица1_113[[#This Row],[Марка]],Таблица13[#All],5,0)</f>
        <v>Нет</v>
      </c>
      <c r="AI709" s="12">
        <v>44075</v>
      </c>
      <c r="AJ709">
        <v>288</v>
      </c>
    </row>
    <row r="710" spans="30:36">
      <c r="AD710" t="s">
        <v>9</v>
      </c>
      <c r="AE710" t="str">
        <f>VLOOKUP(Таблица1_113[[#This Row],[Марка]],Таблица13[#All],4,0)</f>
        <v>Япония</v>
      </c>
      <c r="AF710" t="str">
        <f>VLOOKUP(Таблица1_113[[#This Row],[Марка]],Таблица13[#All],2,0)</f>
        <v>Business</v>
      </c>
      <c r="AG710">
        <f>VLOOKUP(Таблица1_113[[#This Row],[Марка]],Таблица13[#All],3,0)</f>
        <v>1870</v>
      </c>
      <c r="AH710" t="str">
        <f>VLOOKUP(Таблица1_113[[#This Row],[Марка]],Таблица13[#All],5,0)</f>
        <v>Нет</v>
      </c>
      <c r="AI710" s="12">
        <v>44075</v>
      </c>
      <c r="AJ710">
        <v>94</v>
      </c>
    </row>
    <row r="711" spans="30:36">
      <c r="AD711" t="s">
        <v>40</v>
      </c>
      <c r="AE711" t="str">
        <f>VLOOKUP(Таблица1_113[[#This Row],[Марка]],Таблица13[#All],4,0)</f>
        <v>Великобритания</v>
      </c>
      <c r="AF711" t="str">
        <f>VLOOKUP(Таблица1_113[[#This Row],[Марка]],Таблица13[#All],2,0)</f>
        <v>Luxury</v>
      </c>
      <c r="AG711">
        <f>VLOOKUP(Таблица1_113[[#This Row],[Марка]],Таблица13[#All],3,0)</f>
        <v>1959</v>
      </c>
      <c r="AH711" t="str">
        <f>VLOOKUP(Таблица1_113[[#This Row],[Марка]],Таблица13[#All],5,0)</f>
        <v>Нет</v>
      </c>
      <c r="AI711" s="12">
        <v>44075</v>
      </c>
      <c r="AJ711">
        <v>2</v>
      </c>
    </row>
    <row r="712" spans="30:36">
      <c r="AD712" t="s">
        <v>128</v>
      </c>
      <c r="AE712" t="str">
        <f>VLOOKUP(Таблица1_113[[#This Row],[Марка]],Таблица13[#All],4,0)</f>
        <v>Германия</v>
      </c>
      <c r="AF712" t="str">
        <f>VLOOKUP(Таблица1_113[[#This Row],[Марка]],Таблица13[#All],2,0)</f>
        <v>Luxury</v>
      </c>
      <c r="AG712">
        <f>VLOOKUP(Таблица1_113[[#This Row],[Марка]],Таблица13[#All],3,0)</f>
        <v>1926</v>
      </c>
      <c r="AH712" t="str">
        <f>VLOOKUP(Таблица1_113[[#This Row],[Марка]],Таблица13[#All],5,0)</f>
        <v>Нет</v>
      </c>
      <c r="AI712" s="12">
        <v>44075</v>
      </c>
      <c r="AJ712">
        <v>24</v>
      </c>
    </row>
    <row r="713" spans="30:36">
      <c r="AD713" t="s">
        <v>139</v>
      </c>
      <c r="AE713" t="str">
        <f>VLOOKUP(Таблица1_113[[#This Row],[Марка]],Таблица13[#All],4,0)</f>
        <v>Япония</v>
      </c>
      <c r="AF713" t="str">
        <f>VLOOKUP(Таблица1_113[[#This Row],[Марка]],Таблица13[#All],2,0)</f>
        <v>Business</v>
      </c>
      <c r="AG713">
        <f>VLOOKUP(Таблица1_113[[#This Row],[Марка]],Таблица13[#All],3,0)</f>
        <v>1920</v>
      </c>
      <c r="AH713" t="str">
        <f>VLOOKUP(Таблица1_113[[#This Row],[Марка]],Таблица13[#All],5,0)</f>
        <v>Нет</v>
      </c>
      <c r="AI713" s="12">
        <v>44075</v>
      </c>
      <c r="AJ713">
        <v>29</v>
      </c>
    </row>
    <row r="714" spans="30:36">
      <c r="AD714" t="s">
        <v>5</v>
      </c>
      <c r="AE714" t="str">
        <f>VLOOKUP(Таблица1_113[[#This Row],[Марка]],Таблица13[#All],4,0)</f>
        <v>Япония</v>
      </c>
      <c r="AF714" t="str">
        <f>VLOOKUP(Таблица1_113[[#This Row],[Марка]],Таблица13[#All],2,0)</f>
        <v>Luxury</v>
      </c>
      <c r="AG714">
        <f>VLOOKUP(Таблица1_113[[#This Row],[Марка]],Таблица13[#All],3,0)</f>
        <v>1989</v>
      </c>
      <c r="AH714" t="str">
        <f>VLOOKUP(Таблица1_113[[#This Row],[Марка]],Таблица13[#All],5,0)</f>
        <v>Нет</v>
      </c>
      <c r="AI714" s="12">
        <v>44075</v>
      </c>
      <c r="AJ714">
        <v>191</v>
      </c>
    </row>
    <row r="715" spans="30:36">
      <c r="AD715" t="s">
        <v>35</v>
      </c>
      <c r="AE715" t="str">
        <f>VLOOKUP(Таблица1_113[[#This Row],[Марка]],Таблица13[#All],4,0)</f>
        <v>Великобритания</v>
      </c>
      <c r="AF715" t="str">
        <f>VLOOKUP(Таблица1_113[[#This Row],[Марка]],Таблица13[#All],2,0)</f>
        <v>Luxury</v>
      </c>
      <c r="AG715">
        <f>VLOOKUP(Таблица1_113[[#This Row],[Марка]],Таблица13[#All],3,0)</f>
        <v>1948</v>
      </c>
      <c r="AH715" t="str">
        <f>VLOOKUP(Таблица1_113[[#This Row],[Марка]],Таблица13[#All],5,0)</f>
        <v>Нет</v>
      </c>
      <c r="AI715" s="12">
        <v>44075</v>
      </c>
      <c r="AJ715">
        <v>18</v>
      </c>
    </row>
    <row r="716" spans="30:36">
      <c r="AD716" t="s">
        <v>19</v>
      </c>
      <c r="AE716" t="str">
        <f>VLOOKUP(Таблица1_113[[#This Row],[Марка]],Таблица13[#All],4,0)</f>
        <v>Россия</v>
      </c>
      <c r="AF716" t="str">
        <f>VLOOKUP(Таблица1_113[[#This Row],[Марка]],Таблица13[#All],2,0)</f>
        <v>Economy</v>
      </c>
      <c r="AG716">
        <f>VLOOKUP(Таблица1_113[[#This Row],[Марка]],Таблица13[#All],3,0)</f>
        <v>1970</v>
      </c>
      <c r="AH716" t="str">
        <f>VLOOKUP(Таблица1_113[[#This Row],[Марка]],Таблица13[#All],5,0)</f>
        <v>Крупноузловая</v>
      </c>
      <c r="AI716" s="12">
        <v>44075</v>
      </c>
      <c r="AJ716">
        <v>2129</v>
      </c>
    </row>
    <row r="717" spans="30:36">
      <c r="AD717" t="s">
        <v>15</v>
      </c>
      <c r="AE717" t="str">
        <f>VLOOKUP(Таблица1_113[[#This Row],[Марка]],Таблица13[#All],4,0)</f>
        <v>Корея</v>
      </c>
      <c r="AF717" t="str">
        <f>VLOOKUP(Таблица1_113[[#This Row],[Марка]],Таблица13[#All],2,0)</f>
        <v>Economy</v>
      </c>
      <c r="AG717">
        <f>VLOOKUP(Таблица1_113[[#This Row],[Марка]],Таблица13[#All],3,0)</f>
        <v>1944</v>
      </c>
      <c r="AH717" t="str">
        <f>VLOOKUP(Таблица1_113[[#This Row],[Марка]],Таблица13[#All],5,0)</f>
        <v>Крупноузловая</v>
      </c>
      <c r="AI717" s="12">
        <v>44075</v>
      </c>
      <c r="AJ717">
        <v>392</v>
      </c>
    </row>
    <row r="718" spans="30:36">
      <c r="AD718" t="s">
        <v>134</v>
      </c>
      <c r="AE718" t="str">
        <f>VLOOKUP(Таблица1_113[[#This Row],[Марка]],Таблица13[#All],4,0)</f>
        <v>Великобритания</v>
      </c>
      <c r="AF718" t="str">
        <f>VLOOKUP(Таблица1_113[[#This Row],[Марка]],Таблица13[#All],2,0)</f>
        <v>Luxury</v>
      </c>
      <c r="AG718">
        <f>VLOOKUP(Таблица1_113[[#This Row],[Марка]],Таблица13[#All],3,0)</f>
        <v>1922</v>
      </c>
      <c r="AH718" t="str">
        <f>VLOOKUP(Таблица1_113[[#This Row],[Марка]],Таблица13[#All],5,0)</f>
        <v>Нет</v>
      </c>
      <c r="AI718" s="12">
        <v>44075</v>
      </c>
      <c r="AJ718">
        <v>9</v>
      </c>
    </row>
    <row r="719" spans="30:36">
      <c r="AD719" t="s">
        <v>4</v>
      </c>
      <c r="AE719" t="str">
        <f>VLOOKUP(Таблица1_113[[#This Row],[Марка]],Таблица13[#All],4,0)</f>
        <v>Китай</v>
      </c>
      <c r="AF719" t="str">
        <f>VLOOKUP(Таблица1_113[[#This Row],[Марка]],Таблица13[#All],2,0)</f>
        <v>Economy</v>
      </c>
      <c r="AG719">
        <f>VLOOKUP(Таблица1_113[[#This Row],[Марка]],Таблица13[#All],3,0)</f>
        <v>1964</v>
      </c>
      <c r="AH719" t="str">
        <f>VLOOKUP(Таблица1_113[[#This Row],[Марка]],Таблица13[#All],5,0)</f>
        <v>Крупноузловая</v>
      </c>
      <c r="AI719" s="12">
        <v>44075</v>
      </c>
      <c r="AJ719">
        <v>336</v>
      </c>
    </row>
    <row r="720" spans="30:36">
      <c r="AD720" t="s">
        <v>140</v>
      </c>
      <c r="AE720" t="str">
        <f>VLOOKUP(Таблица1_113[[#This Row],[Марка]],Таблица13[#All],4,0)</f>
        <v>Япония</v>
      </c>
      <c r="AF720" t="str">
        <f>VLOOKUP(Таблица1_113[[#This Row],[Марка]],Таблица13[#All],2,0)</f>
        <v>Business</v>
      </c>
      <c r="AG720">
        <f>VLOOKUP(Таблица1_113[[#This Row],[Марка]],Таблица13[#All],3,0)</f>
        <v>1916</v>
      </c>
      <c r="AH720" t="str">
        <f>VLOOKUP(Таблица1_113[[#This Row],[Марка]],Таблица13[#All],5,0)</f>
        <v>Нет</v>
      </c>
      <c r="AI720" s="12">
        <v>44075</v>
      </c>
      <c r="AJ720">
        <v>40</v>
      </c>
    </row>
    <row r="721" spans="30:36">
      <c r="AD721" t="s">
        <v>34</v>
      </c>
      <c r="AE721" t="str">
        <f>VLOOKUP(Таблица1_113[[#This Row],[Марка]],Таблица13[#All],4,0)</f>
        <v>Япония</v>
      </c>
      <c r="AF721" t="str">
        <f>VLOOKUP(Таблица1_113[[#This Row],[Марка]],Таблица13[#All],2,0)</f>
        <v>Luxury</v>
      </c>
      <c r="AG721">
        <f>VLOOKUP(Таблица1_113[[#This Row],[Марка]],Таблица13[#All],3,0)</f>
        <v>1989</v>
      </c>
      <c r="AH721" t="str">
        <f>VLOOKUP(Таблица1_113[[#This Row],[Марка]],Таблица13[#All],5,0)</f>
        <v>Нет</v>
      </c>
      <c r="AI721" s="12">
        <v>44075</v>
      </c>
      <c r="AJ721">
        <v>22</v>
      </c>
    </row>
    <row r="722" spans="30:36">
      <c r="AD722" t="s">
        <v>0</v>
      </c>
      <c r="AE722" t="str">
        <f>VLOOKUP(Таблица1_113[[#This Row],[Марка]],Таблица13[#All],4,0)</f>
        <v>Корея</v>
      </c>
      <c r="AF722" t="str">
        <f>VLOOKUP(Таблица1_113[[#This Row],[Марка]],Таблица13[#All],2,0)</f>
        <v>Economy</v>
      </c>
      <c r="AG722">
        <f>VLOOKUP(Таблица1_113[[#This Row],[Марка]],Таблица13[#All],3,0)</f>
        <v>1967</v>
      </c>
      <c r="AH722" t="str">
        <f>VLOOKUP(Таблица1_113[[#This Row],[Марка]],Таблица13[#All],5,0)</f>
        <v>Крупноузловая</v>
      </c>
      <c r="AI722" s="12">
        <v>44075</v>
      </c>
      <c r="AJ722">
        <v>1934</v>
      </c>
    </row>
    <row r="723" spans="30:36">
      <c r="AD723" t="s">
        <v>138</v>
      </c>
      <c r="AE723" t="str">
        <f>VLOOKUP(Таблица1_113[[#This Row],[Марка]],Таблица13[#All],4,0)</f>
        <v>Корея</v>
      </c>
      <c r="AF723" t="str">
        <f>VLOOKUP(Таблица1_113[[#This Row],[Марка]],Таблица13[#All],2,0)</f>
        <v>Luxury</v>
      </c>
      <c r="AG723">
        <f>VLOOKUP(Таблица1_113[[#This Row],[Марка]],Таблица13[#All],3,0)</f>
        <v>2015</v>
      </c>
      <c r="AH723" t="str">
        <f>VLOOKUP(Таблица1_113[[#This Row],[Марка]],Таблица13[#All],5,0)</f>
        <v>Нет</v>
      </c>
      <c r="AI723" s="12">
        <v>44075</v>
      </c>
      <c r="AJ723">
        <v>0</v>
      </c>
    </row>
    <row r="724" spans="30:36">
      <c r="AD724" t="s">
        <v>133</v>
      </c>
      <c r="AE724" t="str">
        <f>VLOOKUP(Таблица1_113[[#This Row],[Марка]],Таблица13[#All],4,0)</f>
        <v>Китай</v>
      </c>
      <c r="AF724" t="str">
        <f>VLOOKUP(Таблица1_113[[#This Row],[Марка]],Таблица13[#All],2,0)</f>
        <v>Economy</v>
      </c>
      <c r="AG724">
        <f>VLOOKUP(Таблица1_113[[#This Row],[Марка]],Таблица13[#All],3,0)</f>
        <v>1996</v>
      </c>
      <c r="AH724" t="str">
        <f>VLOOKUP(Таблица1_113[[#This Row],[Марка]],Таблица13[#All],5,0)</f>
        <v>Нет</v>
      </c>
      <c r="AI724" s="12">
        <v>44075</v>
      </c>
      <c r="AJ724">
        <v>0</v>
      </c>
    </row>
    <row r="725" spans="30:36">
      <c r="AD725" t="s">
        <v>130</v>
      </c>
      <c r="AE725" t="str">
        <f>VLOOKUP(Таблица1_113[[#This Row],[Марка]],Таблица13[#All],4,0)</f>
        <v>Китай</v>
      </c>
      <c r="AF725" t="str">
        <f>VLOOKUP(Таблица1_113[[#This Row],[Марка]],Таблица13[#All],2,0)</f>
        <v>Economy</v>
      </c>
      <c r="AG725">
        <f>VLOOKUP(Таблица1_113[[#This Row],[Марка]],Таблица13[#All],3,0)</f>
        <v>1969</v>
      </c>
      <c r="AH725" t="str">
        <f>VLOOKUP(Таблица1_113[[#This Row],[Марка]],Таблица13[#All],5,0)</f>
        <v>Нет</v>
      </c>
      <c r="AI725" s="12">
        <v>44075</v>
      </c>
      <c r="AJ725">
        <v>7</v>
      </c>
    </row>
    <row r="726" spans="30:36">
      <c r="AD726" t="s">
        <v>137</v>
      </c>
      <c r="AE726" t="str">
        <f>VLOOKUP(Таблица1_113[[#This Row],[Марка]],Таблица13[#All],4,0)</f>
        <v>Корея</v>
      </c>
      <c r="AF726" t="str">
        <f>VLOOKUP(Таблица1_113[[#This Row],[Марка]],Таблица13[#All],2,0)</f>
        <v>Economy</v>
      </c>
      <c r="AG726">
        <f>VLOOKUP(Таблица1_113[[#This Row],[Марка]],Таблица13[#All],3,0)</f>
        <v>1967</v>
      </c>
      <c r="AH726" t="str">
        <f>VLOOKUP(Таблица1_113[[#This Row],[Марка]],Таблица13[#All],5,0)</f>
        <v>Нет</v>
      </c>
      <c r="AI726" s="12">
        <v>44075</v>
      </c>
      <c r="AJ726">
        <v>0</v>
      </c>
    </row>
    <row r="727" spans="30:36">
      <c r="AD727" t="s">
        <v>1</v>
      </c>
      <c r="AE727" t="str">
        <f>VLOOKUP(Таблица1_113[[#This Row],[Марка]],Таблица13[#All],4,0)</f>
        <v>США</v>
      </c>
      <c r="AF727" t="str">
        <f>VLOOKUP(Таблица1_113[[#This Row],[Марка]],Таблица13[#All],2,0)</f>
        <v>Economy</v>
      </c>
      <c r="AG727">
        <f>VLOOKUP(Таблица1_113[[#This Row],[Марка]],Таблица13[#All],3,0)</f>
        <v>1911</v>
      </c>
      <c r="AH727" t="str">
        <f>VLOOKUP(Таблица1_113[[#This Row],[Марка]],Таблица13[#All],5,0)</f>
        <v>Крупноузловая</v>
      </c>
      <c r="AI727" s="12">
        <v>44075</v>
      </c>
      <c r="AJ727">
        <v>1357</v>
      </c>
    </row>
    <row r="728" spans="30:36">
      <c r="AD728" t="s">
        <v>36</v>
      </c>
      <c r="AE728" t="str">
        <f>VLOOKUP(Таблица1_113[[#This Row],[Марка]],Таблица13[#All],4,0)</f>
        <v>США</v>
      </c>
      <c r="AF728" t="str">
        <f>VLOOKUP(Таблица1_113[[#This Row],[Марка]],Таблица13[#All],2,0)</f>
        <v>Luxury</v>
      </c>
      <c r="AG728">
        <f>VLOOKUP(Таблица1_113[[#This Row],[Марка]],Таблица13[#All],3,0)</f>
        <v>1902</v>
      </c>
      <c r="AH728" t="str">
        <f>VLOOKUP(Таблица1_113[[#This Row],[Марка]],Таблица13[#All],5,0)</f>
        <v>Нет</v>
      </c>
      <c r="AI728" s="12">
        <v>44075</v>
      </c>
      <c r="AJ728">
        <v>12</v>
      </c>
    </row>
    <row r="729" spans="30:36">
      <c r="AD729" t="s">
        <v>8</v>
      </c>
      <c r="AE729" t="str">
        <f>VLOOKUP(Таблица1_113[[#This Row],[Марка]],Таблица13[#All],4,0)</f>
        <v>Германия</v>
      </c>
      <c r="AF729" t="str">
        <f>VLOOKUP(Таблица1_113[[#This Row],[Марка]],Таблица13[#All],2,0)</f>
        <v>Luxury</v>
      </c>
      <c r="AG729">
        <f>VLOOKUP(Таблица1_113[[#This Row],[Марка]],Таблица13[#All],3,0)</f>
        <v>1916</v>
      </c>
      <c r="AH729" t="str">
        <f>VLOOKUP(Таблица1_113[[#This Row],[Марка]],Таблица13[#All],5,0)</f>
        <v>Нет</v>
      </c>
      <c r="AI729" s="12">
        <v>44075</v>
      </c>
      <c r="AJ729">
        <v>82</v>
      </c>
    </row>
    <row r="730" spans="30:36">
      <c r="AD730" t="s">
        <v>38</v>
      </c>
      <c r="AE730" t="str">
        <f>VLOOKUP(Таблица1_113[[#This Row],[Марка]],Таблица13[#All],4,0)</f>
        <v>Германия</v>
      </c>
      <c r="AF730" t="str">
        <f>VLOOKUP(Таблица1_113[[#This Row],[Марка]],Таблица13[#All],2,0)</f>
        <v>Luxury</v>
      </c>
      <c r="AG730">
        <f>VLOOKUP(Таблица1_113[[#This Row],[Марка]],Таблица13[#All],3,0)</f>
        <v>1932</v>
      </c>
      <c r="AH730" t="str">
        <f>VLOOKUP(Таблица1_113[[#This Row],[Марка]],Таблица13[#All],5,0)</f>
        <v>Нет</v>
      </c>
      <c r="AI730" s="12">
        <v>44075</v>
      </c>
      <c r="AJ730">
        <v>20</v>
      </c>
    </row>
    <row r="731" spans="30:36">
      <c r="AD731" t="s">
        <v>136</v>
      </c>
      <c r="AE731" t="str">
        <f>VLOOKUP(Таблица1_113[[#This Row],[Марка]],Таблица13[#All],4,0)</f>
        <v>Россия</v>
      </c>
      <c r="AF731" t="str">
        <f>VLOOKUP(Таблица1_113[[#This Row],[Марка]],Таблица13[#All],2,0)</f>
        <v>Economy</v>
      </c>
      <c r="AG731">
        <f>VLOOKUP(Таблица1_113[[#This Row],[Марка]],Таблица13[#All],3,0)</f>
        <v>1941</v>
      </c>
      <c r="AH731" t="str">
        <f>VLOOKUP(Таблица1_113[[#This Row],[Марка]],Таблица13[#All],5,0)</f>
        <v>Нет</v>
      </c>
      <c r="AI731" s="12">
        <v>44105</v>
      </c>
      <c r="AJ731">
        <v>232</v>
      </c>
    </row>
    <row r="732" spans="30:36">
      <c r="AD732" t="s">
        <v>135</v>
      </c>
      <c r="AE732" t="str">
        <f>VLOOKUP(Таблица1_113[[#This Row],[Марка]],Таблица13[#All],4,0)</f>
        <v>-</v>
      </c>
      <c r="AF732" t="str">
        <f>VLOOKUP(Таблица1_113[[#This Row],[Марка]],Таблица13[#All],2,0)</f>
        <v>-</v>
      </c>
      <c r="AG732" t="str">
        <f>VLOOKUP(Таблица1_113[[#This Row],[Марка]],Таблица13[#All],3,0)</f>
        <v>-</v>
      </c>
      <c r="AH732" t="str">
        <f>VLOOKUP(Таблица1_113[[#This Row],[Марка]],Таблица13[#All],5,0)</f>
        <v>-</v>
      </c>
      <c r="AI732" s="12">
        <v>44105</v>
      </c>
      <c r="AJ732">
        <v>16</v>
      </c>
    </row>
    <row r="733" spans="30:36">
      <c r="AD733" t="s">
        <v>39</v>
      </c>
      <c r="AE733" t="str">
        <f>VLOOKUP(Таблица1_113[[#This Row],[Марка]],Таблица13[#All],4,0)</f>
        <v>Швеция</v>
      </c>
      <c r="AF733" t="str">
        <f>VLOOKUP(Таблица1_113[[#This Row],[Марка]],Таблица13[#All],2,0)</f>
        <v>Business</v>
      </c>
      <c r="AG733">
        <f>VLOOKUP(Таблица1_113[[#This Row],[Марка]],Таблица13[#All],3,0)</f>
        <v>1927</v>
      </c>
      <c r="AH733" t="str">
        <f>VLOOKUP(Таблица1_113[[#This Row],[Марка]],Таблица13[#All],5,0)</f>
        <v>Нет</v>
      </c>
      <c r="AI733" s="12">
        <v>44105</v>
      </c>
      <c r="AJ733">
        <v>9</v>
      </c>
    </row>
    <row r="734" spans="30:36">
      <c r="AD734" t="s">
        <v>21</v>
      </c>
      <c r="AE734" t="str">
        <f>VLOOKUP(Таблица1_113[[#This Row],[Марка]],Таблица13[#All],4,0)</f>
        <v>Германия</v>
      </c>
      <c r="AF734" t="str">
        <f>VLOOKUP(Таблица1_113[[#This Row],[Марка]],Таблица13[#All],2,0)</f>
        <v>Business</v>
      </c>
      <c r="AG734">
        <f>VLOOKUP(Таблица1_113[[#This Row],[Марка]],Таблица13[#All],3,0)</f>
        <v>1937</v>
      </c>
      <c r="AH734" t="str">
        <f>VLOOKUP(Таблица1_113[[#This Row],[Марка]],Таблица13[#All],5,0)</f>
        <v>Нет</v>
      </c>
      <c r="AI734" s="12">
        <v>44105</v>
      </c>
      <c r="AJ734">
        <v>254</v>
      </c>
    </row>
    <row r="735" spans="30:36">
      <c r="AD735" t="s">
        <v>2</v>
      </c>
      <c r="AE735" t="str">
        <f>VLOOKUP(Таблица1_113[[#This Row],[Марка]],Таблица13[#All],4,0)</f>
        <v>Япония</v>
      </c>
      <c r="AF735" t="str">
        <f>VLOOKUP(Таблица1_113[[#This Row],[Марка]],Таблица13[#All],2,0)</f>
        <v>Business</v>
      </c>
      <c r="AG735">
        <f>VLOOKUP(Таблица1_113[[#This Row],[Марка]],Таблица13[#All],3,0)</f>
        <v>1937</v>
      </c>
      <c r="AH735" t="str">
        <f>VLOOKUP(Таблица1_113[[#This Row],[Марка]],Таблица13[#All],5,0)</f>
        <v>Нет</v>
      </c>
      <c r="AI735" s="12">
        <v>44105</v>
      </c>
      <c r="AJ735">
        <v>759</v>
      </c>
    </row>
    <row r="736" spans="30:36">
      <c r="AD736" t="s">
        <v>143</v>
      </c>
      <c r="AE736" t="str">
        <f>VLOOKUP(Таблица1_113[[#This Row],[Марка]],Таблица13[#All],4,0)</f>
        <v>Япония</v>
      </c>
      <c r="AF736" t="str">
        <f>VLOOKUP(Таблица1_113[[#This Row],[Марка]],Таблица13[#All],2,0)</f>
        <v>Economy</v>
      </c>
      <c r="AG736">
        <f>VLOOKUP(Таблица1_113[[#This Row],[Марка]],Таблица13[#All],3,0)</f>
        <v>1909</v>
      </c>
      <c r="AH736" t="str">
        <f>VLOOKUP(Таблица1_113[[#This Row],[Марка]],Таблица13[#All],5,0)</f>
        <v>Нет</v>
      </c>
      <c r="AI736" s="12">
        <v>44105</v>
      </c>
      <c r="AJ736">
        <v>0</v>
      </c>
    </row>
    <row r="737" spans="30:36">
      <c r="AD737" t="s">
        <v>125</v>
      </c>
      <c r="AE737" t="str">
        <f>VLOOKUP(Таблица1_113[[#This Row],[Марка]],Таблица13[#All],4,0)</f>
        <v>Япония</v>
      </c>
      <c r="AF737" t="str">
        <f>VLOOKUP(Таблица1_113[[#This Row],[Марка]],Таблица13[#All],2,0)</f>
        <v>Business</v>
      </c>
      <c r="AG737">
        <f>VLOOKUP(Таблица1_113[[#This Row],[Марка]],Таблица13[#All],3,0)</f>
        <v>1953</v>
      </c>
      <c r="AH737" t="str">
        <f>VLOOKUP(Таблица1_113[[#This Row],[Марка]],Таблица13[#All],5,0)</f>
        <v>Нет</v>
      </c>
      <c r="AI737" s="12">
        <v>44105</v>
      </c>
      <c r="AJ737">
        <v>36</v>
      </c>
    </row>
    <row r="738" spans="30:36">
      <c r="AD738" t="s">
        <v>141</v>
      </c>
      <c r="AE738" t="str">
        <f>VLOOKUP(Таблица1_113[[#This Row],[Марка]],Таблица13[#All],4,0)</f>
        <v>Чехия</v>
      </c>
      <c r="AF738" t="str">
        <f>VLOOKUP(Таблица1_113[[#This Row],[Марка]],Таблица13[#All],2,0)</f>
        <v>Business</v>
      </c>
      <c r="AG738">
        <f>VLOOKUP(Таблица1_113[[#This Row],[Марка]],Таблица13[#All],3,0)</f>
        <v>1895</v>
      </c>
      <c r="AH738" t="str">
        <f>VLOOKUP(Таблица1_113[[#This Row],[Марка]],Таблица13[#All],5,0)</f>
        <v>Крупноузловая</v>
      </c>
      <c r="AI738" s="12">
        <v>44105</v>
      </c>
      <c r="AJ738">
        <v>6</v>
      </c>
    </row>
    <row r="739" spans="30:36">
      <c r="AD739" t="s">
        <v>23</v>
      </c>
      <c r="AE739" t="str">
        <f>VLOOKUP(Таблица1_113[[#This Row],[Марка]],Таблица13[#All],4,0)</f>
        <v>Франция</v>
      </c>
      <c r="AF739" t="str">
        <f>VLOOKUP(Таблица1_113[[#This Row],[Марка]],Таблица13[#All],2,0)</f>
        <v>Economy</v>
      </c>
      <c r="AG739">
        <f>VLOOKUP(Таблица1_113[[#This Row],[Марка]],Таблица13[#All],3,0)</f>
        <v>1899</v>
      </c>
      <c r="AH739" t="str">
        <f>VLOOKUP(Таблица1_113[[#This Row],[Марка]],Таблица13[#All],5,0)</f>
        <v>Крупноузловая</v>
      </c>
      <c r="AI739" s="12">
        <v>44105</v>
      </c>
      <c r="AJ739">
        <v>231</v>
      </c>
    </row>
    <row r="740" spans="30:36">
      <c r="AD740" t="s">
        <v>142</v>
      </c>
      <c r="AE740" t="str">
        <f>VLOOKUP(Таблица1_113[[#This Row],[Марка]],Таблица13[#All],4,0)</f>
        <v>Узбекистан</v>
      </c>
      <c r="AF740" t="str">
        <f>VLOOKUP(Таблица1_113[[#This Row],[Марка]],Таблица13[#All],2,0)</f>
        <v>Economy</v>
      </c>
      <c r="AG740">
        <f>VLOOKUP(Таблица1_113[[#This Row],[Марка]],Таблица13[#All],3,0)</f>
        <v>2015</v>
      </c>
      <c r="AH740" t="str">
        <f>VLOOKUP(Таблица1_113[[#This Row],[Марка]],Таблица13[#All],5,0)</f>
        <v>Крупноузловая</v>
      </c>
      <c r="AI740" s="12">
        <v>44105</v>
      </c>
      <c r="AJ740">
        <v>356</v>
      </c>
    </row>
    <row r="741" spans="30:36">
      <c r="AD741" t="s">
        <v>37</v>
      </c>
      <c r="AE741" t="str">
        <f>VLOOKUP(Таблица1_113[[#This Row],[Марка]],Таблица13[#All],4,0)</f>
        <v>Германия</v>
      </c>
      <c r="AF741" t="str">
        <f>VLOOKUP(Таблица1_113[[#This Row],[Марка]],Таблица13[#All],2,0)</f>
        <v>Luxury</v>
      </c>
      <c r="AG741">
        <f>VLOOKUP(Таблица1_113[[#This Row],[Марка]],Таблица13[#All],3,0)</f>
        <v>1931</v>
      </c>
      <c r="AH741" t="str">
        <f>VLOOKUP(Таблица1_113[[#This Row],[Марка]],Таблица13[#All],5,0)</f>
        <v>Нет</v>
      </c>
      <c r="AI741" s="12">
        <v>44105</v>
      </c>
      <c r="AJ741">
        <v>15</v>
      </c>
    </row>
    <row r="742" spans="30:36">
      <c r="AD742" t="s">
        <v>22</v>
      </c>
      <c r="AE742" t="str">
        <f>VLOOKUP(Таблица1_113[[#This Row],[Марка]],Таблица13[#All],4,0)</f>
        <v>Япония</v>
      </c>
      <c r="AF742" t="str">
        <f>VLOOKUP(Таблица1_113[[#This Row],[Марка]],Таблица13[#All],2,0)</f>
        <v>Business</v>
      </c>
      <c r="AG742">
        <f>VLOOKUP(Таблица1_113[[#This Row],[Марка]],Таблица13[#All],3,0)</f>
        <v>1933</v>
      </c>
      <c r="AH742" t="str">
        <f>VLOOKUP(Таблица1_113[[#This Row],[Марка]],Таблица13[#All],5,0)</f>
        <v>Нет</v>
      </c>
      <c r="AI742" s="12">
        <v>44105</v>
      </c>
      <c r="AJ742">
        <v>179</v>
      </c>
    </row>
    <row r="743" spans="30:36">
      <c r="AD743" t="s">
        <v>9</v>
      </c>
      <c r="AE743" t="str">
        <f>VLOOKUP(Таблица1_113[[#This Row],[Марка]],Таблица13[#All],4,0)</f>
        <v>Япония</v>
      </c>
      <c r="AF743" t="str">
        <f>VLOOKUP(Таблица1_113[[#This Row],[Марка]],Таблица13[#All],2,0)</f>
        <v>Business</v>
      </c>
      <c r="AG743">
        <f>VLOOKUP(Таблица1_113[[#This Row],[Марка]],Таблица13[#All],3,0)</f>
        <v>1870</v>
      </c>
      <c r="AH743" t="str">
        <f>VLOOKUP(Таблица1_113[[#This Row],[Марка]],Таблица13[#All],5,0)</f>
        <v>Нет</v>
      </c>
      <c r="AI743" s="12">
        <v>44105</v>
      </c>
      <c r="AJ743">
        <v>98</v>
      </c>
    </row>
    <row r="744" spans="30:36">
      <c r="AD744" t="s">
        <v>40</v>
      </c>
      <c r="AE744" t="str">
        <f>VLOOKUP(Таблица1_113[[#This Row],[Марка]],Таблица13[#All],4,0)</f>
        <v>Великобритания</v>
      </c>
      <c r="AF744" t="str">
        <f>VLOOKUP(Таблица1_113[[#This Row],[Марка]],Таблица13[#All],2,0)</f>
        <v>Luxury</v>
      </c>
      <c r="AG744">
        <f>VLOOKUP(Таблица1_113[[#This Row],[Марка]],Таблица13[#All],3,0)</f>
        <v>1959</v>
      </c>
      <c r="AH744" t="str">
        <f>VLOOKUP(Таблица1_113[[#This Row],[Марка]],Таблица13[#All],5,0)</f>
        <v>Нет</v>
      </c>
      <c r="AI744" s="12">
        <v>44105</v>
      </c>
      <c r="AJ744">
        <v>1</v>
      </c>
    </row>
    <row r="745" spans="30:36">
      <c r="AD745" t="s">
        <v>128</v>
      </c>
      <c r="AE745" t="str">
        <f>VLOOKUP(Таблица1_113[[#This Row],[Марка]],Таблица13[#All],4,0)</f>
        <v>Германия</v>
      </c>
      <c r="AF745" t="str">
        <f>VLOOKUP(Таблица1_113[[#This Row],[Марка]],Таблица13[#All],2,0)</f>
        <v>Luxury</v>
      </c>
      <c r="AG745">
        <f>VLOOKUP(Таблица1_113[[#This Row],[Марка]],Таблица13[#All],3,0)</f>
        <v>1926</v>
      </c>
      <c r="AH745" t="str">
        <f>VLOOKUP(Таблица1_113[[#This Row],[Марка]],Таблица13[#All],5,0)</f>
        <v>Нет</v>
      </c>
      <c r="AI745" s="12">
        <v>44105</v>
      </c>
      <c r="AJ745">
        <v>25</v>
      </c>
    </row>
    <row r="746" spans="30:36">
      <c r="AD746" t="s">
        <v>139</v>
      </c>
      <c r="AE746" t="str">
        <f>VLOOKUP(Таблица1_113[[#This Row],[Марка]],Таблица13[#All],4,0)</f>
        <v>Япония</v>
      </c>
      <c r="AF746" t="str">
        <f>VLOOKUP(Таблица1_113[[#This Row],[Марка]],Таблица13[#All],2,0)</f>
        <v>Business</v>
      </c>
      <c r="AG746">
        <f>VLOOKUP(Таблица1_113[[#This Row],[Марка]],Таблица13[#All],3,0)</f>
        <v>1920</v>
      </c>
      <c r="AH746" t="str">
        <f>VLOOKUP(Таблица1_113[[#This Row],[Марка]],Таблица13[#All],5,0)</f>
        <v>Нет</v>
      </c>
      <c r="AI746" s="12">
        <v>44105</v>
      </c>
      <c r="AJ746">
        <v>44</v>
      </c>
    </row>
    <row r="747" spans="30:36">
      <c r="AD747" t="s">
        <v>5</v>
      </c>
      <c r="AE747" t="str">
        <f>VLOOKUP(Таблица1_113[[#This Row],[Марка]],Таблица13[#All],4,0)</f>
        <v>Япония</v>
      </c>
      <c r="AF747" t="str">
        <f>VLOOKUP(Таблица1_113[[#This Row],[Марка]],Таблица13[#All],2,0)</f>
        <v>Luxury</v>
      </c>
      <c r="AG747">
        <f>VLOOKUP(Таблица1_113[[#This Row],[Марка]],Таблица13[#All],3,0)</f>
        <v>1989</v>
      </c>
      <c r="AH747" t="str">
        <f>VLOOKUP(Таблица1_113[[#This Row],[Марка]],Таблица13[#All],5,0)</f>
        <v>Нет</v>
      </c>
      <c r="AI747" s="12">
        <v>44105</v>
      </c>
      <c r="AJ747">
        <v>57</v>
      </c>
    </row>
    <row r="748" spans="30:36">
      <c r="AD748" t="s">
        <v>35</v>
      </c>
      <c r="AE748" t="str">
        <f>VLOOKUP(Таблица1_113[[#This Row],[Марка]],Таблица13[#All],4,0)</f>
        <v>Великобритания</v>
      </c>
      <c r="AF748" t="str">
        <f>VLOOKUP(Таблица1_113[[#This Row],[Марка]],Таблица13[#All],2,0)</f>
        <v>Luxury</v>
      </c>
      <c r="AG748">
        <f>VLOOKUP(Таблица1_113[[#This Row],[Марка]],Таблица13[#All],3,0)</f>
        <v>1948</v>
      </c>
      <c r="AH748" t="str">
        <f>VLOOKUP(Таблица1_113[[#This Row],[Марка]],Таблица13[#All],5,0)</f>
        <v>Нет</v>
      </c>
      <c r="AI748" s="12">
        <v>44105</v>
      </c>
      <c r="AJ748">
        <v>37</v>
      </c>
    </row>
    <row r="749" spans="30:36">
      <c r="AD749" t="s">
        <v>19</v>
      </c>
      <c r="AE749" t="str">
        <f>VLOOKUP(Таблица1_113[[#This Row],[Марка]],Таблица13[#All],4,0)</f>
        <v>Россия</v>
      </c>
      <c r="AF749" t="str">
        <f>VLOOKUP(Таблица1_113[[#This Row],[Марка]],Таблица13[#All],2,0)</f>
        <v>Economy</v>
      </c>
      <c r="AG749">
        <f>VLOOKUP(Таблица1_113[[#This Row],[Марка]],Таблица13[#All],3,0)</f>
        <v>1970</v>
      </c>
      <c r="AH749" t="str">
        <f>VLOOKUP(Таблица1_113[[#This Row],[Марка]],Таблица13[#All],5,0)</f>
        <v>Крупноузловая</v>
      </c>
      <c r="AI749" s="12">
        <v>44105</v>
      </c>
      <c r="AJ749">
        <v>1728</v>
      </c>
    </row>
    <row r="750" spans="30:36">
      <c r="AD750" t="s">
        <v>15</v>
      </c>
      <c r="AE750" t="str">
        <f>VLOOKUP(Таблица1_113[[#This Row],[Марка]],Таблица13[#All],4,0)</f>
        <v>Корея</v>
      </c>
      <c r="AF750" t="str">
        <f>VLOOKUP(Таблица1_113[[#This Row],[Марка]],Таблица13[#All],2,0)</f>
        <v>Economy</v>
      </c>
      <c r="AG750">
        <f>VLOOKUP(Таблица1_113[[#This Row],[Марка]],Таблица13[#All],3,0)</f>
        <v>1944</v>
      </c>
      <c r="AH750" t="str">
        <f>VLOOKUP(Таблица1_113[[#This Row],[Марка]],Таблица13[#All],5,0)</f>
        <v>Крупноузловая</v>
      </c>
      <c r="AI750" s="12">
        <v>44105</v>
      </c>
      <c r="AJ750">
        <v>370</v>
      </c>
    </row>
    <row r="751" spans="30:36">
      <c r="AD751" t="s">
        <v>134</v>
      </c>
      <c r="AE751" t="str">
        <f>VLOOKUP(Таблица1_113[[#This Row],[Марка]],Таблица13[#All],4,0)</f>
        <v>Великобритания</v>
      </c>
      <c r="AF751" t="str">
        <f>VLOOKUP(Таблица1_113[[#This Row],[Марка]],Таблица13[#All],2,0)</f>
        <v>Luxury</v>
      </c>
      <c r="AG751">
        <f>VLOOKUP(Таблица1_113[[#This Row],[Марка]],Таблица13[#All],3,0)</f>
        <v>1922</v>
      </c>
      <c r="AH751" t="str">
        <f>VLOOKUP(Таблица1_113[[#This Row],[Марка]],Таблица13[#All],5,0)</f>
        <v>Нет</v>
      </c>
      <c r="AI751" s="12">
        <v>44105</v>
      </c>
      <c r="AJ751">
        <v>11</v>
      </c>
    </row>
    <row r="752" spans="30:36">
      <c r="AD752" t="s">
        <v>4</v>
      </c>
      <c r="AE752" t="str">
        <f>VLOOKUP(Таблица1_113[[#This Row],[Марка]],Таблица13[#All],4,0)</f>
        <v>Китай</v>
      </c>
      <c r="AF752" t="str">
        <f>VLOOKUP(Таблица1_113[[#This Row],[Марка]],Таблица13[#All],2,0)</f>
        <v>Economy</v>
      </c>
      <c r="AG752">
        <f>VLOOKUP(Таблица1_113[[#This Row],[Марка]],Таблица13[#All],3,0)</f>
        <v>1964</v>
      </c>
      <c r="AH752" t="str">
        <f>VLOOKUP(Таблица1_113[[#This Row],[Марка]],Таблица13[#All],5,0)</f>
        <v>Крупноузловая</v>
      </c>
      <c r="AI752" s="12">
        <v>44105</v>
      </c>
      <c r="AJ752">
        <v>268</v>
      </c>
    </row>
    <row r="753" spans="30:36">
      <c r="AD753" t="s">
        <v>140</v>
      </c>
      <c r="AE753" t="str">
        <f>VLOOKUP(Таблица1_113[[#This Row],[Марка]],Таблица13[#All],4,0)</f>
        <v>Япония</v>
      </c>
      <c r="AF753" t="str">
        <f>VLOOKUP(Таблица1_113[[#This Row],[Марка]],Таблица13[#All],2,0)</f>
        <v>Business</v>
      </c>
      <c r="AG753">
        <f>VLOOKUP(Таблица1_113[[#This Row],[Марка]],Таблица13[#All],3,0)</f>
        <v>1916</v>
      </c>
      <c r="AH753" t="str">
        <f>VLOOKUP(Таблица1_113[[#This Row],[Марка]],Таблица13[#All],5,0)</f>
        <v>Нет</v>
      </c>
      <c r="AI753" s="12">
        <v>44105</v>
      </c>
      <c r="AJ753">
        <v>30</v>
      </c>
    </row>
    <row r="754" spans="30:36">
      <c r="AD754" t="s">
        <v>34</v>
      </c>
      <c r="AE754" t="str">
        <f>VLOOKUP(Таблица1_113[[#This Row],[Марка]],Таблица13[#All],4,0)</f>
        <v>Япония</v>
      </c>
      <c r="AF754" t="str">
        <f>VLOOKUP(Таблица1_113[[#This Row],[Марка]],Таблица13[#All],2,0)</f>
        <v>Luxury</v>
      </c>
      <c r="AG754">
        <f>VLOOKUP(Таблица1_113[[#This Row],[Марка]],Таблица13[#All],3,0)</f>
        <v>1989</v>
      </c>
      <c r="AH754" t="str">
        <f>VLOOKUP(Таблица1_113[[#This Row],[Марка]],Таблица13[#All],5,0)</f>
        <v>Нет</v>
      </c>
      <c r="AI754" s="12">
        <v>44105</v>
      </c>
      <c r="AJ754">
        <v>45</v>
      </c>
    </row>
    <row r="755" spans="30:36">
      <c r="AD755" t="s">
        <v>0</v>
      </c>
      <c r="AE755" t="str">
        <f>VLOOKUP(Таблица1_113[[#This Row],[Марка]],Таблица13[#All],4,0)</f>
        <v>Корея</v>
      </c>
      <c r="AF755" t="str">
        <f>VLOOKUP(Таблица1_113[[#This Row],[Марка]],Таблица13[#All],2,0)</f>
        <v>Economy</v>
      </c>
      <c r="AG755">
        <f>VLOOKUP(Таблица1_113[[#This Row],[Марка]],Таблица13[#All],3,0)</f>
        <v>1967</v>
      </c>
      <c r="AH755" t="str">
        <f>VLOOKUP(Таблица1_113[[#This Row],[Марка]],Таблица13[#All],5,0)</f>
        <v>Крупноузловая</v>
      </c>
      <c r="AI755" s="12">
        <v>44105</v>
      </c>
      <c r="AJ755">
        <v>2134</v>
      </c>
    </row>
    <row r="756" spans="30:36">
      <c r="AD756" t="s">
        <v>138</v>
      </c>
      <c r="AE756" t="str">
        <f>VLOOKUP(Таблица1_113[[#This Row],[Марка]],Таблица13[#All],4,0)</f>
        <v>Корея</v>
      </c>
      <c r="AF756" t="str">
        <f>VLOOKUP(Таблица1_113[[#This Row],[Марка]],Таблица13[#All],2,0)</f>
        <v>Luxury</v>
      </c>
      <c r="AG756">
        <f>VLOOKUP(Таблица1_113[[#This Row],[Марка]],Таблица13[#All],3,0)</f>
        <v>2015</v>
      </c>
      <c r="AH756" t="str">
        <f>VLOOKUP(Таблица1_113[[#This Row],[Марка]],Таблица13[#All],5,0)</f>
        <v>Нет</v>
      </c>
      <c r="AI756" s="12">
        <v>44105</v>
      </c>
      <c r="AJ756">
        <v>0</v>
      </c>
    </row>
    <row r="757" spans="30:36">
      <c r="AD757" t="s">
        <v>133</v>
      </c>
      <c r="AE757" t="str">
        <f>VLOOKUP(Таблица1_113[[#This Row],[Марка]],Таблица13[#All],4,0)</f>
        <v>Китай</v>
      </c>
      <c r="AF757" t="str">
        <f>VLOOKUP(Таблица1_113[[#This Row],[Марка]],Таблица13[#All],2,0)</f>
        <v>Economy</v>
      </c>
      <c r="AG757">
        <f>VLOOKUP(Таблица1_113[[#This Row],[Марка]],Таблица13[#All],3,0)</f>
        <v>1996</v>
      </c>
      <c r="AH757" t="str">
        <f>VLOOKUP(Таблица1_113[[#This Row],[Марка]],Таблица13[#All],5,0)</f>
        <v>Нет</v>
      </c>
      <c r="AI757" s="12">
        <v>44105</v>
      </c>
      <c r="AJ757">
        <v>0</v>
      </c>
    </row>
    <row r="758" spans="30:36">
      <c r="AD758" t="s">
        <v>130</v>
      </c>
      <c r="AE758" t="str">
        <f>VLOOKUP(Таблица1_113[[#This Row],[Марка]],Таблица13[#All],4,0)</f>
        <v>Китай</v>
      </c>
      <c r="AF758" t="str">
        <f>VLOOKUP(Таблица1_113[[#This Row],[Марка]],Таблица13[#All],2,0)</f>
        <v>Economy</v>
      </c>
      <c r="AG758">
        <f>VLOOKUP(Таблица1_113[[#This Row],[Марка]],Таблица13[#All],3,0)</f>
        <v>1969</v>
      </c>
      <c r="AH758" t="str">
        <f>VLOOKUP(Таблица1_113[[#This Row],[Марка]],Таблица13[#All],5,0)</f>
        <v>Нет</v>
      </c>
      <c r="AI758" s="12">
        <v>44105</v>
      </c>
      <c r="AJ758">
        <v>14</v>
      </c>
    </row>
    <row r="759" spans="30:36">
      <c r="AD759" t="s">
        <v>137</v>
      </c>
      <c r="AE759" t="str">
        <f>VLOOKUP(Таблица1_113[[#This Row],[Марка]],Таблица13[#All],4,0)</f>
        <v>Корея</v>
      </c>
      <c r="AF759" t="str">
        <f>VLOOKUP(Таблица1_113[[#This Row],[Марка]],Таблица13[#All],2,0)</f>
        <v>Economy</v>
      </c>
      <c r="AG759">
        <f>VLOOKUP(Таблица1_113[[#This Row],[Марка]],Таблица13[#All],3,0)</f>
        <v>1967</v>
      </c>
      <c r="AH759" t="str">
        <f>VLOOKUP(Таблица1_113[[#This Row],[Марка]],Таблица13[#All],5,0)</f>
        <v>Нет</v>
      </c>
      <c r="AI759" s="12">
        <v>44105</v>
      </c>
      <c r="AJ759">
        <v>1</v>
      </c>
    </row>
    <row r="760" spans="30:36">
      <c r="AD760" t="s">
        <v>1</v>
      </c>
      <c r="AE760" t="str">
        <f>VLOOKUP(Таблица1_113[[#This Row],[Марка]],Таблица13[#All],4,0)</f>
        <v>США</v>
      </c>
      <c r="AF760" t="str">
        <f>VLOOKUP(Таблица1_113[[#This Row],[Марка]],Таблица13[#All],2,0)</f>
        <v>Economy</v>
      </c>
      <c r="AG760">
        <f>VLOOKUP(Таблица1_113[[#This Row],[Марка]],Таблица13[#All],3,0)</f>
        <v>1911</v>
      </c>
      <c r="AH760" t="str">
        <f>VLOOKUP(Таблица1_113[[#This Row],[Марка]],Таблица13[#All],5,0)</f>
        <v>Крупноузловая</v>
      </c>
      <c r="AI760" s="12">
        <v>44105</v>
      </c>
      <c r="AJ760">
        <v>2093</v>
      </c>
    </row>
    <row r="761" spans="30:36">
      <c r="AD761" t="s">
        <v>36</v>
      </c>
      <c r="AE761" t="str">
        <f>VLOOKUP(Таблица1_113[[#This Row],[Марка]],Таблица13[#All],4,0)</f>
        <v>США</v>
      </c>
      <c r="AF761" t="str">
        <f>VLOOKUP(Таблица1_113[[#This Row],[Марка]],Таблица13[#All],2,0)</f>
        <v>Luxury</v>
      </c>
      <c r="AG761">
        <f>VLOOKUP(Таблица1_113[[#This Row],[Марка]],Таблица13[#All],3,0)</f>
        <v>1902</v>
      </c>
      <c r="AH761" t="str">
        <f>VLOOKUP(Таблица1_113[[#This Row],[Марка]],Таблица13[#All],5,0)</f>
        <v>Нет</v>
      </c>
      <c r="AI761" s="12">
        <v>44105</v>
      </c>
      <c r="AJ761">
        <v>14</v>
      </c>
    </row>
    <row r="762" spans="30:36">
      <c r="AD762" t="s">
        <v>8</v>
      </c>
      <c r="AE762" t="str">
        <f>VLOOKUP(Таблица1_113[[#This Row],[Марка]],Таблица13[#All],4,0)</f>
        <v>Германия</v>
      </c>
      <c r="AF762" t="str">
        <f>VLOOKUP(Таблица1_113[[#This Row],[Марка]],Таблица13[#All],2,0)</f>
        <v>Luxury</v>
      </c>
      <c r="AG762">
        <f>VLOOKUP(Таблица1_113[[#This Row],[Марка]],Таблица13[#All],3,0)</f>
        <v>1916</v>
      </c>
      <c r="AH762" t="str">
        <f>VLOOKUP(Таблица1_113[[#This Row],[Марка]],Таблица13[#All],5,0)</f>
        <v>Нет</v>
      </c>
      <c r="AI762" s="12">
        <v>44105</v>
      </c>
      <c r="AJ762">
        <v>82</v>
      </c>
    </row>
    <row r="763" spans="30:36">
      <c r="AD763" t="s">
        <v>38</v>
      </c>
      <c r="AE763" t="str">
        <f>VLOOKUP(Таблица1_113[[#This Row],[Марка]],Таблица13[#All],4,0)</f>
        <v>Германия</v>
      </c>
      <c r="AF763" t="str">
        <f>VLOOKUP(Таблица1_113[[#This Row],[Марка]],Таблица13[#All],2,0)</f>
        <v>Luxury</v>
      </c>
      <c r="AG763">
        <f>VLOOKUP(Таблица1_113[[#This Row],[Марка]],Таблица13[#All],3,0)</f>
        <v>1932</v>
      </c>
      <c r="AH763" t="str">
        <f>VLOOKUP(Таблица1_113[[#This Row],[Марка]],Таблица13[#All],5,0)</f>
        <v>Нет</v>
      </c>
      <c r="AI763" s="12">
        <v>44105</v>
      </c>
      <c r="AJ763">
        <v>11</v>
      </c>
    </row>
    <row r="764" spans="30:36">
      <c r="AD764" t="s">
        <v>136</v>
      </c>
      <c r="AE764" t="str">
        <f>VLOOKUP(Таблица1_113[[#This Row],[Марка]],Таблица13[#All],4,0)</f>
        <v>Россия</v>
      </c>
      <c r="AF764" t="str">
        <f>VLOOKUP(Таблица1_113[[#This Row],[Марка]],Таблица13[#All],2,0)</f>
        <v>Economy</v>
      </c>
      <c r="AG764">
        <f>VLOOKUP(Таблица1_113[[#This Row],[Марка]],Таблица13[#All],3,0)</f>
        <v>1941</v>
      </c>
      <c r="AH764" t="str">
        <f>VLOOKUP(Таблица1_113[[#This Row],[Марка]],Таблица13[#All],5,0)</f>
        <v>Нет</v>
      </c>
      <c r="AI764" s="12">
        <v>44136</v>
      </c>
      <c r="AJ764">
        <v>214</v>
      </c>
    </row>
    <row r="765" spans="30:36">
      <c r="AD765" t="s">
        <v>135</v>
      </c>
      <c r="AE765" t="str">
        <f>VLOOKUP(Таблица1_113[[#This Row],[Марка]],Таблица13[#All],4,0)</f>
        <v>-</v>
      </c>
      <c r="AF765" t="str">
        <f>VLOOKUP(Таблица1_113[[#This Row],[Марка]],Таблица13[#All],2,0)</f>
        <v>-</v>
      </c>
      <c r="AG765" t="str">
        <f>VLOOKUP(Таблица1_113[[#This Row],[Марка]],Таблица13[#All],3,0)</f>
        <v>-</v>
      </c>
      <c r="AH765" t="str">
        <f>VLOOKUP(Таблица1_113[[#This Row],[Марка]],Таблица13[#All],5,0)</f>
        <v>-</v>
      </c>
      <c r="AI765" s="12">
        <v>44136</v>
      </c>
      <c r="AJ765">
        <v>30</v>
      </c>
    </row>
    <row r="766" spans="30:36">
      <c r="AD766" t="s">
        <v>39</v>
      </c>
      <c r="AE766" t="str">
        <f>VLOOKUP(Таблица1_113[[#This Row],[Марка]],Таблица13[#All],4,0)</f>
        <v>Швеция</v>
      </c>
      <c r="AF766" t="str">
        <f>VLOOKUP(Таблица1_113[[#This Row],[Марка]],Таблица13[#All],2,0)</f>
        <v>Business</v>
      </c>
      <c r="AG766">
        <f>VLOOKUP(Таблица1_113[[#This Row],[Марка]],Таблица13[#All],3,0)</f>
        <v>1927</v>
      </c>
      <c r="AH766" t="str">
        <f>VLOOKUP(Таблица1_113[[#This Row],[Марка]],Таблица13[#All],5,0)</f>
        <v>Нет</v>
      </c>
      <c r="AI766" s="12">
        <v>44136</v>
      </c>
      <c r="AJ766">
        <v>11</v>
      </c>
    </row>
    <row r="767" spans="30:36">
      <c r="AD767" t="s">
        <v>21</v>
      </c>
      <c r="AE767" t="str">
        <f>VLOOKUP(Таблица1_113[[#This Row],[Марка]],Таблица13[#All],4,0)</f>
        <v>Германия</v>
      </c>
      <c r="AF767" t="str">
        <f>VLOOKUP(Таблица1_113[[#This Row],[Марка]],Таблица13[#All],2,0)</f>
        <v>Business</v>
      </c>
      <c r="AG767">
        <f>VLOOKUP(Таблица1_113[[#This Row],[Марка]],Таблица13[#All],3,0)</f>
        <v>1937</v>
      </c>
      <c r="AH767" t="str">
        <f>VLOOKUP(Таблица1_113[[#This Row],[Марка]],Таблица13[#All],5,0)</f>
        <v>Нет</v>
      </c>
      <c r="AI767" s="12">
        <v>44136</v>
      </c>
      <c r="AJ767">
        <v>307</v>
      </c>
    </row>
    <row r="768" spans="30:36">
      <c r="AD768" t="s">
        <v>2</v>
      </c>
      <c r="AE768" t="str">
        <f>VLOOKUP(Таблица1_113[[#This Row],[Марка]],Таблица13[#All],4,0)</f>
        <v>Япония</v>
      </c>
      <c r="AF768" t="str">
        <f>VLOOKUP(Таблица1_113[[#This Row],[Марка]],Таблица13[#All],2,0)</f>
        <v>Business</v>
      </c>
      <c r="AG768">
        <f>VLOOKUP(Таблица1_113[[#This Row],[Марка]],Таблица13[#All],3,0)</f>
        <v>1937</v>
      </c>
      <c r="AH768" t="str">
        <f>VLOOKUP(Таблица1_113[[#This Row],[Марка]],Таблица13[#All],5,0)</f>
        <v>Нет</v>
      </c>
      <c r="AI768" s="12">
        <v>44136</v>
      </c>
      <c r="AJ768">
        <v>732</v>
      </c>
    </row>
    <row r="769" spans="30:36">
      <c r="AD769" t="s">
        <v>143</v>
      </c>
      <c r="AE769" t="str">
        <f>VLOOKUP(Таблица1_113[[#This Row],[Марка]],Таблица13[#All],4,0)</f>
        <v>Япония</v>
      </c>
      <c r="AF769" t="str">
        <f>VLOOKUP(Таблица1_113[[#This Row],[Марка]],Таблица13[#All],2,0)</f>
        <v>Economy</v>
      </c>
      <c r="AG769">
        <f>VLOOKUP(Таблица1_113[[#This Row],[Марка]],Таблица13[#All],3,0)</f>
        <v>1909</v>
      </c>
      <c r="AH769" t="str">
        <f>VLOOKUP(Таблица1_113[[#This Row],[Марка]],Таблица13[#All],5,0)</f>
        <v>Нет</v>
      </c>
      <c r="AI769" s="12">
        <v>44136</v>
      </c>
      <c r="AJ769">
        <v>0</v>
      </c>
    </row>
    <row r="770" spans="30:36">
      <c r="AD770" t="s">
        <v>125</v>
      </c>
      <c r="AE770" t="str">
        <f>VLOOKUP(Таблица1_113[[#This Row],[Марка]],Таблица13[#All],4,0)</f>
        <v>Япония</v>
      </c>
      <c r="AF770" t="str">
        <f>VLOOKUP(Таблица1_113[[#This Row],[Марка]],Таблица13[#All],2,0)</f>
        <v>Business</v>
      </c>
      <c r="AG770">
        <f>VLOOKUP(Таблица1_113[[#This Row],[Марка]],Таблица13[#All],3,0)</f>
        <v>1953</v>
      </c>
      <c r="AH770" t="str">
        <f>VLOOKUP(Таблица1_113[[#This Row],[Марка]],Таблица13[#All],5,0)</f>
        <v>Нет</v>
      </c>
      <c r="AI770" s="12">
        <v>44136</v>
      </c>
      <c r="AJ770">
        <v>84</v>
      </c>
    </row>
    <row r="771" spans="30:36">
      <c r="AD771" t="s">
        <v>141</v>
      </c>
      <c r="AE771" t="str">
        <f>VLOOKUP(Таблица1_113[[#This Row],[Марка]],Таблица13[#All],4,0)</f>
        <v>Чехия</v>
      </c>
      <c r="AF771" t="str">
        <f>VLOOKUP(Таблица1_113[[#This Row],[Марка]],Таблица13[#All],2,0)</f>
        <v>Business</v>
      </c>
      <c r="AG771">
        <f>VLOOKUP(Таблица1_113[[#This Row],[Марка]],Таблица13[#All],3,0)</f>
        <v>1895</v>
      </c>
      <c r="AH771" t="str">
        <f>VLOOKUP(Таблица1_113[[#This Row],[Марка]],Таблица13[#All],5,0)</f>
        <v>Крупноузловая</v>
      </c>
      <c r="AI771" s="12">
        <v>44136</v>
      </c>
      <c r="AJ771">
        <v>8</v>
      </c>
    </row>
    <row r="772" spans="30:36">
      <c r="AD772" t="s">
        <v>23</v>
      </c>
      <c r="AE772" t="str">
        <f>VLOOKUP(Таблица1_113[[#This Row],[Марка]],Таблица13[#All],4,0)</f>
        <v>Франция</v>
      </c>
      <c r="AF772" t="str">
        <f>VLOOKUP(Таблица1_113[[#This Row],[Марка]],Таблица13[#All],2,0)</f>
        <v>Economy</v>
      </c>
      <c r="AG772">
        <f>VLOOKUP(Таблица1_113[[#This Row],[Марка]],Таблица13[#All],3,0)</f>
        <v>1899</v>
      </c>
      <c r="AH772" t="str">
        <f>VLOOKUP(Таблица1_113[[#This Row],[Марка]],Таблица13[#All],5,0)</f>
        <v>Крупноузловая</v>
      </c>
      <c r="AI772" s="12">
        <v>44136</v>
      </c>
      <c r="AJ772">
        <v>220</v>
      </c>
    </row>
    <row r="773" spans="30:36">
      <c r="AD773" t="s">
        <v>142</v>
      </c>
      <c r="AE773" t="str">
        <f>VLOOKUP(Таблица1_113[[#This Row],[Марка]],Таблица13[#All],4,0)</f>
        <v>Узбекистан</v>
      </c>
      <c r="AF773" t="str">
        <f>VLOOKUP(Таблица1_113[[#This Row],[Марка]],Таблица13[#All],2,0)</f>
        <v>Economy</v>
      </c>
      <c r="AG773">
        <f>VLOOKUP(Таблица1_113[[#This Row],[Марка]],Таблица13[#All],3,0)</f>
        <v>2015</v>
      </c>
      <c r="AH773" t="str">
        <f>VLOOKUP(Таблица1_113[[#This Row],[Марка]],Таблица13[#All],5,0)</f>
        <v>Крупноузловая</v>
      </c>
      <c r="AI773" s="12">
        <v>44136</v>
      </c>
      <c r="AJ773">
        <v>167</v>
      </c>
    </row>
    <row r="774" spans="30:36">
      <c r="AD774" t="s">
        <v>37</v>
      </c>
      <c r="AE774" t="str">
        <f>VLOOKUP(Таблица1_113[[#This Row],[Марка]],Таблица13[#All],4,0)</f>
        <v>Германия</v>
      </c>
      <c r="AF774" t="str">
        <f>VLOOKUP(Таблица1_113[[#This Row],[Марка]],Таблица13[#All],2,0)</f>
        <v>Luxury</v>
      </c>
      <c r="AG774">
        <f>VLOOKUP(Таблица1_113[[#This Row],[Марка]],Таблица13[#All],3,0)</f>
        <v>1931</v>
      </c>
      <c r="AH774" t="str">
        <f>VLOOKUP(Таблица1_113[[#This Row],[Марка]],Таблица13[#All],5,0)</f>
        <v>Нет</v>
      </c>
      <c r="AI774" s="12">
        <v>44136</v>
      </c>
      <c r="AJ774">
        <v>19</v>
      </c>
    </row>
    <row r="775" spans="30:36">
      <c r="AD775" t="s">
        <v>22</v>
      </c>
      <c r="AE775" t="str">
        <f>VLOOKUP(Таблица1_113[[#This Row],[Марка]],Таблица13[#All],4,0)</f>
        <v>Япония</v>
      </c>
      <c r="AF775" t="str">
        <f>VLOOKUP(Таблица1_113[[#This Row],[Марка]],Таблица13[#All],2,0)</f>
        <v>Business</v>
      </c>
      <c r="AG775">
        <f>VLOOKUP(Таблица1_113[[#This Row],[Марка]],Таблица13[#All],3,0)</f>
        <v>1933</v>
      </c>
      <c r="AH775" t="str">
        <f>VLOOKUP(Таблица1_113[[#This Row],[Марка]],Таблица13[#All],5,0)</f>
        <v>Нет</v>
      </c>
      <c r="AI775" s="12">
        <v>44136</v>
      </c>
      <c r="AJ775">
        <v>266</v>
      </c>
    </row>
    <row r="776" spans="30:36">
      <c r="AD776" t="s">
        <v>9</v>
      </c>
      <c r="AE776" t="str">
        <f>VLOOKUP(Таблица1_113[[#This Row],[Марка]],Таблица13[#All],4,0)</f>
        <v>Япония</v>
      </c>
      <c r="AF776" t="str">
        <f>VLOOKUP(Таблица1_113[[#This Row],[Марка]],Таблица13[#All],2,0)</f>
        <v>Business</v>
      </c>
      <c r="AG776">
        <f>VLOOKUP(Таблица1_113[[#This Row],[Марка]],Таблица13[#All],3,0)</f>
        <v>1870</v>
      </c>
      <c r="AH776" t="str">
        <f>VLOOKUP(Таблица1_113[[#This Row],[Марка]],Таблица13[#All],5,0)</f>
        <v>Нет</v>
      </c>
      <c r="AI776" s="12">
        <v>44136</v>
      </c>
      <c r="AJ776">
        <v>106</v>
      </c>
    </row>
    <row r="777" spans="30:36">
      <c r="AD777" t="s">
        <v>40</v>
      </c>
      <c r="AE777" t="str">
        <f>VLOOKUP(Таблица1_113[[#This Row],[Марка]],Таблица13[#All],4,0)</f>
        <v>Великобритания</v>
      </c>
      <c r="AF777" t="str">
        <f>VLOOKUP(Таблица1_113[[#This Row],[Марка]],Таблица13[#All],2,0)</f>
        <v>Luxury</v>
      </c>
      <c r="AG777">
        <f>VLOOKUP(Таблица1_113[[#This Row],[Марка]],Таблица13[#All],3,0)</f>
        <v>1959</v>
      </c>
      <c r="AH777" t="str">
        <f>VLOOKUP(Таблица1_113[[#This Row],[Марка]],Таблица13[#All],5,0)</f>
        <v>Нет</v>
      </c>
      <c r="AI777" s="12">
        <v>44136</v>
      </c>
      <c r="AJ777">
        <v>0</v>
      </c>
    </row>
    <row r="778" spans="30:36">
      <c r="AD778" t="s">
        <v>128</v>
      </c>
      <c r="AE778" t="str">
        <f>VLOOKUP(Таблица1_113[[#This Row],[Марка]],Таблица13[#All],4,0)</f>
        <v>Германия</v>
      </c>
      <c r="AF778" t="str">
        <f>VLOOKUP(Таблица1_113[[#This Row],[Марка]],Таблица13[#All],2,0)</f>
        <v>Luxury</v>
      </c>
      <c r="AG778">
        <f>VLOOKUP(Таблица1_113[[#This Row],[Марка]],Таблица13[#All],3,0)</f>
        <v>1926</v>
      </c>
      <c r="AH778" t="str">
        <f>VLOOKUP(Таблица1_113[[#This Row],[Марка]],Таблица13[#All],5,0)</f>
        <v>Нет</v>
      </c>
      <c r="AI778" s="12">
        <v>44136</v>
      </c>
      <c r="AJ778">
        <v>48</v>
      </c>
    </row>
    <row r="779" spans="30:36">
      <c r="AD779" t="s">
        <v>139</v>
      </c>
      <c r="AE779" t="str">
        <f>VLOOKUP(Таблица1_113[[#This Row],[Марка]],Таблица13[#All],4,0)</f>
        <v>Япония</v>
      </c>
      <c r="AF779" t="str">
        <f>VLOOKUP(Таблица1_113[[#This Row],[Марка]],Таблица13[#All],2,0)</f>
        <v>Business</v>
      </c>
      <c r="AG779">
        <f>VLOOKUP(Таблица1_113[[#This Row],[Марка]],Таблица13[#All],3,0)</f>
        <v>1920</v>
      </c>
      <c r="AH779" t="str">
        <f>VLOOKUP(Таблица1_113[[#This Row],[Марка]],Таблица13[#All],5,0)</f>
        <v>Нет</v>
      </c>
      <c r="AI779" s="12">
        <v>44136</v>
      </c>
      <c r="AJ779">
        <v>30</v>
      </c>
    </row>
    <row r="780" spans="30:36">
      <c r="AD780" t="s">
        <v>5</v>
      </c>
      <c r="AE780" t="str">
        <f>VLOOKUP(Таблица1_113[[#This Row],[Марка]],Таблица13[#All],4,0)</f>
        <v>Япония</v>
      </c>
      <c r="AF780" t="str">
        <f>VLOOKUP(Таблица1_113[[#This Row],[Марка]],Таблица13[#All],2,0)</f>
        <v>Luxury</v>
      </c>
      <c r="AG780">
        <f>VLOOKUP(Таблица1_113[[#This Row],[Марка]],Таблица13[#All],3,0)</f>
        <v>1989</v>
      </c>
      <c r="AH780" t="str">
        <f>VLOOKUP(Таблица1_113[[#This Row],[Марка]],Таблица13[#All],5,0)</f>
        <v>Нет</v>
      </c>
      <c r="AI780" s="12">
        <v>44136</v>
      </c>
      <c r="AJ780">
        <v>57</v>
      </c>
    </row>
    <row r="781" spans="30:36">
      <c r="AD781" t="s">
        <v>35</v>
      </c>
      <c r="AE781" t="str">
        <f>VLOOKUP(Таблица1_113[[#This Row],[Марка]],Таблица13[#All],4,0)</f>
        <v>Великобритания</v>
      </c>
      <c r="AF781" t="str">
        <f>VLOOKUP(Таблица1_113[[#This Row],[Марка]],Таблица13[#All],2,0)</f>
        <v>Luxury</v>
      </c>
      <c r="AG781">
        <f>VLOOKUP(Таблица1_113[[#This Row],[Марка]],Таблица13[#All],3,0)</f>
        <v>1948</v>
      </c>
      <c r="AH781" t="str">
        <f>VLOOKUP(Таблица1_113[[#This Row],[Марка]],Таблица13[#All],5,0)</f>
        <v>Нет</v>
      </c>
      <c r="AI781" s="12">
        <v>44136</v>
      </c>
      <c r="AJ781">
        <v>32</v>
      </c>
    </row>
    <row r="782" spans="30:36">
      <c r="AD782" t="s">
        <v>19</v>
      </c>
      <c r="AE782" t="str">
        <f>VLOOKUP(Таблица1_113[[#This Row],[Марка]],Таблица13[#All],4,0)</f>
        <v>Россия</v>
      </c>
      <c r="AF782" t="str">
        <f>VLOOKUP(Таблица1_113[[#This Row],[Марка]],Таблица13[#All],2,0)</f>
        <v>Economy</v>
      </c>
      <c r="AG782">
        <f>VLOOKUP(Таблица1_113[[#This Row],[Марка]],Таблица13[#All],3,0)</f>
        <v>1970</v>
      </c>
      <c r="AH782" t="str">
        <f>VLOOKUP(Таблица1_113[[#This Row],[Марка]],Таблица13[#All],5,0)</f>
        <v>Крупноузловая</v>
      </c>
      <c r="AI782" s="12">
        <v>44136</v>
      </c>
      <c r="AJ782">
        <v>1193</v>
      </c>
    </row>
    <row r="783" spans="30:36">
      <c r="AD783" t="s">
        <v>15</v>
      </c>
      <c r="AE783" t="str">
        <f>VLOOKUP(Таблица1_113[[#This Row],[Марка]],Таблица13[#All],4,0)</f>
        <v>Корея</v>
      </c>
      <c r="AF783" t="str">
        <f>VLOOKUP(Таблица1_113[[#This Row],[Марка]],Таблица13[#All],2,0)</f>
        <v>Economy</v>
      </c>
      <c r="AG783">
        <f>VLOOKUP(Таблица1_113[[#This Row],[Марка]],Таблица13[#All],3,0)</f>
        <v>1944</v>
      </c>
      <c r="AH783" t="str">
        <f>VLOOKUP(Таблица1_113[[#This Row],[Марка]],Таблица13[#All],5,0)</f>
        <v>Крупноузловая</v>
      </c>
      <c r="AI783" s="12">
        <v>44136</v>
      </c>
      <c r="AJ783">
        <v>499</v>
      </c>
    </row>
    <row r="784" spans="30:36">
      <c r="AD784" t="s">
        <v>134</v>
      </c>
      <c r="AE784" t="str">
        <f>VLOOKUP(Таблица1_113[[#This Row],[Марка]],Таблица13[#All],4,0)</f>
        <v>Великобритания</v>
      </c>
      <c r="AF784" t="str">
        <f>VLOOKUP(Таблица1_113[[#This Row],[Марка]],Таблица13[#All],2,0)</f>
        <v>Luxury</v>
      </c>
      <c r="AG784">
        <f>VLOOKUP(Таблица1_113[[#This Row],[Марка]],Таблица13[#All],3,0)</f>
        <v>1922</v>
      </c>
      <c r="AH784" t="str">
        <f>VLOOKUP(Таблица1_113[[#This Row],[Марка]],Таблица13[#All],5,0)</f>
        <v>Нет</v>
      </c>
      <c r="AI784" s="12">
        <v>44136</v>
      </c>
      <c r="AJ784">
        <v>12</v>
      </c>
    </row>
    <row r="785" spans="30:36">
      <c r="AD785" t="s">
        <v>4</v>
      </c>
      <c r="AE785" t="str">
        <f>VLOOKUP(Таблица1_113[[#This Row],[Марка]],Таблица13[#All],4,0)</f>
        <v>Китай</v>
      </c>
      <c r="AF785" t="str">
        <f>VLOOKUP(Таблица1_113[[#This Row],[Марка]],Таблица13[#All],2,0)</f>
        <v>Economy</v>
      </c>
      <c r="AG785">
        <f>VLOOKUP(Таблица1_113[[#This Row],[Марка]],Таблица13[#All],3,0)</f>
        <v>1964</v>
      </c>
      <c r="AH785" t="str">
        <f>VLOOKUP(Таблица1_113[[#This Row],[Марка]],Таблица13[#All],5,0)</f>
        <v>Крупноузловая</v>
      </c>
      <c r="AI785" s="12">
        <v>44136</v>
      </c>
      <c r="AJ785">
        <v>302</v>
      </c>
    </row>
    <row r="786" spans="30:36">
      <c r="AD786" t="s">
        <v>140</v>
      </c>
      <c r="AE786" t="str">
        <f>VLOOKUP(Таблица1_113[[#This Row],[Марка]],Таблица13[#All],4,0)</f>
        <v>Япония</v>
      </c>
      <c r="AF786" t="str">
        <f>VLOOKUP(Таблица1_113[[#This Row],[Марка]],Таблица13[#All],2,0)</f>
        <v>Business</v>
      </c>
      <c r="AG786">
        <f>VLOOKUP(Таблица1_113[[#This Row],[Марка]],Таблица13[#All],3,0)</f>
        <v>1916</v>
      </c>
      <c r="AH786" t="str">
        <f>VLOOKUP(Таблица1_113[[#This Row],[Марка]],Таблица13[#All],5,0)</f>
        <v>Нет</v>
      </c>
      <c r="AI786" s="12">
        <v>44136</v>
      </c>
      <c r="AJ786">
        <v>30</v>
      </c>
    </row>
    <row r="787" spans="30:36">
      <c r="AD787" t="s">
        <v>34</v>
      </c>
      <c r="AE787" t="str">
        <f>VLOOKUP(Таблица1_113[[#This Row],[Марка]],Таблица13[#All],4,0)</f>
        <v>Япония</v>
      </c>
      <c r="AF787" t="str">
        <f>VLOOKUP(Таблица1_113[[#This Row],[Марка]],Таблица13[#All],2,0)</f>
        <v>Luxury</v>
      </c>
      <c r="AG787">
        <f>VLOOKUP(Таблица1_113[[#This Row],[Марка]],Таблица13[#All],3,0)</f>
        <v>1989</v>
      </c>
      <c r="AH787" t="str">
        <f>VLOOKUP(Таблица1_113[[#This Row],[Марка]],Таблица13[#All],5,0)</f>
        <v>Нет</v>
      </c>
      <c r="AI787" s="12">
        <v>44136</v>
      </c>
      <c r="AJ787">
        <v>44</v>
      </c>
    </row>
    <row r="788" spans="30:36">
      <c r="AD788" t="s">
        <v>0</v>
      </c>
      <c r="AE788" t="str">
        <f>VLOOKUP(Таблица1_113[[#This Row],[Марка]],Таблица13[#All],4,0)</f>
        <v>Корея</v>
      </c>
      <c r="AF788" t="str">
        <f>VLOOKUP(Таблица1_113[[#This Row],[Марка]],Таблица13[#All],2,0)</f>
        <v>Economy</v>
      </c>
      <c r="AG788">
        <f>VLOOKUP(Таблица1_113[[#This Row],[Марка]],Таблица13[#All],3,0)</f>
        <v>1967</v>
      </c>
      <c r="AH788" t="str">
        <f>VLOOKUP(Таблица1_113[[#This Row],[Марка]],Таблица13[#All],5,0)</f>
        <v>Крупноузловая</v>
      </c>
      <c r="AI788" s="12">
        <v>44136</v>
      </c>
      <c r="AJ788">
        <v>2303</v>
      </c>
    </row>
    <row r="789" spans="30:36">
      <c r="AD789" t="s">
        <v>138</v>
      </c>
      <c r="AE789" t="str">
        <f>VLOOKUP(Таблица1_113[[#This Row],[Марка]],Таблица13[#All],4,0)</f>
        <v>Корея</v>
      </c>
      <c r="AF789" t="str">
        <f>VLOOKUP(Таблица1_113[[#This Row],[Марка]],Таблица13[#All],2,0)</f>
        <v>Luxury</v>
      </c>
      <c r="AG789">
        <f>VLOOKUP(Таблица1_113[[#This Row],[Марка]],Таблица13[#All],3,0)</f>
        <v>2015</v>
      </c>
      <c r="AH789" t="str">
        <f>VLOOKUP(Таблица1_113[[#This Row],[Марка]],Таблица13[#All],5,0)</f>
        <v>Нет</v>
      </c>
      <c r="AI789" s="12">
        <v>44136</v>
      </c>
      <c r="AJ789">
        <v>0</v>
      </c>
    </row>
    <row r="790" spans="30:36">
      <c r="AD790" t="s">
        <v>133</v>
      </c>
      <c r="AE790" t="str">
        <f>VLOOKUP(Таблица1_113[[#This Row],[Марка]],Таблица13[#All],4,0)</f>
        <v>Китай</v>
      </c>
      <c r="AF790" t="str">
        <f>VLOOKUP(Таблица1_113[[#This Row],[Марка]],Таблица13[#All],2,0)</f>
        <v>Economy</v>
      </c>
      <c r="AG790">
        <f>VLOOKUP(Таблица1_113[[#This Row],[Марка]],Таблица13[#All],3,0)</f>
        <v>1996</v>
      </c>
      <c r="AH790" t="str">
        <f>VLOOKUP(Таблица1_113[[#This Row],[Марка]],Таблица13[#All],5,0)</f>
        <v>Нет</v>
      </c>
      <c r="AI790" s="12">
        <v>44136</v>
      </c>
      <c r="AJ790">
        <v>0</v>
      </c>
    </row>
    <row r="791" spans="30:36">
      <c r="AD791" t="s">
        <v>130</v>
      </c>
      <c r="AE791" t="str">
        <f>VLOOKUP(Таблица1_113[[#This Row],[Марка]],Таблица13[#All],4,0)</f>
        <v>Китай</v>
      </c>
      <c r="AF791" t="str">
        <f>VLOOKUP(Таблица1_113[[#This Row],[Марка]],Таблица13[#All],2,0)</f>
        <v>Economy</v>
      </c>
      <c r="AG791">
        <f>VLOOKUP(Таблица1_113[[#This Row],[Марка]],Таблица13[#All],3,0)</f>
        <v>1969</v>
      </c>
      <c r="AH791" t="str">
        <f>VLOOKUP(Таблица1_113[[#This Row],[Марка]],Таблица13[#All],5,0)</f>
        <v>Нет</v>
      </c>
      <c r="AI791" s="12">
        <v>44136</v>
      </c>
      <c r="AJ791">
        <v>2</v>
      </c>
    </row>
    <row r="792" spans="30:36">
      <c r="AD792" t="s">
        <v>137</v>
      </c>
      <c r="AE792" t="str">
        <f>VLOOKUP(Таблица1_113[[#This Row],[Марка]],Таблица13[#All],4,0)</f>
        <v>Корея</v>
      </c>
      <c r="AF792" t="str">
        <f>VLOOKUP(Таблица1_113[[#This Row],[Марка]],Таблица13[#All],2,0)</f>
        <v>Economy</v>
      </c>
      <c r="AG792">
        <f>VLOOKUP(Таблица1_113[[#This Row],[Марка]],Таблица13[#All],3,0)</f>
        <v>1967</v>
      </c>
      <c r="AH792" t="str">
        <f>VLOOKUP(Таблица1_113[[#This Row],[Марка]],Таблица13[#All],5,0)</f>
        <v>Нет</v>
      </c>
      <c r="AI792" s="12">
        <v>44136</v>
      </c>
      <c r="AJ792">
        <v>1</v>
      </c>
    </row>
    <row r="793" spans="30:36">
      <c r="AD793" t="s">
        <v>1</v>
      </c>
      <c r="AE793" t="str">
        <f>VLOOKUP(Таблица1_113[[#This Row],[Марка]],Таблица13[#All],4,0)</f>
        <v>США</v>
      </c>
      <c r="AF793" t="str">
        <f>VLOOKUP(Таблица1_113[[#This Row],[Марка]],Таблица13[#All],2,0)</f>
        <v>Economy</v>
      </c>
      <c r="AG793">
        <f>VLOOKUP(Таблица1_113[[#This Row],[Марка]],Таблица13[#All],3,0)</f>
        <v>1911</v>
      </c>
      <c r="AH793" t="str">
        <f>VLOOKUP(Таблица1_113[[#This Row],[Марка]],Таблица13[#All],5,0)</f>
        <v>Крупноузловая</v>
      </c>
      <c r="AI793" s="12">
        <v>44136</v>
      </c>
      <c r="AJ793">
        <v>1852</v>
      </c>
    </row>
    <row r="794" spans="30:36">
      <c r="AD794" t="s">
        <v>36</v>
      </c>
      <c r="AE794" t="str">
        <f>VLOOKUP(Таблица1_113[[#This Row],[Марка]],Таблица13[#All],4,0)</f>
        <v>США</v>
      </c>
      <c r="AF794" t="str">
        <f>VLOOKUP(Таблица1_113[[#This Row],[Марка]],Таблица13[#All],2,0)</f>
        <v>Luxury</v>
      </c>
      <c r="AG794">
        <f>VLOOKUP(Таблица1_113[[#This Row],[Марка]],Таблица13[#All],3,0)</f>
        <v>1902</v>
      </c>
      <c r="AH794" t="str">
        <f>VLOOKUP(Таблица1_113[[#This Row],[Марка]],Таблица13[#All],5,0)</f>
        <v>Нет</v>
      </c>
      <c r="AI794" s="12">
        <v>44136</v>
      </c>
      <c r="AJ794">
        <v>10</v>
      </c>
    </row>
    <row r="795" spans="30:36">
      <c r="AD795" t="s">
        <v>8</v>
      </c>
      <c r="AE795" t="str">
        <f>VLOOKUP(Таблица1_113[[#This Row],[Марка]],Таблица13[#All],4,0)</f>
        <v>Германия</v>
      </c>
      <c r="AF795" t="str">
        <f>VLOOKUP(Таблица1_113[[#This Row],[Марка]],Таблица13[#All],2,0)</f>
        <v>Luxury</v>
      </c>
      <c r="AG795">
        <f>VLOOKUP(Таблица1_113[[#This Row],[Марка]],Таблица13[#All],3,0)</f>
        <v>1916</v>
      </c>
      <c r="AH795" t="str">
        <f>VLOOKUP(Таблица1_113[[#This Row],[Марка]],Таблица13[#All],5,0)</f>
        <v>Нет</v>
      </c>
      <c r="AI795" s="12">
        <v>44136</v>
      </c>
      <c r="AJ795">
        <v>104</v>
      </c>
    </row>
    <row r="796" spans="30:36">
      <c r="AD796" t="s">
        <v>38</v>
      </c>
      <c r="AE796" t="str">
        <f>VLOOKUP(Таблица1_113[[#This Row],[Марка]],Таблица13[#All],4,0)</f>
        <v>Германия</v>
      </c>
      <c r="AF796" t="str">
        <f>VLOOKUP(Таблица1_113[[#This Row],[Марка]],Таблица13[#All],2,0)</f>
        <v>Luxury</v>
      </c>
      <c r="AG796">
        <f>VLOOKUP(Таблица1_113[[#This Row],[Марка]],Таблица13[#All],3,0)</f>
        <v>1932</v>
      </c>
      <c r="AH796" t="str">
        <f>VLOOKUP(Таблица1_113[[#This Row],[Марка]],Таблица13[#All],5,0)</f>
        <v>Нет</v>
      </c>
      <c r="AI796" s="12">
        <v>44136</v>
      </c>
      <c r="AJ796">
        <v>15</v>
      </c>
    </row>
    <row r="797" spans="30:36">
      <c r="AD797" t="s">
        <v>136</v>
      </c>
      <c r="AE797" t="str">
        <f>VLOOKUP(Таблица1_113[[#This Row],[Марка]],Таблица13[#All],4,0)</f>
        <v>Россия</v>
      </c>
      <c r="AF797" t="str">
        <f>VLOOKUP(Таблица1_113[[#This Row],[Марка]],Таблица13[#All],2,0)</f>
        <v>Economy</v>
      </c>
      <c r="AG797">
        <f>VLOOKUP(Таблица1_113[[#This Row],[Марка]],Таблица13[#All],3,0)</f>
        <v>1941</v>
      </c>
      <c r="AH797" t="str">
        <f>VLOOKUP(Таблица1_113[[#This Row],[Марка]],Таблица13[#All],5,0)</f>
        <v>Нет</v>
      </c>
      <c r="AI797" s="12">
        <v>44166</v>
      </c>
      <c r="AJ797">
        <v>191</v>
      </c>
    </row>
    <row r="798" spans="30:36">
      <c r="AD798" t="s">
        <v>135</v>
      </c>
      <c r="AE798" t="str">
        <f>VLOOKUP(Таблица1_113[[#This Row],[Марка]],Таблица13[#All],4,0)</f>
        <v>-</v>
      </c>
      <c r="AF798" t="str">
        <f>VLOOKUP(Таблица1_113[[#This Row],[Марка]],Таблица13[#All],2,0)</f>
        <v>-</v>
      </c>
      <c r="AG798" t="str">
        <f>VLOOKUP(Таблица1_113[[#This Row],[Марка]],Таблица13[#All],3,0)</f>
        <v>-</v>
      </c>
      <c r="AH798" t="str">
        <f>VLOOKUP(Таблица1_113[[#This Row],[Марка]],Таблица13[#All],5,0)</f>
        <v>-</v>
      </c>
      <c r="AI798" s="12">
        <v>44166</v>
      </c>
      <c r="AJ798">
        <v>11</v>
      </c>
    </row>
    <row r="799" spans="30:36">
      <c r="AD799" t="s">
        <v>39</v>
      </c>
      <c r="AE799" t="str">
        <f>VLOOKUP(Таблица1_113[[#This Row],[Марка]],Таблица13[#All],4,0)</f>
        <v>Швеция</v>
      </c>
      <c r="AF799" t="str">
        <f>VLOOKUP(Таблица1_113[[#This Row],[Марка]],Таблица13[#All],2,0)</f>
        <v>Business</v>
      </c>
      <c r="AG799">
        <f>VLOOKUP(Таблица1_113[[#This Row],[Марка]],Таблица13[#All],3,0)</f>
        <v>1927</v>
      </c>
      <c r="AH799" t="str">
        <f>VLOOKUP(Таблица1_113[[#This Row],[Марка]],Таблица13[#All],5,0)</f>
        <v>Нет</v>
      </c>
      <c r="AI799" s="12">
        <v>44166</v>
      </c>
      <c r="AJ799">
        <v>5</v>
      </c>
    </row>
    <row r="800" spans="30:36">
      <c r="AD800" t="s">
        <v>21</v>
      </c>
      <c r="AE800" t="str">
        <f>VLOOKUP(Таблица1_113[[#This Row],[Марка]],Таблица13[#All],4,0)</f>
        <v>Германия</v>
      </c>
      <c r="AF800" t="str">
        <f>VLOOKUP(Таблица1_113[[#This Row],[Марка]],Таблица13[#All],2,0)</f>
        <v>Business</v>
      </c>
      <c r="AG800">
        <f>VLOOKUP(Таблица1_113[[#This Row],[Марка]],Таблица13[#All],3,0)</f>
        <v>1937</v>
      </c>
      <c r="AH800" t="str">
        <f>VLOOKUP(Таблица1_113[[#This Row],[Марка]],Таблица13[#All],5,0)</f>
        <v>Нет</v>
      </c>
      <c r="AI800" s="12">
        <v>44166</v>
      </c>
      <c r="AJ800">
        <v>267</v>
      </c>
    </row>
    <row r="801" spans="30:36">
      <c r="AD801" t="s">
        <v>2</v>
      </c>
      <c r="AE801" t="str">
        <f>VLOOKUP(Таблица1_113[[#This Row],[Марка]],Таблица13[#All],4,0)</f>
        <v>Япония</v>
      </c>
      <c r="AF801" t="str">
        <f>VLOOKUP(Таблица1_113[[#This Row],[Марка]],Таблица13[#All],2,0)</f>
        <v>Business</v>
      </c>
      <c r="AG801">
        <f>VLOOKUP(Таблица1_113[[#This Row],[Марка]],Таблица13[#All],3,0)</f>
        <v>1937</v>
      </c>
      <c r="AH801" t="str">
        <f>VLOOKUP(Таблица1_113[[#This Row],[Марка]],Таблица13[#All],5,0)</f>
        <v>Нет</v>
      </c>
      <c r="AI801" s="12">
        <v>44166</v>
      </c>
      <c r="AJ801">
        <v>737</v>
      </c>
    </row>
    <row r="802" spans="30:36">
      <c r="AD802" t="s">
        <v>143</v>
      </c>
      <c r="AE802" t="str">
        <f>VLOOKUP(Таблица1_113[[#This Row],[Марка]],Таблица13[#All],4,0)</f>
        <v>Япония</v>
      </c>
      <c r="AF802" t="str">
        <f>VLOOKUP(Таблица1_113[[#This Row],[Марка]],Таблица13[#All],2,0)</f>
        <v>Economy</v>
      </c>
      <c r="AG802">
        <f>VLOOKUP(Таблица1_113[[#This Row],[Марка]],Таблица13[#All],3,0)</f>
        <v>1909</v>
      </c>
      <c r="AH802" t="str">
        <f>VLOOKUP(Таблица1_113[[#This Row],[Марка]],Таблица13[#All],5,0)</f>
        <v>Нет</v>
      </c>
      <c r="AI802" s="12">
        <v>44166</v>
      </c>
      <c r="AJ802">
        <v>0</v>
      </c>
    </row>
    <row r="803" spans="30:36">
      <c r="AD803" t="s">
        <v>125</v>
      </c>
      <c r="AE803" t="str">
        <f>VLOOKUP(Таблица1_113[[#This Row],[Марка]],Таблица13[#All],4,0)</f>
        <v>Япония</v>
      </c>
      <c r="AF803" t="str">
        <f>VLOOKUP(Таблица1_113[[#This Row],[Марка]],Таблица13[#All],2,0)</f>
        <v>Business</v>
      </c>
      <c r="AG803">
        <f>VLOOKUP(Таблица1_113[[#This Row],[Марка]],Таблица13[#All],3,0)</f>
        <v>1953</v>
      </c>
      <c r="AH803" t="str">
        <f>VLOOKUP(Таблица1_113[[#This Row],[Марка]],Таблица13[#All],5,0)</f>
        <v>Нет</v>
      </c>
      <c r="AI803" s="12">
        <v>44166</v>
      </c>
      <c r="AJ803">
        <v>24</v>
      </c>
    </row>
    <row r="804" spans="30:36">
      <c r="AD804" t="s">
        <v>141</v>
      </c>
      <c r="AE804" t="str">
        <f>VLOOKUP(Таблица1_113[[#This Row],[Марка]],Таблица13[#All],4,0)</f>
        <v>Чехия</v>
      </c>
      <c r="AF804" t="str">
        <f>VLOOKUP(Таблица1_113[[#This Row],[Марка]],Таблица13[#All],2,0)</f>
        <v>Business</v>
      </c>
      <c r="AG804">
        <f>VLOOKUP(Таблица1_113[[#This Row],[Марка]],Таблица13[#All],3,0)</f>
        <v>1895</v>
      </c>
      <c r="AH804" t="str">
        <f>VLOOKUP(Таблица1_113[[#This Row],[Марка]],Таблица13[#All],5,0)</f>
        <v>Крупноузловая</v>
      </c>
      <c r="AI804" s="12">
        <v>44166</v>
      </c>
      <c r="AJ804">
        <v>2</v>
      </c>
    </row>
    <row r="805" spans="30:36">
      <c r="AD805" t="s">
        <v>23</v>
      </c>
      <c r="AE805" t="str">
        <f>VLOOKUP(Таблица1_113[[#This Row],[Марка]],Таблица13[#All],4,0)</f>
        <v>Франция</v>
      </c>
      <c r="AF805" t="str">
        <f>VLOOKUP(Таблица1_113[[#This Row],[Марка]],Таблица13[#All],2,0)</f>
        <v>Economy</v>
      </c>
      <c r="AG805">
        <f>VLOOKUP(Таблица1_113[[#This Row],[Марка]],Таблица13[#All],3,0)</f>
        <v>1899</v>
      </c>
      <c r="AH805" t="str">
        <f>VLOOKUP(Таблица1_113[[#This Row],[Марка]],Таблица13[#All],5,0)</f>
        <v>Крупноузловая</v>
      </c>
      <c r="AI805" s="12">
        <v>44166</v>
      </c>
      <c r="AJ805">
        <v>258</v>
      </c>
    </row>
    <row r="806" spans="30:36">
      <c r="AD806" t="s">
        <v>142</v>
      </c>
      <c r="AE806" t="str">
        <f>VLOOKUP(Таблица1_113[[#This Row],[Марка]],Таблица13[#All],4,0)</f>
        <v>Узбекистан</v>
      </c>
      <c r="AF806" t="str">
        <f>VLOOKUP(Таблица1_113[[#This Row],[Марка]],Таблица13[#All],2,0)</f>
        <v>Economy</v>
      </c>
      <c r="AG806">
        <f>VLOOKUP(Таблица1_113[[#This Row],[Марка]],Таблица13[#All],3,0)</f>
        <v>2015</v>
      </c>
      <c r="AH806" t="str">
        <f>VLOOKUP(Таблица1_113[[#This Row],[Марка]],Таблица13[#All],5,0)</f>
        <v>Крупноузловая</v>
      </c>
      <c r="AI806" s="12">
        <v>44166</v>
      </c>
      <c r="AJ806">
        <v>85</v>
      </c>
    </row>
    <row r="807" spans="30:36">
      <c r="AD807" t="s">
        <v>37</v>
      </c>
      <c r="AE807" t="str">
        <f>VLOOKUP(Таблица1_113[[#This Row],[Марка]],Таблица13[#All],4,0)</f>
        <v>Германия</v>
      </c>
      <c r="AF807" t="str">
        <f>VLOOKUP(Таблица1_113[[#This Row],[Марка]],Таблица13[#All],2,0)</f>
        <v>Luxury</v>
      </c>
      <c r="AG807">
        <f>VLOOKUP(Таблица1_113[[#This Row],[Марка]],Таблица13[#All],3,0)</f>
        <v>1931</v>
      </c>
      <c r="AH807" t="str">
        <f>VLOOKUP(Таблица1_113[[#This Row],[Марка]],Таблица13[#All],5,0)</f>
        <v>Нет</v>
      </c>
      <c r="AI807" s="12">
        <v>44166</v>
      </c>
      <c r="AJ807">
        <v>10</v>
      </c>
    </row>
    <row r="808" spans="30:36">
      <c r="AD808" t="s">
        <v>22</v>
      </c>
      <c r="AE808" t="str">
        <f>VLOOKUP(Таблица1_113[[#This Row],[Марка]],Таблица13[#All],4,0)</f>
        <v>Япония</v>
      </c>
      <c r="AF808" t="str">
        <f>VLOOKUP(Таблица1_113[[#This Row],[Марка]],Таблица13[#All],2,0)</f>
        <v>Business</v>
      </c>
      <c r="AG808">
        <f>VLOOKUP(Таблица1_113[[#This Row],[Марка]],Таблица13[#All],3,0)</f>
        <v>1933</v>
      </c>
      <c r="AH808" t="str">
        <f>VLOOKUP(Таблица1_113[[#This Row],[Марка]],Таблица13[#All],5,0)</f>
        <v>Нет</v>
      </c>
      <c r="AI808" s="12">
        <v>44166</v>
      </c>
      <c r="AJ808">
        <v>323</v>
      </c>
    </row>
    <row r="809" spans="30:36">
      <c r="AD809" t="s">
        <v>9</v>
      </c>
      <c r="AE809" t="str">
        <f>VLOOKUP(Таблица1_113[[#This Row],[Марка]],Таблица13[#All],4,0)</f>
        <v>Япония</v>
      </c>
      <c r="AF809" t="str">
        <f>VLOOKUP(Таблица1_113[[#This Row],[Марка]],Таблица13[#All],2,0)</f>
        <v>Business</v>
      </c>
      <c r="AG809">
        <f>VLOOKUP(Таблица1_113[[#This Row],[Марка]],Таблица13[#All],3,0)</f>
        <v>1870</v>
      </c>
      <c r="AH809" t="str">
        <f>VLOOKUP(Таблица1_113[[#This Row],[Марка]],Таблица13[#All],5,0)</f>
        <v>Нет</v>
      </c>
      <c r="AI809" s="12">
        <v>44166</v>
      </c>
      <c r="AJ809">
        <v>104</v>
      </c>
    </row>
    <row r="810" spans="30:36">
      <c r="AD810" t="s">
        <v>40</v>
      </c>
      <c r="AE810" t="str">
        <f>VLOOKUP(Таблица1_113[[#This Row],[Марка]],Таблица13[#All],4,0)</f>
        <v>Великобритания</v>
      </c>
      <c r="AF810" t="str">
        <f>VLOOKUP(Таблица1_113[[#This Row],[Марка]],Таблица13[#All],2,0)</f>
        <v>Luxury</v>
      </c>
      <c r="AG810">
        <f>VLOOKUP(Таблица1_113[[#This Row],[Марка]],Таблица13[#All],3,0)</f>
        <v>1959</v>
      </c>
      <c r="AH810" t="str">
        <f>VLOOKUP(Таблица1_113[[#This Row],[Марка]],Таблица13[#All],5,0)</f>
        <v>Нет</v>
      </c>
      <c r="AI810" s="12">
        <v>44166</v>
      </c>
      <c r="AJ810">
        <v>0</v>
      </c>
    </row>
    <row r="811" spans="30:36">
      <c r="AD811" t="s">
        <v>128</v>
      </c>
      <c r="AE811" t="str">
        <f>VLOOKUP(Таблица1_113[[#This Row],[Марка]],Таблица13[#All],4,0)</f>
        <v>Германия</v>
      </c>
      <c r="AF811" t="str">
        <f>VLOOKUP(Таблица1_113[[#This Row],[Марка]],Таблица13[#All],2,0)</f>
        <v>Luxury</v>
      </c>
      <c r="AG811">
        <f>VLOOKUP(Таблица1_113[[#This Row],[Марка]],Таблица13[#All],3,0)</f>
        <v>1926</v>
      </c>
      <c r="AH811" t="str">
        <f>VLOOKUP(Таблица1_113[[#This Row],[Марка]],Таблица13[#All],5,0)</f>
        <v>Нет</v>
      </c>
      <c r="AI811" s="12">
        <v>44166</v>
      </c>
      <c r="AJ811">
        <v>63</v>
      </c>
    </row>
    <row r="812" spans="30:36">
      <c r="AD812" t="s">
        <v>139</v>
      </c>
      <c r="AE812" t="str">
        <f>VLOOKUP(Таблица1_113[[#This Row],[Марка]],Таблица13[#All],4,0)</f>
        <v>Япония</v>
      </c>
      <c r="AF812" t="str">
        <f>VLOOKUP(Таблица1_113[[#This Row],[Марка]],Таблица13[#All],2,0)</f>
        <v>Business</v>
      </c>
      <c r="AG812">
        <f>VLOOKUP(Таблица1_113[[#This Row],[Марка]],Таблица13[#All],3,0)</f>
        <v>1920</v>
      </c>
      <c r="AH812" t="str">
        <f>VLOOKUP(Таблица1_113[[#This Row],[Марка]],Таблица13[#All],5,0)</f>
        <v>Нет</v>
      </c>
      <c r="AI812" s="12">
        <v>44166</v>
      </c>
      <c r="AJ812">
        <v>60</v>
      </c>
    </row>
    <row r="813" spans="30:36">
      <c r="AD813" t="s">
        <v>5</v>
      </c>
      <c r="AE813" t="str">
        <f>VLOOKUP(Таблица1_113[[#This Row],[Марка]],Таблица13[#All],4,0)</f>
        <v>Япония</v>
      </c>
      <c r="AF813" t="str">
        <f>VLOOKUP(Таблица1_113[[#This Row],[Марка]],Таблица13[#All],2,0)</f>
        <v>Luxury</v>
      </c>
      <c r="AG813">
        <f>VLOOKUP(Таблица1_113[[#This Row],[Марка]],Таблица13[#All],3,0)</f>
        <v>1989</v>
      </c>
      <c r="AH813" t="str">
        <f>VLOOKUP(Таблица1_113[[#This Row],[Марка]],Таблица13[#All],5,0)</f>
        <v>Нет</v>
      </c>
      <c r="AI813" s="12">
        <v>44166</v>
      </c>
      <c r="AJ813">
        <v>93</v>
      </c>
    </row>
    <row r="814" spans="30:36">
      <c r="AD814" t="s">
        <v>35</v>
      </c>
      <c r="AE814" t="str">
        <f>VLOOKUP(Таблица1_113[[#This Row],[Марка]],Таблица13[#All],4,0)</f>
        <v>Великобритания</v>
      </c>
      <c r="AF814" t="str">
        <f>VLOOKUP(Таблица1_113[[#This Row],[Марка]],Таблица13[#All],2,0)</f>
        <v>Luxury</v>
      </c>
      <c r="AG814">
        <f>VLOOKUP(Таблица1_113[[#This Row],[Марка]],Таблица13[#All],3,0)</f>
        <v>1948</v>
      </c>
      <c r="AH814" t="str">
        <f>VLOOKUP(Таблица1_113[[#This Row],[Марка]],Таблица13[#All],5,0)</f>
        <v>Нет</v>
      </c>
      <c r="AI814" s="12">
        <v>44166</v>
      </c>
      <c r="AJ814">
        <v>26</v>
      </c>
    </row>
    <row r="815" spans="30:36">
      <c r="AD815" t="s">
        <v>19</v>
      </c>
      <c r="AE815" t="str">
        <f>VLOOKUP(Таблица1_113[[#This Row],[Марка]],Таблица13[#All],4,0)</f>
        <v>Россия</v>
      </c>
      <c r="AF815" t="str">
        <f>VLOOKUP(Таблица1_113[[#This Row],[Марка]],Таблица13[#All],2,0)</f>
        <v>Economy</v>
      </c>
      <c r="AG815">
        <f>VLOOKUP(Таблица1_113[[#This Row],[Марка]],Таблица13[#All],3,0)</f>
        <v>1970</v>
      </c>
      <c r="AH815" t="str">
        <f>VLOOKUP(Таблица1_113[[#This Row],[Марка]],Таблица13[#All],5,0)</f>
        <v>Крупноузловая</v>
      </c>
      <c r="AI815" s="12">
        <v>44166</v>
      </c>
      <c r="AJ815">
        <v>1031</v>
      </c>
    </row>
    <row r="816" spans="30:36">
      <c r="AD816" t="s">
        <v>15</v>
      </c>
      <c r="AE816" t="str">
        <f>VLOOKUP(Таблица1_113[[#This Row],[Марка]],Таблица13[#All],4,0)</f>
        <v>Корея</v>
      </c>
      <c r="AF816" t="str">
        <f>VLOOKUP(Таблица1_113[[#This Row],[Марка]],Таблица13[#All],2,0)</f>
        <v>Economy</v>
      </c>
      <c r="AG816">
        <f>VLOOKUP(Таблица1_113[[#This Row],[Марка]],Таблица13[#All],3,0)</f>
        <v>1944</v>
      </c>
      <c r="AH816" t="str">
        <f>VLOOKUP(Таблица1_113[[#This Row],[Марка]],Таблица13[#All],5,0)</f>
        <v>Крупноузловая</v>
      </c>
      <c r="AI816" s="12">
        <v>44166</v>
      </c>
      <c r="AJ816">
        <v>440</v>
      </c>
    </row>
    <row r="817" spans="30:36">
      <c r="AD817" t="s">
        <v>134</v>
      </c>
      <c r="AE817" t="str">
        <f>VLOOKUP(Таблица1_113[[#This Row],[Марка]],Таблица13[#All],4,0)</f>
        <v>Великобритания</v>
      </c>
      <c r="AF817" t="str">
        <f>VLOOKUP(Таблица1_113[[#This Row],[Марка]],Таблица13[#All],2,0)</f>
        <v>Luxury</v>
      </c>
      <c r="AG817">
        <f>VLOOKUP(Таблица1_113[[#This Row],[Марка]],Таблица13[#All],3,0)</f>
        <v>1922</v>
      </c>
      <c r="AH817" t="str">
        <f>VLOOKUP(Таблица1_113[[#This Row],[Марка]],Таблица13[#All],5,0)</f>
        <v>Нет</v>
      </c>
      <c r="AI817" s="12">
        <v>44166</v>
      </c>
      <c r="AJ817">
        <v>13</v>
      </c>
    </row>
    <row r="818" spans="30:36">
      <c r="AD818" t="s">
        <v>4</v>
      </c>
      <c r="AE818" t="str">
        <f>VLOOKUP(Таблица1_113[[#This Row],[Марка]],Таблица13[#All],4,0)</f>
        <v>Китай</v>
      </c>
      <c r="AF818" t="str">
        <f>VLOOKUP(Таблица1_113[[#This Row],[Марка]],Таблица13[#All],2,0)</f>
        <v>Economy</v>
      </c>
      <c r="AG818">
        <f>VLOOKUP(Таблица1_113[[#This Row],[Марка]],Таблица13[#All],3,0)</f>
        <v>1964</v>
      </c>
      <c r="AH818" t="str">
        <f>VLOOKUP(Таблица1_113[[#This Row],[Марка]],Таблица13[#All],5,0)</f>
        <v>Крупноузловая</v>
      </c>
      <c r="AI818" s="12">
        <v>44166</v>
      </c>
      <c r="AJ818">
        <v>656</v>
      </c>
    </row>
    <row r="819" spans="30:36">
      <c r="AD819" t="s">
        <v>140</v>
      </c>
      <c r="AE819" t="str">
        <f>VLOOKUP(Таблица1_113[[#This Row],[Марка]],Таблица13[#All],4,0)</f>
        <v>Япония</v>
      </c>
      <c r="AF819" t="str">
        <f>VLOOKUP(Таблица1_113[[#This Row],[Марка]],Таблица13[#All],2,0)</f>
        <v>Business</v>
      </c>
      <c r="AG819">
        <f>VLOOKUP(Таблица1_113[[#This Row],[Марка]],Таблица13[#All],3,0)</f>
        <v>1916</v>
      </c>
      <c r="AH819" t="str">
        <f>VLOOKUP(Таблица1_113[[#This Row],[Марка]],Таблица13[#All],5,0)</f>
        <v>Нет</v>
      </c>
      <c r="AI819" s="12">
        <v>44166</v>
      </c>
      <c r="AJ819">
        <v>11</v>
      </c>
    </row>
    <row r="820" spans="30:36">
      <c r="AD820" t="s">
        <v>34</v>
      </c>
      <c r="AE820" t="str">
        <f>VLOOKUP(Таблица1_113[[#This Row],[Марка]],Таблица13[#All],4,0)</f>
        <v>Япония</v>
      </c>
      <c r="AF820" t="str">
        <f>VLOOKUP(Таблица1_113[[#This Row],[Марка]],Таблица13[#All],2,0)</f>
        <v>Luxury</v>
      </c>
      <c r="AG820">
        <f>VLOOKUP(Таблица1_113[[#This Row],[Марка]],Таблица13[#All],3,0)</f>
        <v>1989</v>
      </c>
      <c r="AH820" t="str">
        <f>VLOOKUP(Таблица1_113[[#This Row],[Марка]],Таблица13[#All],5,0)</f>
        <v>Нет</v>
      </c>
      <c r="AI820" s="12">
        <v>44166</v>
      </c>
      <c r="AJ820">
        <v>11</v>
      </c>
    </row>
    <row r="821" spans="30:36">
      <c r="AD821" t="s">
        <v>0</v>
      </c>
      <c r="AE821" t="str">
        <f>VLOOKUP(Таблица1_113[[#This Row],[Марка]],Таблица13[#All],4,0)</f>
        <v>Корея</v>
      </c>
      <c r="AF821" t="str">
        <f>VLOOKUP(Таблица1_113[[#This Row],[Марка]],Таблица13[#All],2,0)</f>
        <v>Economy</v>
      </c>
      <c r="AG821">
        <f>VLOOKUP(Таблица1_113[[#This Row],[Марка]],Таблица13[#All],3,0)</f>
        <v>1967</v>
      </c>
      <c r="AH821" t="str">
        <f>VLOOKUP(Таблица1_113[[#This Row],[Марка]],Таблица13[#All],5,0)</f>
        <v>Крупноузловая</v>
      </c>
      <c r="AI821" s="12">
        <v>44166</v>
      </c>
      <c r="AJ821">
        <v>2473</v>
      </c>
    </row>
    <row r="822" spans="30:36">
      <c r="AD822" t="s">
        <v>138</v>
      </c>
      <c r="AE822" t="str">
        <f>VLOOKUP(Таблица1_113[[#This Row],[Марка]],Таблица13[#All],4,0)</f>
        <v>Корея</v>
      </c>
      <c r="AF822" t="str">
        <f>VLOOKUP(Таблица1_113[[#This Row],[Марка]],Таблица13[#All],2,0)</f>
        <v>Luxury</v>
      </c>
      <c r="AG822">
        <f>VLOOKUP(Таблица1_113[[#This Row],[Марка]],Таблица13[#All],3,0)</f>
        <v>2015</v>
      </c>
      <c r="AH822" t="str">
        <f>VLOOKUP(Таблица1_113[[#This Row],[Марка]],Таблица13[#All],5,0)</f>
        <v>Нет</v>
      </c>
      <c r="AI822" s="12">
        <v>44166</v>
      </c>
      <c r="AJ822">
        <v>0</v>
      </c>
    </row>
    <row r="823" spans="30:36">
      <c r="AD823" t="s">
        <v>133</v>
      </c>
      <c r="AE823" t="str">
        <f>VLOOKUP(Таблица1_113[[#This Row],[Марка]],Таблица13[#All],4,0)</f>
        <v>Китай</v>
      </c>
      <c r="AF823" t="str">
        <f>VLOOKUP(Таблица1_113[[#This Row],[Марка]],Таблица13[#All],2,0)</f>
        <v>Economy</v>
      </c>
      <c r="AG823">
        <f>VLOOKUP(Таблица1_113[[#This Row],[Марка]],Таблица13[#All],3,0)</f>
        <v>1996</v>
      </c>
      <c r="AH823" t="str">
        <f>VLOOKUP(Таблица1_113[[#This Row],[Марка]],Таблица13[#All],5,0)</f>
        <v>Нет</v>
      </c>
      <c r="AI823" s="12">
        <v>44166</v>
      </c>
      <c r="AJ823">
        <v>0</v>
      </c>
    </row>
    <row r="824" spans="30:36">
      <c r="AD824" t="s">
        <v>130</v>
      </c>
      <c r="AE824" t="str">
        <f>VLOOKUP(Таблица1_113[[#This Row],[Марка]],Таблица13[#All],4,0)</f>
        <v>Китай</v>
      </c>
      <c r="AF824" t="str">
        <f>VLOOKUP(Таблица1_113[[#This Row],[Марка]],Таблица13[#All],2,0)</f>
        <v>Economy</v>
      </c>
      <c r="AG824">
        <f>VLOOKUP(Таблица1_113[[#This Row],[Марка]],Таблица13[#All],3,0)</f>
        <v>1969</v>
      </c>
      <c r="AH824" t="str">
        <f>VLOOKUP(Таблица1_113[[#This Row],[Марка]],Таблица13[#All],5,0)</f>
        <v>Нет</v>
      </c>
      <c r="AI824" s="12">
        <v>44166</v>
      </c>
      <c r="AJ824">
        <v>0</v>
      </c>
    </row>
    <row r="825" spans="30:36">
      <c r="AD825" t="s">
        <v>137</v>
      </c>
      <c r="AE825" t="str">
        <f>VLOOKUP(Таблица1_113[[#This Row],[Марка]],Таблица13[#All],4,0)</f>
        <v>Корея</v>
      </c>
      <c r="AF825" t="str">
        <f>VLOOKUP(Таблица1_113[[#This Row],[Марка]],Таблица13[#All],2,0)</f>
        <v>Economy</v>
      </c>
      <c r="AG825">
        <f>VLOOKUP(Таблица1_113[[#This Row],[Марка]],Таблица13[#All],3,0)</f>
        <v>1967</v>
      </c>
      <c r="AH825" t="str">
        <f>VLOOKUP(Таблица1_113[[#This Row],[Марка]],Таблица13[#All],5,0)</f>
        <v>Нет</v>
      </c>
      <c r="AI825" s="12">
        <v>44166</v>
      </c>
      <c r="AJ825">
        <v>5</v>
      </c>
    </row>
    <row r="826" spans="30:36">
      <c r="AD826" t="s">
        <v>1</v>
      </c>
      <c r="AE826" t="str">
        <f>VLOOKUP(Таблица1_113[[#This Row],[Марка]],Таблица13[#All],4,0)</f>
        <v>США</v>
      </c>
      <c r="AF826" t="str">
        <f>VLOOKUP(Таблица1_113[[#This Row],[Марка]],Таблица13[#All],2,0)</f>
        <v>Economy</v>
      </c>
      <c r="AG826">
        <f>VLOOKUP(Таблица1_113[[#This Row],[Марка]],Таблица13[#All],3,0)</f>
        <v>1911</v>
      </c>
      <c r="AH826" t="str">
        <f>VLOOKUP(Таблица1_113[[#This Row],[Марка]],Таблица13[#All],5,0)</f>
        <v>Крупноузловая</v>
      </c>
      <c r="AI826" s="12">
        <v>44166</v>
      </c>
      <c r="AJ826">
        <v>2500</v>
      </c>
    </row>
    <row r="827" spans="30:36">
      <c r="AD827" t="s">
        <v>36</v>
      </c>
      <c r="AE827" t="str">
        <f>VLOOKUP(Таблица1_113[[#This Row],[Марка]],Таблица13[#All],4,0)</f>
        <v>США</v>
      </c>
      <c r="AF827" t="str">
        <f>VLOOKUP(Таблица1_113[[#This Row],[Марка]],Таблица13[#All],2,0)</f>
        <v>Luxury</v>
      </c>
      <c r="AG827">
        <f>VLOOKUP(Таблица1_113[[#This Row],[Марка]],Таблица13[#All],3,0)</f>
        <v>1902</v>
      </c>
      <c r="AH827" t="str">
        <f>VLOOKUP(Таблица1_113[[#This Row],[Марка]],Таблица13[#All],5,0)</f>
        <v>Нет</v>
      </c>
      <c r="AI827" s="12">
        <v>44166</v>
      </c>
      <c r="AJ827">
        <v>16</v>
      </c>
    </row>
    <row r="828" spans="30:36">
      <c r="AD828" t="s">
        <v>8</v>
      </c>
      <c r="AE828" t="str">
        <f>VLOOKUP(Таблица1_113[[#This Row],[Марка]],Таблица13[#All],4,0)</f>
        <v>Германия</v>
      </c>
      <c r="AF828" t="str">
        <f>VLOOKUP(Таблица1_113[[#This Row],[Марка]],Таблица13[#All],2,0)</f>
        <v>Luxury</v>
      </c>
      <c r="AG828">
        <f>VLOOKUP(Таблица1_113[[#This Row],[Марка]],Таблица13[#All],3,0)</f>
        <v>1916</v>
      </c>
      <c r="AH828" t="str">
        <f>VLOOKUP(Таблица1_113[[#This Row],[Марка]],Таблица13[#All],5,0)</f>
        <v>Нет</v>
      </c>
      <c r="AI828" s="12">
        <v>44166</v>
      </c>
      <c r="AJ828">
        <v>134</v>
      </c>
    </row>
    <row r="829" spans="30:36">
      <c r="AD829" t="s">
        <v>38</v>
      </c>
      <c r="AE829" t="str">
        <f>VLOOKUP(Таблица1_113[[#This Row],[Марка]],Таблица13[#All],4,0)</f>
        <v>Германия</v>
      </c>
      <c r="AF829" t="str">
        <f>VLOOKUP(Таблица1_113[[#This Row],[Марка]],Таблица13[#All],2,0)</f>
        <v>Luxury</v>
      </c>
      <c r="AG829">
        <f>VLOOKUP(Таблица1_113[[#This Row],[Марка]],Таблица13[#All],3,0)</f>
        <v>1932</v>
      </c>
      <c r="AH829" t="str">
        <f>VLOOKUP(Таблица1_113[[#This Row],[Марка]],Таблица13[#All],5,0)</f>
        <v>Нет</v>
      </c>
      <c r="AI829" s="12">
        <v>44166</v>
      </c>
      <c r="AJ829">
        <v>12</v>
      </c>
    </row>
    <row r="830" spans="30:36">
      <c r="AD830" t="s">
        <v>136</v>
      </c>
      <c r="AE830" t="str">
        <f>VLOOKUP(Таблица1_113[[#This Row],[Марка]],Таблица13[#All],4,0)</f>
        <v>Россия</v>
      </c>
      <c r="AF830" t="str">
        <f>VLOOKUP(Таблица1_113[[#This Row],[Марка]],Таблица13[#All],2,0)</f>
        <v>Economy</v>
      </c>
      <c r="AG830">
        <f>VLOOKUP(Таблица1_113[[#This Row],[Марка]],Таблица13[#All],3,0)</f>
        <v>1941</v>
      </c>
      <c r="AH830" t="str">
        <f>VLOOKUP(Таблица1_113[[#This Row],[Марка]],Таблица13[#All],5,0)</f>
        <v>Нет</v>
      </c>
      <c r="AI830" s="12">
        <v>44197</v>
      </c>
      <c r="AJ830">
        <v>79</v>
      </c>
    </row>
    <row r="831" spans="30:36">
      <c r="AD831" t="s">
        <v>135</v>
      </c>
      <c r="AE831" t="str">
        <f>VLOOKUP(Таблица1_113[[#This Row],[Марка]],Таблица13[#All],4,0)</f>
        <v>-</v>
      </c>
      <c r="AF831" t="str">
        <f>VLOOKUP(Таблица1_113[[#This Row],[Марка]],Таблица13[#All],2,0)</f>
        <v>-</v>
      </c>
      <c r="AG831" t="str">
        <f>VLOOKUP(Таблица1_113[[#This Row],[Марка]],Таблица13[#All],3,0)</f>
        <v>-</v>
      </c>
      <c r="AH831" t="str">
        <f>VLOOKUP(Таблица1_113[[#This Row],[Марка]],Таблица13[#All],5,0)</f>
        <v>-</v>
      </c>
      <c r="AI831" s="12">
        <v>44197</v>
      </c>
      <c r="AJ831">
        <v>26</v>
      </c>
    </row>
    <row r="832" spans="30:36">
      <c r="AD832" t="s">
        <v>39</v>
      </c>
      <c r="AE832" t="str">
        <f>VLOOKUP(Таблица1_113[[#This Row],[Марка]],Таблица13[#All],4,0)</f>
        <v>Швеция</v>
      </c>
      <c r="AF832" t="str">
        <f>VLOOKUP(Таблица1_113[[#This Row],[Марка]],Таблица13[#All],2,0)</f>
        <v>Business</v>
      </c>
      <c r="AG832">
        <f>VLOOKUP(Таблица1_113[[#This Row],[Марка]],Таблица13[#All],3,0)</f>
        <v>1927</v>
      </c>
      <c r="AH832" t="str">
        <f>VLOOKUP(Таблица1_113[[#This Row],[Марка]],Таблица13[#All],5,0)</f>
        <v>Нет</v>
      </c>
      <c r="AI832" s="12">
        <v>44197</v>
      </c>
      <c r="AJ832">
        <v>9</v>
      </c>
    </row>
    <row r="833" spans="30:36">
      <c r="AD833" t="s">
        <v>21</v>
      </c>
      <c r="AE833" t="str">
        <f>VLOOKUP(Таблица1_113[[#This Row],[Марка]],Таблица13[#All],4,0)</f>
        <v>Германия</v>
      </c>
      <c r="AF833" t="str">
        <f>VLOOKUP(Таблица1_113[[#This Row],[Марка]],Таблица13[#All],2,0)</f>
        <v>Business</v>
      </c>
      <c r="AG833">
        <f>VLOOKUP(Таблица1_113[[#This Row],[Марка]],Таблица13[#All],3,0)</f>
        <v>1937</v>
      </c>
      <c r="AH833" t="str">
        <f>VLOOKUP(Таблица1_113[[#This Row],[Марка]],Таблица13[#All],5,0)</f>
        <v>Нет</v>
      </c>
      <c r="AI833" s="12">
        <v>44197</v>
      </c>
      <c r="AJ833">
        <v>154</v>
      </c>
    </row>
    <row r="834" spans="30:36">
      <c r="AD834" t="s">
        <v>2</v>
      </c>
      <c r="AE834" t="str">
        <f>VLOOKUP(Таблица1_113[[#This Row],[Марка]],Таблица13[#All],4,0)</f>
        <v>Япония</v>
      </c>
      <c r="AF834" t="str">
        <f>VLOOKUP(Таблица1_113[[#This Row],[Марка]],Таблица13[#All],2,0)</f>
        <v>Business</v>
      </c>
      <c r="AG834">
        <f>VLOOKUP(Таблица1_113[[#This Row],[Марка]],Таблица13[#All],3,0)</f>
        <v>1937</v>
      </c>
      <c r="AH834" t="str">
        <f>VLOOKUP(Таблица1_113[[#This Row],[Марка]],Таблица13[#All],5,0)</f>
        <v>Нет</v>
      </c>
      <c r="AI834" s="12">
        <v>44197</v>
      </c>
      <c r="AJ834">
        <v>1044</v>
      </c>
    </row>
    <row r="835" spans="30:36">
      <c r="AD835" t="s">
        <v>125</v>
      </c>
      <c r="AE835" t="str">
        <f>VLOOKUP(Таблица1_113[[#This Row],[Марка]],Таблица13[#All],4,0)</f>
        <v>Япония</v>
      </c>
      <c r="AF835" t="str">
        <f>VLOOKUP(Таблица1_113[[#This Row],[Марка]],Таблица13[#All],2,0)</f>
        <v>Business</v>
      </c>
      <c r="AG835">
        <f>VLOOKUP(Таблица1_113[[#This Row],[Марка]],Таблица13[#All],3,0)</f>
        <v>1953</v>
      </c>
      <c r="AH835" t="str">
        <f>VLOOKUP(Таблица1_113[[#This Row],[Марка]],Таблица13[#All],5,0)</f>
        <v>Нет</v>
      </c>
      <c r="AI835" s="12">
        <v>44197</v>
      </c>
      <c r="AJ835">
        <v>0</v>
      </c>
    </row>
    <row r="836" spans="30:36">
      <c r="AD836" t="s">
        <v>141</v>
      </c>
      <c r="AE836" t="str">
        <f>VLOOKUP(Таблица1_113[[#This Row],[Марка]],Таблица13[#All],4,0)</f>
        <v>Чехия</v>
      </c>
      <c r="AF836" t="str">
        <f>VLOOKUP(Таблица1_113[[#This Row],[Марка]],Таблица13[#All],2,0)</f>
        <v>Business</v>
      </c>
      <c r="AG836">
        <f>VLOOKUP(Таблица1_113[[#This Row],[Марка]],Таблица13[#All],3,0)</f>
        <v>1895</v>
      </c>
      <c r="AH836" t="str">
        <f>VLOOKUP(Таблица1_113[[#This Row],[Марка]],Таблица13[#All],5,0)</f>
        <v>Крупноузловая</v>
      </c>
      <c r="AI836" s="12">
        <v>44197</v>
      </c>
      <c r="AJ836">
        <v>67</v>
      </c>
    </row>
    <row r="837" spans="30:36">
      <c r="AD837" t="s">
        <v>23</v>
      </c>
      <c r="AE837" t="str">
        <f>VLOOKUP(Таблица1_113[[#This Row],[Марка]],Таблица13[#All],4,0)</f>
        <v>Франция</v>
      </c>
      <c r="AF837" t="str">
        <f>VLOOKUP(Таблица1_113[[#This Row],[Марка]],Таблица13[#All],2,0)</f>
        <v>Economy</v>
      </c>
      <c r="AG837">
        <f>VLOOKUP(Таблица1_113[[#This Row],[Марка]],Таблица13[#All],3,0)</f>
        <v>1899</v>
      </c>
      <c r="AH837" t="str">
        <f>VLOOKUP(Таблица1_113[[#This Row],[Марка]],Таблица13[#All],5,0)</f>
        <v>Крупноузловая</v>
      </c>
      <c r="AI837" s="12">
        <v>44197</v>
      </c>
      <c r="AJ837">
        <v>206</v>
      </c>
    </row>
    <row r="838" spans="30:36">
      <c r="AD838" t="s">
        <v>142</v>
      </c>
      <c r="AE838" t="str">
        <f>VLOOKUP(Таблица1_113[[#This Row],[Марка]],Таблица13[#All],4,0)</f>
        <v>Узбекистан</v>
      </c>
      <c r="AF838" t="str">
        <f>VLOOKUP(Таблица1_113[[#This Row],[Марка]],Таблица13[#All],2,0)</f>
        <v>Economy</v>
      </c>
      <c r="AG838">
        <f>VLOOKUP(Таблица1_113[[#This Row],[Марка]],Таблица13[#All],3,0)</f>
        <v>2015</v>
      </c>
      <c r="AH838" t="str">
        <f>VLOOKUP(Таблица1_113[[#This Row],[Марка]],Таблица13[#All],5,0)</f>
        <v>Крупноузловая</v>
      </c>
      <c r="AI838" s="12">
        <v>44197</v>
      </c>
      <c r="AJ838">
        <v>30</v>
      </c>
    </row>
    <row r="839" spans="30:36">
      <c r="AD839" t="s">
        <v>37</v>
      </c>
      <c r="AE839" t="str">
        <f>VLOOKUP(Таблица1_113[[#This Row],[Марка]],Таблица13[#All],4,0)</f>
        <v>Германия</v>
      </c>
      <c r="AF839" t="str">
        <f>VLOOKUP(Таблица1_113[[#This Row],[Марка]],Таблица13[#All],2,0)</f>
        <v>Luxury</v>
      </c>
      <c r="AG839">
        <f>VLOOKUP(Таблица1_113[[#This Row],[Марка]],Таблица13[#All],3,0)</f>
        <v>1931</v>
      </c>
      <c r="AH839" t="str">
        <f>VLOOKUP(Таблица1_113[[#This Row],[Марка]],Таблица13[#All],5,0)</f>
        <v>Нет</v>
      </c>
      <c r="AI839" s="12">
        <v>44197</v>
      </c>
      <c r="AJ839">
        <v>7</v>
      </c>
    </row>
    <row r="840" spans="30:36">
      <c r="AD840" t="s">
        <v>22</v>
      </c>
      <c r="AE840" t="str">
        <f>VLOOKUP(Таблица1_113[[#This Row],[Марка]],Таблица13[#All],4,0)</f>
        <v>Япония</v>
      </c>
      <c r="AF840" t="str">
        <f>VLOOKUP(Таблица1_113[[#This Row],[Марка]],Таблица13[#All],2,0)</f>
        <v>Business</v>
      </c>
      <c r="AG840">
        <f>VLOOKUP(Таблица1_113[[#This Row],[Марка]],Таблица13[#All],3,0)</f>
        <v>1933</v>
      </c>
      <c r="AH840" t="str">
        <f>VLOOKUP(Таблица1_113[[#This Row],[Марка]],Таблица13[#All],5,0)</f>
        <v>Нет</v>
      </c>
      <c r="AI840" s="12">
        <v>44197</v>
      </c>
      <c r="AJ840">
        <v>255</v>
      </c>
    </row>
    <row r="841" spans="30:36">
      <c r="AD841" t="s">
        <v>9</v>
      </c>
      <c r="AE841" t="str">
        <f>VLOOKUP(Таблица1_113[[#This Row],[Марка]],Таблица13[#All],4,0)</f>
        <v>Япония</v>
      </c>
      <c r="AF841" t="str">
        <f>VLOOKUP(Таблица1_113[[#This Row],[Марка]],Таблица13[#All],2,0)</f>
        <v>Business</v>
      </c>
      <c r="AG841">
        <f>VLOOKUP(Таблица1_113[[#This Row],[Марка]],Таблица13[#All],3,0)</f>
        <v>1870</v>
      </c>
      <c r="AH841" t="str">
        <f>VLOOKUP(Таблица1_113[[#This Row],[Марка]],Таблица13[#All],5,0)</f>
        <v>Нет</v>
      </c>
      <c r="AI841" s="12">
        <v>44197</v>
      </c>
      <c r="AJ841">
        <v>88</v>
      </c>
    </row>
    <row r="842" spans="30:36">
      <c r="AD842" t="s">
        <v>40</v>
      </c>
      <c r="AE842" t="str">
        <f>VLOOKUP(Таблица1_113[[#This Row],[Марка]],Таблица13[#All],4,0)</f>
        <v>Великобритания</v>
      </c>
      <c r="AF842" t="str">
        <f>VLOOKUP(Таблица1_113[[#This Row],[Марка]],Таблица13[#All],2,0)</f>
        <v>Luxury</v>
      </c>
      <c r="AG842">
        <f>VLOOKUP(Таблица1_113[[#This Row],[Марка]],Таблица13[#All],3,0)</f>
        <v>1959</v>
      </c>
      <c r="AH842" t="str">
        <f>VLOOKUP(Таблица1_113[[#This Row],[Марка]],Таблица13[#All],5,0)</f>
        <v>Нет</v>
      </c>
      <c r="AI842" s="12">
        <v>44197</v>
      </c>
      <c r="AJ842">
        <v>0</v>
      </c>
    </row>
    <row r="843" spans="30:36">
      <c r="AD843" t="s">
        <v>128</v>
      </c>
      <c r="AE843" t="str">
        <f>VLOOKUP(Таблица1_113[[#This Row],[Марка]],Таблица13[#All],4,0)</f>
        <v>Германия</v>
      </c>
      <c r="AF843" t="str">
        <f>VLOOKUP(Таблица1_113[[#This Row],[Марка]],Таблица13[#All],2,0)</f>
        <v>Luxury</v>
      </c>
      <c r="AG843">
        <f>VLOOKUP(Таблица1_113[[#This Row],[Марка]],Таблица13[#All],3,0)</f>
        <v>1926</v>
      </c>
      <c r="AH843" t="str">
        <f>VLOOKUP(Таблица1_113[[#This Row],[Марка]],Таблица13[#All],5,0)</f>
        <v>Нет</v>
      </c>
      <c r="AI843" s="12">
        <v>44197</v>
      </c>
      <c r="AJ843">
        <v>47</v>
      </c>
    </row>
    <row r="844" spans="30:36">
      <c r="AD844" t="s">
        <v>139</v>
      </c>
      <c r="AE844" t="str">
        <f>VLOOKUP(Таблица1_113[[#This Row],[Марка]],Таблица13[#All],4,0)</f>
        <v>Япония</v>
      </c>
      <c r="AF844" t="str">
        <f>VLOOKUP(Таблица1_113[[#This Row],[Марка]],Таблица13[#All],2,0)</f>
        <v>Business</v>
      </c>
      <c r="AG844">
        <f>VLOOKUP(Таблица1_113[[#This Row],[Марка]],Таблица13[#All],3,0)</f>
        <v>1920</v>
      </c>
      <c r="AH844" t="str">
        <f>VLOOKUP(Таблица1_113[[#This Row],[Марка]],Таблица13[#All],5,0)</f>
        <v>Нет</v>
      </c>
      <c r="AI844" s="12">
        <v>44197</v>
      </c>
      <c r="AJ844">
        <v>43</v>
      </c>
    </row>
    <row r="845" spans="30:36">
      <c r="AD845" t="s">
        <v>5</v>
      </c>
      <c r="AE845" t="str">
        <f>VLOOKUP(Таблица1_113[[#This Row],[Марка]],Таблица13[#All],4,0)</f>
        <v>Япония</v>
      </c>
      <c r="AF845" t="str">
        <f>VLOOKUP(Таблица1_113[[#This Row],[Марка]],Таблица13[#All],2,0)</f>
        <v>Luxury</v>
      </c>
      <c r="AG845">
        <f>VLOOKUP(Таблица1_113[[#This Row],[Марка]],Таблица13[#All],3,0)</f>
        <v>1989</v>
      </c>
      <c r="AH845" t="str">
        <f>VLOOKUP(Таблица1_113[[#This Row],[Марка]],Таблица13[#All],5,0)</f>
        <v>Нет</v>
      </c>
      <c r="AI845" s="12">
        <v>44197</v>
      </c>
      <c r="AJ845">
        <v>100</v>
      </c>
    </row>
    <row r="846" spans="30:36">
      <c r="AD846" t="s">
        <v>35</v>
      </c>
      <c r="AE846" t="str">
        <f>VLOOKUP(Таблица1_113[[#This Row],[Марка]],Таблица13[#All],4,0)</f>
        <v>Великобритания</v>
      </c>
      <c r="AF846" t="str">
        <f>VLOOKUP(Таблица1_113[[#This Row],[Марка]],Таблица13[#All],2,0)</f>
        <v>Luxury</v>
      </c>
      <c r="AG846">
        <f>VLOOKUP(Таблица1_113[[#This Row],[Марка]],Таблица13[#All],3,0)</f>
        <v>1948</v>
      </c>
      <c r="AH846" t="str">
        <f>VLOOKUP(Таблица1_113[[#This Row],[Марка]],Таблица13[#All],5,0)</f>
        <v>Нет</v>
      </c>
      <c r="AI846" s="12">
        <v>44197</v>
      </c>
      <c r="AJ846">
        <v>13</v>
      </c>
    </row>
    <row r="847" spans="30:36">
      <c r="AD847" t="s">
        <v>19</v>
      </c>
      <c r="AE847" t="str">
        <f>VLOOKUP(Таблица1_113[[#This Row],[Марка]],Таблица13[#All],4,0)</f>
        <v>Россия</v>
      </c>
      <c r="AF847" t="str">
        <f>VLOOKUP(Таблица1_113[[#This Row],[Марка]],Таблица13[#All],2,0)</f>
        <v>Economy</v>
      </c>
      <c r="AG847">
        <f>VLOOKUP(Таблица1_113[[#This Row],[Марка]],Таблица13[#All],3,0)</f>
        <v>1970</v>
      </c>
      <c r="AH847" t="str">
        <f>VLOOKUP(Таблица1_113[[#This Row],[Марка]],Таблица13[#All],5,0)</f>
        <v>Крупноузловая</v>
      </c>
      <c r="AI847" s="12">
        <v>44197</v>
      </c>
      <c r="AJ847">
        <v>575</v>
      </c>
    </row>
    <row r="848" spans="30:36">
      <c r="AD848" t="s">
        <v>15</v>
      </c>
      <c r="AE848" t="str">
        <f>VLOOKUP(Таблица1_113[[#This Row],[Марка]],Таблица13[#All],4,0)</f>
        <v>Корея</v>
      </c>
      <c r="AF848" t="str">
        <f>VLOOKUP(Таблица1_113[[#This Row],[Марка]],Таблица13[#All],2,0)</f>
        <v>Economy</v>
      </c>
      <c r="AG848">
        <f>VLOOKUP(Таблица1_113[[#This Row],[Марка]],Таблица13[#All],3,0)</f>
        <v>1944</v>
      </c>
      <c r="AH848" t="str">
        <f>VLOOKUP(Таблица1_113[[#This Row],[Марка]],Таблица13[#All],5,0)</f>
        <v>Крупноузловая</v>
      </c>
      <c r="AI848" s="12">
        <v>44197</v>
      </c>
      <c r="AJ848">
        <v>335</v>
      </c>
    </row>
    <row r="849" spans="30:36">
      <c r="AD849" t="s">
        <v>134</v>
      </c>
      <c r="AE849" t="str">
        <f>VLOOKUP(Таблица1_113[[#This Row],[Марка]],Таблица13[#All],4,0)</f>
        <v>Великобритания</v>
      </c>
      <c r="AF849" t="str">
        <f>VLOOKUP(Таблица1_113[[#This Row],[Марка]],Таблица13[#All],2,0)</f>
        <v>Luxury</v>
      </c>
      <c r="AG849">
        <f>VLOOKUP(Таблица1_113[[#This Row],[Марка]],Таблица13[#All],3,0)</f>
        <v>1922</v>
      </c>
      <c r="AH849" t="str">
        <f>VLOOKUP(Таблица1_113[[#This Row],[Марка]],Таблица13[#All],5,0)</f>
        <v>Нет</v>
      </c>
      <c r="AI849" s="12">
        <v>44197</v>
      </c>
      <c r="AJ849">
        <v>0</v>
      </c>
    </row>
    <row r="850" spans="30:36">
      <c r="AD850" t="s">
        <v>4</v>
      </c>
      <c r="AE850" t="str">
        <f>VLOOKUP(Таблица1_113[[#This Row],[Марка]],Таблица13[#All],4,0)</f>
        <v>Китай</v>
      </c>
      <c r="AF850" t="str">
        <f>VLOOKUP(Таблица1_113[[#This Row],[Марка]],Таблица13[#All],2,0)</f>
        <v>Economy</v>
      </c>
      <c r="AG850">
        <f>VLOOKUP(Таблица1_113[[#This Row],[Марка]],Таблица13[#All],3,0)</f>
        <v>1964</v>
      </c>
      <c r="AH850" t="str">
        <f>VLOOKUP(Таблица1_113[[#This Row],[Марка]],Таблица13[#All],5,0)</f>
        <v>Крупноузловая</v>
      </c>
      <c r="AI850" s="12">
        <v>44197</v>
      </c>
      <c r="AJ850">
        <v>249</v>
      </c>
    </row>
    <row r="851" spans="30:36">
      <c r="AD851" t="s">
        <v>140</v>
      </c>
      <c r="AE851" t="str">
        <f>VLOOKUP(Таблица1_113[[#This Row],[Марка]],Таблица13[#All],4,0)</f>
        <v>Япония</v>
      </c>
      <c r="AF851" t="str">
        <f>VLOOKUP(Таблица1_113[[#This Row],[Марка]],Таблица13[#All],2,0)</f>
        <v>Business</v>
      </c>
      <c r="AG851">
        <f>VLOOKUP(Таблица1_113[[#This Row],[Марка]],Таблица13[#All],3,0)</f>
        <v>1916</v>
      </c>
      <c r="AH851" t="str">
        <f>VLOOKUP(Таблица1_113[[#This Row],[Марка]],Таблица13[#All],5,0)</f>
        <v>Нет</v>
      </c>
      <c r="AI851" s="12">
        <v>44197</v>
      </c>
      <c r="AJ851">
        <v>0</v>
      </c>
    </row>
    <row r="852" spans="30:36">
      <c r="AD852" t="s">
        <v>34</v>
      </c>
      <c r="AE852" t="str">
        <f>VLOOKUP(Таблица1_113[[#This Row],[Марка]],Таблица13[#All],4,0)</f>
        <v>Япония</v>
      </c>
      <c r="AF852" t="str">
        <f>VLOOKUP(Таблица1_113[[#This Row],[Марка]],Таблица13[#All],2,0)</f>
        <v>Luxury</v>
      </c>
      <c r="AG852">
        <f>VLOOKUP(Таблица1_113[[#This Row],[Марка]],Таблица13[#All],3,0)</f>
        <v>1989</v>
      </c>
      <c r="AH852" t="str">
        <f>VLOOKUP(Таблица1_113[[#This Row],[Марка]],Таблица13[#All],5,0)</f>
        <v>Нет</v>
      </c>
      <c r="AI852" s="12">
        <v>44197</v>
      </c>
      <c r="AJ852">
        <v>33</v>
      </c>
    </row>
    <row r="853" spans="30:36">
      <c r="AD853" t="s">
        <v>0</v>
      </c>
      <c r="AE853" t="str">
        <f>VLOOKUP(Таблица1_113[[#This Row],[Марка]],Таблица13[#All],4,0)</f>
        <v>Корея</v>
      </c>
      <c r="AF853" t="str">
        <f>VLOOKUP(Таблица1_113[[#This Row],[Марка]],Таблица13[#All],2,0)</f>
        <v>Economy</v>
      </c>
      <c r="AG853">
        <f>VLOOKUP(Таблица1_113[[#This Row],[Марка]],Таблица13[#All],3,0)</f>
        <v>1967</v>
      </c>
      <c r="AH853" t="str">
        <f>VLOOKUP(Таблица1_113[[#This Row],[Марка]],Таблица13[#All],5,0)</f>
        <v>Крупноузловая</v>
      </c>
      <c r="AI853" s="12">
        <v>44197</v>
      </c>
      <c r="AJ853">
        <v>2468</v>
      </c>
    </row>
    <row r="854" spans="30:36">
      <c r="AD854" t="s">
        <v>6</v>
      </c>
      <c r="AE854" t="str">
        <f>VLOOKUP(Таблица1_113[[#This Row],[Марка]],Таблица13[#All],4,0)</f>
        <v>Китай</v>
      </c>
      <c r="AF854" t="str">
        <f>VLOOKUP(Таблица1_113[[#This Row],[Марка]],Таблица13[#All],2,0)</f>
        <v>Economy</v>
      </c>
      <c r="AG854">
        <f>VLOOKUP(Таблица1_113[[#This Row],[Марка]],Таблица13[#All],3,0)</f>
        <v>2013</v>
      </c>
      <c r="AH854" t="str">
        <f>VLOOKUP(Таблица1_113[[#This Row],[Марка]],Таблица13[#All],5,0)</f>
        <v>Крупноузловая</v>
      </c>
      <c r="AI854" s="12">
        <v>44197</v>
      </c>
      <c r="AJ854">
        <v>0</v>
      </c>
    </row>
    <row r="855" spans="30:36">
      <c r="AD855" t="s">
        <v>138</v>
      </c>
      <c r="AE855" t="str">
        <f>VLOOKUP(Таблица1_113[[#This Row],[Марка]],Таблица13[#All],4,0)</f>
        <v>Корея</v>
      </c>
      <c r="AF855" t="str">
        <f>VLOOKUP(Таблица1_113[[#This Row],[Марка]],Таблица13[#All],2,0)</f>
        <v>Luxury</v>
      </c>
      <c r="AG855">
        <f>VLOOKUP(Таблица1_113[[#This Row],[Марка]],Таблица13[#All],3,0)</f>
        <v>2015</v>
      </c>
      <c r="AH855" t="str">
        <f>VLOOKUP(Таблица1_113[[#This Row],[Марка]],Таблица13[#All],5,0)</f>
        <v>Нет</v>
      </c>
      <c r="AI855" s="12">
        <v>44197</v>
      </c>
      <c r="AJ855">
        <v>0</v>
      </c>
    </row>
    <row r="856" spans="30:36">
      <c r="AD856" t="s">
        <v>129</v>
      </c>
      <c r="AE856" t="str">
        <f>VLOOKUP(Таблица1_113[[#This Row],[Марка]],Таблица13[#All],4,0)</f>
        <v>Китай</v>
      </c>
      <c r="AF856" t="str">
        <f>VLOOKUP(Таблица1_113[[#This Row],[Марка]],Таблица13[#All],2,0)</f>
        <v>Economy</v>
      </c>
      <c r="AG856">
        <f>VLOOKUP(Таблица1_113[[#This Row],[Марка]],Таблица13[#All],3,0)</f>
        <v>1953</v>
      </c>
      <c r="AH856" t="str">
        <f>VLOOKUP(Таблица1_113[[#This Row],[Марка]],Таблица13[#All],5,0)</f>
        <v>Нет</v>
      </c>
      <c r="AI856" s="12">
        <v>44197</v>
      </c>
      <c r="AJ856">
        <v>0</v>
      </c>
    </row>
    <row r="857" spans="30:36">
      <c r="AD857" t="s">
        <v>130</v>
      </c>
      <c r="AE857" t="str">
        <f>VLOOKUP(Таблица1_113[[#This Row],[Марка]],Таблица13[#All],4,0)</f>
        <v>Китай</v>
      </c>
      <c r="AF857" t="str">
        <f>VLOOKUP(Таблица1_113[[#This Row],[Марка]],Таблица13[#All],2,0)</f>
        <v>Economy</v>
      </c>
      <c r="AG857">
        <f>VLOOKUP(Таблица1_113[[#This Row],[Марка]],Таблица13[#All],3,0)</f>
        <v>1969</v>
      </c>
      <c r="AH857" t="str">
        <f>VLOOKUP(Таблица1_113[[#This Row],[Марка]],Таблица13[#All],5,0)</f>
        <v>Нет</v>
      </c>
      <c r="AI857" s="12">
        <v>44197</v>
      </c>
      <c r="AJ857">
        <v>6</v>
      </c>
    </row>
    <row r="858" spans="30:36">
      <c r="AD858" t="s">
        <v>137</v>
      </c>
      <c r="AE858" t="str">
        <f>VLOOKUP(Таблица1_113[[#This Row],[Марка]],Таблица13[#All],4,0)</f>
        <v>Корея</v>
      </c>
      <c r="AF858" t="str">
        <f>VLOOKUP(Таблица1_113[[#This Row],[Марка]],Таблица13[#All],2,0)</f>
        <v>Economy</v>
      </c>
      <c r="AG858">
        <f>VLOOKUP(Таблица1_113[[#This Row],[Марка]],Таблица13[#All],3,0)</f>
        <v>1967</v>
      </c>
      <c r="AH858" t="str">
        <f>VLOOKUP(Таблица1_113[[#This Row],[Марка]],Таблица13[#All],5,0)</f>
        <v>Нет</v>
      </c>
      <c r="AI858" s="12">
        <v>44197</v>
      </c>
      <c r="AJ858">
        <v>0</v>
      </c>
    </row>
    <row r="859" spans="30:36">
      <c r="AD859" t="s">
        <v>1</v>
      </c>
      <c r="AE859" t="str">
        <f>VLOOKUP(Таблица1_113[[#This Row],[Марка]],Таблица13[#All],4,0)</f>
        <v>США</v>
      </c>
      <c r="AF859" t="str">
        <f>VLOOKUP(Таблица1_113[[#This Row],[Марка]],Таблица13[#All],2,0)</f>
        <v>Economy</v>
      </c>
      <c r="AG859">
        <f>VLOOKUP(Таблица1_113[[#This Row],[Марка]],Таблица13[#All],3,0)</f>
        <v>1911</v>
      </c>
      <c r="AH859" t="str">
        <f>VLOOKUP(Таблица1_113[[#This Row],[Марка]],Таблица13[#All],5,0)</f>
        <v>Крупноузловая</v>
      </c>
      <c r="AI859" s="12">
        <v>44197</v>
      </c>
      <c r="AJ859">
        <v>2240</v>
      </c>
    </row>
    <row r="860" spans="30:36">
      <c r="AD860" t="s">
        <v>3</v>
      </c>
      <c r="AE860" t="str">
        <f>VLOOKUP(Таблица1_113[[#This Row],[Марка]],Таблица13[#All],4,0)</f>
        <v>Китай</v>
      </c>
      <c r="AF860" t="str">
        <f>VLOOKUP(Таблица1_113[[#This Row],[Марка]],Таблица13[#All],2,0)</f>
        <v>Economy</v>
      </c>
      <c r="AG860">
        <f>VLOOKUP(Таблица1_113[[#This Row],[Марка]],Таблица13[#All],3,0)</f>
        <v>1997</v>
      </c>
      <c r="AH860" t="str">
        <f>VLOOKUP(Таблица1_113[[#This Row],[Марка]],Таблица13[#All],5,0)</f>
        <v>Крупноузловая</v>
      </c>
      <c r="AI860" s="12">
        <v>44197</v>
      </c>
      <c r="AJ860">
        <v>0</v>
      </c>
    </row>
    <row r="861" spans="30:36">
      <c r="AD861" t="s">
        <v>36</v>
      </c>
      <c r="AE861" t="str">
        <f>VLOOKUP(Таблица1_113[[#This Row],[Марка]],Таблица13[#All],4,0)</f>
        <v>США</v>
      </c>
      <c r="AF861" t="str">
        <f>VLOOKUP(Таблица1_113[[#This Row],[Марка]],Таблица13[#All],2,0)</f>
        <v>Luxury</v>
      </c>
      <c r="AG861">
        <f>VLOOKUP(Таблица1_113[[#This Row],[Марка]],Таблица13[#All],3,0)</f>
        <v>1902</v>
      </c>
      <c r="AH861" t="str">
        <f>VLOOKUP(Таблица1_113[[#This Row],[Марка]],Таблица13[#All],5,0)</f>
        <v>Нет</v>
      </c>
      <c r="AI861" s="12">
        <v>44197</v>
      </c>
      <c r="AJ861">
        <v>13</v>
      </c>
    </row>
    <row r="862" spans="30:36">
      <c r="AD862" t="s">
        <v>8</v>
      </c>
      <c r="AE862" t="str">
        <f>VLOOKUP(Таблица1_113[[#This Row],[Марка]],Таблица13[#All],4,0)</f>
        <v>Германия</v>
      </c>
      <c r="AF862" t="str">
        <f>VLOOKUP(Таблица1_113[[#This Row],[Марка]],Таблица13[#All],2,0)</f>
        <v>Luxury</v>
      </c>
      <c r="AG862">
        <f>VLOOKUP(Таблица1_113[[#This Row],[Марка]],Таблица13[#All],3,0)</f>
        <v>1916</v>
      </c>
      <c r="AH862" t="str">
        <f>VLOOKUP(Таблица1_113[[#This Row],[Марка]],Таблица13[#All],5,0)</f>
        <v>Нет</v>
      </c>
      <c r="AI862" s="12">
        <v>44197</v>
      </c>
      <c r="AJ862">
        <v>79</v>
      </c>
    </row>
    <row r="863" spans="30:36">
      <c r="AD863" t="s">
        <v>38</v>
      </c>
      <c r="AE863" t="str">
        <f>VLOOKUP(Таблица1_113[[#This Row],[Марка]],Таблица13[#All],4,0)</f>
        <v>Германия</v>
      </c>
      <c r="AF863" t="str">
        <f>VLOOKUP(Таблица1_113[[#This Row],[Марка]],Таблица13[#All],2,0)</f>
        <v>Luxury</v>
      </c>
      <c r="AG863">
        <f>VLOOKUP(Таблица1_113[[#This Row],[Марка]],Таблица13[#All],3,0)</f>
        <v>1932</v>
      </c>
      <c r="AH863" t="str">
        <f>VLOOKUP(Таблица1_113[[#This Row],[Марка]],Таблица13[#All],5,0)</f>
        <v>Нет</v>
      </c>
      <c r="AI863" s="12">
        <v>44197</v>
      </c>
      <c r="AJ863">
        <v>10</v>
      </c>
    </row>
    <row r="864" spans="30:36">
      <c r="AD864" t="s">
        <v>136</v>
      </c>
      <c r="AE864" t="str">
        <f>VLOOKUP(Таблица1_113[[#This Row],[Марка]],Таблица13[#All],4,0)</f>
        <v>Россия</v>
      </c>
      <c r="AF864" t="str">
        <f>VLOOKUP(Таблица1_113[[#This Row],[Марка]],Таблица13[#All],2,0)</f>
        <v>Economy</v>
      </c>
      <c r="AG864">
        <f>VLOOKUP(Таблица1_113[[#This Row],[Марка]],Таблица13[#All],3,0)</f>
        <v>1941</v>
      </c>
      <c r="AH864" t="str">
        <f>VLOOKUP(Таблица1_113[[#This Row],[Марка]],Таблица13[#All],5,0)</f>
        <v>Нет</v>
      </c>
      <c r="AI864" s="12">
        <v>44228</v>
      </c>
      <c r="AJ864">
        <v>97</v>
      </c>
    </row>
    <row r="865" spans="30:36">
      <c r="AD865" t="s">
        <v>135</v>
      </c>
      <c r="AE865" t="str">
        <f>VLOOKUP(Таблица1_113[[#This Row],[Марка]],Таблица13[#All],4,0)</f>
        <v>-</v>
      </c>
      <c r="AF865" t="str">
        <f>VLOOKUP(Таблица1_113[[#This Row],[Марка]],Таблица13[#All],2,0)</f>
        <v>-</v>
      </c>
      <c r="AG865" t="str">
        <f>VLOOKUP(Таблица1_113[[#This Row],[Марка]],Таблица13[#All],3,0)</f>
        <v>-</v>
      </c>
      <c r="AH865" t="str">
        <f>VLOOKUP(Таблица1_113[[#This Row],[Марка]],Таблица13[#All],5,0)</f>
        <v>-</v>
      </c>
      <c r="AI865" s="12">
        <v>44228</v>
      </c>
      <c r="AJ865">
        <v>60</v>
      </c>
    </row>
    <row r="866" spans="30:36">
      <c r="AD866" t="s">
        <v>39</v>
      </c>
      <c r="AE866" t="str">
        <f>VLOOKUP(Таблица1_113[[#This Row],[Марка]],Таблица13[#All],4,0)</f>
        <v>Швеция</v>
      </c>
      <c r="AF866" t="str">
        <f>VLOOKUP(Таблица1_113[[#This Row],[Марка]],Таблица13[#All],2,0)</f>
        <v>Business</v>
      </c>
      <c r="AG866">
        <f>VLOOKUP(Таблица1_113[[#This Row],[Марка]],Таблица13[#All],3,0)</f>
        <v>1927</v>
      </c>
      <c r="AH866" t="str">
        <f>VLOOKUP(Таблица1_113[[#This Row],[Марка]],Таблица13[#All],5,0)</f>
        <v>Нет</v>
      </c>
      <c r="AI866" s="12">
        <v>44228</v>
      </c>
      <c r="AJ866">
        <v>0</v>
      </c>
    </row>
    <row r="867" spans="30:36">
      <c r="AD867" t="s">
        <v>21</v>
      </c>
      <c r="AE867" t="str">
        <f>VLOOKUP(Таблица1_113[[#This Row],[Марка]],Таблица13[#All],4,0)</f>
        <v>Германия</v>
      </c>
      <c r="AF867" t="str">
        <f>VLOOKUP(Таблица1_113[[#This Row],[Марка]],Таблица13[#All],2,0)</f>
        <v>Business</v>
      </c>
      <c r="AG867">
        <f>VLOOKUP(Таблица1_113[[#This Row],[Марка]],Таблица13[#All],3,0)</f>
        <v>1937</v>
      </c>
      <c r="AH867" t="str">
        <f>VLOOKUP(Таблица1_113[[#This Row],[Марка]],Таблица13[#All],5,0)</f>
        <v>Нет</v>
      </c>
      <c r="AI867" s="12">
        <v>44228</v>
      </c>
      <c r="AJ867">
        <v>297</v>
      </c>
    </row>
    <row r="868" spans="30:36">
      <c r="AD868" t="s">
        <v>2</v>
      </c>
      <c r="AE868" t="str">
        <f>VLOOKUP(Таблица1_113[[#This Row],[Марка]],Таблица13[#All],4,0)</f>
        <v>Япония</v>
      </c>
      <c r="AF868" t="str">
        <f>VLOOKUP(Таблица1_113[[#This Row],[Марка]],Таблица13[#All],2,0)</f>
        <v>Business</v>
      </c>
      <c r="AG868">
        <f>VLOOKUP(Таблица1_113[[#This Row],[Марка]],Таблица13[#All],3,0)</f>
        <v>1937</v>
      </c>
      <c r="AH868" t="str">
        <f>VLOOKUP(Таблица1_113[[#This Row],[Марка]],Таблица13[#All],5,0)</f>
        <v>Нет</v>
      </c>
      <c r="AI868" s="12">
        <v>44228</v>
      </c>
      <c r="AJ868">
        <v>747</v>
      </c>
    </row>
    <row r="869" spans="30:36">
      <c r="AD869" t="s">
        <v>125</v>
      </c>
      <c r="AE869" t="str">
        <f>VLOOKUP(Таблица1_113[[#This Row],[Марка]],Таблица13[#All],4,0)</f>
        <v>Япония</v>
      </c>
      <c r="AF869" t="str">
        <f>VLOOKUP(Таблица1_113[[#This Row],[Марка]],Таблица13[#All],2,0)</f>
        <v>Business</v>
      </c>
      <c r="AG869">
        <f>VLOOKUP(Таблица1_113[[#This Row],[Марка]],Таблица13[#All],3,0)</f>
        <v>1953</v>
      </c>
      <c r="AH869" t="str">
        <f>VLOOKUP(Таблица1_113[[#This Row],[Марка]],Таблица13[#All],5,0)</f>
        <v>Нет</v>
      </c>
      <c r="AI869" s="12">
        <v>44228</v>
      </c>
      <c r="AJ869">
        <v>9</v>
      </c>
    </row>
    <row r="870" spans="30:36">
      <c r="AD870" t="s">
        <v>141</v>
      </c>
      <c r="AE870" t="str">
        <f>VLOOKUP(Таблица1_113[[#This Row],[Марка]],Таблица13[#All],4,0)</f>
        <v>Чехия</v>
      </c>
      <c r="AF870" t="str">
        <f>VLOOKUP(Таблица1_113[[#This Row],[Марка]],Таблица13[#All],2,0)</f>
        <v>Business</v>
      </c>
      <c r="AG870">
        <f>VLOOKUP(Таблица1_113[[#This Row],[Марка]],Таблица13[#All],3,0)</f>
        <v>1895</v>
      </c>
      <c r="AH870" t="str">
        <f>VLOOKUP(Таблица1_113[[#This Row],[Марка]],Таблица13[#All],5,0)</f>
        <v>Крупноузловая</v>
      </c>
      <c r="AI870" s="12">
        <v>44228</v>
      </c>
      <c r="AJ870">
        <v>95</v>
      </c>
    </row>
    <row r="871" spans="30:36">
      <c r="AD871" t="s">
        <v>23</v>
      </c>
      <c r="AE871" t="str">
        <f>VLOOKUP(Таблица1_113[[#This Row],[Марка]],Таблица13[#All],4,0)</f>
        <v>Франция</v>
      </c>
      <c r="AF871" t="str">
        <f>VLOOKUP(Таблица1_113[[#This Row],[Марка]],Таблица13[#All],2,0)</f>
        <v>Economy</v>
      </c>
      <c r="AG871">
        <f>VLOOKUP(Таблица1_113[[#This Row],[Марка]],Таблица13[#All],3,0)</f>
        <v>1899</v>
      </c>
      <c r="AH871" t="str">
        <f>VLOOKUP(Таблица1_113[[#This Row],[Марка]],Таблица13[#All],5,0)</f>
        <v>Крупноузловая</v>
      </c>
      <c r="AI871" s="12">
        <v>44228</v>
      </c>
      <c r="AJ871">
        <v>196</v>
      </c>
    </row>
    <row r="872" spans="30:36">
      <c r="AD872" t="s">
        <v>142</v>
      </c>
      <c r="AE872" t="str">
        <f>VLOOKUP(Таблица1_113[[#This Row],[Марка]],Таблица13[#All],4,0)</f>
        <v>Узбекистан</v>
      </c>
      <c r="AF872" t="str">
        <f>VLOOKUP(Таблица1_113[[#This Row],[Марка]],Таблица13[#All],2,0)</f>
        <v>Economy</v>
      </c>
      <c r="AG872">
        <f>VLOOKUP(Таблица1_113[[#This Row],[Марка]],Таблица13[#All],3,0)</f>
        <v>2015</v>
      </c>
      <c r="AH872" t="str">
        <f>VLOOKUP(Таблица1_113[[#This Row],[Марка]],Таблица13[#All],5,0)</f>
        <v>Крупноузловая</v>
      </c>
      <c r="AI872" s="12">
        <v>44228</v>
      </c>
      <c r="AJ872">
        <v>25</v>
      </c>
    </row>
    <row r="873" spans="30:36">
      <c r="AD873" t="s">
        <v>37</v>
      </c>
      <c r="AE873" t="str">
        <f>VLOOKUP(Таблица1_113[[#This Row],[Марка]],Таблица13[#All],4,0)</f>
        <v>Германия</v>
      </c>
      <c r="AF873" t="str">
        <f>VLOOKUP(Таблица1_113[[#This Row],[Марка]],Таблица13[#All],2,0)</f>
        <v>Luxury</v>
      </c>
      <c r="AG873">
        <f>VLOOKUP(Таблица1_113[[#This Row],[Марка]],Таблица13[#All],3,0)</f>
        <v>1931</v>
      </c>
      <c r="AH873" t="str">
        <f>VLOOKUP(Таблица1_113[[#This Row],[Марка]],Таблица13[#All],5,0)</f>
        <v>Нет</v>
      </c>
      <c r="AI873" s="12">
        <v>44228</v>
      </c>
      <c r="AJ873">
        <v>9</v>
      </c>
    </row>
    <row r="874" spans="30:36">
      <c r="AD874" t="s">
        <v>22</v>
      </c>
      <c r="AE874" t="str">
        <f>VLOOKUP(Таблица1_113[[#This Row],[Марка]],Таблица13[#All],4,0)</f>
        <v>Япония</v>
      </c>
      <c r="AF874" t="str">
        <f>VLOOKUP(Таблица1_113[[#This Row],[Марка]],Таблица13[#All],2,0)</f>
        <v>Business</v>
      </c>
      <c r="AG874">
        <f>VLOOKUP(Таблица1_113[[#This Row],[Марка]],Таблица13[#All],3,0)</f>
        <v>1933</v>
      </c>
      <c r="AH874" t="str">
        <f>VLOOKUP(Таблица1_113[[#This Row],[Марка]],Таблица13[#All],5,0)</f>
        <v>Нет</v>
      </c>
      <c r="AI874" s="12">
        <v>44228</v>
      </c>
      <c r="AJ874">
        <v>240</v>
      </c>
    </row>
    <row r="875" spans="30:36">
      <c r="AD875" t="s">
        <v>9</v>
      </c>
      <c r="AE875" t="str">
        <f>VLOOKUP(Таблица1_113[[#This Row],[Марка]],Таблица13[#All],4,0)</f>
        <v>Япония</v>
      </c>
      <c r="AF875" t="str">
        <f>VLOOKUP(Таблица1_113[[#This Row],[Марка]],Таблица13[#All],2,0)</f>
        <v>Business</v>
      </c>
      <c r="AG875">
        <f>VLOOKUP(Таблица1_113[[#This Row],[Марка]],Таблица13[#All],3,0)</f>
        <v>1870</v>
      </c>
      <c r="AH875" t="str">
        <f>VLOOKUP(Таблица1_113[[#This Row],[Марка]],Таблица13[#All],5,0)</f>
        <v>Нет</v>
      </c>
      <c r="AI875" s="12">
        <v>44228</v>
      </c>
      <c r="AJ875">
        <v>84</v>
      </c>
    </row>
    <row r="876" spans="30:36">
      <c r="AD876" t="s">
        <v>40</v>
      </c>
      <c r="AE876" t="str">
        <f>VLOOKUP(Таблица1_113[[#This Row],[Марка]],Таблица13[#All],4,0)</f>
        <v>Великобритания</v>
      </c>
      <c r="AF876" t="str">
        <f>VLOOKUP(Таблица1_113[[#This Row],[Марка]],Таблица13[#All],2,0)</f>
        <v>Luxury</v>
      </c>
      <c r="AG876">
        <f>VLOOKUP(Таблица1_113[[#This Row],[Марка]],Таблица13[#All],3,0)</f>
        <v>1959</v>
      </c>
      <c r="AH876" t="str">
        <f>VLOOKUP(Таблица1_113[[#This Row],[Марка]],Таблица13[#All],5,0)</f>
        <v>Нет</v>
      </c>
      <c r="AI876" s="12">
        <v>44228</v>
      </c>
      <c r="AJ876">
        <v>4</v>
      </c>
    </row>
    <row r="877" spans="30:36">
      <c r="AD877" t="s">
        <v>128</v>
      </c>
      <c r="AE877" t="str">
        <f>VLOOKUP(Таблица1_113[[#This Row],[Марка]],Таблица13[#All],4,0)</f>
        <v>Германия</v>
      </c>
      <c r="AF877" t="str">
        <f>VLOOKUP(Таблица1_113[[#This Row],[Марка]],Таблица13[#All],2,0)</f>
        <v>Luxury</v>
      </c>
      <c r="AG877">
        <f>VLOOKUP(Таблица1_113[[#This Row],[Марка]],Таблица13[#All],3,0)</f>
        <v>1926</v>
      </c>
      <c r="AH877" t="str">
        <f>VLOOKUP(Таблица1_113[[#This Row],[Марка]],Таблица13[#All],5,0)</f>
        <v>Нет</v>
      </c>
      <c r="AI877" s="12">
        <v>44228</v>
      </c>
      <c r="AJ877">
        <v>44</v>
      </c>
    </row>
    <row r="878" spans="30:36">
      <c r="AD878" t="s">
        <v>139</v>
      </c>
      <c r="AE878" t="str">
        <f>VLOOKUP(Таблица1_113[[#This Row],[Марка]],Таблица13[#All],4,0)</f>
        <v>Япония</v>
      </c>
      <c r="AF878" t="str">
        <f>VLOOKUP(Таблица1_113[[#This Row],[Марка]],Таблица13[#All],2,0)</f>
        <v>Business</v>
      </c>
      <c r="AG878">
        <f>VLOOKUP(Таблица1_113[[#This Row],[Марка]],Таблица13[#All],3,0)</f>
        <v>1920</v>
      </c>
      <c r="AH878" t="str">
        <f>VLOOKUP(Таблица1_113[[#This Row],[Марка]],Таблица13[#All],5,0)</f>
        <v>Нет</v>
      </c>
      <c r="AI878" s="12">
        <v>44228</v>
      </c>
      <c r="AJ878">
        <v>41</v>
      </c>
    </row>
    <row r="879" spans="30:36">
      <c r="AD879" t="s">
        <v>5</v>
      </c>
      <c r="AE879" t="str">
        <f>VLOOKUP(Таблица1_113[[#This Row],[Марка]],Таблица13[#All],4,0)</f>
        <v>Япония</v>
      </c>
      <c r="AF879" t="str">
        <f>VLOOKUP(Таблица1_113[[#This Row],[Марка]],Таблица13[#All],2,0)</f>
        <v>Luxury</v>
      </c>
      <c r="AG879">
        <f>VLOOKUP(Таблица1_113[[#This Row],[Марка]],Таблица13[#All],3,0)</f>
        <v>1989</v>
      </c>
      <c r="AH879" t="str">
        <f>VLOOKUP(Таблица1_113[[#This Row],[Марка]],Таблица13[#All],5,0)</f>
        <v>Нет</v>
      </c>
      <c r="AI879" s="12">
        <v>44228</v>
      </c>
      <c r="AJ879">
        <v>120</v>
      </c>
    </row>
    <row r="880" spans="30:36">
      <c r="AD880" t="s">
        <v>35</v>
      </c>
      <c r="AE880" t="str">
        <f>VLOOKUP(Таблица1_113[[#This Row],[Марка]],Таблица13[#All],4,0)</f>
        <v>Великобритания</v>
      </c>
      <c r="AF880" t="str">
        <f>VLOOKUP(Таблица1_113[[#This Row],[Марка]],Таблица13[#All],2,0)</f>
        <v>Luxury</v>
      </c>
      <c r="AG880">
        <f>VLOOKUP(Таблица1_113[[#This Row],[Марка]],Таблица13[#All],3,0)</f>
        <v>1948</v>
      </c>
      <c r="AH880" t="str">
        <f>VLOOKUP(Таблица1_113[[#This Row],[Марка]],Таблица13[#All],5,0)</f>
        <v>Нет</v>
      </c>
      <c r="AI880" s="12">
        <v>44228</v>
      </c>
      <c r="AJ880">
        <v>46</v>
      </c>
    </row>
    <row r="881" spans="30:36">
      <c r="AD881" t="s">
        <v>19</v>
      </c>
      <c r="AE881" t="str">
        <f>VLOOKUP(Таблица1_113[[#This Row],[Марка]],Таблица13[#All],4,0)</f>
        <v>Россия</v>
      </c>
      <c r="AF881" t="str">
        <f>VLOOKUP(Таблица1_113[[#This Row],[Марка]],Таблица13[#All],2,0)</f>
        <v>Economy</v>
      </c>
      <c r="AG881">
        <f>VLOOKUP(Таблица1_113[[#This Row],[Марка]],Таблица13[#All],3,0)</f>
        <v>1970</v>
      </c>
      <c r="AH881" t="str">
        <f>VLOOKUP(Таблица1_113[[#This Row],[Марка]],Таблица13[#All],5,0)</f>
        <v>Крупноузловая</v>
      </c>
      <c r="AI881" s="12">
        <v>44228</v>
      </c>
      <c r="AJ881">
        <v>630</v>
      </c>
    </row>
    <row r="882" spans="30:36">
      <c r="AD882" t="s">
        <v>15</v>
      </c>
      <c r="AE882" t="str">
        <f>VLOOKUP(Таблица1_113[[#This Row],[Марка]],Таблица13[#All],4,0)</f>
        <v>Корея</v>
      </c>
      <c r="AF882" t="str">
        <f>VLOOKUP(Таблица1_113[[#This Row],[Марка]],Таблица13[#All],2,0)</f>
        <v>Economy</v>
      </c>
      <c r="AG882">
        <f>VLOOKUP(Таблица1_113[[#This Row],[Марка]],Таблица13[#All],3,0)</f>
        <v>1944</v>
      </c>
      <c r="AH882" t="str">
        <f>VLOOKUP(Таблица1_113[[#This Row],[Марка]],Таблица13[#All],5,0)</f>
        <v>Крупноузловая</v>
      </c>
      <c r="AI882" s="12">
        <v>44228</v>
      </c>
      <c r="AJ882">
        <v>171</v>
      </c>
    </row>
    <row r="883" spans="30:36">
      <c r="AD883" t="s">
        <v>134</v>
      </c>
      <c r="AE883" t="str">
        <f>VLOOKUP(Таблица1_113[[#This Row],[Марка]],Таблица13[#All],4,0)</f>
        <v>Великобритания</v>
      </c>
      <c r="AF883" t="str">
        <f>VLOOKUP(Таблица1_113[[#This Row],[Марка]],Таблица13[#All],2,0)</f>
        <v>Luxury</v>
      </c>
      <c r="AG883">
        <f>VLOOKUP(Таблица1_113[[#This Row],[Марка]],Таблица13[#All],3,0)</f>
        <v>1922</v>
      </c>
      <c r="AH883" t="str">
        <f>VLOOKUP(Таблица1_113[[#This Row],[Марка]],Таблица13[#All],5,0)</f>
        <v>Нет</v>
      </c>
      <c r="AI883" s="12">
        <v>44228</v>
      </c>
      <c r="AJ883">
        <v>0</v>
      </c>
    </row>
    <row r="884" spans="30:36">
      <c r="AD884" t="s">
        <v>4</v>
      </c>
      <c r="AE884" t="str">
        <f>VLOOKUP(Таблица1_113[[#This Row],[Марка]],Таблица13[#All],4,0)</f>
        <v>Китай</v>
      </c>
      <c r="AF884" t="str">
        <f>VLOOKUP(Таблица1_113[[#This Row],[Марка]],Таблица13[#All],2,0)</f>
        <v>Economy</v>
      </c>
      <c r="AG884">
        <f>VLOOKUP(Таблица1_113[[#This Row],[Марка]],Таблица13[#All],3,0)</f>
        <v>1964</v>
      </c>
      <c r="AH884" t="str">
        <f>VLOOKUP(Таблица1_113[[#This Row],[Марка]],Таблица13[#All],5,0)</f>
        <v>Крупноузловая</v>
      </c>
      <c r="AI884" s="12">
        <v>44228</v>
      </c>
      <c r="AJ884">
        <v>310</v>
      </c>
    </row>
    <row r="885" spans="30:36">
      <c r="AD885" t="s">
        <v>140</v>
      </c>
      <c r="AE885" t="str">
        <f>VLOOKUP(Таблица1_113[[#This Row],[Марка]],Таблица13[#All],4,0)</f>
        <v>Япония</v>
      </c>
      <c r="AF885" t="str">
        <f>VLOOKUP(Таблица1_113[[#This Row],[Марка]],Таблица13[#All],2,0)</f>
        <v>Business</v>
      </c>
      <c r="AG885">
        <f>VLOOKUP(Таблица1_113[[#This Row],[Марка]],Таблица13[#All],3,0)</f>
        <v>1916</v>
      </c>
      <c r="AH885" t="str">
        <f>VLOOKUP(Таблица1_113[[#This Row],[Марка]],Таблица13[#All],5,0)</f>
        <v>Нет</v>
      </c>
      <c r="AI885" s="12">
        <v>44228</v>
      </c>
      <c r="AJ885">
        <v>12</v>
      </c>
    </row>
    <row r="886" spans="30:36">
      <c r="AD886" t="s">
        <v>34</v>
      </c>
      <c r="AE886" t="str">
        <f>VLOOKUP(Таблица1_113[[#This Row],[Марка]],Таблица13[#All],4,0)</f>
        <v>Япония</v>
      </c>
      <c r="AF886" t="str">
        <f>VLOOKUP(Таблица1_113[[#This Row],[Марка]],Таблица13[#All],2,0)</f>
        <v>Luxury</v>
      </c>
      <c r="AG886">
        <f>VLOOKUP(Таблица1_113[[#This Row],[Марка]],Таблица13[#All],3,0)</f>
        <v>1989</v>
      </c>
      <c r="AH886" t="str">
        <f>VLOOKUP(Таблица1_113[[#This Row],[Марка]],Таблица13[#All],5,0)</f>
        <v>Нет</v>
      </c>
      <c r="AI886" s="12">
        <v>44228</v>
      </c>
      <c r="AJ886">
        <v>52</v>
      </c>
    </row>
    <row r="887" spans="30:36">
      <c r="AD887" t="s">
        <v>0</v>
      </c>
      <c r="AE887" t="str">
        <f>VLOOKUP(Таблица1_113[[#This Row],[Марка]],Таблица13[#All],4,0)</f>
        <v>Корея</v>
      </c>
      <c r="AF887" t="str">
        <f>VLOOKUP(Таблица1_113[[#This Row],[Марка]],Таблица13[#All],2,0)</f>
        <v>Economy</v>
      </c>
      <c r="AG887">
        <f>VLOOKUP(Таблица1_113[[#This Row],[Марка]],Таблица13[#All],3,0)</f>
        <v>1967</v>
      </c>
      <c r="AH887" t="str">
        <f>VLOOKUP(Таблица1_113[[#This Row],[Марка]],Таблица13[#All],5,0)</f>
        <v>Крупноузловая</v>
      </c>
      <c r="AI887" s="12">
        <v>44228</v>
      </c>
      <c r="AJ887">
        <v>2082</v>
      </c>
    </row>
    <row r="888" spans="30:36">
      <c r="AD888" t="s">
        <v>6</v>
      </c>
      <c r="AE888" t="str">
        <f>VLOOKUP(Таблица1_113[[#This Row],[Марка]],Таблица13[#All],4,0)</f>
        <v>Китай</v>
      </c>
      <c r="AF888" t="str">
        <f>VLOOKUP(Таблица1_113[[#This Row],[Марка]],Таблица13[#All],2,0)</f>
        <v>Economy</v>
      </c>
      <c r="AG888">
        <f>VLOOKUP(Таблица1_113[[#This Row],[Марка]],Таблица13[#All],3,0)</f>
        <v>2013</v>
      </c>
      <c r="AH888" t="str">
        <f>VLOOKUP(Таблица1_113[[#This Row],[Марка]],Таблица13[#All],5,0)</f>
        <v>Крупноузловая</v>
      </c>
      <c r="AI888" s="12">
        <v>44228</v>
      </c>
      <c r="AJ888">
        <v>0</v>
      </c>
    </row>
    <row r="889" spans="30:36">
      <c r="AD889" t="s">
        <v>138</v>
      </c>
      <c r="AE889" t="str">
        <f>VLOOKUP(Таблица1_113[[#This Row],[Марка]],Таблица13[#All],4,0)</f>
        <v>Корея</v>
      </c>
      <c r="AF889" t="str">
        <f>VLOOKUP(Таблица1_113[[#This Row],[Марка]],Таблица13[#All],2,0)</f>
        <v>Luxury</v>
      </c>
      <c r="AG889">
        <f>VLOOKUP(Таблица1_113[[#This Row],[Марка]],Таблица13[#All],3,0)</f>
        <v>2015</v>
      </c>
      <c r="AH889" t="str">
        <f>VLOOKUP(Таблица1_113[[#This Row],[Марка]],Таблица13[#All],5,0)</f>
        <v>Нет</v>
      </c>
      <c r="AI889" s="12">
        <v>44228</v>
      </c>
      <c r="AJ889">
        <v>0</v>
      </c>
    </row>
    <row r="890" spans="30:36">
      <c r="AD890" t="s">
        <v>129</v>
      </c>
      <c r="AE890" t="str">
        <f>VLOOKUP(Таблица1_113[[#This Row],[Марка]],Таблица13[#All],4,0)</f>
        <v>Китай</v>
      </c>
      <c r="AF890" t="str">
        <f>VLOOKUP(Таблица1_113[[#This Row],[Марка]],Таблица13[#All],2,0)</f>
        <v>Economy</v>
      </c>
      <c r="AG890">
        <f>VLOOKUP(Таблица1_113[[#This Row],[Марка]],Таблица13[#All],3,0)</f>
        <v>1953</v>
      </c>
      <c r="AH890" t="str">
        <f>VLOOKUP(Таблица1_113[[#This Row],[Марка]],Таблица13[#All],5,0)</f>
        <v>Нет</v>
      </c>
      <c r="AI890" s="12">
        <v>44228</v>
      </c>
      <c r="AJ890">
        <v>0</v>
      </c>
    </row>
    <row r="891" spans="30:36">
      <c r="AD891" t="s">
        <v>130</v>
      </c>
      <c r="AE891" t="str">
        <f>VLOOKUP(Таблица1_113[[#This Row],[Марка]],Таблица13[#All],4,0)</f>
        <v>Китай</v>
      </c>
      <c r="AF891" t="str">
        <f>VLOOKUP(Таблица1_113[[#This Row],[Марка]],Таблица13[#All],2,0)</f>
        <v>Economy</v>
      </c>
      <c r="AG891">
        <f>VLOOKUP(Таблица1_113[[#This Row],[Марка]],Таблица13[#All],3,0)</f>
        <v>1969</v>
      </c>
      <c r="AH891" t="str">
        <f>VLOOKUP(Таблица1_113[[#This Row],[Марка]],Таблица13[#All],5,0)</f>
        <v>Нет</v>
      </c>
      <c r="AI891" s="12">
        <v>44228</v>
      </c>
      <c r="AJ891">
        <v>0</v>
      </c>
    </row>
    <row r="892" spans="30:36">
      <c r="AD892" t="s">
        <v>137</v>
      </c>
      <c r="AE892" t="str">
        <f>VLOOKUP(Таблица1_113[[#This Row],[Марка]],Таблица13[#All],4,0)</f>
        <v>Корея</v>
      </c>
      <c r="AF892" t="str">
        <f>VLOOKUP(Таблица1_113[[#This Row],[Марка]],Таблица13[#All],2,0)</f>
        <v>Economy</v>
      </c>
      <c r="AG892">
        <f>VLOOKUP(Таблица1_113[[#This Row],[Марка]],Таблица13[#All],3,0)</f>
        <v>1967</v>
      </c>
      <c r="AH892" t="str">
        <f>VLOOKUP(Таблица1_113[[#This Row],[Марка]],Таблица13[#All],5,0)</f>
        <v>Нет</v>
      </c>
      <c r="AI892" s="12">
        <v>44228</v>
      </c>
      <c r="AJ892">
        <v>0</v>
      </c>
    </row>
    <row r="893" spans="30:36">
      <c r="AD893" t="s">
        <v>1</v>
      </c>
      <c r="AE893" t="str">
        <f>VLOOKUP(Таблица1_113[[#This Row],[Марка]],Таблица13[#All],4,0)</f>
        <v>США</v>
      </c>
      <c r="AF893" t="str">
        <f>VLOOKUP(Таблица1_113[[#This Row],[Марка]],Таблица13[#All],2,0)</f>
        <v>Economy</v>
      </c>
      <c r="AG893">
        <f>VLOOKUP(Таблица1_113[[#This Row],[Марка]],Таблица13[#All],3,0)</f>
        <v>1911</v>
      </c>
      <c r="AH893" t="str">
        <f>VLOOKUP(Таблица1_113[[#This Row],[Марка]],Таблица13[#All],5,0)</f>
        <v>Крупноузловая</v>
      </c>
      <c r="AI893" s="12">
        <v>44228</v>
      </c>
      <c r="AJ893">
        <v>1881</v>
      </c>
    </row>
    <row r="894" spans="30:36">
      <c r="AD894" t="s">
        <v>3</v>
      </c>
      <c r="AE894" t="str">
        <f>VLOOKUP(Таблица1_113[[#This Row],[Марка]],Таблица13[#All],4,0)</f>
        <v>Китай</v>
      </c>
      <c r="AF894" t="str">
        <f>VLOOKUP(Таблица1_113[[#This Row],[Марка]],Таблица13[#All],2,0)</f>
        <v>Economy</v>
      </c>
      <c r="AG894">
        <f>VLOOKUP(Таблица1_113[[#This Row],[Марка]],Таблица13[#All],3,0)</f>
        <v>1997</v>
      </c>
      <c r="AH894" t="str">
        <f>VLOOKUP(Таблица1_113[[#This Row],[Марка]],Таблица13[#All],5,0)</f>
        <v>Крупноузловая</v>
      </c>
      <c r="AI894" s="12">
        <v>44228</v>
      </c>
      <c r="AJ894">
        <v>0</v>
      </c>
    </row>
    <row r="895" spans="30:36">
      <c r="AD895" t="s">
        <v>36</v>
      </c>
      <c r="AE895" t="str">
        <f>VLOOKUP(Таблица1_113[[#This Row],[Марка]],Таблица13[#All],4,0)</f>
        <v>США</v>
      </c>
      <c r="AF895" t="str">
        <f>VLOOKUP(Таблица1_113[[#This Row],[Марка]],Таблица13[#All],2,0)</f>
        <v>Luxury</v>
      </c>
      <c r="AG895">
        <f>VLOOKUP(Таблица1_113[[#This Row],[Марка]],Таблица13[#All],3,0)</f>
        <v>1902</v>
      </c>
      <c r="AH895" t="str">
        <f>VLOOKUP(Таблица1_113[[#This Row],[Марка]],Таблица13[#All],5,0)</f>
        <v>Нет</v>
      </c>
      <c r="AI895" s="12">
        <v>44228</v>
      </c>
      <c r="AJ895">
        <v>6</v>
      </c>
    </row>
    <row r="896" spans="30:36">
      <c r="AD896" t="s">
        <v>8</v>
      </c>
      <c r="AE896" t="str">
        <f>VLOOKUP(Таблица1_113[[#This Row],[Марка]],Таблица13[#All],4,0)</f>
        <v>Германия</v>
      </c>
      <c r="AF896" t="str">
        <f>VLOOKUP(Таблица1_113[[#This Row],[Марка]],Таблица13[#All],2,0)</f>
        <v>Luxury</v>
      </c>
      <c r="AG896">
        <f>VLOOKUP(Таблица1_113[[#This Row],[Марка]],Таблица13[#All],3,0)</f>
        <v>1916</v>
      </c>
      <c r="AH896" t="str">
        <f>VLOOKUP(Таблица1_113[[#This Row],[Марка]],Таблица13[#All],5,0)</f>
        <v>Нет</v>
      </c>
      <c r="AI896" s="12">
        <v>44228</v>
      </c>
      <c r="AJ896">
        <v>60</v>
      </c>
    </row>
    <row r="897" spans="30:36">
      <c r="AD897" t="s">
        <v>38</v>
      </c>
      <c r="AE897" t="str">
        <f>VLOOKUP(Таблица1_113[[#This Row],[Марка]],Таблица13[#All],4,0)</f>
        <v>Германия</v>
      </c>
      <c r="AF897" t="str">
        <f>VLOOKUP(Таблица1_113[[#This Row],[Марка]],Таблица13[#All],2,0)</f>
        <v>Luxury</v>
      </c>
      <c r="AG897">
        <f>VLOOKUP(Таблица1_113[[#This Row],[Марка]],Таблица13[#All],3,0)</f>
        <v>1932</v>
      </c>
      <c r="AH897" t="str">
        <f>VLOOKUP(Таблица1_113[[#This Row],[Марка]],Таблица13[#All],5,0)</f>
        <v>Нет</v>
      </c>
      <c r="AI897" s="12">
        <v>44228</v>
      </c>
      <c r="AJ897">
        <v>24</v>
      </c>
    </row>
    <row r="898" spans="30:36">
      <c r="AD898" t="s">
        <v>136</v>
      </c>
      <c r="AE898" t="str">
        <f>VLOOKUP(Таблица1_113[[#This Row],[Марка]],Таблица13[#All],4,0)</f>
        <v>Россия</v>
      </c>
      <c r="AF898" t="str">
        <f>VLOOKUP(Таблица1_113[[#This Row],[Марка]],Таблица13[#All],2,0)</f>
        <v>Economy</v>
      </c>
      <c r="AG898">
        <f>VLOOKUP(Таблица1_113[[#This Row],[Марка]],Таблица13[#All],3,0)</f>
        <v>1941</v>
      </c>
      <c r="AH898" t="str">
        <f>VLOOKUP(Таблица1_113[[#This Row],[Марка]],Таблица13[#All],5,0)</f>
        <v>Нет</v>
      </c>
      <c r="AI898" s="12">
        <v>44256</v>
      </c>
      <c r="AJ898">
        <v>66</v>
      </c>
    </row>
    <row r="899" spans="30:36">
      <c r="AD899" t="s">
        <v>135</v>
      </c>
      <c r="AE899" t="str">
        <f>VLOOKUP(Таблица1_113[[#This Row],[Марка]],Таблица13[#All],4,0)</f>
        <v>-</v>
      </c>
      <c r="AF899" t="str">
        <f>VLOOKUP(Таблица1_113[[#This Row],[Марка]],Таблица13[#All],2,0)</f>
        <v>-</v>
      </c>
      <c r="AG899" t="str">
        <f>VLOOKUP(Таблица1_113[[#This Row],[Марка]],Таблица13[#All],3,0)</f>
        <v>-</v>
      </c>
      <c r="AH899" t="str">
        <f>VLOOKUP(Таблица1_113[[#This Row],[Марка]],Таблица13[#All],5,0)</f>
        <v>-</v>
      </c>
      <c r="AI899" s="12">
        <v>44256</v>
      </c>
      <c r="AJ899">
        <v>21</v>
      </c>
    </row>
    <row r="900" spans="30:36">
      <c r="AD900" t="s">
        <v>39</v>
      </c>
      <c r="AE900" t="str">
        <f>VLOOKUP(Таблица1_113[[#This Row],[Марка]],Таблица13[#All],4,0)</f>
        <v>Швеция</v>
      </c>
      <c r="AF900" t="str">
        <f>VLOOKUP(Таблица1_113[[#This Row],[Марка]],Таблица13[#All],2,0)</f>
        <v>Business</v>
      </c>
      <c r="AG900">
        <f>VLOOKUP(Таблица1_113[[#This Row],[Марка]],Таблица13[#All],3,0)</f>
        <v>1927</v>
      </c>
      <c r="AH900" t="str">
        <f>VLOOKUP(Таблица1_113[[#This Row],[Марка]],Таблица13[#All],5,0)</f>
        <v>Нет</v>
      </c>
      <c r="AI900" s="12">
        <v>44256</v>
      </c>
      <c r="AJ900">
        <v>11</v>
      </c>
    </row>
    <row r="901" spans="30:36">
      <c r="AD901" t="s">
        <v>21</v>
      </c>
      <c r="AE901" t="str">
        <f>VLOOKUP(Таблица1_113[[#This Row],[Марка]],Таблица13[#All],4,0)</f>
        <v>Германия</v>
      </c>
      <c r="AF901" t="str">
        <f>VLOOKUP(Таблица1_113[[#This Row],[Марка]],Таблица13[#All],2,0)</f>
        <v>Business</v>
      </c>
      <c r="AG901">
        <f>VLOOKUP(Таблица1_113[[#This Row],[Марка]],Таблица13[#All],3,0)</f>
        <v>1937</v>
      </c>
      <c r="AH901" t="str">
        <f>VLOOKUP(Таблица1_113[[#This Row],[Марка]],Таблица13[#All],5,0)</f>
        <v>Нет</v>
      </c>
      <c r="AI901" s="12">
        <v>44256</v>
      </c>
      <c r="AJ901">
        <v>348</v>
      </c>
    </row>
    <row r="902" spans="30:36">
      <c r="AD902" t="s">
        <v>2</v>
      </c>
      <c r="AE902" t="str">
        <f>VLOOKUP(Таблица1_113[[#This Row],[Марка]],Таблица13[#All],4,0)</f>
        <v>Япония</v>
      </c>
      <c r="AF902" t="str">
        <f>VLOOKUP(Таблица1_113[[#This Row],[Марка]],Таблица13[#All],2,0)</f>
        <v>Business</v>
      </c>
      <c r="AG902">
        <f>VLOOKUP(Таблица1_113[[#This Row],[Марка]],Таблица13[#All],3,0)</f>
        <v>1937</v>
      </c>
      <c r="AH902" t="str">
        <f>VLOOKUP(Таблица1_113[[#This Row],[Марка]],Таблица13[#All],5,0)</f>
        <v>Нет</v>
      </c>
      <c r="AI902" s="12">
        <v>44256</v>
      </c>
      <c r="AJ902">
        <v>1169</v>
      </c>
    </row>
    <row r="903" spans="30:36">
      <c r="AD903" t="s">
        <v>125</v>
      </c>
      <c r="AE903" t="str">
        <f>VLOOKUP(Таблица1_113[[#This Row],[Марка]],Таблица13[#All],4,0)</f>
        <v>Япония</v>
      </c>
      <c r="AF903" t="str">
        <f>VLOOKUP(Таблица1_113[[#This Row],[Марка]],Таблица13[#All],2,0)</f>
        <v>Business</v>
      </c>
      <c r="AG903">
        <f>VLOOKUP(Таблица1_113[[#This Row],[Марка]],Таблица13[#All],3,0)</f>
        <v>1953</v>
      </c>
      <c r="AH903" t="str">
        <f>VLOOKUP(Таблица1_113[[#This Row],[Марка]],Таблица13[#All],5,0)</f>
        <v>Нет</v>
      </c>
      <c r="AI903" s="12">
        <v>44256</v>
      </c>
      <c r="AJ903">
        <v>51</v>
      </c>
    </row>
    <row r="904" spans="30:36">
      <c r="AD904" t="s">
        <v>141</v>
      </c>
      <c r="AE904" t="str">
        <f>VLOOKUP(Таблица1_113[[#This Row],[Марка]],Таблица13[#All],4,0)</f>
        <v>Чехия</v>
      </c>
      <c r="AF904" t="str">
        <f>VLOOKUP(Таблица1_113[[#This Row],[Марка]],Таблица13[#All],2,0)</f>
        <v>Business</v>
      </c>
      <c r="AG904">
        <f>VLOOKUP(Таблица1_113[[#This Row],[Марка]],Таблица13[#All],3,0)</f>
        <v>1895</v>
      </c>
      <c r="AH904" t="str">
        <f>VLOOKUP(Таблица1_113[[#This Row],[Марка]],Таблица13[#All],5,0)</f>
        <v>Крупноузловая</v>
      </c>
      <c r="AI904" s="12">
        <v>44256</v>
      </c>
      <c r="AJ904">
        <v>49</v>
      </c>
    </row>
    <row r="905" spans="30:36">
      <c r="AD905" t="s">
        <v>23</v>
      </c>
      <c r="AE905" t="str">
        <f>VLOOKUP(Таблица1_113[[#This Row],[Марка]],Таблица13[#All],4,0)</f>
        <v>Франция</v>
      </c>
      <c r="AF905" t="str">
        <f>VLOOKUP(Таблица1_113[[#This Row],[Марка]],Таблица13[#All],2,0)</f>
        <v>Economy</v>
      </c>
      <c r="AG905">
        <f>VLOOKUP(Таблица1_113[[#This Row],[Марка]],Таблица13[#All],3,0)</f>
        <v>1899</v>
      </c>
      <c r="AH905" t="str">
        <f>VLOOKUP(Таблица1_113[[#This Row],[Марка]],Таблица13[#All],5,0)</f>
        <v>Крупноузловая</v>
      </c>
      <c r="AI905" s="12">
        <v>44256</v>
      </c>
      <c r="AJ905">
        <v>254</v>
      </c>
    </row>
    <row r="906" spans="30:36">
      <c r="AD906" t="s">
        <v>142</v>
      </c>
      <c r="AE906" t="str">
        <f>VLOOKUP(Таблица1_113[[#This Row],[Марка]],Таблица13[#All],4,0)</f>
        <v>Узбекистан</v>
      </c>
      <c r="AF906" t="str">
        <f>VLOOKUP(Таблица1_113[[#This Row],[Марка]],Таблица13[#All],2,0)</f>
        <v>Economy</v>
      </c>
      <c r="AG906">
        <f>VLOOKUP(Таблица1_113[[#This Row],[Марка]],Таблица13[#All],3,0)</f>
        <v>2015</v>
      </c>
      <c r="AH906" t="str">
        <f>VLOOKUP(Таблица1_113[[#This Row],[Марка]],Таблица13[#All],5,0)</f>
        <v>Крупноузловая</v>
      </c>
      <c r="AI906" s="12">
        <v>44256</v>
      </c>
      <c r="AJ906">
        <v>6</v>
      </c>
    </row>
    <row r="907" spans="30:36">
      <c r="AD907" t="s">
        <v>37</v>
      </c>
      <c r="AE907" t="str">
        <f>VLOOKUP(Таблица1_113[[#This Row],[Марка]],Таблица13[#All],4,0)</f>
        <v>Германия</v>
      </c>
      <c r="AF907" t="str">
        <f>VLOOKUP(Таблица1_113[[#This Row],[Марка]],Таблица13[#All],2,0)</f>
        <v>Luxury</v>
      </c>
      <c r="AG907">
        <f>VLOOKUP(Таблица1_113[[#This Row],[Марка]],Таблица13[#All],3,0)</f>
        <v>1931</v>
      </c>
      <c r="AH907" t="str">
        <f>VLOOKUP(Таблица1_113[[#This Row],[Марка]],Таблица13[#All],5,0)</f>
        <v>Нет</v>
      </c>
      <c r="AI907" s="12">
        <v>44256</v>
      </c>
      <c r="AJ907">
        <v>25</v>
      </c>
    </row>
    <row r="908" spans="30:36">
      <c r="AD908" t="s">
        <v>22</v>
      </c>
      <c r="AE908" t="str">
        <f>VLOOKUP(Таблица1_113[[#This Row],[Марка]],Таблица13[#All],4,0)</f>
        <v>Япония</v>
      </c>
      <c r="AF908" t="str">
        <f>VLOOKUP(Таблица1_113[[#This Row],[Марка]],Таблица13[#All],2,0)</f>
        <v>Business</v>
      </c>
      <c r="AG908">
        <f>VLOOKUP(Таблица1_113[[#This Row],[Марка]],Таблица13[#All],3,0)</f>
        <v>1933</v>
      </c>
      <c r="AH908" t="str">
        <f>VLOOKUP(Таблица1_113[[#This Row],[Марка]],Таблица13[#All],5,0)</f>
        <v>Нет</v>
      </c>
      <c r="AI908" s="12">
        <v>44256</v>
      </c>
      <c r="AJ908">
        <v>311</v>
      </c>
    </row>
    <row r="909" spans="30:36">
      <c r="AD909" t="s">
        <v>9</v>
      </c>
      <c r="AE909" t="str">
        <f>VLOOKUP(Таблица1_113[[#This Row],[Марка]],Таблица13[#All],4,0)</f>
        <v>Япония</v>
      </c>
      <c r="AF909" t="str">
        <f>VLOOKUP(Таблица1_113[[#This Row],[Марка]],Таблица13[#All],2,0)</f>
        <v>Business</v>
      </c>
      <c r="AG909">
        <f>VLOOKUP(Таблица1_113[[#This Row],[Марка]],Таблица13[#All],3,0)</f>
        <v>1870</v>
      </c>
      <c r="AH909" t="str">
        <f>VLOOKUP(Таблица1_113[[#This Row],[Марка]],Таблица13[#All],5,0)</f>
        <v>Нет</v>
      </c>
      <c r="AI909" s="12">
        <v>44256</v>
      </c>
      <c r="AJ909">
        <v>104</v>
      </c>
    </row>
    <row r="910" spans="30:36">
      <c r="AD910" t="s">
        <v>40</v>
      </c>
      <c r="AE910" t="str">
        <f>VLOOKUP(Таблица1_113[[#This Row],[Марка]],Таблица13[#All],4,0)</f>
        <v>Великобритания</v>
      </c>
      <c r="AF910" t="str">
        <f>VLOOKUP(Таблица1_113[[#This Row],[Марка]],Таблица13[#All],2,0)</f>
        <v>Luxury</v>
      </c>
      <c r="AG910">
        <f>VLOOKUP(Таблица1_113[[#This Row],[Марка]],Таблица13[#All],3,0)</f>
        <v>1959</v>
      </c>
      <c r="AH910" t="str">
        <f>VLOOKUP(Таблица1_113[[#This Row],[Марка]],Таблица13[#All],5,0)</f>
        <v>Нет</v>
      </c>
      <c r="AI910" s="12">
        <v>44256</v>
      </c>
      <c r="AJ910">
        <v>17</v>
      </c>
    </row>
    <row r="911" spans="30:36">
      <c r="AD911" t="s">
        <v>128</v>
      </c>
      <c r="AE911" t="str">
        <f>VLOOKUP(Таблица1_113[[#This Row],[Марка]],Таблица13[#All],4,0)</f>
        <v>Германия</v>
      </c>
      <c r="AF911" t="str">
        <f>VLOOKUP(Таблица1_113[[#This Row],[Марка]],Таблица13[#All],2,0)</f>
        <v>Luxury</v>
      </c>
      <c r="AG911">
        <f>VLOOKUP(Таблица1_113[[#This Row],[Марка]],Таблица13[#All],3,0)</f>
        <v>1926</v>
      </c>
      <c r="AH911" t="str">
        <f>VLOOKUP(Таблица1_113[[#This Row],[Марка]],Таблица13[#All],5,0)</f>
        <v>Нет</v>
      </c>
      <c r="AI911" s="12">
        <v>44256</v>
      </c>
      <c r="AJ911">
        <v>36</v>
      </c>
    </row>
    <row r="912" spans="30:36">
      <c r="AD912" t="s">
        <v>139</v>
      </c>
      <c r="AE912" t="str">
        <f>VLOOKUP(Таблица1_113[[#This Row],[Марка]],Таблица13[#All],4,0)</f>
        <v>Япония</v>
      </c>
      <c r="AF912" t="str">
        <f>VLOOKUP(Таблица1_113[[#This Row],[Марка]],Таблица13[#All],2,0)</f>
        <v>Business</v>
      </c>
      <c r="AG912">
        <f>VLOOKUP(Таблица1_113[[#This Row],[Марка]],Таблица13[#All],3,0)</f>
        <v>1920</v>
      </c>
      <c r="AH912" t="str">
        <f>VLOOKUP(Таблица1_113[[#This Row],[Марка]],Таблица13[#All],5,0)</f>
        <v>Нет</v>
      </c>
      <c r="AI912" s="12">
        <v>44256</v>
      </c>
      <c r="AJ912">
        <v>37</v>
      </c>
    </row>
    <row r="913" spans="30:36">
      <c r="AD913" t="s">
        <v>5</v>
      </c>
      <c r="AE913" t="str">
        <f>VLOOKUP(Таблица1_113[[#This Row],[Марка]],Таблица13[#All],4,0)</f>
        <v>Япония</v>
      </c>
      <c r="AF913" t="str">
        <f>VLOOKUP(Таблица1_113[[#This Row],[Марка]],Таблица13[#All],2,0)</f>
        <v>Luxury</v>
      </c>
      <c r="AG913">
        <f>VLOOKUP(Таблица1_113[[#This Row],[Марка]],Таблица13[#All],3,0)</f>
        <v>1989</v>
      </c>
      <c r="AH913" t="str">
        <f>VLOOKUP(Таблица1_113[[#This Row],[Марка]],Таблица13[#All],5,0)</f>
        <v>Нет</v>
      </c>
      <c r="AI913" s="12">
        <v>44256</v>
      </c>
      <c r="AJ913">
        <v>243</v>
      </c>
    </row>
    <row r="914" spans="30:36">
      <c r="AD914" t="s">
        <v>35</v>
      </c>
      <c r="AE914" t="str">
        <f>VLOOKUP(Таблица1_113[[#This Row],[Марка]],Таблица13[#All],4,0)</f>
        <v>Великобритания</v>
      </c>
      <c r="AF914" t="str">
        <f>VLOOKUP(Таблица1_113[[#This Row],[Марка]],Таблица13[#All],2,0)</f>
        <v>Luxury</v>
      </c>
      <c r="AG914">
        <f>VLOOKUP(Таблица1_113[[#This Row],[Марка]],Таблица13[#All],3,0)</f>
        <v>1948</v>
      </c>
      <c r="AH914" t="str">
        <f>VLOOKUP(Таблица1_113[[#This Row],[Марка]],Таблица13[#All],5,0)</f>
        <v>Нет</v>
      </c>
      <c r="AI914" s="12">
        <v>44256</v>
      </c>
      <c r="AJ914">
        <v>30</v>
      </c>
    </row>
    <row r="915" spans="30:36">
      <c r="AD915" t="s">
        <v>19</v>
      </c>
      <c r="AE915" t="str">
        <f>VLOOKUP(Таблица1_113[[#This Row],[Марка]],Таблица13[#All],4,0)</f>
        <v>Россия</v>
      </c>
      <c r="AF915" t="str">
        <f>VLOOKUP(Таблица1_113[[#This Row],[Марка]],Таблица13[#All],2,0)</f>
        <v>Economy</v>
      </c>
      <c r="AG915">
        <f>VLOOKUP(Таблица1_113[[#This Row],[Марка]],Таблица13[#All],3,0)</f>
        <v>1970</v>
      </c>
      <c r="AH915" t="str">
        <f>VLOOKUP(Таблица1_113[[#This Row],[Марка]],Таблица13[#All],5,0)</f>
        <v>Крупноузловая</v>
      </c>
      <c r="AI915" s="12">
        <v>44256</v>
      </c>
      <c r="AJ915">
        <v>272</v>
      </c>
    </row>
    <row r="916" spans="30:36">
      <c r="AD916" t="s">
        <v>15</v>
      </c>
      <c r="AE916" t="str">
        <f>VLOOKUP(Таблица1_113[[#This Row],[Марка]],Таблица13[#All],4,0)</f>
        <v>Корея</v>
      </c>
      <c r="AF916" t="str">
        <f>VLOOKUP(Таблица1_113[[#This Row],[Марка]],Таблица13[#All],2,0)</f>
        <v>Economy</v>
      </c>
      <c r="AG916">
        <f>VLOOKUP(Таблица1_113[[#This Row],[Марка]],Таблица13[#All],3,0)</f>
        <v>1944</v>
      </c>
      <c r="AH916" t="str">
        <f>VLOOKUP(Таблица1_113[[#This Row],[Марка]],Таблица13[#All],5,0)</f>
        <v>Крупноузловая</v>
      </c>
      <c r="AI916" s="12">
        <v>44256</v>
      </c>
      <c r="AJ916">
        <v>345</v>
      </c>
    </row>
    <row r="917" spans="30:36">
      <c r="AD917" t="s">
        <v>134</v>
      </c>
      <c r="AE917" t="str">
        <f>VLOOKUP(Таблица1_113[[#This Row],[Марка]],Таблица13[#All],4,0)</f>
        <v>Великобритания</v>
      </c>
      <c r="AF917" t="str">
        <f>VLOOKUP(Таблица1_113[[#This Row],[Марка]],Таблица13[#All],2,0)</f>
        <v>Luxury</v>
      </c>
      <c r="AG917">
        <f>VLOOKUP(Таблица1_113[[#This Row],[Марка]],Таблица13[#All],3,0)</f>
        <v>1922</v>
      </c>
      <c r="AH917" t="str">
        <f>VLOOKUP(Таблица1_113[[#This Row],[Марка]],Таблица13[#All],5,0)</f>
        <v>Нет</v>
      </c>
      <c r="AI917" s="12">
        <v>44256</v>
      </c>
      <c r="AJ917">
        <v>0</v>
      </c>
    </row>
    <row r="918" spans="30:36">
      <c r="AD918" t="s">
        <v>4</v>
      </c>
      <c r="AE918" t="str">
        <f>VLOOKUP(Таблица1_113[[#This Row],[Марка]],Таблица13[#All],4,0)</f>
        <v>Китай</v>
      </c>
      <c r="AF918" t="str">
        <f>VLOOKUP(Таблица1_113[[#This Row],[Марка]],Таблица13[#All],2,0)</f>
        <v>Economy</v>
      </c>
      <c r="AG918">
        <f>VLOOKUP(Таблица1_113[[#This Row],[Марка]],Таблица13[#All],3,0)</f>
        <v>1964</v>
      </c>
      <c r="AH918" t="str">
        <f>VLOOKUP(Таблица1_113[[#This Row],[Марка]],Таблица13[#All],5,0)</f>
        <v>Крупноузловая</v>
      </c>
      <c r="AI918" s="12">
        <v>44256</v>
      </c>
      <c r="AJ918">
        <v>179</v>
      </c>
    </row>
    <row r="919" spans="30:36">
      <c r="AD919" t="s">
        <v>140</v>
      </c>
      <c r="AE919" t="str">
        <f>VLOOKUP(Таблица1_113[[#This Row],[Марка]],Таблица13[#All],4,0)</f>
        <v>Япония</v>
      </c>
      <c r="AF919" t="str">
        <f>VLOOKUP(Таблица1_113[[#This Row],[Марка]],Таблица13[#All],2,0)</f>
        <v>Business</v>
      </c>
      <c r="AG919">
        <f>VLOOKUP(Таблица1_113[[#This Row],[Марка]],Таблица13[#All],3,0)</f>
        <v>1916</v>
      </c>
      <c r="AH919" t="str">
        <f>VLOOKUP(Таблица1_113[[#This Row],[Марка]],Таблица13[#All],5,0)</f>
        <v>Нет</v>
      </c>
      <c r="AI919" s="12">
        <v>44256</v>
      </c>
      <c r="AJ919">
        <v>10</v>
      </c>
    </row>
    <row r="920" spans="30:36">
      <c r="AD920" t="s">
        <v>34</v>
      </c>
      <c r="AE920" t="str">
        <f>VLOOKUP(Таблица1_113[[#This Row],[Марка]],Таблица13[#All],4,0)</f>
        <v>Япония</v>
      </c>
      <c r="AF920" t="str">
        <f>VLOOKUP(Таблица1_113[[#This Row],[Марка]],Таблица13[#All],2,0)</f>
        <v>Luxury</v>
      </c>
      <c r="AG920">
        <f>VLOOKUP(Таблица1_113[[#This Row],[Марка]],Таблица13[#All],3,0)</f>
        <v>1989</v>
      </c>
      <c r="AH920" t="str">
        <f>VLOOKUP(Таблица1_113[[#This Row],[Марка]],Таблица13[#All],5,0)</f>
        <v>Нет</v>
      </c>
      <c r="AI920" s="12">
        <v>44256</v>
      </c>
      <c r="AJ920">
        <v>47</v>
      </c>
    </row>
    <row r="921" spans="30:36">
      <c r="AD921" t="s">
        <v>0</v>
      </c>
      <c r="AE921" t="str">
        <f>VLOOKUP(Таблица1_113[[#This Row],[Марка]],Таблица13[#All],4,0)</f>
        <v>Корея</v>
      </c>
      <c r="AF921" t="str">
        <f>VLOOKUP(Таблица1_113[[#This Row],[Марка]],Таблица13[#All],2,0)</f>
        <v>Economy</v>
      </c>
      <c r="AG921">
        <f>VLOOKUP(Таблица1_113[[#This Row],[Марка]],Таблица13[#All],3,0)</f>
        <v>1967</v>
      </c>
      <c r="AH921" t="str">
        <f>VLOOKUP(Таблица1_113[[#This Row],[Марка]],Таблица13[#All],5,0)</f>
        <v>Крупноузловая</v>
      </c>
      <c r="AI921" s="12">
        <v>44256</v>
      </c>
      <c r="AJ921">
        <v>1922</v>
      </c>
    </row>
    <row r="922" spans="30:36">
      <c r="AD922" t="s">
        <v>6</v>
      </c>
      <c r="AE922" t="str">
        <f>VLOOKUP(Таблица1_113[[#This Row],[Марка]],Таблица13[#All],4,0)</f>
        <v>Китай</v>
      </c>
      <c r="AF922" t="str">
        <f>VLOOKUP(Таблица1_113[[#This Row],[Марка]],Таблица13[#All],2,0)</f>
        <v>Economy</v>
      </c>
      <c r="AG922">
        <f>VLOOKUP(Таблица1_113[[#This Row],[Марка]],Таблица13[#All],3,0)</f>
        <v>2013</v>
      </c>
      <c r="AH922" t="str">
        <f>VLOOKUP(Таблица1_113[[#This Row],[Марка]],Таблица13[#All],5,0)</f>
        <v>Крупноузловая</v>
      </c>
      <c r="AI922" s="12">
        <v>44256</v>
      </c>
      <c r="AJ922">
        <v>0</v>
      </c>
    </row>
    <row r="923" spans="30:36">
      <c r="AD923" t="s">
        <v>138</v>
      </c>
      <c r="AE923" t="str">
        <f>VLOOKUP(Таблица1_113[[#This Row],[Марка]],Таблица13[#All],4,0)</f>
        <v>Корея</v>
      </c>
      <c r="AF923" t="str">
        <f>VLOOKUP(Таблица1_113[[#This Row],[Марка]],Таблица13[#All],2,0)</f>
        <v>Luxury</v>
      </c>
      <c r="AG923">
        <f>VLOOKUP(Таблица1_113[[#This Row],[Марка]],Таблица13[#All],3,0)</f>
        <v>2015</v>
      </c>
      <c r="AH923" t="str">
        <f>VLOOKUP(Таблица1_113[[#This Row],[Марка]],Таблица13[#All],5,0)</f>
        <v>Нет</v>
      </c>
      <c r="AI923" s="12">
        <v>44256</v>
      </c>
      <c r="AJ923">
        <v>0</v>
      </c>
    </row>
    <row r="924" spans="30:36">
      <c r="AD924" t="s">
        <v>129</v>
      </c>
      <c r="AE924" t="str">
        <f>VLOOKUP(Таблица1_113[[#This Row],[Марка]],Таблица13[#All],4,0)</f>
        <v>Китай</v>
      </c>
      <c r="AF924" t="str">
        <f>VLOOKUP(Таблица1_113[[#This Row],[Марка]],Таблица13[#All],2,0)</f>
        <v>Economy</v>
      </c>
      <c r="AG924">
        <f>VLOOKUP(Таблица1_113[[#This Row],[Марка]],Таблица13[#All],3,0)</f>
        <v>1953</v>
      </c>
      <c r="AH924" t="str">
        <f>VLOOKUP(Таблица1_113[[#This Row],[Марка]],Таблица13[#All],5,0)</f>
        <v>Нет</v>
      </c>
      <c r="AI924" s="12">
        <v>44256</v>
      </c>
      <c r="AJ924">
        <v>0</v>
      </c>
    </row>
    <row r="925" spans="30:36">
      <c r="AD925" t="s">
        <v>130</v>
      </c>
      <c r="AE925" t="str">
        <f>VLOOKUP(Таблица1_113[[#This Row],[Марка]],Таблица13[#All],4,0)</f>
        <v>Китай</v>
      </c>
      <c r="AF925" t="str">
        <f>VLOOKUP(Таблица1_113[[#This Row],[Марка]],Таблица13[#All],2,0)</f>
        <v>Economy</v>
      </c>
      <c r="AG925">
        <f>VLOOKUP(Таблица1_113[[#This Row],[Марка]],Таблица13[#All],3,0)</f>
        <v>1969</v>
      </c>
      <c r="AH925" t="str">
        <f>VLOOKUP(Таблица1_113[[#This Row],[Марка]],Таблица13[#All],5,0)</f>
        <v>Нет</v>
      </c>
      <c r="AI925" s="12">
        <v>44256</v>
      </c>
      <c r="AJ925">
        <v>26</v>
      </c>
    </row>
    <row r="926" spans="30:36">
      <c r="AD926" t="s">
        <v>137</v>
      </c>
      <c r="AE926" t="str">
        <f>VLOOKUP(Таблица1_113[[#This Row],[Марка]],Таблица13[#All],4,0)</f>
        <v>Корея</v>
      </c>
      <c r="AF926" t="str">
        <f>VLOOKUP(Таблица1_113[[#This Row],[Марка]],Таблица13[#All],2,0)</f>
        <v>Economy</v>
      </c>
      <c r="AG926">
        <f>VLOOKUP(Таблица1_113[[#This Row],[Марка]],Таблица13[#All],3,0)</f>
        <v>1967</v>
      </c>
      <c r="AH926" t="str">
        <f>VLOOKUP(Таблица1_113[[#This Row],[Марка]],Таблица13[#All],5,0)</f>
        <v>Нет</v>
      </c>
      <c r="AI926" s="12">
        <v>44256</v>
      </c>
      <c r="AJ926">
        <v>0</v>
      </c>
    </row>
    <row r="927" spans="30:36">
      <c r="AD927" t="s">
        <v>1</v>
      </c>
      <c r="AE927" t="str">
        <f>VLOOKUP(Таблица1_113[[#This Row],[Марка]],Таблица13[#All],4,0)</f>
        <v>США</v>
      </c>
      <c r="AF927" t="str">
        <f>VLOOKUP(Таблица1_113[[#This Row],[Марка]],Таблица13[#All],2,0)</f>
        <v>Economy</v>
      </c>
      <c r="AG927">
        <f>VLOOKUP(Таблица1_113[[#This Row],[Марка]],Таблица13[#All],3,0)</f>
        <v>1911</v>
      </c>
      <c r="AH927" t="str">
        <f>VLOOKUP(Таблица1_113[[#This Row],[Марка]],Таблица13[#All],5,0)</f>
        <v>Крупноузловая</v>
      </c>
      <c r="AI927" s="12">
        <v>44256</v>
      </c>
      <c r="AJ927">
        <v>2165</v>
      </c>
    </row>
    <row r="928" spans="30:36">
      <c r="AD928" t="s">
        <v>3</v>
      </c>
      <c r="AE928" t="str">
        <f>VLOOKUP(Таблица1_113[[#This Row],[Марка]],Таблица13[#All],4,0)</f>
        <v>Китай</v>
      </c>
      <c r="AF928" t="str">
        <f>VLOOKUP(Таблица1_113[[#This Row],[Марка]],Таблица13[#All],2,0)</f>
        <v>Economy</v>
      </c>
      <c r="AG928">
        <f>VLOOKUP(Таблица1_113[[#This Row],[Марка]],Таблица13[#All],3,0)</f>
        <v>1997</v>
      </c>
      <c r="AH928" t="str">
        <f>VLOOKUP(Таблица1_113[[#This Row],[Марка]],Таблица13[#All],5,0)</f>
        <v>Крупноузловая</v>
      </c>
      <c r="AI928" s="12">
        <v>44256</v>
      </c>
      <c r="AJ928">
        <v>0</v>
      </c>
    </row>
    <row r="929" spans="30:36">
      <c r="AD929" t="s">
        <v>36</v>
      </c>
      <c r="AE929" t="str">
        <f>VLOOKUP(Таблица1_113[[#This Row],[Марка]],Таблица13[#All],4,0)</f>
        <v>США</v>
      </c>
      <c r="AF929" t="str">
        <f>VLOOKUP(Таблица1_113[[#This Row],[Марка]],Таблица13[#All],2,0)</f>
        <v>Luxury</v>
      </c>
      <c r="AG929">
        <f>VLOOKUP(Таблица1_113[[#This Row],[Марка]],Таблица13[#All],3,0)</f>
        <v>1902</v>
      </c>
      <c r="AH929" t="str">
        <f>VLOOKUP(Таблица1_113[[#This Row],[Марка]],Таблица13[#All],5,0)</f>
        <v>Нет</v>
      </c>
      <c r="AI929" s="12">
        <v>44256</v>
      </c>
      <c r="AJ929">
        <v>10</v>
      </c>
    </row>
    <row r="930" spans="30:36">
      <c r="AD930" t="s">
        <v>8</v>
      </c>
      <c r="AE930" t="str">
        <f>VLOOKUP(Таблица1_113[[#This Row],[Марка]],Таблица13[#All],4,0)</f>
        <v>Германия</v>
      </c>
      <c r="AF930" t="str">
        <f>VLOOKUP(Таблица1_113[[#This Row],[Марка]],Таблица13[#All],2,0)</f>
        <v>Luxury</v>
      </c>
      <c r="AG930">
        <f>VLOOKUP(Таблица1_113[[#This Row],[Марка]],Таблица13[#All],3,0)</f>
        <v>1916</v>
      </c>
      <c r="AH930" t="str">
        <f>VLOOKUP(Таблица1_113[[#This Row],[Марка]],Таблица13[#All],5,0)</f>
        <v>Нет</v>
      </c>
      <c r="AI930" s="12">
        <v>44256</v>
      </c>
      <c r="AJ930">
        <v>107</v>
      </c>
    </row>
    <row r="931" spans="30:36">
      <c r="AD931" t="s">
        <v>38</v>
      </c>
      <c r="AE931" t="str">
        <f>VLOOKUP(Таблица1_113[[#This Row],[Марка]],Таблица13[#All],4,0)</f>
        <v>Германия</v>
      </c>
      <c r="AF931" t="str">
        <f>VLOOKUP(Таблица1_113[[#This Row],[Марка]],Таблица13[#All],2,0)</f>
        <v>Luxury</v>
      </c>
      <c r="AG931">
        <f>VLOOKUP(Таблица1_113[[#This Row],[Марка]],Таблица13[#All],3,0)</f>
        <v>1932</v>
      </c>
      <c r="AH931" t="str">
        <f>VLOOKUP(Таблица1_113[[#This Row],[Марка]],Таблица13[#All],5,0)</f>
        <v>Нет</v>
      </c>
      <c r="AI931" s="12">
        <v>44256</v>
      </c>
      <c r="AJ931">
        <v>23</v>
      </c>
    </row>
    <row r="932" spans="30:36">
      <c r="AD932" t="s">
        <v>136</v>
      </c>
      <c r="AE932" t="str">
        <f>VLOOKUP(Таблица1_113[[#This Row],[Марка]],Таблица13[#All],4,0)</f>
        <v>Россия</v>
      </c>
      <c r="AF932" t="str">
        <f>VLOOKUP(Таблица1_113[[#This Row],[Марка]],Таблица13[#All],2,0)</f>
        <v>Economy</v>
      </c>
      <c r="AG932">
        <f>VLOOKUP(Таблица1_113[[#This Row],[Марка]],Таблица13[#All],3,0)</f>
        <v>1941</v>
      </c>
      <c r="AH932" t="str">
        <f>VLOOKUP(Таблица1_113[[#This Row],[Марка]],Таблица13[#All],5,0)</f>
        <v>Нет</v>
      </c>
      <c r="AI932" s="12">
        <v>44287</v>
      </c>
      <c r="AJ932">
        <v>127</v>
      </c>
    </row>
    <row r="933" spans="30:36">
      <c r="AD933" t="s">
        <v>135</v>
      </c>
      <c r="AE933" t="str">
        <f>VLOOKUP(Таблица1_113[[#This Row],[Марка]],Таблица13[#All],4,0)</f>
        <v>-</v>
      </c>
      <c r="AF933" t="str">
        <f>VLOOKUP(Таблица1_113[[#This Row],[Марка]],Таблица13[#All],2,0)</f>
        <v>-</v>
      </c>
      <c r="AG933" t="str">
        <f>VLOOKUP(Таблица1_113[[#This Row],[Марка]],Таблица13[#All],3,0)</f>
        <v>-</v>
      </c>
      <c r="AH933" t="str">
        <f>VLOOKUP(Таблица1_113[[#This Row],[Марка]],Таблица13[#All],5,0)</f>
        <v>-</v>
      </c>
      <c r="AI933" s="12">
        <v>44287</v>
      </c>
      <c r="AJ933">
        <v>49</v>
      </c>
    </row>
    <row r="934" spans="30:36">
      <c r="AD934" t="s">
        <v>39</v>
      </c>
      <c r="AE934" t="str">
        <f>VLOOKUP(Таблица1_113[[#This Row],[Марка]],Таблица13[#All],4,0)</f>
        <v>Швеция</v>
      </c>
      <c r="AF934" t="str">
        <f>VLOOKUP(Таблица1_113[[#This Row],[Марка]],Таблица13[#All],2,0)</f>
        <v>Business</v>
      </c>
      <c r="AG934">
        <f>VLOOKUP(Таблица1_113[[#This Row],[Марка]],Таблица13[#All],3,0)</f>
        <v>1927</v>
      </c>
      <c r="AH934" t="str">
        <f>VLOOKUP(Таблица1_113[[#This Row],[Марка]],Таблица13[#All],5,0)</f>
        <v>Нет</v>
      </c>
      <c r="AI934" s="12">
        <v>44287</v>
      </c>
      <c r="AJ934">
        <v>13</v>
      </c>
    </row>
    <row r="935" spans="30:36">
      <c r="AD935" t="s">
        <v>21</v>
      </c>
      <c r="AE935" t="str">
        <f>VLOOKUP(Таблица1_113[[#This Row],[Марка]],Таблица13[#All],4,0)</f>
        <v>Германия</v>
      </c>
      <c r="AF935" t="str">
        <f>VLOOKUP(Таблица1_113[[#This Row],[Марка]],Таблица13[#All],2,0)</f>
        <v>Business</v>
      </c>
      <c r="AG935">
        <f>VLOOKUP(Таблица1_113[[#This Row],[Марка]],Таблица13[#All],3,0)</f>
        <v>1937</v>
      </c>
      <c r="AH935" t="str">
        <f>VLOOKUP(Таблица1_113[[#This Row],[Марка]],Таблица13[#All],5,0)</f>
        <v>Нет</v>
      </c>
      <c r="AI935" s="12">
        <v>44287</v>
      </c>
      <c r="AJ935">
        <v>413</v>
      </c>
    </row>
    <row r="936" spans="30:36">
      <c r="AD936" t="s">
        <v>2</v>
      </c>
      <c r="AE936" t="str">
        <f>VLOOKUP(Таблица1_113[[#This Row],[Марка]],Таблица13[#All],4,0)</f>
        <v>Япония</v>
      </c>
      <c r="AF936" t="str">
        <f>VLOOKUP(Таблица1_113[[#This Row],[Марка]],Таблица13[#All],2,0)</f>
        <v>Business</v>
      </c>
      <c r="AG936">
        <f>VLOOKUP(Таблица1_113[[#This Row],[Марка]],Таблица13[#All],3,0)</f>
        <v>1937</v>
      </c>
      <c r="AH936" t="str">
        <f>VLOOKUP(Таблица1_113[[#This Row],[Марка]],Таблица13[#All],5,0)</f>
        <v>Нет</v>
      </c>
      <c r="AI936" s="12">
        <v>44287</v>
      </c>
      <c r="AJ936">
        <v>1251</v>
      </c>
    </row>
    <row r="937" spans="30:36">
      <c r="AD937" t="s">
        <v>125</v>
      </c>
      <c r="AE937" t="str">
        <f>VLOOKUP(Таблица1_113[[#This Row],[Марка]],Таблица13[#All],4,0)</f>
        <v>Япония</v>
      </c>
      <c r="AF937" t="str">
        <f>VLOOKUP(Таблица1_113[[#This Row],[Марка]],Таблица13[#All],2,0)</f>
        <v>Business</v>
      </c>
      <c r="AG937">
        <f>VLOOKUP(Таблица1_113[[#This Row],[Марка]],Таблица13[#All],3,0)</f>
        <v>1953</v>
      </c>
      <c r="AH937" t="str">
        <f>VLOOKUP(Таблица1_113[[#This Row],[Марка]],Таблица13[#All],5,0)</f>
        <v>Нет</v>
      </c>
      <c r="AI937" s="12">
        <v>44287</v>
      </c>
      <c r="AJ937">
        <v>69</v>
      </c>
    </row>
    <row r="938" spans="30:36">
      <c r="AD938" t="s">
        <v>141</v>
      </c>
      <c r="AE938" t="str">
        <f>VLOOKUP(Таблица1_113[[#This Row],[Марка]],Таблица13[#All],4,0)</f>
        <v>Чехия</v>
      </c>
      <c r="AF938" t="str">
        <f>VLOOKUP(Таблица1_113[[#This Row],[Марка]],Таблица13[#All],2,0)</f>
        <v>Business</v>
      </c>
      <c r="AG938">
        <f>VLOOKUP(Таблица1_113[[#This Row],[Марка]],Таблица13[#All],3,0)</f>
        <v>1895</v>
      </c>
      <c r="AH938" t="str">
        <f>VLOOKUP(Таблица1_113[[#This Row],[Марка]],Таблица13[#All],5,0)</f>
        <v>Крупноузловая</v>
      </c>
      <c r="AI938" s="12">
        <v>44287</v>
      </c>
      <c r="AJ938">
        <v>59</v>
      </c>
    </row>
    <row r="939" spans="30:36">
      <c r="AD939" t="s">
        <v>23</v>
      </c>
      <c r="AE939" t="str">
        <f>VLOOKUP(Таблица1_113[[#This Row],[Марка]],Таблица13[#All],4,0)</f>
        <v>Франция</v>
      </c>
      <c r="AF939" t="str">
        <f>VLOOKUP(Таблица1_113[[#This Row],[Марка]],Таблица13[#All],2,0)</f>
        <v>Economy</v>
      </c>
      <c r="AG939">
        <f>VLOOKUP(Таблица1_113[[#This Row],[Марка]],Таблица13[#All],3,0)</f>
        <v>1899</v>
      </c>
      <c r="AH939" t="str">
        <f>VLOOKUP(Таблица1_113[[#This Row],[Марка]],Таблица13[#All],5,0)</f>
        <v>Крупноузловая</v>
      </c>
      <c r="AI939" s="12">
        <v>44287</v>
      </c>
      <c r="AJ939">
        <v>315</v>
      </c>
    </row>
    <row r="940" spans="30:36">
      <c r="AD940" t="s">
        <v>142</v>
      </c>
      <c r="AE940" t="str">
        <f>VLOOKUP(Таблица1_113[[#This Row],[Марка]],Таблица13[#All],4,0)</f>
        <v>Узбекистан</v>
      </c>
      <c r="AF940" t="str">
        <f>VLOOKUP(Таблица1_113[[#This Row],[Марка]],Таблица13[#All],2,0)</f>
        <v>Economy</v>
      </c>
      <c r="AG940">
        <f>VLOOKUP(Таблица1_113[[#This Row],[Марка]],Таблица13[#All],3,0)</f>
        <v>2015</v>
      </c>
      <c r="AH940" t="str">
        <f>VLOOKUP(Таблица1_113[[#This Row],[Марка]],Таблица13[#All],5,0)</f>
        <v>Крупноузловая</v>
      </c>
      <c r="AI940" s="12">
        <v>44287</v>
      </c>
      <c r="AJ940">
        <v>1</v>
      </c>
    </row>
    <row r="941" spans="30:36">
      <c r="AD941" t="s">
        <v>37</v>
      </c>
      <c r="AE941" t="str">
        <f>VLOOKUP(Таблица1_113[[#This Row],[Марка]],Таблица13[#All],4,0)</f>
        <v>Германия</v>
      </c>
      <c r="AF941" t="str">
        <f>VLOOKUP(Таблица1_113[[#This Row],[Марка]],Таблица13[#All],2,0)</f>
        <v>Luxury</v>
      </c>
      <c r="AG941">
        <f>VLOOKUP(Таблица1_113[[#This Row],[Марка]],Таблица13[#All],3,0)</f>
        <v>1931</v>
      </c>
      <c r="AH941" t="str">
        <f>VLOOKUP(Таблица1_113[[#This Row],[Марка]],Таблица13[#All],5,0)</f>
        <v>Нет</v>
      </c>
      <c r="AI941" s="12">
        <v>44287</v>
      </c>
      <c r="AJ941">
        <v>20</v>
      </c>
    </row>
    <row r="942" spans="30:36">
      <c r="AD942" t="s">
        <v>22</v>
      </c>
      <c r="AE942" t="str">
        <f>VLOOKUP(Таблица1_113[[#This Row],[Марка]],Таблица13[#All],4,0)</f>
        <v>Япония</v>
      </c>
      <c r="AF942" t="str">
        <f>VLOOKUP(Таблица1_113[[#This Row],[Марка]],Таблица13[#All],2,0)</f>
        <v>Business</v>
      </c>
      <c r="AG942">
        <f>VLOOKUP(Таблица1_113[[#This Row],[Марка]],Таблица13[#All],3,0)</f>
        <v>1933</v>
      </c>
      <c r="AH942" t="str">
        <f>VLOOKUP(Таблица1_113[[#This Row],[Марка]],Таблица13[#All],5,0)</f>
        <v>Нет</v>
      </c>
      <c r="AI942" s="12">
        <v>44287</v>
      </c>
      <c r="AJ942">
        <v>280</v>
      </c>
    </row>
    <row r="943" spans="30:36">
      <c r="AD943" t="s">
        <v>9</v>
      </c>
      <c r="AE943" t="str">
        <f>VLOOKUP(Таблица1_113[[#This Row],[Марка]],Таблица13[#All],4,0)</f>
        <v>Япония</v>
      </c>
      <c r="AF943" t="str">
        <f>VLOOKUP(Таблица1_113[[#This Row],[Марка]],Таблица13[#All],2,0)</f>
        <v>Business</v>
      </c>
      <c r="AG943">
        <f>VLOOKUP(Таблица1_113[[#This Row],[Марка]],Таблица13[#All],3,0)</f>
        <v>1870</v>
      </c>
      <c r="AH943" t="str">
        <f>VLOOKUP(Таблица1_113[[#This Row],[Марка]],Таблица13[#All],5,0)</f>
        <v>Нет</v>
      </c>
      <c r="AI943" s="12">
        <v>44287</v>
      </c>
      <c r="AJ943">
        <v>107</v>
      </c>
    </row>
    <row r="944" spans="30:36">
      <c r="AD944" t="s">
        <v>40</v>
      </c>
      <c r="AE944" t="str">
        <f>VLOOKUP(Таблица1_113[[#This Row],[Марка]],Таблица13[#All],4,0)</f>
        <v>Великобритания</v>
      </c>
      <c r="AF944" t="str">
        <f>VLOOKUP(Таблица1_113[[#This Row],[Марка]],Таблица13[#All],2,0)</f>
        <v>Luxury</v>
      </c>
      <c r="AG944">
        <f>VLOOKUP(Таблица1_113[[#This Row],[Марка]],Таблица13[#All],3,0)</f>
        <v>1959</v>
      </c>
      <c r="AH944" t="str">
        <f>VLOOKUP(Таблица1_113[[#This Row],[Марка]],Таблица13[#All],5,0)</f>
        <v>Нет</v>
      </c>
      <c r="AI944" s="12">
        <v>44287</v>
      </c>
      <c r="AJ944">
        <v>9</v>
      </c>
    </row>
    <row r="945" spans="30:36">
      <c r="AD945" t="s">
        <v>128</v>
      </c>
      <c r="AE945" t="str">
        <f>VLOOKUP(Таблица1_113[[#This Row],[Марка]],Таблица13[#All],4,0)</f>
        <v>Германия</v>
      </c>
      <c r="AF945" t="str">
        <f>VLOOKUP(Таблица1_113[[#This Row],[Марка]],Таблица13[#All],2,0)</f>
        <v>Luxury</v>
      </c>
      <c r="AG945">
        <f>VLOOKUP(Таблица1_113[[#This Row],[Марка]],Таблица13[#All],3,0)</f>
        <v>1926</v>
      </c>
      <c r="AH945" t="str">
        <f>VLOOKUP(Таблица1_113[[#This Row],[Марка]],Таблица13[#All],5,0)</f>
        <v>Нет</v>
      </c>
      <c r="AI945" s="12">
        <v>44287</v>
      </c>
      <c r="AJ945">
        <v>37</v>
      </c>
    </row>
    <row r="946" spans="30:36">
      <c r="AD946" t="s">
        <v>139</v>
      </c>
      <c r="AE946" t="str">
        <f>VLOOKUP(Таблица1_113[[#This Row],[Марка]],Таблица13[#All],4,0)</f>
        <v>Япония</v>
      </c>
      <c r="AF946" t="str">
        <f>VLOOKUP(Таблица1_113[[#This Row],[Марка]],Таблица13[#All],2,0)</f>
        <v>Business</v>
      </c>
      <c r="AG946">
        <f>VLOOKUP(Таблица1_113[[#This Row],[Марка]],Таблица13[#All],3,0)</f>
        <v>1920</v>
      </c>
      <c r="AH946" t="str">
        <f>VLOOKUP(Таблица1_113[[#This Row],[Марка]],Таблица13[#All],5,0)</f>
        <v>Нет</v>
      </c>
      <c r="AI946" s="12">
        <v>44287</v>
      </c>
      <c r="AJ946">
        <v>49</v>
      </c>
    </row>
    <row r="947" spans="30:36">
      <c r="AD947" t="s">
        <v>5</v>
      </c>
      <c r="AE947" t="str">
        <f>VLOOKUP(Таблица1_113[[#This Row],[Марка]],Таблица13[#All],4,0)</f>
        <v>Япония</v>
      </c>
      <c r="AF947" t="str">
        <f>VLOOKUP(Таблица1_113[[#This Row],[Марка]],Таблица13[#All],2,0)</f>
        <v>Luxury</v>
      </c>
      <c r="AG947">
        <f>VLOOKUP(Таблица1_113[[#This Row],[Марка]],Таблица13[#All],3,0)</f>
        <v>1989</v>
      </c>
      <c r="AH947" t="str">
        <f>VLOOKUP(Таблица1_113[[#This Row],[Марка]],Таблица13[#All],5,0)</f>
        <v>Нет</v>
      </c>
      <c r="AI947" s="12">
        <v>44287</v>
      </c>
      <c r="AJ947">
        <v>178</v>
      </c>
    </row>
    <row r="948" spans="30:36">
      <c r="AD948" t="s">
        <v>35</v>
      </c>
      <c r="AE948" t="str">
        <f>VLOOKUP(Таблица1_113[[#This Row],[Марка]],Таблица13[#All],4,0)</f>
        <v>Великобритания</v>
      </c>
      <c r="AF948" t="str">
        <f>VLOOKUP(Таблица1_113[[#This Row],[Марка]],Таблица13[#All],2,0)</f>
        <v>Luxury</v>
      </c>
      <c r="AG948">
        <f>VLOOKUP(Таблица1_113[[#This Row],[Марка]],Таблица13[#All],3,0)</f>
        <v>1948</v>
      </c>
      <c r="AH948" t="str">
        <f>VLOOKUP(Таблица1_113[[#This Row],[Марка]],Таблица13[#All],5,0)</f>
        <v>Нет</v>
      </c>
      <c r="AI948" s="12">
        <v>44287</v>
      </c>
      <c r="AJ948">
        <v>24</v>
      </c>
    </row>
    <row r="949" spans="30:36">
      <c r="AD949" t="s">
        <v>19</v>
      </c>
      <c r="AE949" t="str">
        <f>VLOOKUP(Таблица1_113[[#This Row],[Марка]],Таблица13[#All],4,0)</f>
        <v>Россия</v>
      </c>
      <c r="AF949" t="str">
        <f>VLOOKUP(Таблица1_113[[#This Row],[Марка]],Таблица13[#All],2,0)</f>
        <v>Economy</v>
      </c>
      <c r="AG949">
        <f>VLOOKUP(Таблица1_113[[#This Row],[Марка]],Таблица13[#All],3,0)</f>
        <v>1970</v>
      </c>
      <c r="AH949" t="str">
        <f>VLOOKUP(Таблица1_113[[#This Row],[Марка]],Таблица13[#All],5,0)</f>
        <v>Крупноузловая</v>
      </c>
      <c r="AI949" s="12">
        <v>44287</v>
      </c>
      <c r="AJ949">
        <v>397</v>
      </c>
    </row>
    <row r="950" spans="30:36">
      <c r="AD950" t="s">
        <v>15</v>
      </c>
      <c r="AE950" t="str">
        <f>VLOOKUP(Таблица1_113[[#This Row],[Марка]],Таблица13[#All],4,0)</f>
        <v>Корея</v>
      </c>
      <c r="AF950" t="str">
        <f>VLOOKUP(Таблица1_113[[#This Row],[Марка]],Таблица13[#All],2,0)</f>
        <v>Economy</v>
      </c>
      <c r="AG950">
        <f>VLOOKUP(Таблица1_113[[#This Row],[Марка]],Таблица13[#All],3,0)</f>
        <v>1944</v>
      </c>
      <c r="AH950" t="str">
        <f>VLOOKUP(Таблица1_113[[#This Row],[Марка]],Таблица13[#All],5,0)</f>
        <v>Крупноузловая</v>
      </c>
      <c r="AI950" s="12">
        <v>44287</v>
      </c>
      <c r="AJ950">
        <v>749</v>
      </c>
    </row>
    <row r="951" spans="30:36">
      <c r="AD951" t="s">
        <v>134</v>
      </c>
      <c r="AE951" t="str">
        <f>VLOOKUP(Таблица1_113[[#This Row],[Марка]],Таблица13[#All],4,0)</f>
        <v>Великобритания</v>
      </c>
      <c r="AF951" t="str">
        <f>VLOOKUP(Таблица1_113[[#This Row],[Марка]],Таблица13[#All],2,0)</f>
        <v>Luxury</v>
      </c>
      <c r="AG951">
        <f>VLOOKUP(Таблица1_113[[#This Row],[Марка]],Таблица13[#All],3,0)</f>
        <v>1922</v>
      </c>
      <c r="AH951" t="str">
        <f>VLOOKUP(Таблица1_113[[#This Row],[Марка]],Таблица13[#All],5,0)</f>
        <v>Нет</v>
      </c>
      <c r="AI951" s="12">
        <v>44287</v>
      </c>
      <c r="AJ951">
        <v>7</v>
      </c>
    </row>
    <row r="952" spans="30:36">
      <c r="AD952" t="s">
        <v>4</v>
      </c>
      <c r="AE952" t="str">
        <f>VLOOKUP(Таблица1_113[[#This Row],[Марка]],Таблица13[#All],4,0)</f>
        <v>Китай</v>
      </c>
      <c r="AF952" t="str">
        <f>VLOOKUP(Таблица1_113[[#This Row],[Марка]],Таблица13[#All],2,0)</f>
        <v>Economy</v>
      </c>
      <c r="AG952">
        <f>VLOOKUP(Таблица1_113[[#This Row],[Марка]],Таблица13[#All],3,0)</f>
        <v>1964</v>
      </c>
      <c r="AH952" t="str">
        <f>VLOOKUP(Таблица1_113[[#This Row],[Марка]],Таблица13[#All],5,0)</f>
        <v>Крупноузловая</v>
      </c>
      <c r="AI952" s="12">
        <v>44287</v>
      </c>
      <c r="AJ952">
        <v>188</v>
      </c>
    </row>
    <row r="953" spans="30:36">
      <c r="AD953" t="s">
        <v>140</v>
      </c>
      <c r="AE953" t="str">
        <f>VLOOKUP(Таблица1_113[[#This Row],[Марка]],Таблица13[#All],4,0)</f>
        <v>Япония</v>
      </c>
      <c r="AF953" t="str">
        <f>VLOOKUP(Таблица1_113[[#This Row],[Марка]],Таблица13[#All],2,0)</f>
        <v>Business</v>
      </c>
      <c r="AG953">
        <f>VLOOKUP(Таблица1_113[[#This Row],[Марка]],Таблица13[#All],3,0)</f>
        <v>1916</v>
      </c>
      <c r="AH953" t="str">
        <f>VLOOKUP(Таблица1_113[[#This Row],[Марка]],Таблица13[#All],5,0)</f>
        <v>Нет</v>
      </c>
      <c r="AI953" s="12">
        <v>44287</v>
      </c>
      <c r="AJ953">
        <v>25</v>
      </c>
    </row>
    <row r="954" spans="30:36">
      <c r="AD954" t="s">
        <v>34</v>
      </c>
      <c r="AE954" t="str">
        <f>VLOOKUP(Таблица1_113[[#This Row],[Марка]],Таблица13[#All],4,0)</f>
        <v>Япония</v>
      </c>
      <c r="AF954" t="str">
        <f>VLOOKUP(Таблица1_113[[#This Row],[Марка]],Таблица13[#All],2,0)</f>
        <v>Luxury</v>
      </c>
      <c r="AG954">
        <f>VLOOKUP(Таблица1_113[[#This Row],[Марка]],Таблица13[#All],3,0)</f>
        <v>1989</v>
      </c>
      <c r="AH954" t="str">
        <f>VLOOKUP(Таблица1_113[[#This Row],[Марка]],Таблица13[#All],5,0)</f>
        <v>Нет</v>
      </c>
      <c r="AI954" s="12">
        <v>44287</v>
      </c>
      <c r="AJ954">
        <v>36</v>
      </c>
    </row>
    <row r="955" spans="30:36">
      <c r="AD955" t="s">
        <v>0</v>
      </c>
      <c r="AE955" t="str">
        <f>VLOOKUP(Таблица1_113[[#This Row],[Марка]],Таблица13[#All],4,0)</f>
        <v>Корея</v>
      </c>
      <c r="AF955" t="str">
        <f>VLOOKUP(Таблица1_113[[#This Row],[Марка]],Таблица13[#All],2,0)</f>
        <v>Economy</v>
      </c>
      <c r="AG955">
        <f>VLOOKUP(Таблица1_113[[#This Row],[Марка]],Таблица13[#All],3,0)</f>
        <v>1967</v>
      </c>
      <c r="AH955" t="str">
        <f>VLOOKUP(Таблица1_113[[#This Row],[Марка]],Таблица13[#All],5,0)</f>
        <v>Крупноузловая</v>
      </c>
      <c r="AI955" s="12">
        <v>44287</v>
      </c>
      <c r="AJ955">
        <v>2344</v>
      </c>
    </row>
    <row r="956" spans="30:36">
      <c r="AD956" t="s">
        <v>6</v>
      </c>
      <c r="AE956" t="str">
        <f>VLOOKUP(Таблица1_113[[#This Row],[Марка]],Таблица13[#All],4,0)</f>
        <v>Китай</v>
      </c>
      <c r="AF956" t="str">
        <f>VLOOKUP(Таблица1_113[[#This Row],[Марка]],Таблица13[#All],2,0)</f>
        <v>Economy</v>
      </c>
      <c r="AG956">
        <f>VLOOKUP(Таблица1_113[[#This Row],[Марка]],Таблица13[#All],3,0)</f>
        <v>2013</v>
      </c>
      <c r="AH956" t="str">
        <f>VLOOKUP(Таблица1_113[[#This Row],[Марка]],Таблица13[#All],5,0)</f>
        <v>Крупноузловая</v>
      </c>
      <c r="AI956" s="12">
        <v>44287</v>
      </c>
      <c r="AJ956">
        <v>76</v>
      </c>
    </row>
    <row r="957" spans="30:36">
      <c r="AD957" t="s">
        <v>138</v>
      </c>
      <c r="AE957" t="str">
        <f>VLOOKUP(Таблица1_113[[#This Row],[Марка]],Таблица13[#All],4,0)</f>
        <v>Корея</v>
      </c>
      <c r="AF957" t="str">
        <f>VLOOKUP(Таблица1_113[[#This Row],[Марка]],Таблица13[#All],2,0)</f>
        <v>Luxury</v>
      </c>
      <c r="AG957">
        <f>VLOOKUP(Таблица1_113[[#This Row],[Марка]],Таблица13[#All],3,0)</f>
        <v>2015</v>
      </c>
      <c r="AH957" t="str">
        <f>VLOOKUP(Таблица1_113[[#This Row],[Марка]],Таблица13[#All],5,0)</f>
        <v>Нет</v>
      </c>
      <c r="AI957" s="12">
        <v>44287</v>
      </c>
      <c r="AJ957">
        <v>0</v>
      </c>
    </row>
    <row r="958" spans="30:36">
      <c r="AD958" t="s">
        <v>129</v>
      </c>
      <c r="AE958" t="str">
        <f>VLOOKUP(Таблица1_113[[#This Row],[Марка]],Таблица13[#All],4,0)</f>
        <v>Китай</v>
      </c>
      <c r="AF958" t="str">
        <f>VLOOKUP(Таблица1_113[[#This Row],[Марка]],Таблица13[#All],2,0)</f>
        <v>Economy</v>
      </c>
      <c r="AG958">
        <f>VLOOKUP(Таблица1_113[[#This Row],[Марка]],Таблица13[#All],3,0)</f>
        <v>1953</v>
      </c>
      <c r="AH958" t="str">
        <f>VLOOKUP(Таблица1_113[[#This Row],[Марка]],Таблица13[#All],5,0)</f>
        <v>Нет</v>
      </c>
      <c r="AI958" s="12">
        <v>44287</v>
      </c>
      <c r="AJ958">
        <v>0</v>
      </c>
    </row>
    <row r="959" spans="30:36">
      <c r="AD959" t="s">
        <v>130</v>
      </c>
      <c r="AE959" t="str">
        <f>VLOOKUP(Таблица1_113[[#This Row],[Марка]],Таблица13[#All],4,0)</f>
        <v>Китай</v>
      </c>
      <c r="AF959" t="str">
        <f>VLOOKUP(Таблица1_113[[#This Row],[Марка]],Таблица13[#All],2,0)</f>
        <v>Economy</v>
      </c>
      <c r="AG959">
        <f>VLOOKUP(Таблица1_113[[#This Row],[Марка]],Таблица13[#All],3,0)</f>
        <v>1969</v>
      </c>
      <c r="AH959" t="str">
        <f>VLOOKUP(Таблица1_113[[#This Row],[Марка]],Таблица13[#All],5,0)</f>
        <v>Нет</v>
      </c>
      <c r="AI959" s="12">
        <v>44287</v>
      </c>
      <c r="AJ959">
        <v>0</v>
      </c>
    </row>
    <row r="960" spans="30:36">
      <c r="AD960" t="s">
        <v>137</v>
      </c>
      <c r="AE960" t="str">
        <f>VLOOKUP(Таблица1_113[[#This Row],[Марка]],Таблица13[#All],4,0)</f>
        <v>Корея</v>
      </c>
      <c r="AF960" t="str">
        <f>VLOOKUP(Таблица1_113[[#This Row],[Марка]],Таблица13[#All],2,0)</f>
        <v>Economy</v>
      </c>
      <c r="AG960">
        <f>VLOOKUP(Таблица1_113[[#This Row],[Марка]],Таблица13[#All],3,0)</f>
        <v>1967</v>
      </c>
      <c r="AH960" t="str">
        <f>VLOOKUP(Таблица1_113[[#This Row],[Марка]],Таблица13[#All],5,0)</f>
        <v>Нет</v>
      </c>
      <c r="AI960" s="12">
        <v>44287</v>
      </c>
      <c r="AJ960">
        <v>0</v>
      </c>
    </row>
    <row r="961" spans="30:36">
      <c r="AD961" t="s">
        <v>1</v>
      </c>
      <c r="AE961" t="str">
        <f>VLOOKUP(Таблица1_113[[#This Row],[Марка]],Таблица13[#All],4,0)</f>
        <v>США</v>
      </c>
      <c r="AF961" t="str">
        <f>VLOOKUP(Таблица1_113[[#This Row],[Марка]],Таблица13[#All],2,0)</f>
        <v>Economy</v>
      </c>
      <c r="AG961">
        <f>VLOOKUP(Таблица1_113[[#This Row],[Марка]],Таблица13[#All],3,0)</f>
        <v>1911</v>
      </c>
      <c r="AH961" t="str">
        <f>VLOOKUP(Таблица1_113[[#This Row],[Марка]],Таблица13[#All],5,0)</f>
        <v>Крупноузловая</v>
      </c>
      <c r="AI961" s="12">
        <v>44287</v>
      </c>
      <c r="AJ961">
        <v>2644</v>
      </c>
    </row>
    <row r="962" spans="30:36">
      <c r="AD962" t="s">
        <v>3</v>
      </c>
      <c r="AE962" t="str">
        <f>VLOOKUP(Таблица1_113[[#This Row],[Марка]],Таблица13[#All],4,0)</f>
        <v>Китай</v>
      </c>
      <c r="AF962" t="str">
        <f>VLOOKUP(Таблица1_113[[#This Row],[Марка]],Таблица13[#All],2,0)</f>
        <v>Economy</v>
      </c>
      <c r="AG962">
        <f>VLOOKUP(Таблица1_113[[#This Row],[Марка]],Таблица13[#All],3,0)</f>
        <v>1997</v>
      </c>
      <c r="AH962" t="str">
        <f>VLOOKUP(Таблица1_113[[#This Row],[Марка]],Таблица13[#All],5,0)</f>
        <v>Крупноузловая</v>
      </c>
      <c r="AI962" s="12">
        <v>44287</v>
      </c>
      <c r="AJ962">
        <v>0</v>
      </c>
    </row>
    <row r="963" spans="30:36">
      <c r="AD963" t="s">
        <v>36</v>
      </c>
      <c r="AE963" t="str">
        <f>VLOOKUP(Таблица1_113[[#This Row],[Марка]],Таблица13[#All],4,0)</f>
        <v>США</v>
      </c>
      <c r="AF963" t="str">
        <f>VLOOKUP(Таблица1_113[[#This Row],[Марка]],Таблица13[#All],2,0)</f>
        <v>Luxury</v>
      </c>
      <c r="AG963">
        <f>VLOOKUP(Таблица1_113[[#This Row],[Марка]],Таблица13[#All],3,0)</f>
        <v>1902</v>
      </c>
      <c r="AH963" t="str">
        <f>VLOOKUP(Таблица1_113[[#This Row],[Марка]],Таблица13[#All],5,0)</f>
        <v>Нет</v>
      </c>
      <c r="AI963" s="12">
        <v>44287</v>
      </c>
      <c r="AJ963">
        <v>14</v>
      </c>
    </row>
    <row r="964" spans="30:36">
      <c r="AD964" t="s">
        <v>8</v>
      </c>
      <c r="AE964" t="str">
        <f>VLOOKUP(Таблица1_113[[#This Row],[Марка]],Таблица13[#All],4,0)</f>
        <v>Германия</v>
      </c>
      <c r="AF964" t="str">
        <f>VLOOKUP(Таблица1_113[[#This Row],[Марка]],Таблица13[#All],2,0)</f>
        <v>Luxury</v>
      </c>
      <c r="AG964">
        <f>VLOOKUP(Таблица1_113[[#This Row],[Марка]],Таблица13[#All],3,0)</f>
        <v>1916</v>
      </c>
      <c r="AH964" t="str">
        <f>VLOOKUP(Таблица1_113[[#This Row],[Марка]],Таблица13[#All],5,0)</f>
        <v>Нет</v>
      </c>
      <c r="AI964" s="12">
        <v>44287</v>
      </c>
      <c r="AJ964">
        <v>117</v>
      </c>
    </row>
    <row r="965" spans="30:36">
      <c r="AD965" t="s">
        <v>38</v>
      </c>
      <c r="AE965" t="str">
        <f>VLOOKUP(Таблица1_113[[#This Row],[Марка]],Таблица13[#All],4,0)</f>
        <v>Германия</v>
      </c>
      <c r="AF965" t="str">
        <f>VLOOKUP(Таблица1_113[[#This Row],[Марка]],Таблица13[#All],2,0)</f>
        <v>Luxury</v>
      </c>
      <c r="AG965">
        <f>VLOOKUP(Таблица1_113[[#This Row],[Марка]],Таблица13[#All],3,0)</f>
        <v>1932</v>
      </c>
      <c r="AH965" t="str">
        <f>VLOOKUP(Таблица1_113[[#This Row],[Марка]],Таблица13[#All],5,0)</f>
        <v>Нет</v>
      </c>
      <c r="AI965" s="12">
        <v>44287</v>
      </c>
      <c r="AJ965">
        <v>18</v>
      </c>
    </row>
    <row r="966" spans="30:36">
      <c r="AD966" t="s">
        <v>136</v>
      </c>
      <c r="AE966" t="str">
        <f>VLOOKUP(Таблица1_113[[#This Row],[Марка]],Таблица13[#All],4,0)</f>
        <v>Россия</v>
      </c>
      <c r="AF966" t="str">
        <f>VLOOKUP(Таблица1_113[[#This Row],[Марка]],Таблица13[#All],2,0)</f>
        <v>Economy</v>
      </c>
      <c r="AG966">
        <f>VLOOKUP(Таблица1_113[[#This Row],[Марка]],Таблица13[#All],3,0)</f>
        <v>1941</v>
      </c>
      <c r="AH966" t="str">
        <f>VLOOKUP(Таблица1_113[[#This Row],[Марка]],Таблица13[#All],5,0)</f>
        <v>Нет</v>
      </c>
      <c r="AI966" s="12">
        <v>44317</v>
      </c>
      <c r="AJ966">
        <v>115</v>
      </c>
    </row>
    <row r="967" spans="30:36">
      <c r="AD967" t="s">
        <v>135</v>
      </c>
      <c r="AE967" t="str">
        <f>VLOOKUP(Таблица1_113[[#This Row],[Марка]],Таблица13[#All],4,0)</f>
        <v>-</v>
      </c>
      <c r="AF967" t="str">
        <f>VLOOKUP(Таблица1_113[[#This Row],[Марка]],Таблица13[#All],2,0)</f>
        <v>-</v>
      </c>
      <c r="AG967" t="str">
        <f>VLOOKUP(Таблица1_113[[#This Row],[Марка]],Таблица13[#All],3,0)</f>
        <v>-</v>
      </c>
      <c r="AH967" t="str">
        <f>VLOOKUP(Таблица1_113[[#This Row],[Марка]],Таблица13[#All],5,0)</f>
        <v>-</v>
      </c>
      <c r="AI967" s="12">
        <v>44317</v>
      </c>
      <c r="AJ967">
        <v>32</v>
      </c>
    </row>
    <row r="968" spans="30:36">
      <c r="AD968" t="s">
        <v>39</v>
      </c>
      <c r="AE968" t="str">
        <f>VLOOKUP(Таблица1_113[[#This Row],[Марка]],Таблица13[#All],4,0)</f>
        <v>Швеция</v>
      </c>
      <c r="AF968" t="str">
        <f>VLOOKUP(Таблица1_113[[#This Row],[Марка]],Таблица13[#All],2,0)</f>
        <v>Business</v>
      </c>
      <c r="AG968">
        <f>VLOOKUP(Таблица1_113[[#This Row],[Марка]],Таблица13[#All],3,0)</f>
        <v>1927</v>
      </c>
      <c r="AH968" t="str">
        <f>VLOOKUP(Таблица1_113[[#This Row],[Марка]],Таблица13[#All],5,0)</f>
        <v>Нет</v>
      </c>
      <c r="AI968" s="12">
        <v>44317</v>
      </c>
      <c r="AJ968">
        <v>10</v>
      </c>
    </row>
    <row r="969" spans="30:36">
      <c r="AD969" t="s">
        <v>21</v>
      </c>
      <c r="AE969" t="str">
        <f>VLOOKUP(Таблица1_113[[#This Row],[Марка]],Таблица13[#All],4,0)</f>
        <v>Германия</v>
      </c>
      <c r="AF969" t="str">
        <f>VLOOKUP(Таблица1_113[[#This Row],[Марка]],Таблица13[#All],2,0)</f>
        <v>Business</v>
      </c>
      <c r="AG969">
        <f>VLOOKUP(Таблица1_113[[#This Row],[Марка]],Таблица13[#All],3,0)</f>
        <v>1937</v>
      </c>
      <c r="AH969" t="str">
        <f>VLOOKUP(Таблица1_113[[#This Row],[Марка]],Таблица13[#All],5,0)</f>
        <v>Нет</v>
      </c>
      <c r="AI969" s="12">
        <v>44317</v>
      </c>
      <c r="AJ969">
        <v>499</v>
      </c>
    </row>
    <row r="970" spans="30:36">
      <c r="AD970" t="s">
        <v>2</v>
      </c>
      <c r="AE970" t="str">
        <f>VLOOKUP(Таблица1_113[[#This Row],[Марка]],Таблица13[#All],4,0)</f>
        <v>Япония</v>
      </c>
      <c r="AF970" t="str">
        <f>VLOOKUP(Таблица1_113[[#This Row],[Марка]],Таблица13[#All],2,0)</f>
        <v>Business</v>
      </c>
      <c r="AG970">
        <f>VLOOKUP(Таблица1_113[[#This Row],[Марка]],Таблица13[#All],3,0)</f>
        <v>1937</v>
      </c>
      <c r="AH970" t="str">
        <f>VLOOKUP(Таблица1_113[[#This Row],[Марка]],Таблица13[#All],5,0)</f>
        <v>Нет</v>
      </c>
      <c r="AI970" s="12">
        <v>44317</v>
      </c>
      <c r="AJ970">
        <v>1408</v>
      </c>
    </row>
    <row r="971" spans="30:36">
      <c r="AD971" t="s">
        <v>125</v>
      </c>
      <c r="AE971" t="str">
        <f>VLOOKUP(Таблица1_113[[#This Row],[Марка]],Таблица13[#All],4,0)</f>
        <v>Япония</v>
      </c>
      <c r="AF971" t="str">
        <f>VLOOKUP(Таблица1_113[[#This Row],[Марка]],Таблица13[#All],2,0)</f>
        <v>Business</v>
      </c>
      <c r="AG971">
        <f>VLOOKUP(Таблица1_113[[#This Row],[Марка]],Таблица13[#All],3,0)</f>
        <v>1953</v>
      </c>
      <c r="AH971" t="str">
        <f>VLOOKUP(Таблица1_113[[#This Row],[Марка]],Таблица13[#All],5,0)</f>
        <v>Нет</v>
      </c>
      <c r="AI971" s="12">
        <v>44317</v>
      </c>
      <c r="AJ971">
        <v>87</v>
      </c>
    </row>
    <row r="972" spans="30:36">
      <c r="AD972" t="s">
        <v>141</v>
      </c>
      <c r="AE972" t="str">
        <f>VLOOKUP(Таблица1_113[[#This Row],[Марка]],Таблица13[#All],4,0)</f>
        <v>Чехия</v>
      </c>
      <c r="AF972" t="str">
        <f>VLOOKUP(Таблица1_113[[#This Row],[Марка]],Таблица13[#All],2,0)</f>
        <v>Business</v>
      </c>
      <c r="AG972">
        <f>VLOOKUP(Таблица1_113[[#This Row],[Марка]],Таблица13[#All],3,0)</f>
        <v>1895</v>
      </c>
      <c r="AH972" t="str">
        <f>VLOOKUP(Таблица1_113[[#This Row],[Марка]],Таблица13[#All],5,0)</f>
        <v>Крупноузловая</v>
      </c>
      <c r="AI972" s="12">
        <v>44317</v>
      </c>
      <c r="AJ972">
        <v>0</v>
      </c>
    </row>
    <row r="973" spans="30:36">
      <c r="AD973" t="s">
        <v>23</v>
      </c>
      <c r="AE973" t="str">
        <f>VLOOKUP(Таблица1_113[[#This Row],[Марка]],Таблица13[#All],4,0)</f>
        <v>Франция</v>
      </c>
      <c r="AF973" t="str">
        <f>VLOOKUP(Таблица1_113[[#This Row],[Марка]],Таблица13[#All],2,0)</f>
        <v>Economy</v>
      </c>
      <c r="AG973">
        <f>VLOOKUP(Таблица1_113[[#This Row],[Марка]],Таблица13[#All],3,0)</f>
        <v>1899</v>
      </c>
      <c r="AH973" t="str">
        <f>VLOOKUP(Таблица1_113[[#This Row],[Марка]],Таблица13[#All],5,0)</f>
        <v>Крупноузловая</v>
      </c>
      <c r="AI973" s="12">
        <v>44317</v>
      </c>
      <c r="AJ973">
        <v>302</v>
      </c>
    </row>
    <row r="974" spans="30:36">
      <c r="AD974" t="s">
        <v>142</v>
      </c>
      <c r="AE974" t="str">
        <f>VLOOKUP(Таблица1_113[[#This Row],[Марка]],Таблица13[#All],4,0)</f>
        <v>Узбекистан</v>
      </c>
      <c r="AF974" t="str">
        <f>VLOOKUP(Таблица1_113[[#This Row],[Марка]],Таблица13[#All],2,0)</f>
        <v>Economy</v>
      </c>
      <c r="AG974">
        <f>VLOOKUP(Таблица1_113[[#This Row],[Марка]],Таблица13[#All],3,0)</f>
        <v>2015</v>
      </c>
      <c r="AH974" t="str">
        <f>VLOOKUP(Таблица1_113[[#This Row],[Марка]],Таблица13[#All],5,0)</f>
        <v>Крупноузловая</v>
      </c>
      <c r="AI974" s="12">
        <v>44317</v>
      </c>
      <c r="AJ974">
        <v>0</v>
      </c>
    </row>
    <row r="975" spans="30:36">
      <c r="AD975" t="s">
        <v>37</v>
      </c>
      <c r="AE975" t="str">
        <f>VLOOKUP(Таблица1_113[[#This Row],[Марка]],Таблица13[#All],4,0)</f>
        <v>Германия</v>
      </c>
      <c r="AF975" t="str">
        <f>VLOOKUP(Таблица1_113[[#This Row],[Марка]],Таблица13[#All],2,0)</f>
        <v>Luxury</v>
      </c>
      <c r="AG975">
        <f>VLOOKUP(Таблица1_113[[#This Row],[Марка]],Таблица13[#All],3,0)</f>
        <v>1931</v>
      </c>
      <c r="AH975" t="str">
        <f>VLOOKUP(Таблица1_113[[#This Row],[Марка]],Таблица13[#All],5,0)</f>
        <v>Нет</v>
      </c>
      <c r="AI975" s="12">
        <v>44317</v>
      </c>
      <c r="AJ975">
        <v>16</v>
      </c>
    </row>
    <row r="976" spans="30:36">
      <c r="AD976" t="s">
        <v>22</v>
      </c>
      <c r="AE976" t="str">
        <f>VLOOKUP(Таблица1_113[[#This Row],[Марка]],Таблица13[#All],4,0)</f>
        <v>Япония</v>
      </c>
      <c r="AF976" t="str">
        <f>VLOOKUP(Таблица1_113[[#This Row],[Марка]],Таблица13[#All],2,0)</f>
        <v>Business</v>
      </c>
      <c r="AG976">
        <f>VLOOKUP(Таблица1_113[[#This Row],[Марка]],Таблица13[#All],3,0)</f>
        <v>1933</v>
      </c>
      <c r="AH976" t="str">
        <f>VLOOKUP(Таблица1_113[[#This Row],[Марка]],Таблица13[#All],5,0)</f>
        <v>Нет</v>
      </c>
      <c r="AI976" s="12">
        <v>44317</v>
      </c>
      <c r="AJ976">
        <v>277</v>
      </c>
    </row>
    <row r="977" spans="30:36">
      <c r="AD977" t="s">
        <v>9</v>
      </c>
      <c r="AE977" t="str">
        <f>VLOOKUP(Таблица1_113[[#This Row],[Марка]],Таблица13[#All],4,0)</f>
        <v>Япония</v>
      </c>
      <c r="AF977" t="str">
        <f>VLOOKUP(Таблица1_113[[#This Row],[Марка]],Таблица13[#All],2,0)</f>
        <v>Business</v>
      </c>
      <c r="AG977">
        <f>VLOOKUP(Таблица1_113[[#This Row],[Марка]],Таблица13[#All],3,0)</f>
        <v>1870</v>
      </c>
      <c r="AH977" t="str">
        <f>VLOOKUP(Таблица1_113[[#This Row],[Марка]],Таблица13[#All],5,0)</f>
        <v>Нет</v>
      </c>
      <c r="AI977" s="12">
        <v>44317</v>
      </c>
      <c r="AJ977">
        <v>88</v>
      </c>
    </row>
    <row r="978" spans="30:36">
      <c r="AD978" t="s">
        <v>40</v>
      </c>
      <c r="AE978" t="str">
        <f>VLOOKUP(Таблица1_113[[#This Row],[Марка]],Таблица13[#All],4,0)</f>
        <v>Великобритания</v>
      </c>
      <c r="AF978" t="str">
        <f>VLOOKUP(Таблица1_113[[#This Row],[Марка]],Таблица13[#All],2,0)</f>
        <v>Luxury</v>
      </c>
      <c r="AG978">
        <f>VLOOKUP(Таблица1_113[[#This Row],[Марка]],Таблица13[#All],3,0)</f>
        <v>1959</v>
      </c>
      <c r="AH978" t="str">
        <f>VLOOKUP(Таблица1_113[[#This Row],[Марка]],Таблица13[#All],5,0)</f>
        <v>Нет</v>
      </c>
      <c r="AI978" s="12">
        <v>44317</v>
      </c>
      <c r="AJ978">
        <v>0</v>
      </c>
    </row>
    <row r="979" spans="30:36">
      <c r="AD979" t="s">
        <v>128</v>
      </c>
      <c r="AE979" t="str">
        <f>VLOOKUP(Таблица1_113[[#This Row],[Марка]],Таблица13[#All],4,0)</f>
        <v>Германия</v>
      </c>
      <c r="AF979" t="str">
        <f>VLOOKUP(Таблица1_113[[#This Row],[Марка]],Таблица13[#All],2,0)</f>
        <v>Luxury</v>
      </c>
      <c r="AG979">
        <f>VLOOKUP(Таблица1_113[[#This Row],[Марка]],Таблица13[#All],3,0)</f>
        <v>1926</v>
      </c>
      <c r="AH979" t="str">
        <f>VLOOKUP(Таблица1_113[[#This Row],[Марка]],Таблица13[#All],5,0)</f>
        <v>Нет</v>
      </c>
      <c r="AI979" s="12">
        <v>44317</v>
      </c>
      <c r="AJ979">
        <v>64</v>
      </c>
    </row>
    <row r="980" spans="30:36">
      <c r="AD980" t="s">
        <v>139</v>
      </c>
      <c r="AE980" t="str">
        <f>VLOOKUP(Таблица1_113[[#This Row],[Марка]],Таблица13[#All],4,0)</f>
        <v>Япония</v>
      </c>
      <c r="AF980" t="str">
        <f>VLOOKUP(Таблица1_113[[#This Row],[Марка]],Таблица13[#All],2,0)</f>
        <v>Business</v>
      </c>
      <c r="AG980">
        <f>VLOOKUP(Таблица1_113[[#This Row],[Марка]],Таблица13[#All],3,0)</f>
        <v>1920</v>
      </c>
      <c r="AH980" t="str">
        <f>VLOOKUP(Таблица1_113[[#This Row],[Марка]],Таблица13[#All],5,0)</f>
        <v>Нет</v>
      </c>
      <c r="AI980" s="12">
        <v>44317</v>
      </c>
      <c r="AJ980">
        <v>38</v>
      </c>
    </row>
    <row r="981" spans="30:36">
      <c r="AD981" t="s">
        <v>5</v>
      </c>
      <c r="AE981" t="str">
        <f>VLOOKUP(Таблица1_113[[#This Row],[Марка]],Таблица13[#All],4,0)</f>
        <v>Япония</v>
      </c>
      <c r="AF981" t="str">
        <f>VLOOKUP(Таблица1_113[[#This Row],[Марка]],Таблица13[#All],2,0)</f>
        <v>Luxury</v>
      </c>
      <c r="AG981">
        <f>VLOOKUP(Таблица1_113[[#This Row],[Марка]],Таблица13[#All],3,0)</f>
        <v>1989</v>
      </c>
      <c r="AH981" t="str">
        <f>VLOOKUP(Таблица1_113[[#This Row],[Марка]],Таблица13[#All],5,0)</f>
        <v>Нет</v>
      </c>
      <c r="AI981" s="12">
        <v>44317</v>
      </c>
      <c r="AJ981">
        <v>142</v>
      </c>
    </row>
    <row r="982" spans="30:36">
      <c r="AD982" t="s">
        <v>35</v>
      </c>
      <c r="AE982" t="str">
        <f>VLOOKUP(Таблица1_113[[#This Row],[Марка]],Таблица13[#All],4,0)</f>
        <v>Великобритания</v>
      </c>
      <c r="AF982" t="str">
        <f>VLOOKUP(Таблица1_113[[#This Row],[Марка]],Таблица13[#All],2,0)</f>
        <v>Luxury</v>
      </c>
      <c r="AG982">
        <f>VLOOKUP(Таблица1_113[[#This Row],[Марка]],Таблица13[#All],3,0)</f>
        <v>1948</v>
      </c>
      <c r="AH982" t="str">
        <f>VLOOKUP(Таблица1_113[[#This Row],[Марка]],Таблица13[#All],5,0)</f>
        <v>Нет</v>
      </c>
      <c r="AI982" s="12">
        <v>44317</v>
      </c>
      <c r="AJ982">
        <v>0</v>
      </c>
    </row>
    <row r="983" spans="30:36">
      <c r="AD983" t="s">
        <v>19</v>
      </c>
      <c r="AE983" t="str">
        <f>VLOOKUP(Таблица1_113[[#This Row],[Марка]],Таблица13[#All],4,0)</f>
        <v>Россия</v>
      </c>
      <c r="AF983" t="str">
        <f>VLOOKUP(Таблица1_113[[#This Row],[Марка]],Таблица13[#All],2,0)</f>
        <v>Economy</v>
      </c>
      <c r="AG983">
        <f>VLOOKUP(Таблица1_113[[#This Row],[Марка]],Таблица13[#All],3,0)</f>
        <v>1970</v>
      </c>
      <c r="AH983" t="str">
        <f>VLOOKUP(Таблица1_113[[#This Row],[Марка]],Таблица13[#All],5,0)</f>
        <v>Крупноузловая</v>
      </c>
      <c r="AI983" s="12">
        <v>44317</v>
      </c>
      <c r="AJ983">
        <v>710</v>
      </c>
    </row>
    <row r="984" spans="30:36">
      <c r="AD984" t="s">
        <v>15</v>
      </c>
      <c r="AE984" t="str">
        <f>VLOOKUP(Таблица1_113[[#This Row],[Марка]],Таблица13[#All],4,0)</f>
        <v>Корея</v>
      </c>
      <c r="AF984" t="str">
        <f>VLOOKUP(Таблица1_113[[#This Row],[Марка]],Таблица13[#All],2,0)</f>
        <v>Economy</v>
      </c>
      <c r="AG984">
        <f>VLOOKUP(Таблица1_113[[#This Row],[Марка]],Таблица13[#All],3,0)</f>
        <v>1944</v>
      </c>
      <c r="AH984" t="str">
        <f>VLOOKUP(Таблица1_113[[#This Row],[Марка]],Таблица13[#All],5,0)</f>
        <v>Крупноузловая</v>
      </c>
      <c r="AI984" s="12">
        <v>44317</v>
      </c>
      <c r="AJ984">
        <v>1030</v>
      </c>
    </row>
    <row r="985" spans="30:36">
      <c r="AD985" t="s">
        <v>134</v>
      </c>
      <c r="AE985" t="str">
        <f>VLOOKUP(Таблица1_113[[#This Row],[Марка]],Таблица13[#All],4,0)</f>
        <v>Великобритания</v>
      </c>
      <c r="AF985" t="str">
        <f>VLOOKUP(Таблица1_113[[#This Row],[Марка]],Таблица13[#All],2,0)</f>
        <v>Luxury</v>
      </c>
      <c r="AG985">
        <f>VLOOKUP(Таблица1_113[[#This Row],[Марка]],Таблица13[#All],3,0)</f>
        <v>1922</v>
      </c>
      <c r="AH985" t="str">
        <f>VLOOKUP(Таблица1_113[[#This Row],[Марка]],Таблица13[#All],5,0)</f>
        <v>Нет</v>
      </c>
      <c r="AI985" s="12">
        <v>44317</v>
      </c>
      <c r="AJ985">
        <v>0</v>
      </c>
    </row>
    <row r="986" spans="30:36">
      <c r="AD986" t="s">
        <v>4</v>
      </c>
      <c r="AE986" t="str">
        <f>VLOOKUP(Таблица1_113[[#This Row],[Марка]],Таблица13[#All],4,0)</f>
        <v>Китай</v>
      </c>
      <c r="AF986" t="str">
        <f>VLOOKUP(Таблица1_113[[#This Row],[Марка]],Таблица13[#All],2,0)</f>
        <v>Economy</v>
      </c>
      <c r="AG986">
        <f>VLOOKUP(Таблица1_113[[#This Row],[Марка]],Таблица13[#All],3,0)</f>
        <v>1964</v>
      </c>
      <c r="AH986" t="str">
        <f>VLOOKUP(Таблица1_113[[#This Row],[Марка]],Таблица13[#All],5,0)</f>
        <v>Крупноузловая</v>
      </c>
      <c r="AI986" s="12">
        <v>44317</v>
      </c>
      <c r="AJ986">
        <v>188</v>
      </c>
    </row>
    <row r="987" spans="30:36">
      <c r="AD987" t="s">
        <v>140</v>
      </c>
      <c r="AE987" t="str">
        <f>VLOOKUP(Таблица1_113[[#This Row],[Марка]],Таблица13[#All],4,0)</f>
        <v>Япония</v>
      </c>
      <c r="AF987" t="str">
        <f>VLOOKUP(Таблица1_113[[#This Row],[Марка]],Таблица13[#All],2,0)</f>
        <v>Business</v>
      </c>
      <c r="AG987">
        <f>VLOOKUP(Таблица1_113[[#This Row],[Марка]],Таблица13[#All],3,0)</f>
        <v>1916</v>
      </c>
      <c r="AH987" t="str">
        <f>VLOOKUP(Таблица1_113[[#This Row],[Марка]],Таблица13[#All],5,0)</f>
        <v>Нет</v>
      </c>
      <c r="AI987" s="12">
        <v>44317</v>
      </c>
      <c r="AJ987">
        <v>19</v>
      </c>
    </row>
    <row r="988" spans="30:36">
      <c r="AD988" t="s">
        <v>34</v>
      </c>
      <c r="AE988" t="str">
        <f>VLOOKUP(Таблица1_113[[#This Row],[Марка]],Таблица13[#All],4,0)</f>
        <v>Япония</v>
      </c>
      <c r="AF988" t="str">
        <f>VLOOKUP(Таблица1_113[[#This Row],[Марка]],Таблица13[#All],2,0)</f>
        <v>Luxury</v>
      </c>
      <c r="AG988">
        <f>VLOOKUP(Таблица1_113[[#This Row],[Марка]],Таблица13[#All],3,0)</f>
        <v>1989</v>
      </c>
      <c r="AH988" t="str">
        <f>VLOOKUP(Таблица1_113[[#This Row],[Марка]],Таблица13[#All],5,0)</f>
        <v>Нет</v>
      </c>
      <c r="AI988" s="12">
        <v>44317</v>
      </c>
      <c r="AJ988">
        <v>23</v>
      </c>
    </row>
    <row r="989" spans="30:36">
      <c r="AD989" t="s">
        <v>0</v>
      </c>
      <c r="AE989" t="str">
        <f>VLOOKUP(Таблица1_113[[#This Row],[Марка]],Таблица13[#All],4,0)</f>
        <v>Корея</v>
      </c>
      <c r="AF989" t="str">
        <f>VLOOKUP(Таблица1_113[[#This Row],[Марка]],Таблица13[#All],2,0)</f>
        <v>Economy</v>
      </c>
      <c r="AG989">
        <f>VLOOKUP(Таблица1_113[[#This Row],[Марка]],Таблица13[#All],3,0)</f>
        <v>1967</v>
      </c>
      <c r="AH989" t="str">
        <f>VLOOKUP(Таблица1_113[[#This Row],[Марка]],Таблица13[#All],5,0)</f>
        <v>Крупноузловая</v>
      </c>
      <c r="AI989" s="12">
        <v>44317</v>
      </c>
      <c r="AJ989">
        <v>1681</v>
      </c>
    </row>
    <row r="990" spans="30:36">
      <c r="AD990" t="s">
        <v>6</v>
      </c>
      <c r="AE990" t="str">
        <f>VLOOKUP(Таблица1_113[[#This Row],[Марка]],Таблица13[#All],4,0)</f>
        <v>Китай</v>
      </c>
      <c r="AF990" t="str">
        <f>VLOOKUP(Таблица1_113[[#This Row],[Марка]],Таблица13[#All],2,0)</f>
        <v>Economy</v>
      </c>
      <c r="AG990">
        <f>VLOOKUP(Таблица1_113[[#This Row],[Марка]],Таблица13[#All],3,0)</f>
        <v>2013</v>
      </c>
      <c r="AH990" t="str">
        <f>VLOOKUP(Таблица1_113[[#This Row],[Марка]],Таблица13[#All],5,0)</f>
        <v>Крупноузловая</v>
      </c>
      <c r="AI990" s="12">
        <v>44317</v>
      </c>
      <c r="AJ990">
        <v>128</v>
      </c>
    </row>
    <row r="991" spans="30:36">
      <c r="AD991" t="s">
        <v>138</v>
      </c>
      <c r="AE991" t="str">
        <f>VLOOKUP(Таблица1_113[[#This Row],[Марка]],Таблица13[#All],4,0)</f>
        <v>Корея</v>
      </c>
      <c r="AF991" t="str">
        <f>VLOOKUP(Таблица1_113[[#This Row],[Марка]],Таблица13[#All],2,0)</f>
        <v>Luxury</v>
      </c>
      <c r="AG991">
        <f>VLOOKUP(Таблица1_113[[#This Row],[Марка]],Таблица13[#All],3,0)</f>
        <v>2015</v>
      </c>
      <c r="AH991" t="str">
        <f>VLOOKUP(Таблица1_113[[#This Row],[Марка]],Таблица13[#All],5,0)</f>
        <v>Нет</v>
      </c>
      <c r="AI991" s="12">
        <v>44317</v>
      </c>
      <c r="AJ991">
        <v>0</v>
      </c>
    </row>
    <row r="992" spans="30:36">
      <c r="AD992" t="s">
        <v>129</v>
      </c>
      <c r="AE992" t="str">
        <f>VLOOKUP(Таблица1_113[[#This Row],[Марка]],Таблица13[#All],4,0)</f>
        <v>Китай</v>
      </c>
      <c r="AF992" t="str">
        <f>VLOOKUP(Таблица1_113[[#This Row],[Марка]],Таблица13[#All],2,0)</f>
        <v>Economy</v>
      </c>
      <c r="AG992">
        <f>VLOOKUP(Таблица1_113[[#This Row],[Марка]],Таблица13[#All],3,0)</f>
        <v>1953</v>
      </c>
      <c r="AH992" t="str">
        <f>VLOOKUP(Таблица1_113[[#This Row],[Марка]],Таблица13[#All],5,0)</f>
        <v>Нет</v>
      </c>
      <c r="AI992" s="12">
        <v>44317</v>
      </c>
      <c r="AJ992">
        <v>0</v>
      </c>
    </row>
    <row r="993" spans="30:36">
      <c r="AD993" t="s">
        <v>130</v>
      </c>
      <c r="AE993" t="str">
        <f>VLOOKUP(Таблица1_113[[#This Row],[Марка]],Таблица13[#All],4,0)</f>
        <v>Китай</v>
      </c>
      <c r="AF993" t="str">
        <f>VLOOKUP(Таблица1_113[[#This Row],[Марка]],Таблица13[#All],2,0)</f>
        <v>Economy</v>
      </c>
      <c r="AG993">
        <f>VLOOKUP(Таблица1_113[[#This Row],[Марка]],Таблица13[#All],3,0)</f>
        <v>1969</v>
      </c>
      <c r="AH993" t="str">
        <f>VLOOKUP(Таблица1_113[[#This Row],[Марка]],Таблица13[#All],5,0)</f>
        <v>Нет</v>
      </c>
      <c r="AI993" s="12">
        <v>44317</v>
      </c>
      <c r="AJ993">
        <v>0</v>
      </c>
    </row>
    <row r="994" spans="30:36">
      <c r="AD994" t="s">
        <v>137</v>
      </c>
      <c r="AE994" t="str">
        <f>VLOOKUP(Таблица1_113[[#This Row],[Марка]],Таблица13[#All],4,0)</f>
        <v>Корея</v>
      </c>
      <c r="AF994" t="str">
        <f>VLOOKUP(Таблица1_113[[#This Row],[Марка]],Таблица13[#All],2,0)</f>
        <v>Economy</v>
      </c>
      <c r="AG994">
        <f>VLOOKUP(Таблица1_113[[#This Row],[Марка]],Таблица13[#All],3,0)</f>
        <v>1967</v>
      </c>
      <c r="AH994" t="str">
        <f>VLOOKUP(Таблица1_113[[#This Row],[Марка]],Таблица13[#All],5,0)</f>
        <v>Нет</v>
      </c>
      <c r="AI994" s="12">
        <v>44317</v>
      </c>
      <c r="AJ994">
        <v>0</v>
      </c>
    </row>
    <row r="995" spans="30:36">
      <c r="AD995" t="s">
        <v>1</v>
      </c>
      <c r="AE995" t="str">
        <f>VLOOKUP(Таблица1_113[[#This Row],[Марка]],Таблица13[#All],4,0)</f>
        <v>США</v>
      </c>
      <c r="AF995" t="str">
        <f>VLOOKUP(Таблица1_113[[#This Row],[Марка]],Таблица13[#All],2,0)</f>
        <v>Economy</v>
      </c>
      <c r="AG995">
        <f>VLOOKUP(Таблица1_113[[#This Row],[Марка]],Таблица13[#All],3,0)</f>
        <v>1911</v>
      </c>
      <c r="AH995" t="str">
        <f>VLOOKUP(Таблица1_113[[#This Row],[Марка]],Таблица13[#All],5,0)</f>
        <v>Крупноузловая</v>
      </c>
      <c r="AI995" s="12">
        <v>44317</v>
      </c>
      <c r="AJ995">
        <v>2809</v>
      </c>
    </row>
    <row r="996" spans="30:36">
      <c r="AD996" t="s">
        <v>3</v>
      </c>
      <c r="AE996" t="str">
        <f>VLOOKUP(Таблица1_113[[#This Row],[Марка]],Таблица13[#All],4,0)</f>
        <v>Китай</v>
      </c>
      <c r="AF996" t="str">
        <f>VLOOKUP(Таблица1_113[[#This Row],[Марка]],Таблица13[#All],2,0)</f>
        <v>Economy</v>
      </c>
      <c r="AG996">
        <f>VLOOKUP(Таблица1_113[[#This Row],[Марка]],Таблица13[#All],3,0)</f>
        <v>1997</v>
      </c>
      <c r="AH996" t="str">
        <f>VLOOKUP(Таблица1_113[[#This Row],[Марка]],Таблица13[#All],5,0)</f>
        <v>Крупноузловая</v>
      </c>
      <c r="AI996" s="12">
        <v>44317</v>
      </c>
      <c r="AJ996">
        <v>0</v>
      </c>
    </row>
    <row r="997" spans="30:36">
      <c r="AD997" t="s">
        <v>36</v>
      </c>
      <c r="AE997" t="str">
        <f>VLOOKUP(Таблица1_113[[#This Row],[Марка]],Таблица13[#All],4,0)</f>
        <v>США</v>
      </c>
      <c r="AF997" t="str">
        <f>VLOOKUP(Таблица1_113[[#This Row],[Марка]],Таблица13[#All],2,0)</f>
        <v>Luxury</v>
      </c>
      <c r="AG997">
        <f>VLOOKUP(Таблица1_113[[#This Row],[Марка]],Таблица13[#All],3,0)</f>
        <v>1902</v>
      </c>
      <c r="AH997" t="str">
        <f>VLOOKUP(Таблица1_113[[#This Row],[Марка]],Таблица13[#All],5,0)</f>
        <v>Нет</v>
      </c>
      <c r="AI997" s="12">
        <v>44317</v>
      </c>
      <c r="AJ997">
        <v>16</v>
      </c>
    </row>
    <row r="998" spans="30:36">
      <c r="AD998" t="s">
        <v>8</v>
      </c>
      <c r="AE998" t="str">
        <f>VLOOKUP(Таблица1_113[[#This Row],[Марка]],Таблица13[#All],4,0)</f>
        <v>Германия</v>
      </c>
      <c r="AF998" t="str">
        <f>VLOOKUP(Таблица1_113[[#This Row],[Марка]],Таблица13[#All],2,0)</f>
        <v>Luxury</v>
      </c>
      <c r="AG998">
        <f>VLOOKUP(Таблица1_113[[#This Row],[Марка]],Таблица13[#All],3,0)</f>
        <v>1916</v>
      </c>
      <c r="AH998" t="str">
        <f>VLOOKUP(Таблица1_113[[#This Row],[Марка]],Таблица13[#All],5,0)</f>
        <v>Нет</v>
      </c>
      <c r="AI998" s="12">
        <v>44317</v>
      </c>
      <c r="AJ998">
        <v>103</v>
      </c>
    </row>
    <row r="999" spans="30:36">
      <c r="AD999" t="s">
        <v>38</v>
      </c>
      <c r="AE999" t="str">
        <f>VLOOKUP(Таблица1_113[[#This Row],[Марка]],Таблица13[#All],4,0)</f>
        <v>Германия</v>
      </c>
      <c r="AF999" t="str">
        <f>VLOOKUP(Таблица1_113[[#This Row],[Марка]],Таблица13[#All],2,0)</f>
        <v>Luxury</v>
      </c>
      <c r="AG999">
        <f>VLOOKUP(Таблица1_113[[#This Row],[Марка]],Таблица13[#All],3,0)</f>
        <v>1932</v>
      </c>
      <c r="AH999" t="str">
        <f>VLOOKUP(Таблица1_113[[#This Row],[Марка]],Таблица13[#All],5,0)</f>
        <v>Нет</v>
      </c>
      <c r="AI999" s="12">
        <v>44317</v>
      </c>
      <c r="AJ999">
        <v>10</v>
      </c>
    </row>
    <row r="1000" spans="30:36">
      <c r="AD1000" t="s">
        <v>136</v>
      </c>
      <c r="AE1000" t="str">
        <f>VLOOKUP(Таблица1_113[[#This Row],[Марка]],Таблица13[#All],4,0)</f>
        <v>Россия</v>
      </c>
      <c r="AF1000" t="str">
        <f>VLOOKUP(Таблица1_113[[#This Row],[Марка]],Таблица13[#All],2,0)</f>
        <v>Economy</v>
      </c>
      <c r="AG1000">
        <f>VLOOKUP(Таблица1_113[[#This Row],[Марка]],Таблица13[#All],3,0)</f>
        <v>1941</v>
      </c>
      <c r="AH1000" t="str">
        <f>VLOOKUP(Таблица1_113[[#This Row],[Марка]],Таблица13[#All],5,0)</f>
        <v>Нет</v>
      </c>
      <c r="AI1000" s="12">
        <v>44348</v>
      </c>
      <c r="AJ1000">
        <v>130</v>
      </c>
    </row>
    <row r="1001" spans="30:36">
      <c r="AD1001" t="s">
        <v>135</v>
      </c>
      <c r="AE1001" t="str">
        <f>VLOOKUP(Таблица1_113[[#This Row],[Марка]],Таблица13[#All],4,0)</f>
        <v>-</v>
      </c>
      <c r="AF1001" t="str">
        <f>VLOOKUP(Таблица1_113[[#This Row],[Марка]],Таблица13[#All],2,0)</f>
        <v>-</v>
      </c>
      <c r="AG1001" t="str">
        <f>VLOOKUP(Таблица1_113[[#This Row],[Марка]],Таблица13[#All],3,0)</f>
        <v>-</v>
      </c>
      <c r="AH1001" t="str">
        <f>VLOOKUP(Таблица1_113[[#This Row],[Марка]],Таблица13[#All],5,0)</f>
        <v>-</v>
      </c>
      <c r="AI1001" s="12">
        <v>44348</v>
      </c>
      <c r="AJ1001">
        <v>83</v>
      </c>
    </row>
    <row r="1002" spans="30:36">
      <c r="AD1002" t="s">
        <v>39</v>
      </c>
      <c r="AE1002" t="str">
        <f>VLOOKUP(Таблица1_113[[#This Row],[Марка]],Таблица13[#All],4,0)</f>
        <v>Швеция</v>
      </c>
      <c r="AF1002" t="str">
        <f>VLOOKUP(Таблица1_113[[#This Row],[Марка]],Таблица13[#All],2,0)</f>
        <v>Business</v>
      </c>
      <c r="AG1002">
        <f>VLOOKUP(Таблица1_113[[#This Row],[Марка]],Таблица13[#All],3,0)</f>
        <v>1927</v>
      </c>
      <c r="AH1002" t="str">
        <f>VLOOKUP(Таблица1_113[[#This Row],[Марка]],Таблица13[#All],5,0)</f>
        <v>Нет</v>
      </c>
      <c r="AI1002" s="12">
        <v>44348</v>
      </c>
      <c r="AJ1002">
        <v>13</v>
      </c>
    </row>
    <row r="1003" spans="30:36">
      <c r="AD1003" t="s">
        <v>21</v>
      </c>
      <c r="AE1003" t="str">
        <f>VLOOKUP(Таблица1_113[[#This Row],[Марка]],Таблица13[#All],4,0)</f>
        <v>Германия</v>
      </c>
      <c r="AF1003" t="str">
        <f>VLOOKUP(Таблица1_113[[#This Row],[Марка]],Таблица13[#All],2,0)</f>
        <v>Business</v>
      </c>
      <c r="AG1003">
        <f>VLOOKUP(Таблица1_113[[#This Row],[Марка]],Таблица13[#All],3,0)</f>
        <v>1937</v>
      </c>
      <c r="AH1003" t="str">
        <f>VLOOKUP(Таблица1_113[[#This Row],[Марка]],Таблица13[#All],5,0)</f>
        <v>Нет</v>
      </c>
      <c r="AI1003" s="12">
        <v>44348</v>
      </c>
      <c r="AJ1003">
        <v>477</v>
      </c>
    </row>
    <row r="1004" spans="30:36">
      <c r="AD1004" t="s">
        <v>2</v>
      </c>
      <c r="AE1004" t="str">
        <f>VLOOKUP(Таблица1_113[[#This Row],[Марка]],Таблица13[#All],4,0)</f>
        <v>Япония</v>
      </c>
      <c r="AF1004" t="str">
        <f>VLOOKUP(Таблица1_113[[#This Row],[Марка]],Таблица13[#All],2,0)</f>
        <v>Business</v>
      </c>
      <c r="AG1004">
        <f>VLOOKUP(Таблица1_113[[#This Row],[Марка]],Таблица13[#All],3,0)</f>
        <v>1937</v>
      </c>
      <c r="AH1004" t="str">
        <f>VLOOKUP(Таблица1_113[[#This Row],[Марка]],Таблица13[#All],5,0)</f>
        <v>Нет</v>
      </c>
      <c r="AI1004" s="12">
        <v>44348</v>
      </c>
      <c r="AJ1004">
        <v>1390</v>
      </c>
    </row>
    <row r="1005" spans="30:36">
      <c r="AD1005" t="s">
        <v>125</v>
      </c>
      <c r="AE1005" t="str">
        <f>VLOOKUP(Таблица1_113[[#This Row],[Марка]],Таблица13[#All],4,0)</f>
        <v>Япония</v>
      </c>
      <c r="AF1005" t="str">
        <f>VLOOKUP(Таблица1_113[[#This Row],[Марка]],Таблица13[#All],2,0)</f>
        <v>Business</v>
      </c>
      <c r="AG1005">
        <f>VLOOKUP(Таблица1_113[[#This Row],[Марка]],Таблица13[#All],3,0)</f>
        <v>1953</v>
      </c>
      <c r="AH1005" t="str">
        <f>VLOOKUP(Таблица1_113[[#This Row],[Марка]],Таблица13[#All],5,0)</f>
        <v>Нет</v>
      </c>
      <c r="AI1005" s="12">
        <v>44348</v>
      </c>
      <c r="AJ1005">
        <v>230</v>
      </c>
    </row>
    <row r="1006" spans="30:36">
      <c r="AD1006" t="s">
        <v>141</v>
      </c>
      <c r="AE1006" t="str">
        <f>VLOOKUP(Таблица1_113[[#This Row],[Марка]],Таблица13[#All],4,0)</f>
        <v>Чехия</v>
      </c>
      <c r="AF1006" t="str">
        <f>VLOOKUP(Таблица1_113[[#This Row],[Марка]],Таблица13[#All],2,0)</f>
        <v>Business</v>
      </c>
      <c r="AG1006">
        <f>VLOOKUP(Таблица1_113[[#This Row],[Марка]],Таблица13[#All],3,0)</f>
        <v>1895</v>
      </c>
      <c r="AH1006" t="str">
        <f>VLOOKUP(Таблица1_113[[#This Row],[Марка]],Таблица13[#All],5,0)</f>
        <v>Крупноузловая</v>
      </c>
      <c r="AI1006" s="12">
        <v>44348</v>
      </c>
      <c r="AJ1006">
        <v>0</v>
      </c>
    </row>
    <row r="1007" spans="30:36">
      <c r="AD1007" t="s">
        <v>23</v>
      </c>
      <c r="AE1007" t="str">
        <f>VLOOKUP(Таблица1_113[[#This Row],[Марка]],Таблица13[#All],4,0)</f>
        <v>Франция</v>
      </c>
      <c r="AF1007" t="str">
        <f>VLOOKUP(Таблица1_113[[#This Row],[Марка]],Таблица13[#All],2,0)</f>
        <v>Economy</v>
      </c>
      <c r="AG1007">
        <f>VLOOKUP(Таблица1_113[[#This Row],[Марка]],Таблица13[#All],3,0)</f>
        <v>1899</v>
      </c>
      <c r="AH1007" t="str">
        <f>VLOOKUP(Таблица1_113[[#This Row],[Марка]],Таблица13[#All],5,0)</f>
        <v>Крупноузловая</v>
      </c>
      <c r="AI1007" s="12">
        <v>44348</v>
      </c>
      <c r="AJ1007">
        <v>322</v>
      </c>
    </row>
    <row r="1008" spans="30:36">
      <c r="AD1008" t="s">
        <v>142</v>
      </c>
      <c r="AE1008" t="str">
        <f>VLOOKUP(Таблица1_113[[#This Row],[Марка]],Таблица13[#All],4,0)</f>
        <v>Узбекистан</v>
      </c>
      <c r="AF1008" t="str">
        <f>VLOOKUP(Таблица1_113[[#This Row],[Марка]],Таблица13[#All],2,0)</f>
        <v>Economy</v>
      </c>
      <c r="AG1008">
        <f>VLOOKUP(Таблица1_113[[#This Row],[Марка]],Таблица13[#All],3,0)</f>
        <v>2015</v>
      </c>
      <c r="AH1008" t="str">
        <f>VLOOKUP(Таблица1_113[[#This Row],[Марка]],Таблица13[#All],5,0)</f>
        <v>Крупноузловая</v>
      </c>
      <c r="AI1008" s="12">
        <v>44348</v>
      </c>
      <c r="AJ1008">
        <v>0</v>
      </c>
    </row>
    <row r="1009" spans="30:36">
      <c r="AD1009" t="s">
        <v>37</v>
      </c>
      <c r="AE1009" t="str">
        <f>VLOOKUP(Таблица1_113[[#This Row],[Марка]],Таблица13[#All],4,0)</f>
        <v>Германия</v>
      </c>
      <c r="AF1009" t="str">
        <f>VLOOKUP(Таблица1_113[[#This Row],[Марка]],Таблица13[#All],2,0)</f>
        <v>Luxury</v>
      </c>
      <c r="AG1009">
        <f>VLOOKUP(Таблица1_113[[#This Row],[Марка]],Таблица13[#All],3,0)</f>
        <v>1931</v>
      </c>
      <c r="AH1009" t="str">
        <f>VLOOKUP(Таблица1_113[[#This Row],[Марка]],Таблица13[#All],5,0)</f>
        <v>Нет</v>
      </c>
      <c r="AI1009" s="12">
        <v>44348</v>
      </c>
      <c r="AJ1009">
        <v>22</v>
      </c>
    </row>
    <row r="1010" spans="30:36">
      <c r="AD1010" t="s">
        <v>22</v>
      </c>
      <c r="AE1010" t="str">
        <f>VLOOKUP(Таблица1_113[[#This Row],[Марка]],Таблица13[#All],4,0)</f>
        <v>Япония</v>
      </c>
      <c r="AF1010" t="str">
        <f>VLOOKUP(Таблица1_113[[#This Row],[Марка]],Таблица13[#All],2,0)</f>
        <v>Business</v>
      </c>
      <c r="AG1010">
        <f>VLOOKUP(Таблица1_113[[#This Row],[Марка]],Таблица13[#All],3,0)</f>
        <v>1933</v>
      </c>
      <c r="AH1010" t="str">
        <f>VLOOKUP(Таблица1_113[[#This Row],[Марка]],Таблица13[#All],5,0)</f>
        <v>Нет</v>
      </c>
      <c r="AI1010" s="12">
        <v>44348</v>
      </c>
      <c r="AJ1010">
        <v>299</v>
      </c>
    </row>
    <row r="1011" spans="30:36">
      <c r="AD1011" t="s">
        <v>9</v>
      </c>
      <c r="AE1011" t="str">
        <f>VLOOKUP(Таблица1_113[[#This Row],[Марка]],Таблица13[#All],4,0)</f>
        <v>Япония</v>
      </c>
      <c r="AF1011" t="str">
        <f>VLOOKUP(Таблица1_113[[#This Row],[Марка]],Таблица13[#All],2,0)</f>
        <v>Business</v>
      </c>
      <c r="AG1011">
        <f>VLOOKUP(Таблица1_113[[#This Row],[Марка]],Таблица13[#All],3,0)</f>
        <v>1870</v>
      </c>
      <c r="AH1011" t="str">
        <f>VLOOKUP(Таблица1_113[[#This Row],[Марка]],Таблица13[#All],5,0)</f>
        <v>Нет</v>
      </c>
      <c r="AI1011" s="12">
        <v>44348</v>
      </c>
      <c r="AJ1011">
        <v>116</v>
      </c>
    </row>
    <row r="1012" spans="30:36">
      <c r="AD1012" t="s">
        <v>40</v>
      </c>
      <c r="AE1012" t="str">
        <f>VLOOKUP(Таблица1_113[[#This Row],[Марка]],Таблица13[#All],4,0)</f>
        <v>Великобритания</v>
      </c>
      <c r="AF1012" t="str">
        <f>VLOOKUP(Таблица1_113[[#This Row],[Марка]],Таблица13[#All],2,0)</f>
        <v>Luxury</v>
      </c>
      <c r="AG1012">
        <f>VLOOKUP(Таблица1_113[[#This Row],[Марка]],Таблица13[#All],3,0)</f>
        <v>1959</v>
      </c>
      <c r="AH1012" t="str">
        <f>VLOOKUP(Таблица1_113[[#This Row],[Марка]],Таблица13[#All],5,0)</f>
        <v>Нет</v>
      </c>
      <c r="AI1012" s="12">
        <v>44348</v>
      </c>
      <c r="AJ1012">
        <v>9</v>
      </c>
    </row>
    <row r="1013" spans="30:36">
      <c r="AD1013" t="s">
        <v>128</v>
      </c>
      <c r="AE1013" t="str">
        <f>VLOOKUP(Таблица1_113[[#This Row],[Марка]],Таблица13[#All],4,0)</f>
        <v>Германия</v>
      </c>
      <c r="AF1013" t="str">
        <f>VLOOKUP(Таблица1_113[[#This Row],[Марка]],Таблица13[#All],2,0)</f>
        <v>Luxury</v>
      </c>
      <c r="AG1013">
        <f>VLOOKUP(Таблица1_113[[#This Row],[Марка]],Таблица13[#All],3,0)</f>
        <v>1926</v>
      </c>
      <c r="AH1013" t="str">
        <f>VLOOKUP(Таблица1_113[[#This Row],[Марка]],Таблица13[#All],5,0)</f>
        <v>Нет</v>
      </c>
      <c r="AI1013" s="12">
        <v>44348</v>
      </c>
      <c r="AJ1013">
        <v>49</v>
      </c>
    </row>
    <row r="1014" spans="30:36">
      <c r="AD1014" t="s">
        <v>139</v>
      </c>
      <c r="AE1014" t="str">
        <f>VLOOKUP(Таблица1_113[[#This Row],[Марка]],Таблица13[#All],4,0)</f>
        <v>Япония</v>
      </c>
      <c r="AF1014" t="str">
        <f>VLOOKUP(Таблица1_113[[#This Row],[Марка]],Таблица13[#All],2,0)</f>
        <v>Business</v>
      </c>
      <c r="AG1014">
        <f>VLOOKUP(Таблица1_113[[#This Row],[Марка]],Таблица13[#All],3,0)</f>
        <v>1920</v>
      </c>
      <c r="AH1014" t="str">
        <f>VLOOKUP(Таблица1_113[[#This Row],[Марка]],Таблица13[#All],5,0)</f>
        <v>Нет</v>
      </c>
      <c r="AI1014" s="12">
        <v>44348</v>
      </c>
      <c r="AJ1014">
        <v>38</v>
      </c>
    </row>
    <row r="1015" spans="30:36">
      <c r="AD1015" t="s">
        <v>5</v>
      </c>
      <c r="AE1015" t="str">
        <f>VLOOKUP(Таблица1_113[[#This Row],[Марка]],Таблица13[#All],4,0)</f>
        <v>Япония</v>
      </c>
      <c r="AF1015" t="str">
        <f>VLOOKUP(Таблица1_113[[#This Row],[Марка]],Таблица13[#All],2,0)</f>
        <v>Luxury</v>
      </c>
      <c r="AG1015">
        <f>VLOOKUP(Таблица1_113[[#This Row],[Марка]],Таблица13[#All],3,0)</f>
        <v>1989</v>
      </c>
      <c r="AH1015" t="str">
        <f>VLOOKUP(Таблица1_113[[#This Row],[Марка]],Таблица13[#All],5,0)</f>
        <v>Нет</v>
      </c>
      <c r="AI1015" s="12">
        <v>44348</v>
      </c>
      <c r="AJ1015">
        <v>143</v>
      </c>
    </row>
    <row r="1016" spans="30:36">
      <c r="AD1016" t="s">
        <v>35</v>
      </c>
      <c r="AE1016" t="str">
        <f>VLOOKUP(Таблица1_113[[#This Row],[Марка]],Таблица13[#All],4,0)</f>
        <v>Великобритания</v>
      </c>
      <c r="AF1016" t="str">
        <f>VLOOKUP(Таблица1_113[[#This Row],[Марка]],Таблица13[#All],2,0)</f>
        <v>Luxury</v>
      </c>
      <c r="AG1016">
        <f>VLOOKUP(Таблица1_113[[#This Row],[Марка]],Таблица13[#All],3,0)</f>
        <v>1948</v>
      </c>
      <c r="AH1016" t="str">
        <f>VLOOKUP(Таблица1_113[[#This Row],[Марка]],Таблица13[#All],5,0)</f>
        <v>Нет</v>
      </c>
      <c r="AI1016" s="12">
        <v>44348</v>
      </c>
      <c r="AJ1016">
        <v>25</v>
      </c>
    </row>
    <row r="1017" spans="30:36">
      <c r="AD1017" t="s">
        <v>19</v>
      </c>
      <c r="AE1017" t="str">
        <f>VLOOKUP(Таблица1_113[[#This Row],[Марка]],Таблица13[#All],4,0)</f>
        <v>Россия</v>
      </c>
      <c r="AF1017" t="str">
        <f>VLOOKUP(Таблица1_113[[#This Row],[Марка]],Таблица13[#All],2,0)</f>
        <v>Economy</v>
      </c>
      <c r="AG1017">
        <f>VLOOKUP(Таблица1_113[[#This Row],[Марка]],Таблица13[#All],3,0)</f>
        <v>1970</v>
      </c>
      <c r="AH1017" t="str">
        <f>VLOOKUP(Таблица1_113[[#This Row],[Марка]],Таблица13[#All],5,0)</f>
        <v>Крупноузловая</v>
      </c>
      <c r="AI1017" s="12">
        <v>44348</v>
      </c>
      <c r="AJ1017">
        <v>1036</v>
      </c>
    </row>
    <row r="1018" spans="30:36">
      <c r="AD1018" t="s">
        <v>15</v>
      </c>
      <c r="AE1018" t="str">
        <f>VLOOKUP(Таблица1_113[[#This Row],[Марка]],Таблица13[#All],4,0)</f>
        <v>Корея</v>
      </c>
      <c r="AF1018" t="str">
        <f>VLOOKUP(Таблица1_113[[#This Row],[Марка]],Таблица13[#All],2,0)</f>
        <v>Economy</v>
      </c>
      <c r="AG1018">
        <f>VLOOKUP(Таблица1_113[[#This Row],[Марка]],Таблица13[#All],3,0)</f>
        <v>1944</v>
      </c>
      <c r="AH1018" t="str">
        <f>VLOOKUP(Таблица1_113[[#This Row],[Марка]],Таблица13[#All],5,0)</f>
        <v>Крупноузловая</v>
      </c>
      <c r="AI1018" s="12">
        <v>44348</v>
      </c>
      <c r="AJ1018">
        <v>1485</v>
      </c>
    </row>
    <row r="1019" spans="30:36">
      <c r="AD1019" t="s">
        <v>134</v>
      </c>
      <c r="AE1019" t="str">
        <f>VLOOKUP(Таблица1_113[[#This Row],[Марка]],Таблица13[#All],4,0)</f>
        <v>Великобритания</v>
      </c>
      <c r="AF1019" t="str">
        <f>VLOOKUP(Таблица1_113[[#This Row],[Марка]],Таблица13[#All],2,0)</f>
        <v>Luxury</v>
      </c>
      <c r="AG1019">
        <f>VLOOKUP(Таблица1_113[[#This Row],[Марка]],Таблица13[#All],3,0)</f>
        <v>1922</v>
      </c>
      <c r="AH1019" t="str">
        <f>VLOOKUP(Таблица1_113[[#This Row],[Марка]],Таблица13[#All],5,0)</f>
        <v>Нет</v>
      </c>
      <c r="AI1019" s="12">
        <v>44348</v>
      </c>
      <c r="AJ1019">
        <v>0</v>
      </c>
    </row>
    <row r="1020" spans="30:36">
      <c r="AD1020" t="s">
        <v>4</v>
      </c>
      <c r="AE1020" t="str">
        <f>VLOOKUP(Таблица1_113[[#This Row],[Марка]],Таблица13[#All],4,0)</f>
        <v>Китай</v>
      </c>
      <c r="AF1020" t="str">
        <f>VLOOKUP(Таблица1_113[[#This Row],[Марка]],Таблица13[#All],2,0)</f>
        <v>Economy</v>
      </c>
      <c r="AG1020">
        <f>VLOOKUP(Таблица1_113[[#This Row],[Марка]],Таблица13[#All],3,0)</f>
        <v>1964</v>
      </c>
      <c r="AH1020" t="str">
        <f>VLOOKUP(Таблица1_113[[#This Row],[Марка]],Таблица13[#All],5,0)</f>
        <v>Крупноузловая</v>
      </c>
      <c r="AI1020" s="12">
        <v>44348</v>
      </c>
      <c r="AJ1020">
        <v>248</v>
      </c>
    </row>
    <row r="1021" spans="30:36">
      <c r="AD1021" t="s">
        <v>140</v>
      </c>
      <c r="AE1021" t="str">
        <f>VLOOKUP(Таблица1_113[[#This Row],[Марка]],Таблица13[#All],4,0)</f>
        <v>Япония</v>
      </c>
      <c r="AF1021" t="str">
        <f>VLOOKUP(Таблица1_113[[#This Row],[Марка]],Таблица13[#All],2,0)</f>
        <v>Business</v>
      </c>
      <c r="AG1021">
        <f>VLOOKUP(Таблица1_113[[#This Row],[Марка]],Таблица13[#All],3,0)</f>
        <v>1916</v>
      </c>
      <c r="AH1021" t="str">
        <f>VLOOKUP(Таблица1_113[[#This Row],[Марка]],Таблица13[#All],5,0)</f>
        <v>Нет</v>
      </c>
      <c r="AI1021" s="12">
        <v>44348</v>
      </c>
      <c r="AJ1021">
        <v>30</v>
      </c>
    </row>
    <row r="1022" spans="30:36">
      <c r="AD1022" t="s">
        <v>34</v>
      </c>
      <c r="AE1022" t="str">
        <f>VLOOKUP(Таблица1_113[[#This Row],[Марка]],Таблица13[#All],4,0)</f>
        <v>Япония</v>
      </c>
      <c r="AF1022" t="str">
        <f>VLOOKUP(Таблица1_113[[#This Row],[Марка]],Таблица13[#All],2,0)</f>
        <v>Luxury</v>
      </c>
      <c r="AG1022">
        <f>VLOOKUP(Таблица1_113[[#This Row],[Марка]],Таблица13[#All],3,0)</f>
        <v>1989</v>
      </c>
      <c r="AH1022" t="str">
        <f>VLOOKUP(Таблица1_113[[#This Row],[Марка]],Таблица13[#All],5,0)</f>
        <v>Нет</v>
      </c>
      <c r="AI1022" s="12">
        <v>44348</v>
      </c>
      <c r="AJ1022">
        <v>27</v>
      </c>
    </row>
    <row r="1023" spans="30:36">
      <c r="AD1023" t="s">
        <v>0</v>
      </c>
      <c r="AE1023" t="str">
        <f>VLOOKUP(Таблица1_113[[#This Row],[Марка]],Таблица13[#All],4,0)</f>
        <v>Корея</v>
      </c>
      <c r="AF1023" t="str">
        <f>VLOOKUP(Таблица1_113[[#This Row],[Марка]],Таблица13[#All],2,0)</f>
        <v>Economy</v>
      </c>
      <c r="AG1023">
        <f>VLOOKUP(Таблица1_113[[#This Row],[Марка]],Таблица13[#All],3,0)</f>
        <v>1967</v>
      </c>
      <c r="AH1023" t="str">
        <f>VLOOKUP(Таблица1_113[[#This Row],[Марка]],Таблица13[#All],5,0)</f>
        <v>Крупноузловая</v>
      </c>
      <c r="AI1023" s="12">
        <v>44348</v>
      </c>
      <c r="AJ1023">
        <v>2020</v>
      </c>
    </row>
    <row r="1024" spans="30:36">
      <c r="AD1024" t="s">
        <v>6</v>
      </c>
      <c r="AE1024" t="str">
        <f>VLOOKUP(Таблица1_113[[#This Row],[Марка]],Таблица13[#All],4,0)</f>
        <v>Китай</v>
      </c>
      <c r="AF1024" t="str">
        <f>VLOOKUP(Таблица1_113[[#This Row],[Марка]],Таблица13[#All],2,0)</f>
        <v>Economy</v>
      </c>
      <c r="AG1024">
        <f>VLOOKUP(Таблица1_113[[#This Row],[Марка]],Таблица13[#All],3,0)</f>
        <v>2013</v>
      </c>
      <c r="AH1024" t="str">
        <f>VLOOKUP(Таблица1_113[[#This Row],[Марка]],Таблица13[#All],5,0)</f>
        <v>Крупноузловая</v>
      </c>
      <c r="AI1024" s="12">
        <v>44348</v>
      </c>
      <c r="AJ1024">
        <v>162</v>
      </c>
    </row>
    <row r="1025" spans="30:36">
      <c r="AD1025" t="s">
        <v>138</v>
      </c>
      <c r="AE1025" t="str">
        <f>VLOOKUP(Таблица1_113[[#This Row],[Марка]],Таблица13[#All],4,0)</f>
        <v>Корея</v>
      </c>
      <c r="AF1025" t="str">
        <f>VLOOKUP(Таблица1_113[[#This Row],[Марка]],Таблица13[#All],2,0)</f>
        <v>Luxury</v>
      </c>
      <c r="AG1025">
        <f>VLOOKUP(Таблица1_113[[#This Row],[Марка]],Таблица13[#All],3,0)</f>
        <v>2015</v>
      </c>
      <c r="AH1025" t="str">
        <f>VLOOKUP(Таблица1_113[[#This Row],[Марка]],Таблица13[#All],5,0)</f>
        <v>Нет</v>
      </c>
      <c r="AI1025" s="12">
        <v>44348</v>
      </c>
      <c r="AJ1025">
        <v>0</v>
      </c>
    </row>
    <row r="1026" spans="30:36">
      <c r="AD1026" t="s">
        <v>129</v>
      </c>
      <c r="AE1026" t="str">
        <f>VLOOKUP(Таблица1_113[[#This Row],[Марка]],Таблица13[#All],4,0)</f>
        <v>Китай</v>
      </c>
      <c r="AF1026" t="str">
        <f>VLOOKUP(Таблица1_113[[#This Row],[Марка]],Таблица13[#All],2,0)</f>
        <v>Economy</v>
      </c>
      <c r="AG1026">
        <f>VLOOKUP(Таблица1_113[[#This Row],[Марка]],Таблица13[#All],3,0)</f>
        <v>1953</v>
      </c>
      <c r="AH1026" t="str">
        <f>VLOOKUP(Таблица1_113[[#This Row],[Марка]],Таблица13[#All],5,0)</f>
        <v>Нет</v>
      </c>
      <c r="AI1026" s="12">
        <v>44348</v>
      </c>
      <c r="AJ1026">
        <v>0</v>
      </c>
    </row>
    <row r="1027" spans="30:36">
      <c r="AD1027" t="s">
        <v>130</v>
      </c>
      <c r="AE1027" t="str">
        <f>VLOOKUP(Таблица1_113[[#This Row],[Марка]],Таблица13[#All],4,0)</f>
        <v>Китай</v>
      </c>
      <c r="AF1027" t="str">
        <f>VLOOKUP(Таблица1_113[[#This Row],[Марка]],Таблица13[#All],2,0)</f>
        <v>Economy</v>
      </c>
      <c r="AG1027">
        <f>VLOOKUP(Таблица1_113[[#This Row],[Марка]],Таблица13[#All],3,0)</f>
        <v>1969</v>
      </c>
      <c r="AH1027" t="str">
        <f>VLOOKUP(Таблица1_113[[#This Row],[Марка]],Таблица13[#All],5,0)</f>
        <v>Нет</v>
      </c>
      <c r="AI1027" s="12">
        <v>44348</v>
      </c>
      <c r="AJ1027">
        <v>3</v>
      </c>
    </row>
    <row r="1028" spans="30:36">
      <c r="AD1028" t="s">
        <v>137</v>
      </c>
      <c r="AE1028" t="str">
        <f>VLOOKUP(Таблица1_113[[#This Row],[Марка]],Таблица13[#All],4,0)</f>
        <v>Корея</v>
      </c>
      <c r="AF1028" t="str">
        <f>VLOOKUP(Таблица1_113[[#This Row],[Марка]],Таблица13[#All],2,0)</f>
        <v>Economy</v>
      </c>
      <c r="AG1028">
        <f>VLOOKUP(Таблица1_113[[#This Row],[Марка]],Таблица13[#All],3,0)</f>
        <v>1967</v>
      </c>
      <c r="AH1028" t="str">
        <f>VLOOKUP(Таблица1_113[[#This Row],[Марка]],Таблица13[#All],5,0)</f>
        <v>Нет</v>
      </c>
      <c r="AI1028" s="12">
        <v>44348</v>
      </c>
      <c r="AJ1028">
        <v>0</v>
      </c>
    </row>
    <row r="1029" spans="30:36">
      <c r="AD1029" t="s">
        <v>1</v>
      </c>
      <c r="AE1029" t="str">
        <f>VLOOKUP(Таблица1_113[[#This Row],[Марка]],Таблица13[#All],4,0)</f>
        <v>США</v>
      </c>
      <c r="AF1029" t="str">
        <f>VLOOKUP(Таблица1_113[[#This Row],[Марка]],Таблица13[#All],2,0)</f>
        <v>Economy</v>
      </c>
      <c r="AG1029">
        <f>VLOOKUP(Таблица1_113[[#This Row],[Марка]],Таблица13[#All],3,0)</f>
        <v>1911</v>
      </c>
      <c r="AH1029" t="str">
        <f>VLOOKUP(Таблица1_113[[#This Row],[Марка]],Таблица13[#All],5,0)</f>
        <v>Крупноузловая</v>
      </c>
      <c r="AI1029" s="12">
        <v>44348</v>
      </c>
      <c r="AJ1029">
        <v>3076</v>
      </c>
    </row>
    <row r="1030" spans="30:36">
      <c r="AD1030" t="s">
        <v>3</v>
      </c>
      <c r="AE1030" t="str">
        <f>VLOOKUP(Таблица1_113[[#This Row],[Марка]],Таблица13[#All],4,0)</f>
        <v>Китай</v>
      </c>
      <c r="AF1030" t="str">
        <f>VLOOKUP(Таблица1_113[[#This Row],[Марка]],Таблица13[#All],2,0)</f>
        <v>Economy</v>
      </c>
      <c r="AG1030">
        <f>VLOOKUP(Таблица1_113[[#This Row],[Марка]],Таблица13[#All],3,0)</f>
        <v>1997</v>
      </c>
      <c r="AH1030" t="str">
        <f>VLOOKUP(Таблица1_113[[#This Row],[Марка]],Таблица13[#All],5,0)</f>
        <v>Крупноузловая</v>
      </c>
      <c r="AI1030" s="12">
        <v>44348</v>
      </c>
      <c r="AJ1030">
        <v>0</v>
      </c>
    </row>
    <row r="1031" spans="30:36">
      <c r="AD1031" t="s">
        <v>36</v>
      </c>
      <c r="AE1031" t="str">
        <f>VLOOKUP(Таблица1_113[[#This Row],[Марка]],Таблица13[#All],4,0)</f>
        <v>США</v>
      </c>
      <c r="AF1031" t="str">
        <f>VLOOKUP(Таблица1_113[[#This Row],[Марка]],Таблица13[#All],2,0)</f>
        <v>Luxury</v>
      </c>
      <c r="AG1031">
        <f>VLOOKUP(Таблица1_113[[#This Row],[Марка]],Таблица13[#All],3,0)</f>
        <v>1902</v>
      </c>
      <c r="AH1031" t="str">
        <f>VLOOKUP(Таблица1_113[[#This Row],[Марка]],Таблица13[#All],5,0)</f>
        <v>Нет</v>
      </c>
      <c r="AI1031" s="12">
        <v>44348</v>
      </c>
      <c r="AJ1031">
        <v>9</v>
      </c>
    </row>
    <row r="1032" spans="30:36">
      <c r="AD1032" t="s">
        <v>8</v>
      </c>
      <c r="AE1032" t="str">
        <f>VLOOKUP(Таблица1_113[[#This Row],[Марка]],Таблица13[#All],4,0)</f>
        <v>Германия</v>
      </c>
      <c r="AF1032" t="str">
        <f>VLOOKUP(Таблица1_113[[#This Row],[Марка]],Таблица13[#All],2,0)</f>
        <v>Luxury</v>
      </c>
      <c r="AG1032">
        <f>VLOOKUP(Таблица1_113[[#This Row],[Марка]],Таблица13[#All],3,0)</f>
        <v>1916</v>
      </c>
      <c r="AH1032" t="str">
        <f>VLOOKUP(Таблица1_113[[#This Row],[Марка]],Таблица13[#All],5,0)</f>
        <v>Нет</v>
      </c>
      <c r="AI1032" s="12">
        <v>44348</v>
      </c>
      <c r="AJ1032">
        <v>125</v>
      </c>
    </row>
    <row r="1033" spans="30:36">
      <c r="AD1033" t="s">
        <v>38</v>
      </c>
      <c r="AE1033" t="str">
        <f>VLOOKUP(Таблица1_113[[#This Row],[Марка]],Таблица13[#All],4,0)</f>
        <v>Германия</v>
      </c>
      <c r="AF1033" t="str">
        <f>VLOOKUP(Таблица1_113[[#This Row],[Марка]],Таблица13[#All],2,0)</f>
        <v>Luxury</v>
      </c>
      <c r="AG1033">
        <f>VLOOKUP(Таблица1_113[[#This Row],[Марка]],Таблица13[#All],3,0)</f>
        <v>1932</v>
      </c>
      <c r="AH1033" t="str">
        <f>VLOOKUP(Таблица1_113[[#This Row],[Марка]],Таблица13[#All],5,0)</f>
        <v>Нет</v>
      </c>
      <c r="AI1033" s="12">
        <v>44348</v>
      </c>
      <c r="AJ1033">
        <v>11</v>
      </c>
    </row>
    <row r="1034" spans="30:36">
      <c r="AD1034" t="s">
        <v>136</v>
      </c>
      <c r="AE1034" t="str">
        <f>VLOOKUP(Таблица1_113[[#This Row],[Марка]],Таблица13[#All],4,0)</f>
        <v>Россия</v>
      </c>
      <c r="AF1034" t="str">
        <f>VLOOKUP(Таблица1_113[[#This Row],[Марка]],Таблица13[#All],2,0)</f>
        <v>Economy</v>
      </c>
      <c r="AG1034">
        <f>VLOOKUP(Таблица1_113[[#This Row],[Марка]],Таблица13[#All],3,0)</f>
        <v>1941</v>
      </c>
      <c r="AH1034" t="str">
        <f>VLOOKUP(Таблица1_113[[#This Row],[Марка]],Таблица13[#All],5,0)</f>
        <v>Нет</v>
      </c>
      <c r="AI1034" s="12">
        <v>44378</v>
      </c>
      <c r="AJ1034">
        <v>114</v>
      </c>
    </row>
    <row r="1035" spans="30:36">
      <c r="AD1035" t="s">
        <v>135</v>
      </c>
      <c r="AE1035" t="str">
        <f>VLOOKUP(Таблица1_113[[#This Row],[Марка]],Таблица13[#All],4,0)</f>
        <v>-</v>
      </c>
      <c r="AF1035" t="str">
        <f>VLOOKUP(Таблица1_113[[#This Row],[Марка]],Таблица13[#All],2,0)</f>
        <v>-</v>
      </c>
      <c r="AG1035" t="str">
        <f>VLOOKUP(Таблица1_113[[#This Row],[Марка]],Таблица13[#All],3,0)</f>
        <v>-</v>
      </c>
      <c r="AH1035" t="str">
        <f>VLOOKUP(Таблица1_113[[#This Row],[Марка]],Таблица13[#All],5,0)</f>
        <v>-</v>
      </c>
      <c r="AI1035" s="12">
        <v>44378</v>
      </c>
      <c r="AJ1035">
        <v>29</v>
      </c>
    </row>
    <row r="1036" spans="30:36">
      <c r="AD1036" t="s">
        <v>39</v>
      </c>
      <c r="AE1036" t="str">
        <f>VLOOKUP(Таблица1_113[[#This Row],[Марка]],Таблица13[#All],4,0)</f>
        <v>Швеция</v>
      </c>
      <c r="AF1036" t="str">
        <f>VLOOKUP(Таблица1_113[[#This Row],[Марка]],Таблица13[#All],2,0)</f>
        <v>Business</v>
      </c>
      <c r="AG1036">
        <f>VLOOKUP(Таблица1_113[[#This Row],[Марка]],Таблица13[#All],3,0)</f>
        <v>1927</v>
      </c>
      <c r="AH1036" t="str">
        <f>VLOOKUP(Таблица1_113[[#This Row],[Марка]],Таблица13[#All],5,0)</f>
        <v>Нет</v>
      </c>
      <c r="AI1036" s="12">
        <v>44378</v>
      </c>
      <c r="AJ1036">
        <v>13</v>
      </c>
    </row>
    <row r="1037" spans="30:36">
      <c r="AD1037" t="s">
        <v>21</v>
      </c>
      <c r="AE1037" t="str">
        <f>VLOOKUP(Таблица1_113[[#This Row],[Марка]],Таблица13[#All],4,0)</f>
        <v>Германия</v>
      </c>
      <c r="AF1037" t="str">
        <f>VLOOKUP(Таблица1_113[[#This Row],[Марка]],Таблица13[#All],2,0)</f>
        <v>Business</v>
      </c>
      <c r="AG1037">
        <f>VLOOKUP(Таблица1_113[[#This Row],[Марка]],Таблица13[#All],3,0)</f>
        <v>1937</v>
      </c>
      <c r="AH1037" t="str">
        <f>VLOOKUP(Таблица1_113[[#This Row],[Марка]],Таблица13[#All],5,0)</f>
        <v>Нет</v>
      </c>
      <c r="AI1037" s="12">
        <v>44378</v>
      </c>
      <c r="AJ1037">
        <v>463</v>
      </c>
    </row>
    <row r="1038" spans="30:36">
      <c r="AD1038" t="s">
        <v>2</v>
      </c>
      <c r="AE1038" t="str">
        <f>VLOOKUP(Таблица1_113[[#This Row],[Марка]],Таблица13[#All],4,0)</f>
        <v>Япония</v>
      </c>
      <c r="AF1038" t="str">
        <f>VLOOKUP(Таблица1_113[[#This Row],[Марка]],Таблица13[#All],2,0)</f>
        <v>Business</v>
      </c>
      <c r="AG1038">
        <f>VLOOKUP(Таблица1_113[[#This Row],[Марка]],Таблица13[#All],3,0)</f>
        <v>1937</v>
      </c>
      <c r="AH1038" t="str">
        <f>VLOOKUP(Таблица1_113[[#This Row],[Марка]],Таблица13[#All],5,0)</f>
        <v>Нет</v>
      </c>
      <c r="AI1038" s="12">
        <v>44378</v>
      </c>
      <c r="AJ1038">
        <v>1198</v>
      </c>
    </row>
    <row r="1039" spans="30:36">
      <c r="AD1039" t="s">
        <v>125</v>
      </c>
      <c r="AE1039" t="str">
        <f>VLOOKUP(Таблица1_113[[#This Row],[Марка]],Таблица13[#All],4,0)</f>
        <v>Япония</v>
      </c>
      <c r="AF1039" t="str">
        <f>VLOOKUP(Таблица1_113[[#This Row],[Марка]],Таблица13[#All],2,0)</f>
        <v>Business</v>
      </c>
      <c r="AG1039">
        <f>VLOOKUP(Таблица1_113[[#This Row],[Марка]],Таблица13[#All],3,0)</f>
        <v>1953</v>
      </c>
      <c r="AH1039" t="str">
        <f>VLOOKUP(Таблица1_113[[#This Row],[Марка]],Таблица13[#All],5,0)</f>
        <v>Нет</v>
      </c>
      <c r="AI1039" s="12">
        <v>44378</v>
      </c>
      <c r="AJ1039">
        <v>81</v>
      </c>
    </row>
    <row r="1040" spans="30:36">
      <c r="AD1040" t="s">
        <v>141</v>
      </c>
      <c r="AE1040" t="str">
        <f>VLOOKUP(Таблица1_113[[#This Row],[Марка]],Таблица13[#All],4,0)</f>
        <v>Чехия</v>
      </c>
      <c r="AF1040" t="str">
        <f>VLOOKUP(Таблица1_113[[#This Row],[Марка]],Таблица13[#All],2,0)</f>
        <v>Business</v>
      </c>
      <c r="AG1040">
        <f>VLOOKUP(Таблица1_113[[#This Row],[Марка]],Таблица13[#All],3,0)</f>
        <v>1895</v>
      </c>
      <c r="AH1040" t="str">
        <f>VLOOKUP(Таблица1_113[[#This Row],[Марка]],Таблица13[#All],5,0)</f>
        <v>Крупноузловая</v>
      </c>
      <c r="AI1040" s="12">
        <v>44378</v>
      </c>
      <c r="AJ1040">
        <v>0</v>
      </c>
    </row>
    <row r="1041" spans="30:36">
      <c r="AD1041" t="s">
        <v>23</v>
      </c>
      <c r="AE1041" t="str">
        <f>VLOOKUP(Таблица1_113[[#This Row],[Марка]],Таблица13[#All],4,0)</f>
        <v>Франция</v>
      </c>
      <c r="AF1041" t="str">
        <f>VLOOKUP(Таблица1_113[[#This Row],[Марка]],Таблица13[#All],2,0)</f>
        <v>Economy</v>
      </c>
      <c r="AG1041">
        <f>VLOOKUP(Таблица1_113[[#This Row],[Марка]],Таблица13[#All],3,0)</f>
        <v>1899</v>
      </c>
      <c r="AH1041" t="str">
        <f>VLOOKUP(Таблица1_113[[#This Row],[Марка]],Таблица13[#All],5,0)</f>
        <v>Крупноузловая</v>
      </c>
      <c r="AI1041" s="12">
        <v>44378</v>
      </c>
      <c r="AJ1041">
        <v>294</v>
      </c>
    </row>
    <row r="1042" spans="30:36">
      <c r="AD1042" t="s">
        <v>142</v>
      </c>
      <c r="AE1042" t="str">
        <f>VLOOKUP(Таблица1_113[[#This Row],[Марка]],Таблица13[#All],4,0)</f>
        <v>Узбекистан</v>
      </c>
      <c r="AF1042" t="str">
        <f>VLOOKUP(Таблица1_113[[#This Row],[Марка]],Таблица13[#All],2,0)</f>
        <v>Economy</v>
      </c>
      <c r="AG1042">
        <f>VLOOKUP(Таблица1_113[[#This Row],[Марка]],Таблица13[#All],3,0)</f>
        <v>2015</v>
      </c>
      <c r="AH1042" t="str">
        <f>VLOOKUP(Таблица1_113[[#This Row],[Марка]],Таблица13[#All],5,0)</f>
        <v>Крупноузловая</v>
      </c>
      <c r="AI1042" s="12">
        <v>44378</v>
      </c>
      <c r="AJ1042">
        <v>0</v>
      </c>
    </row>
    <row r="1043" spans="30:36">
      <c r="AD1043" t="s">
        <v>37</v>
      </c>
      <c r="AE1043" t="str">
        <f>VLOOKUP(Таблица1_113[[#This Row],[Марка]],Таблица13[#All],4,0)</f>
        <v>Германия</v>
      </c>
      <c r="AF1043" t="str">
        <f>VLOOKUP(Таблица1_113[[#This Row],[Марка]],Таблица13[#All],2,0)</f>
        <v>Luxury</v>
      </c>
      <c r="AG1043">
        <f>VLOOKUP(Таблица1_113[[#This Row],[Марка]],Таблица13[#All],3,0)</f>
        <v>1931</v>
      </c>
      <c r="AH1043" t="str">
        <f>VLOOKUP(Таблица1_113[[#This Row],[Марка]],Таблица13[#All],5,0)</f>
        <v>Нет</v>
      </c>
      <c r="AI1043" s="12">
        <v>44378</v>
      </c>
      <c r="AJ1043">
        <v>18</v>
      </c>
    </row>
    <row r="1044" spans="30:36">
      <c r="AD1044" t="s">
        <v>22</v>
      </c>
      <c r="AE1044" t="str">
        <f>VLOOKUP(Таблица1_113[[#This Row],[Марка]],Таблица13[#All],4,0)</f>
        <v>Япония</v>
      </c>
      <c r="AF1044" t="str">
        <f>VLOOKUP(Таблица1_113[[#This Row],[Марка]],Таблица13[#All],2,0)</f>
        <v>Business</v>
      </c>
      <c r="AG1044">
        <f>VLOOKUP(Таблица1_113[[#This Row],[Марка]],Таблица13[#All],3,0)</f>
        <v>1933</v>
      </c>
      <c r="AH1044" t="str">
        <f>VLOOKUP(Таблица1_113[[#This Row],[Марка]],Таблица13[#All],5,0)</f>
        <v>Нет</v>
      </c>
      <c r="AI1044" s="12">
        <v>44378</v>
      </c>
      <c r="AJ1044">
        <v>277</v>
      </c>
    </row>
    <row r="1045" spans="30:36">
      <c r="AD1045" t="s">
        <v>9</v>
      </c>
      <c r="AE1045" t="str">
        <f>VLOOKUP(Таблица1_113[[#This Row],[Марка]],Таблица13[#All],4,0)</f>
        <v>Япония</v>
      </c>
      <c r="AF1045" t="str">
        <f>VLOOKUP(Таблица1_113[[#This Row],[Марка]],Таблица13[#All],2,0)</f>
        <v>Business</v>
      </c>
      <c r="AG1045">
        <f>VLOOKUP(Таблица1_113[[#This Row],[Марка]],Таблица13[#All],3,0)</f>
        <v>1870</v>
      </c>
      <c r="AH1045" t="str">
        <f>VLOOKUP(Таблица1_113[[#This Row],[Марка]],Таблица13[#All],5,0)</f>
        <v>Нет</v>
      </c>
      <c r="AI1045" s="12">
        <v>44378</v>
      </c>
      <c r="AJ1045">
        <v>86</v>
      </c>
    </row>
    <row r="1046" spans="30:36">
      <c r="AD1046" t="s">
        <v>40</v>
      </c>
      <c r="AE1046" t="str">
        <f>VLOOKUP(Таблица1_113[[#This Row],[Марка]],Таблица13[#All],4,0)</f>
        <v>Великобритания</v>
      </c>
      <c r="AF1046" t="str">
        <f>VLOOKUP(Таблица1_113[[#This Row],[Марка]],Таблица13[#All],2,0)</f>
        <v>Luxury</v>
      </c>
      <c r="AG1046">
        <f>VLOOKUP(Таблица1_113[[#This Row],[Марка]],Таблица13[#All],3,0)</f>
        <v>1959</v>
      </c>
      <c r="AH1046" t="str">
        <f>VLOOKUP(Таблица1_113[[#This Row],[Марка]],Таблица13[#All],5,0)</f>
        <v>Нет</v>
      </c>
      <c r="AI1046" s="12">
        <v>44378</v>
      </c>
      <c r="AJ1046">
        <v>13</v>
      </c>
    </row>
    <row r="1047" spans="30:36">
      <c r="AD1047" t="s">
        <v>128</v>
      </c>
      <c r="AE1047" t="str">
        <f>VLOOKUP(Таблица1_113[[#This Row],[Марка]],Таблица13[#All],4,0)</f>
        <v>Германия</v>
      </c>
      <c r="AF1047" t="str">
        <f>VLOOKUP(Таблица1_113[[#This Row],[Марка]],Таблица13[#All],2,0)</f>
        <v>Luxury</v>
      </c>
      <c r="AG1047">
        <f>VLOOKUP(Таблица1_113[[#This Row],[Марка]],Таблица13[#All],3,0)</f>
        <v>1926</v>
      </c>
      <c r="AH1047" t="str">
        <f>VLOOKUP(Таблица1_113[[#This Row],[Марка]],Таблица13[#All],5,0)</f>
        <v>Нет</v>
      </c>
      <c r="AI1047" s="12">
        <v>44378</v>
      </c>
      <c r="AJ1047">
        <v>37</v>
      </c>
    </row>
    <row r="1048" spans="30:36">
      <c r="AD1048" t="s">
        <v>139</v>
      </c>
      <c r="AE1048" t="str">
        <f>VLOOKUP(Таблица1_113[[#This Row],[Марка]],Таблица13[#All],4,0)</f>
        <v>Япония</v>
      </c>
      <c r="AF1048" t="str">
        <f>VLOOKUP(Таблица1_113[[#This Row],[Марка]],Таблица13[#All],2,0)</f>
        <v>Business</v>
      </c>
      <c r="AG1048">
        <f>VLOOKUP(Таблица1_113[[#This Row],[Марка]],Таблица13[#All],3,0)</f>
        <v>1920</v>
      </c>
      <c r="AH1048" t="str">
        <f>VLOOKUP(Таблица1_113[[#This Row],[Марка]],Таблица13[#All],5,0)</f>
        <v>Нет</v>
      </c>
      <c r="AI1048" s="12">
        <v>44378</v>
      </c>
      <c r="AJ1048">
        <v>46</v>
      </c>
    </row>
    <row r="1049" spans="30:36">
      <c r="AD1049" t="s">
        <v>5</v>
      </c>
      <c r="AE1049" t="str">
        <f>VLOOKUP(Таблица1_113[[#This Row],[Марка]],Таблица13[#All],4,0)</f>
        <v>Япония</v>
      </c>
      <c r="AF1049" t="str">
        <f>VLOOKUP(Таблица1_113[[#This Row],[Марка]],Таблица13[#All],2,0)</f>
        <v>Luxury</v>
      </c>
      <c r="AG1049">
        <f>VLOOKUP(Таблица1_113[[#This Row],[Марка]],Таблица13[#All],3,0)</f>
        <v>1989</v>
      </c>
      <c r="AH1049" t="str">
        <f>VLOOKUP(Таблица1_113[[#This Row],[Марка]],Таблица13[#All],5,0)</f>
        <v>Нет</v>
      </c>
      <c r="AI1049" s="12">
        <v>44378</v>
      </c>
      <c r="AJ1049">
        <v>65</v>
      </c>
    </row>
    <row r="1050" spans="30:36">
      <c r="AD1050" t="s">
        <v>35</v>
      </c>
      <c r="AE1050" t="str">
        <f>VLOOKUP(Таблица1_113[[#This Row],[Марка]],Таблица13[#All],4,0)</f>
        <v>Великобритания</v>
      </c>
      <c r="AF1050" t="str">
        <f>VLOOKUP(Таблица1_113[[#This Row],[Марка]],Таблица13[#All],2,0)</f>
        <v>Luxury</v>
      </c>
      <c r="AG1050">
        <f>VLOOKUP(Таблица1_113[[#This Row],[Марка]],Таблица13[#All],3,0)</f>
        <v>1948</v>
      </c>
      <c r="AH1050" t="str">
        <f>VLOOKUP(Таблица1_113[[#This Row],[Марка]],Таблица13[#All],5,0)</f>
        <v>Нет</v>
      </c>
      <c r="AI1050" s="12">
        <v>44378</v>
      </c>
      <c r="AJ1050">
        <v>31</v>
      </c>
    </row>
    <row r="1051" spans="30:36">
      <c r="AD1051" t="s">
        <v>19</v>
      </c>
      <c r="AE1051" t="str">
        <f>VLOOKUP(Таблица1_113[[#This Row],[Марка]],Таблица13[#All],4,0)</f>
        <v>Россия</v>
      </c>
      <c r="AF1051" t="str">
        <f>VLOOKUP(Таблица1_113[[#This Row],[Марка]],Таблица13[#All],2,0)</f>
        <v>Economy</v>
      </c>
      <c r="AG1051">
        <f>VLOOKUP(Таблица1_113[[#This Row],[Марка]],Таблица13[#All],3,0)</f>
        <v>1970</v>
      </c>
      <c r="AH1051" t="str">
        <f>VLOOKUP(Таблица1_113[[#This Row],[Марка]],Таблица13[#All],5,0)</f>
        <v>Крупноузловая</v>
      </c>
      <c r="AI1051" s="12">
        <v>44378</v>
      </c>
      <c r="AJ1051">
        <v>527</v>
      </c>
    </row>
    <row r="1052" spans="30:36">
      <c r="AD1052" t="s">
        <v>15</v>
      </c>
      <c r="AE1052" t="str">
        <f>VLOOKUP(Таблица1_113[[#This Row],[Марка]],Таблица13[#All],4,0)</f>
        <v>Корея</v>
      </c>
      <c r="AF1052" t="str">
        <f>VLOOKUP(Таблица1_113[[#This Row],[Марка]],Таблица13[#All],2,0)</f>
        <v>Economy</v>
      </c>
      <c r="AG1052">
        <f>VLOOKUP(Таблица1_113[[#This Row],[Марка]],Таблица13[#All],3,0)</f>
        <v>1944</v>
      </c>
      <c r="AH1052" t="str">
        <f>VLOOKUP(Таблица1_113[[#This Row],[Марка]],Таблица13[#All],5,0)</f>
        <v>Крупноузловая</v>
      </c>
      <c r="AI1052" s="12">
        <v>44378</v>
      </c>
      <c r="AJ1052">
        <v>1219</v>
      </c>
    </row>
    <row r="1053" spans="30:36">
      <c r="AD1053" t="s">
        <v>134</v>
      </c>
      <c r="AE1053" t="str">
        <f>VLOOKUP(Таблица1_113[[#This Row],[Марка]],Таблица13[#All],4,0)</f>
        <v>Великобритания</v>
      </c>
      <c r="AF1053" t="str">
        <f>VLOOKUP(Таблица1_113[[#This Row],[Марка]],Таблица13[#All],2,0)</f>
        <v>Luxury</v>
      </c>
      <c r="AG1053">
        <f>VLOOKUP(Таблица1_113[[#This Row],[Марка]],Таблица13[#All],3,0)</f>
        <v>1922</v>
      </c>
      <c r="AH1053" t="str">
        <f>VLOOKUP(Таблица1_113[[#This Row],[Марка]],Таблица13[#All],5,0)</f>
        <v>Нет</v>
      </c>
      <c r="AI1053" s="12">
        <v>44378</v>
      </c>
      <c r="AJ1053">
        <v>6</v>
      </c>
    </row>
    <row r="1054" spans="30:36">
      <c r="AD1054" t="s">
        <v>4</v>
      </c>
      <c r="AE1054" t="str">
        <f>VLOOKUP(Таблица1_113[[#This Row],[Марка]],Таблица13[#All],4,0)</f>
        <v>Китай</v>
      </c>
      <c r="AF1054" t="str">
        <f>VLOOKUP(Таблица1_113[[#This Row],[Марка]],Таблица13[#All],2,0)</f>
        <v>Economy</v>
      </c>
      <c r="AG1054">
        <f>VLOOKUP(Таблица1_113[[#This Row],[Марка]],Таблица13[#All],3,0)</f>
        <v>1964</v>
      </c>
      <c r="AH1054" t="str">
        <f>VLOOKUP(Таблица1_113[[#This Row],[Марка]],Таблица13[#All],5,0)</f>
        <v>Крупноузловая</v>
      </c>
      <c r="AI1054" s="12">
        <v>44378</v>
      </c>
      <c r="AJ1054">
        <v>252</v>
      </c>
    </row>
    <row r="1055" spans="30:36">
      <c r="AD1055" t="s">
        <v>140</v>
      </c>
      <c r="AE1055" t="str">
        <f>VLOOKUP(Таблица1_113[[#This Row],[Марка]],Таблица13[#All],4,0)</f>
        <v>Япония</v>
      </c>
      <c r="AF1055" t="str">
        <f>VLOOKUP(Таблица1_113[[#This Row],[Марка]],Таблица13[#All],2,0)</f>
        <v>Business</v>
      </c>
      <c r="AG1055">
        <f>VLOOKUP(Таблица1_113[[#This Row],[Марка]],Таблица13[#All],3,0)</f>
        <v>1916</v>
      </c>
      <c r="AH1055" t="str">
        <f>VLOOKUP(Таблица1_113[[#This Row],[Марка]],Таблица13[#All],5,0)</f>
        <v>Нет</v>
      </c>
      <c r="AI1055" s="12">
        <v>44378</v>
      </c>
      <c r="AJ1055">
        <v>20</v>
      </c>
    </row>
    <row r="1056" spans="30:36">
      <c r="AD1056" t="s">
        <v>34</v>
      </c>
      <c r="AE1056" t="str">
        <f>VLOOKUP(Таблица1_113[[#This Row],[Марка]],Таблица13[#All],4,0)</f>
        <v>Япония</v>
      </c>
      <c r="AF1056" t="str">
        <f>VLOOKUP(Таблица1_113[[#This Row],[Марка]],Таблица13[#All],2,0)</f>
        <v>Luxury</v>
      </c>
      <c r="AG1056">
        <f>VLOOKUP(Таблица1_113[[#This Row],[Марка]],Таблица13[#All],3,0)</f>
        <v>1989</v>
      </c>
      <c r="AH1056" t="str">
        <f>VLOOKUP(Таблица1_113[[#This Row],[Марка]],Таблица13[#All],5,0)</f>
        <v>Нет</v>
      </c>
      <c r="AI1056" s="12">
        <v>44378</v>
      </c>
      <c r="AJ1056">
        <v>34</v>
      </c>
    </row>
    <row r="1057" spans="30:36">
      <c r="AD1057" t="s">
        <v>0</v>
      </c>
      <c r="AE1057" t="str">
        <f>VLOOKUP(Таблица1_113[[#This Row],[Марка]],Таблица13[#All],4,0)</f>
        <v>Корея</v>
      </c>
      <c r="AF1057" t="str">
        <f>VLOOKUP(Таблица1_113[[#This Row],[Марка]],Таблица13[#All],2,0)</f>
        <v>Economy</v>
      </c>
      <c r="AG1057">
        <f>VLOOKUP(Таблица1_113[[#This Row],[Марка]],Таблица13[#All],3,0)</f>
        <v>1967</v>
      </c>
      <c r="AH1057" t="str">
        <f>VLOOKUP(Таблица1_113[[#This Row],[Марка]],Таблица13[#All],5,0)</f>
        <v>Крупноузловая</v>
      </c>
      <c r="AI1057" s="12">
        <v>44378</v>
      </c>
      <c r="AJ1057">
        <v>2067</v>
      </c>
    </row>
    <row r="1058" spans="30:36">
      <c r="AD1058" t="s">
        <v>6</v>
      </c>
      <c r="AE1058" t="str">
        <f>VLOOKUP(Таблица1_113[[#This Row],[Марка]],Таблица13[#All],4,0)</f>
        <v>Китай</v>
      </c>
      <c r="AF1058" t="str">
        <f>VLOOKUP(Таблица1_113[[#This Row],[Марка]],Таблица13[#All],2,0)</f>
        <v>Economy</v>
      </c>
      <c r="AG1058">
        <f>VLOOKUP(Таблица1_113[[#This Row],[Марка]],Таблица13[#All],3,0)</f>
        <v>2013</v>
      </c>
      <c r="AH1058" t="str">
        <f>VLOOKUP(Таблица1_113[[#This Row],[Марка]],Таблица13[#All],5,0)</f>
        <v>Крупноузловая</v>
      </c>
      <c r="AI1058" s="12">
        <v>44378</v>
      </c>
      <c r="AJ1058">
        <v>152</v>
      </c>
    </row>
    <row r="1059" spans="30:36">
      <c r="AD1059" t="s">
        <v>138</v>
      </c>
      <c r="AE1059" t="str">
        <f>VLOOKUP(Таблица1_113[[#This Row],[Марка]],Таблица13[#All],4,0)</f>
        <v>Корея</v>
      </c>
      <c r="AF1059" t="str">
        <f>VLOOKUP(Таблица1_113[[#This Row],[Марка]],Таблица13[#All],2,0)</f>
        <v>Luxury</v>
      </c>
      <c r="AG1059">
        <f>VLOOKUP(Таблица1_113[[#This Row],[Марка]],Таблица13[#All],3,0)</f>
        <v>2015</v>
      </c>
      <c r="AH1059" t="str">
        <f>VLOOKUP(Таблица1_113[[#This Row],[Марка]],Таблица13[#All],5,0)</f>
        <v>Нет</v>
      </c>
      <c r="AI1059" s="12">
        <v>44378</v>
      </c>
      <c r="AJ1059">
        <v>0</v>
      </c>
    </row>
    <row r="1060" spans="30:36">
      <c r="AD1060" t="s">
        <v>129</v>
      </c>
      <c r="AE1060" t="str">
        <f>VLOOKUP(Таблица1_113[[#This Row],[Марка]],Таблица13[#All],4,0)</f>
        <v>Китай</v>
      </c>
      <c r="AF1060" t="str">
        <f>VLOOKUP(Таблица1_113[[#This Row],[Марка]],Таблица13[#All],2,0)</f>
        <v>Economy</v>
      </c>
      <c r="AG1060">
        <f>VLOOKUP(Таблица1_113[[#This Row],[Марка]],Таблица13[#All],3,0)</f>
        <v>1953</v>
      </c>
      <c r="AH1060" t="str">
        <f>VLOOKUP(Таблица1_113[[#This Row],[Марка]],Таблица13[#All],5,0)</f>
        <v>Нет</v>
      </c>
      <c r="AI1060" s="12">
        <v>44378</v>
      </c>
      <c r="AJ1060">
        <v>0</v>
      </c>
    </row>
    <row r="1061" spans="30:36">
      <c r="AD1061" t="s">
        <v>130</v>
      </c>
      <c r="AE1061" t="str">
        <f>VLOOKUP(Таблица1_113[[#This Row],[Марка]],Таблица13[#All],4,0)</f>
        <v>Китай</v>
      </c>
      <c r="AF1061" t="str">
        <f>VLOOKUP(Таблица1_113[[#This Row],[Марка]],Таблица13[#All],2,0)</f>
        <v>Economy</v>
      </c>
      <c r="AG1061">
        <f>VLOOKUP(Таблица1_113[[#This Row],[Марка]],Таблица13[#All],3,0)</f>
        <v>1969</v>
      </c>
      <c r="AH1061" t="str">
        <f>VLOOKUP(Таблица1_113[[#This Row],[Марка]],Таблица13[#All],5,0)</f>
        <v>Нет</v>
      </c>
      <c r="AI1061" s="12">
        <v>44378</v>
      </c>
      <c r="AJ1061">
        <v>11</v>
      </c>
    </row>
    <row r="1062" spans="30:36">
      <c r="AD1062" t="s">
        <v>137</v>
      </c>
      <c r="AE1062" t="str">
        <f>VLOOKUP(Таблица1_113[[#This Row],[Марка]],Таблица13[#All],4,0)</f>
        <v>Корея</v>
      </c>
      <c r="AF1062" t="str">
        <f>VLOOKUP(Таблица1_113[[#This Row],[Марка]],Таблица13[#All],2,0)</f>
        <v>Economy</v>
      </c>
      <c r="AG1062">
        <f>VLOOKUP(Таблица1_113[[#This Row],[Марка]],Таблица13[#All],3,0)</f>
        <v>1967</v>
      </c>
      <c r="AH1062" t="str">
        <f>VLOOKUP(Таблица1_113[[#This Row],[Марка]],Таблица13[#All],5,0)</f>
        <v>Нет</v>
      </c>
      <c r="AI1062" s="12">
        <v>44378</v>
      </c>
      <c r="AJ1062">
        <v>0</v>
      </c>
    </row>
    <row r="1063" spans="30:36">
      <c r="AD1063" t="s">
        <v>1</v>
      </c>
      <c r="AE1063" t="str">
        <f>VLOOKUP(Таблица1_113[[#This Row],[Марка]],Таблица13[#All],4,0)</f>
        <v>США</v>
      </c>
      <c r="AF1063" t="str">
        <f>VLOOKUP(Таблица1_113[[#This Row],[Марка]],Таблица13[#All],2,0)</f>
        <v>Economy</v>
      </c>
      <c r="AG1063">
        <f>VLOOKUP(Таблица1_113[[#This Row],[Марка]],Таблица13[#All],3,0)</f>
        <v>1911</v>
      </c>
      <c r="AH1063" t="str">
        <f>VLOOKUP(Таблица1_113[[#This Row],[Марка]],Таблица13[#All],5,0)</f>
        <v>Крупноузловая</v>
      </c>
      <c r="AI1063" s="12">
        <v>44378</v>
      </c>
      <c r="AJ1063">
        <v>3097</v>
      </c>
    </row>
    <row r="1064" spans="30:36">
      <c r="AD1064" t="s">
        <v>3</v>
      </c>
      <c r="AE1064" t="str">
        <f>VLOOKUP(Таблица1_113[[#This Row],[Марка]],Таблица13[#All],4,0)</f>
        <v>Китай</v>
      </c>
      <c r="AF1064" t="str">
        <f>VLOOKUP(Таблица1_113[[#This Row],[Марка]],Таблица13[#All],2,0)</f>
        <v>Economy</v>
      </c>
      <c r="AG1064">
        <f>VLOOKUP(Таблица1_113[[#This Row],[Марка]],Таблица13[#All],3,0)</f>
        <v>1997</v>
      </c>
      <c r="AH1064" t="str">
        <f>VLOOKUP(Таблица1_113[[#This Row],[Марка]],Таблица13[#All],5,0)</f>
        <v>Крупноузловая</v>
      </c>
      <c r="AI1064" s="12">
        <v>44378</v>
      </c>
      <c r="AJ1064">
        <v>0</v>
      </c>
    </row>
    <row r="1065" spans="30:36">
      <c r="AD1065" t="s">
        <v>36</v>
      </c>
      <c r="AE1065" t="str">
        <f>VLOOKUP(Таблица1_113[[#This Row],[Марка]],Таблица13[#All],4,0)</f>
        <v>США</v>
      </c>
      <c r="AF1065" t="str">
        <f>VLOOKUP(Таблица1_113[[#This Row],[Марка]],Таблица13[#All],2,0)</f>
        <v>Luxury</v>
      </c>
      <c r="AG1065">
        <f>VLOOKUP(Таблица1_113[[#This Row],[Марка]],Таблица13[#All],3,0)</f>
        <v>1902</v>
      </c>
      <c r="AH1065" t="str">
        <f>VLOOKUP(Таблица1_113[[#This Row],[Марка]],Таблица13[#All],5,0)</f>
        <v>Нет</v>
      </c>
      <c r="AI1065" s="12">
        <v>44378</v>
      </c>
      <c r="AJ1065">
        <v>12</v>
      </c>
    </row>
    <row r="1066" spans="30:36">
      <c r="AD1066" t="s">
        <v>8</v>
      </c>
      <c r="AE1066" t="str">
        <f>VLOOKUP(Таблица1_113[[#This Row],[Марка]],Таблица13[#All],4,0)</f>
        <v>Германия</v>
      </c>
      <c r="AF1066" t="str">
        <f>VLOOKUP(Таблица1_113[[#This Row],[Марка]],Таблица13[#All],2,0)</f>
        <v>Luxury</v>
      </c>
      <c r="AG1066">
        <f>VLOOKUP(Таблица1_113[[#This Row],[Марка]],Таблица13[#All],3,0)</f>
        <v>1916</v>
      </c>
      <c r="AH1066" t="str">
        <f>VLOOKUP(Таблица1_113[[#This Row],[Марка]],Таблица13[#All],5,0)</f>
        <v>Нет</v>
      </c>
      <c r="AI1066" s="12">
        <v>44378</v>
      </c>
      <c r="AJ1066">
        <v>119</v>
      </c>
    </row>
    <row r="1067" spans="30:36">
      <c r="AD1067" t="s">
        <v>38</v>
      </c>
      <c r="AE1067" t="str">
        <f>VLOOKUP(Таблица1_113[[#This Row],[Марка]],Таблица13[#All],4,0)</f>
        <v>Германия</v>
      </c>
      <c r="AF1067" t="str">
        <f>VLOOKUP(Таблица1_113[[#This Row],[Марка]],Таблица13[#All],2,0)</f>
        <v>Luxury</v>
      </c>
      <c r="AG1067">
        <f>VLOOKUP(Таблица1_113[[#This Row],[Марка]],Таблица13[#All],3,0)</f>
        <v>1932</v>
      </c>
      <c r="AH1067" t="str">
        <f>VLOOKUP(Таблица1_113[[#This Row],[Марка]],Таблица13[#All],5,0)</f>
        <v>Нет</v>
      </c>
      <c r="AI1067" s="12">
        <v>44378</v>
      </c>
      <c r="AJ1067">
        <v>26</v>
      </c>
    </row>
    <row r="1068" spans="30:36">
      <c r="AD1068" t="s">
        <v>136</v>
      </c>
      <c r="AE1068" t="str">
        <f>VLOOKUP(Таблица1_113[[#This Row],[Марка]],Таблица13[#All],4,0)</f>
        <v>Россия</v>
      </c>
      <c r="AF1068" t="str">
        <f>VLOOKUP(Таблица1_113[[#This Row],[Марка]],Таблица13[#All],2,0)</f>
        <v>Economy</v>
      </c>
      <c r="AG1068">
        <f>VLOOKUP(Таблица1_113[[#This Row],[Марка]],Таблица13[#All],3,0)</f>
        <v>1941</v>
      </c>
      <c r="AH1068" t="str">
        <f>VLOOKUP(Таблица1_113[[#This Row],[Марка]],Таблица13[#All],5,0)</f>
        <v>Нет</v>
      </c>
      <c r="AI1068" s="12">
        <v>44409</v>
      </c>
      <c r="AJ1068">
        <v>111</v>
      </c>
    </row>
    <row r="1069" spans="30:36">
      <c r="AD1069" t="s">
        <v>135</v>
      </c>
      <c r="AE1069" t="str">
        <f>VLOOKUP(Таблица1_113[[#This Row],[Марка]],Таблица13[#All],4,0)</f>
        <v>-</v>
      </c>
      <c r="AF1069" t="str">
        <f>VLOOKUP(Таблица1_113[[#This Row],[Марка]],Таблица13[#All],2,0)</f>
        <v>-</v>
      </c>
      <c r="AG1069" t="str">
        <f>VLOOKUP(Таблица1_113[[#This Row],[Марка]],Таблица13[#All],3,0)</f>
        <v>-</v>
      </c>
      <c r="AH1069" t="str">
        <f>VLOOKUP(Таблица1_113[[#This Row],[Марка]],Таблица13[#All],5,0)</f>
        <v>-</v>
      </c>
      <c r="AI1069" s="12">
        <v>44409</v>
      </c>
      <c r="AJ1069">
        <v>15</v>
      </c>
    </row>
    <row r="1070" spans="30:36">
      <c r="AD1070" t="s">
        <v>39</v>
      </c>
      <c r="AE1070" t="str">
        <f>VLOOKUP(Таблица1_113[[#This Row],[Марка]],Таблица13[#All],4,0)</f>
        <v>Швеция</v>
      </c>
      <c r="AF1070" t="str">
        <f>VLOOKUP(Таблица1_113[[#This Row],[Марка]],Таблица13[#All],2,0)</f>
        <v>Business</v>
      </c>
      <c r="AG1070">
        <f>VLOOKUP(Таблица1_113[[#This Row],[Марка]],Таблица13[#All],3,0)</f>
        <v>1927</v>
      </c>
      <c r="AH1070" t="str">
        <f>VLOOKUP(Таблица1_113[[#This Row],[Марка]],Таблица13[#All],5,0)</f>
        <v>Нет</v>
      </c>
      <c r="AI1070" s="12">
        <v>44409</v>
      </c>
      <c r="AJ1070">
        <v>9</v>
      </c>
    </row>
    <row r="1071" spans="30:36">
      <c r="AD1071" t="s">
        <v>21</v>
      </c>
      <c r="AE1071" t="str">
        <f>VLOOKUP(Таблица1_113[[#This Row],[Марка]],Таблица13[#All],4,0)</f>
        <v>Германия</v>
      </c>
      <c r="AF1071" t="str">
        <f>VLOOKUP(Таблица1_113[[#This Row],[Марка]],Таблица13[#All],2,0)</f>
        <v>Business</v>
      </c>
      <c r="AG1071">
        <f>VLOOKUP(Таблица1_113[[#This Row],[Марка]],Таблица13[#All],3,0)</f>
        <v>1937</v>
      </c>
      <c r="AH1071" t="str">
        <f>VLOOKUP(Таблица1_113[[#This Row],[Марка]],Таблица13[#All],5,0)</f>
        <v>Нет</v>
      </c>
      <c r="AI1071" s="12">
        <v>44409</v>
      </c>
      <c r="AJ1071">
        <v>386</v>
      </c>
    </row>
    <row r="1072" spans="30:36">
      <c r="AD1072" t="s">
        <v>2</v>
      </c>
      <c r="AE1072" t="str">
        <f>VLOOKUP(Таблица1_113[[#This Row],[Марка]],Таблица13[#All],4,0)</f>
        <v>Япония</v>
      </c>
      <c r="AF1072" t="str">
        <f>VLOOKUP(Таблица1_113[[#This Row],[Марка]],Таблица13[#All],2,0)</f>
        <v>Business</v>
      </c>
      <c r="AG1072">
        <f>VLOOKUP(Таблица1_113[[#This Row],[Марка]],Таблица13[#All],3,0)</f>
        <v>1937</v>
      </c>
      <c r="AH1072" t="str">
        <f>VLOOKUP(Таблица1_113[[#This Row],[Марка]],Таблица13[#All],5,0)</f>
        <v>Нет</v>
      </c>
      <c r="AI1072" s="12">
        <v>44409</v>
      </c>
      <c r="AJ1072">
        <v>1030</v>
      </c>
    </row>
    <row r="1073" spans="30:36">
      <c r="AD1073" t="s">
        <v>125</v>
      </c>
      <c r="AE1073" t="str">
        <f>VLOOKUP(Таблица1_113[[#This Row],[Марка]],Таблица13[#All],4,0)</f>
        <v>Япония</v>
      </c>
      <c r="AF1073" t="str">
        <f>VLOOKUP(Таблица1_113[[#This Row],[Марка]],Таблица13[#All],2,0)</f>
        <v>Business</v>
      </c>
      <c r="AG1073">
        <f>VLOOKUP(Таблица1_113[[#This Row],[Марка]],Таблица13[#All],3,0)</f>
        <v>1953</v>
      </c>
      <c r="AH1073" t="str">
        <f>VLOOKUP(Таблица1_113[[#This Row],[Марка]],Таблица13[#All],5,0)</f>
        <v>Нет</v>
      </c>
      <c r="AI1073" s="12">
        <v>44409</v>
      </c>
      <c r="AJ1073">
        <v>113</v>
      </c>
    </row>
    <row r="1074" spans="30:36">
      <c r="AD1074" t="s">
        <v>141</v>
      </c>
      <c r="AE1074" t="str">
        <f>VLOOKUP(Таблица1_113[[#This Row],[Марка]],Таблица13[#All],4,0)</f>
        <v>Чехия</v>
      </c>
      <c r="AF1074" t="str">
        <f>VLOOKUP(Таблица1_113[[#This Row],[Марка]],Таблица13[#All],2,0)</f>
        <v>Business</v>
      </c>
      <c r="AG1074">
        <f>VLOOKUP(Таблица1_113[[#This Row],[Марка]],Таблица13[#All],3,0)</f>
        <v>1895</v>
      </c>
      <c r="AH1074" t="str">
        <f>VLOOKUP(Таблица1_113[[#This Row],[Марка]],Таблица13[#All],5,0)</f>
        <v>Крупноузловая</v>
      </c>
      <c r="AI1074" s="12">
        <v>44409</v>
      </c>
      <c r="AJ1074">
        <v>0</v>
      </c>
    </row>
    <row r="1075" spans="30:36">
      <c r="AD1075" t="s">
        <v>23</v>
      </c>
      <c r="AE1075" t="str">
        <f>VLOOKUP(Таблица1_113[[#This Row],[Марка]],Таблица13[#All],4,0)</f>
        <v>Франция</v>
      </c>
      <c r="AF1075" t="str">
        <f>VLOOKUP(Таблица1_113[[#This Row],[Марка]],Таблица13[#All],2,0)</f>
        <v>Economy</v>
      </c>
      <c r="AG1075">
        <f>VLOOKUP(Таблица1_113[[#This Row],[Марка]],Таблица13[#All],3,0)</f>
        <v>1899</v>
      </c>
      <c r="AH1075" t="str">
        <f>VLOOKUP(Таблица1_113[[#This Row],[Марка]],Таблица13[#All],5,0)</f>
        <v>Крупноузловая</v>
      </c>
      <c r="AI1075" s="12">
        <v>44409</v>
      </c>
      <c r="AJ1075">
        <v>297</v>
      </c>
    </row>
    <row r="1076" spans="30:36">
      <c r="AD1076" t="s">
        <v>142</v>
      </c>
      <c r="AE1076" t="str">
        <f>VLOOKUP(Таблица1_113[[#This Row],[Марка]],Таблица13[#All],4,0)</f>
        <v>Узбекистан</v>
      </c>
      <c r="AF1076" t="str">
        <f>VLOOKUP(Таблица1_113[[#This Row],[Марка]],Таблица13[#All],2,0)</f>
        <v>Economy</v>
      </c>
      <c r="AG1076">
        <f>VLOOKUP(Таблица1_113[[#This Row],[Марка]],Таблица13[#All],3,0)</f>
        <v>2015</v>
      </c>
      <c r="AH1076" t="str">
        <f>VLOOKUP(Таблица1_113[[#This Row],[Марка]],Таблица13[#All],5,0)</f>
        <v>Крупноузловая</v>
      </c>
      <c r="AI1076" s="12">
        <v>44409</v>
      </c>
      <c r="AJ1076">
        <v>0</v>
      </c>
    </row>
    <row r="1077" spans="30:36">
      <c r="AD1077" t="s">
        <v>37</v>
      </c>
      <c r="AE1077" t="str">
        <f>VLOOKUP(Таблица1_113[[#This Row],[Марка]],Таблица13[#All],4,0)</f>
        <v>Германия</v>
      </c>
      <c r="AF1077" t="str">
        <f>VLOOKUP(Таблица1_113[[#This Row],[Марка]],Таблица13[#All],2,0)</f>
        <v>Luxury</v>
      </c>
      <c r="AG1077">
        <f>VLOOKUP(Таблица1_113[[#This Row],[Марка]],Таблица13[#All],3,0)</f>
        <v>1931</v>
      </c>
      <c r="AH1077" t="str">
        <f>VLOOKUP(Таблица1_113[[#This Row],[Марка]],Таблица13[#All],5,0)</f>
        <v>Нет</v>
      </c>
      <c r="AI1077" s="12">
        <v>44409</v>
      </c>
      <c r="AJ1077">
        <v>33</v>
      </c>
    </row>
    <row r="1078" spans="30:36">
      <c r="AD1078" t="s">
        <v>22</v>
      </c>
      <c r="AE1078" t="str">
        <f>VLOOKUP(Таблица1_113[[#This Row],[Марка]],Таблица13[#All],4,0)</f>
        <v>Япония</v>
      </c>
      <c r="AF1078" t="str">
        <f>VLOOKUP(Таблица1_113[[#This Row],[Марка]],Таблица13[#All],2,0)</f>
        <v>Business</v>
      </c>
      <c r="AG1078">
        <f>VLOOKUP(Таблица1_113[[#This Row],[Марка]],Таблица13[#All],3,0)</f>
        <v>1933</v>
      </c>
      <c r="AH1078" t="str">
        <f>VLOOKUP(Таблица1_113[[#This Row],[Марка]],Таблица13[#All],5,0)</f>
        <v>Нет</v>
      </c>
      <c r="AI1078" s="12">
        <v>44409</v>
      </c>
      <c r="AJ1078">
        <v>326</v>
      </c>
    </row>
    <row r="1079" spans="30:36">
      <c r="AD1079" t="s">
        <v>9</v>
      </c>
      <c r="AE1079" t="str">
        <f>VLOOKUP(Таблица1_113[[#This Row],[Марка]],Таблица13[#All],4,0)</f>
        <v>Япония</v>
      </c>
      <c r="AF1079" t="str">
        <f>VLOOKUP(Таблица1_113[[#This Row],[Марка]],Таблица13[#All],2,0)</f>
        <v>Business</v>
      </c>
      <c r="AG1079">
        <f>VLOOKUP(Таблица1_113[[#This Row],[Марка]],Таблица13[#All],3,0)</f>
        <v>1870</v>
      </c>
      <c r="AH1079" t="str">
        <f>VLOOKUP(Таблица1_113[[#This Row],[Марка]],Таблица13[#All],5,0)</f>
        <v>Нет</v>
      </c>
      <c r="AI1079" s="12">
        <v>44409</v>
      </c>
      <c r="AJ1079">
        <v>95</v>
      </c>
    </row>
    <row r="1080" spans="30:36">
      <c r="AD1080" t="s">
        <v>40</v>
      </c>
      <c r="AE1080" t="str">
        <f>VLOOKUP(Таблица1_113[[#This Row],[Марка]],Таблица13[#All],4,0)</f>
        <v>Великобритания</v>
      </c>
      <c r="AF1080" t="str">
        <f>VLOOKUP(Таблица1_113[[#This Row],[Марка]],Таблица13[#All],2,0)</f>
        <v>Luxury</v>
      </c>
      <c r="AG1080">
        <f>VLOOKUP(Таблица1_113[[#This Row],[Марка]],Таблица13[#All],3,0)</f>
        <v>1959</v>
      </c>
      <c r="AH1080" t="str">
        <f>VLOOKUP(Таблица1_113[[#This Row],[Марка]],Таблица13[#All],5,0)</f>
        <v>Нет</v>
      </c>
      <c r="AI1080" s="12">
        <v>44409</v>
      </c>
      <c r="AJ1080">
        <v>12</v>
      </c>
    </row>
    <row r="1081" spans="30:36">
      <c r="AD1081" t="s">
        <v>128</v>
      </c>
      <c r="AE1081" t="str">
        <f>VLOOKUP(Таблица1_113[[#This Row],[Марка]],Таблица13[#All],4,0)</f>
        <v>Германия</v>
      </c>
      <c r="AF1081" t="str">
        <f>VLOOKUP(Таблица1_113[[#This Row],[Марка]],Таблица13[#All],2,0)</f>
        <v>Luxury</v>
      </c>
      <c r="AG1081">
        <f>VLOOKUP(Таблица1_113[[#This Row],[Марка]],Таблица13[#All],3,0)</f>
        <v>1926</v>
      </c>
      <c r="AH1081" t="str">
        <f>VLOOKUP(Таблица1_113[[#This Row],[Марка]],Таблица13[#All],5,0)</f>
        <v>Нет</v>
      </c>
      <c r="AI1081" s="12">
        <v>44409</v>
      </c>
      <c r="AJ1081">
        <v>49</v>
      </c>
    </row>
    <row r="1082" spans="30:36">
      <c r="AD1082" t="s">
        <v>139</v>
      </c>
      <c r="AE1082" t="str">
        <f>VLOOKUP(Таблица1_113[[#This Row],[Марка]],Таблица13[#All],4,0)</f>
        <v>Япония</v>
      </c>
      <c r="AF1082" t="str">
        <f>VLOOKUP(Таблица1_113[[#This Row],[Марка]],Таблица13[#All],2,0)</f>
        <v>Business</v>
      </c>
      <c r="AG1082">
        <f>VLOOKUP(Таблица1_113[[#This Row],[Марка]],Таблица13[#All],3,0)</f>
        <v>1920</v>
      </c>
      <c r="AH1082" t="str">
        <f>VLOOKUP(Таблица1_113[[#This Row],[Марка]],Таблица13[#All],5,0)</f>
        <v>Нет</v>
      </c>
      <c r="AI1082" s="12">
        <v>44409</v>
      </c>
      <c r="AJ1082">
        <v>37</v>
      </c>
    </row>
    <row r="1083" spans="30:36">
      <c r="AD1083" t="s">
        <v>5</v>
      </c>
      <c r="AE1083" t="str">
        <f>VLOOKUP(Таблица1_113[[#This Row],[Марка]],Таблица13[#All],4,0)</f>
        <v>Япония</v>
      </c>
      <c r="AF1083" t="str">
        <f>VLOOKUP(Таблица1_113[[#This Row],[Марка]],Таблица13[#All],2,0)</f>
        <v>Luxury</v>
      </c>
      <c r="AG1083">
        <f>VLOOKUP(Таблица1_113[[#This Row],[Марка]],Таблица13[#All],3,0)</f>
        <v>1989</v>
      </c>
      <c r="AH1083" t="str">
        <f>VLOOKUP(Таблица1_113[[#This Row],[Марка]],Таблица13[#All],5,0)</f>
        <v>Нет</v>
      </c>
      <c r="AI1083" s="12">
        <v>44409</v>
      </c>
      <c r="AJ1083">
        <v>77</v>
      </c>
    </row>
    <row r="1084" spans="30:36">
      <c r="AD1084" t="s">
        <v>35</v>
      </c>
      <c r="AE1084" t="str">
        <f>VLOOKUP(Таблица1_113[[#This Row],[Марка]],Таблица13[#All],4,0)</f>
        <v>Великобритания</v>
      </c>
      <c r="AF1084" t="str">
        <f>VLOOKUP(Таблица1_113[[#This Row],[Марка]],Таблица13[#All],2,0)</f>
        <v>Luxury</v>
      </c>
      <c r="AG1084">
        <f>VLOOKUP(Таблица1_113[[#This Row],[Марка]],Таблица13[#All],3,0)</f>
        <v>1948</v>
      </c>
      <c r="AH1084" t="str">
        <f>VLOOKUP(Таблица1_113[[#This Row],[Марка]],Таблица13[#All],5,0)</f>
        <v>Нет</v>
      </c>
      <c r="AI1084" s="12">
        <v>44409</v>
      </c>
      <c r="AJ1084">
        <v>23</v>
      </c>
    </row>
    <row r="1085" spans="30:36">
      <c r="AD1085" t="s">
        <v>19</v>
      </c>
      <c r="AE1085" t="str">
        <f>VLOOKUP(Таблица1_113[[#This Row],[Марка]],Таблица13[#All],4,0)</f>
        <v>Россия</v>
      </c>
      <c r="AF1085" t="str">
        <f>VLOOKUP(Таблица1_113[[#This Row],[Марка]],Таблица13[#All],2,0)</f>
        <v>Economy</v>
      </c>
      <c r="AG1085">
        <f>VLOOKUP(Таблица1_113[[#This Row],[Марка]],Таблица13[#All],3,0)</f>
        <v>1970</v>
      </c>
      <c r="AH1085" t="str">
        <f>VLOOKUP(Таблица1_113[[#This Row],[Марка]],Таблица13[#All],5,0)</f>
        <v>Крупноузловая</v>
      </c>
      <c r="AI1085" s="12">
        <v>44409</v>
      </c>
      <c r="AJ1085">
        <v>690</v>
      </c>
    </row>
    <row r="1086" spans="30:36">
      <c r="AD1086" t="s">
        <v>15</v>
      </c>
      <c r="AE1086" t="str">
        <f>VLOOKUP(Таблица1_113[[#This Row],[Марка]],Таблица13[#All],4,0)</f>
        <v>Корея</v>
      </c>
      <c r="AF1086" t="str">
        <f>VLOOKUP(Таблица1_113[[#This Row],[Марка]],Таблица13[#All],2,0)</f>
        <v>Economy</v>
      </c>
      <c r="AG1086">
        <f>VLOOKUP(Таблица1_113[[#This Row],[Марка]],Таблица13[#All],3,0)</f>
        <v>1944</v>
      </c>
      <c r="AH1086" t="str">
        <f>VLOOKUP(Таблица1_113[[#This Row],[Марка]],Таблица13[#All],5,0)</f>
        <v>Крупноузловая</v>
      </c>
      <c r="AI1086" s="12">
        <v>44409</v>
      </c>
      <c r="AJ1086">
        <v>828</v>
      </c>
    </row>
    <row r="1087" spans="30:36">
      <c r="AD1087" t="s">
        <v>134</v>
      </c>
      <c r="AE1087" t="str">
        <f>VLOOKUP(Таблица1_113[[#This Row],[Марка]],Таблица13[#All],4,0)</f>
        <v>Великобритания</v>
      </c>
      <c r="AF1087" t="str">
        <f>VLOOKUP(Таблица1_113[[#This Row],[Марка]],Таблица13[#All],2,0)</f>
        <v>Luxury</v>
      </c>
      <c r="AG1087">
        <f>VLOOKUP(Таблица1_113[[#This Row],[Марка]],Таблица13[#All],3,0)</f>
        <v>1922</v>
      </c>
      <c r="AH1087" t="str">
        <f>VLOOKUP(Таблица1_113[[#This Row],[Марка]],Таблица13[#All],5,0)</f>
        <v>Нет</v>
      </c>
      <c r="AI1087" s="12">
        <v>44409</v>
      </c>
      <c r="AJ1087">
        <v>7</v>
      </c>
    </row>
    <row r="1088" spans="30:36">
      <c r="AD1088" t="s">
        <v>4</v>
      </c>
      <c r="AE1088" t="str">
        <f>VLOOKUP(Таблица1_113[[#This Row],[Марка]],Таблица13[#All],4,0)</f>
        <v>Китай</v>
      </c>
      <c r="AF1088" t="str">
        <f>VLOOKUP(Таблица1_113[[#This Row],[Марка]],Таблица13[#All],2,0)</f>
        <v>Economy</v>
      </c>
      <c r="AG1088">
        <f>VLOOKUP(Таблица1_113[[#This Row],[Марка]],Таблица13[#All],3,0)</f>
        <v>1964</v>
      </c>
      <c r="AH1088" t="str">
        <f>VLOOKUP(Таблица1_113[[#This Row],[Марка]],Таблица13[#All],5,0)</f>
        <v>Крупноузловая</v>
      </c>
      <c r="AI1088" s="12">
        <v>44409</v>
      </c>
      <c r="AJ1088">
        <v>441</v>
      </c>
    </row>
    <row r="1089" spans="30:36">
      <c r="AD1089" t="s">
        <v>140</v>
      </c>
      <c r="AE1089" t="str">
        <f>VLOOKUP(Таблица1_113[[#This Row],[Марка]],Таблица13[#All],4,0)</f>
        <v>Япония</v>
      </c>
      <c r="AF1089" t="str">
        <f>VLOOKUP(Таблица1_113[[#This Row],[Марка]],Таблица13[#All],2,0)</f>
        <v>Business</v>
      </c>
      <c r="AG1089">
        <f>VLOOKUP(Таблица1_113[[#This Row],[Марка]],Таблица13[#All],3,0)</f>
        <v>1916</v>
      </c>
      <c r="AH1089" t="str">
        <f>VLOOKUP(Таблица1_113[[#This Row],[Марка]],Таблица13[#All],5,0)</f>
        <v>Нет</v>
      </c>
      <c r="AI1089" s="12">
        <v>44409</v>
      </c>
      <c r="AJ1089">
        <v>16</v>
      </c>
    </row>
    <row r="1090" spans="30:36">
      <c r="AD1090" t="s">
        <v>34</v>
      </c>
      <c r="AE1090" t="str">
        <f>VLOOKUP(Таблица1_113[[#This Row],[Марка]],Таблица13[#All],4,0)</f>
        <v>Япония</v>
      </c>
      <c r="AF1090" t="str">
        <f>VLOOKUP(Таблица1_113[[#This Row],[Марка]],Таблица13[#All],2,0)</f>
        <v>Luxury</v>
      </c>
      <c r="AG1090">
        <f>VLOOKUP(Таблица1_113[[#This Row],[Марка]],Таблица13[#All],3,0)</f>
        <v>1989</v>
      </c>
      <c r="AH1090" t="str">
        <f>VLOOKUP(Таблица1_113[[#This Row],[Марка]],Таблица13[#All],5,0)</f>
        <v>Нет</v>
      </c>
      <c r="AI1090" s="12">
        <v>44409</v>
      </c>
      <c r="AJ1090">
        <v>59</v>
      </c>
    </row>
    <row r="1091" spans="30:36">
      <c r="AD1091" t="s">
        <v>0</v>
      </c>
      <c r="AE1091" t="str">
        <f>VLOOKUP(Таблица1_113[[#This Row],[Марка]],Таблица13[#All],4,0)</f>
        <v>Корея</v>
      </c>
      <c r="AF1091" t="str">
        <f>VLOOKUP(Таблица1_113[[#This Row],[Марка]],Таблица13[#All],2,0)</f>
        <v>Economy</v>
      </c>
      <c r="AG1091">
        <f>VLOOKUP(Таблица1_113[[#This Row],[Марка]],Таблица13[#All],3,0)</f>
        <v>1967</v>
      </c>
      <c r="AH1091" t="str">
        <f>VLOOKUP(Таблица1_113[[#This Row],[Марка]],Таблица13[#All],5,0)</f>
        <v>Крупноузловая</v>
      </c>
      <c r="AI1091" s="12">
        <v>44409</v>
      </c>
      <c r="AJ1091">
        <v>1601</v>
      </c>
    </row>
    <row r="1092" spans="30:36">
      <c r="AD1092" t="s">
        <v>6</v>
      </c>
      <c r="AE1092" t="str">
        <f>VLOOKUP(Таблица1_113[[#This Row],[Марка]],Таблица13[#All],4,0)</f>
        <v>Китай</v>
      </c>
      <c r="AF1092" t="str">
        <f>VLOOKUP(Таблица1_113[[#This Row],[Марка]],Таблица13[#All],2,0)</f>
        <v>Economy</v>
      </c>
      <c r="AG1092">
        <f>VLOOKUP(Таблица1_113[[#This Row],[Марка]],Таблица13[#All],3,0)</f>
        <v>2013</v>
      </c>
      <c r="AH1092" t="str">
        <f>VLOOKUP(Таблица1_113[[#This Row],[Марка]],Таблица13[#All],5,0)</f>
        <v>Крупноузловая</v>
      </c>
      <c r="AI1092" s="12">
        <v>44409</v>
      </c>
      <c r="AJ1092">
        <v>86</v>
      </c>
    </row>
    <row r="1093" spans="30:36">
      <c r="AD1093" t="s">
        <v>138</v>
      </c>
      <c r="AE1093" t="str">
        <f>VLOOKUP(Таблица1_113[[#This Row],[Марка]],Таблица13[#All],4,0)</f>
        <v>Корея</v>
      </c>
      <c r="AF1093" t="str">
        <f>VLOOKUP(Таблица1_113[[#This Row],[Марка]],Таблица13[#All],2,0)</f>
        <v>Luxury</v>
      </c>
      <c r="AG1093">
        <f>VLOOKUP(Таблица1_113[[#This Row],[Марка]],Таблица13[#All],3,0)</f>
        <v>2015</v>
      </c>
      <c r="AH1093" t="str">
        <f>VLOOKUP(Таблица1_113[[#This Row],[Марка]],Таблица13[#All],5,0)</f>
        <v>Нет</v>
      </c>
      <c r="AI1093" s="12">
        <v>44409</v>
      </c>
      <c r="AJ1093">
        <v>2</v>
      </c>
    </row>
    <row r="1094" spans="30:36">
      <c r="AD1094" t="s">
        <v>129</v>
      </c>
      <c r="AE1094" t="str">
        <f>VLOOKUP(Таблица1_113[[#This Row],[Марка]],Таблица13[#All],4,0)</f>
        <v>Китай</v>
      </c>
      <c r="AF1094" t="str">
        <f>VLOOKUP(Таблица1_113[[#This Row],[Марка]],Таблица13[#All],2,0)</f>
        <v>Economy</v>
      </c>
      <c r="AG1094">
        <f>VLOOKUP(Таблица1_113[[#This Row],[Марка]],Таблица13[#All],3,0)</f>
        <v>1953</v>
      </c>
      <c r="AH1094" t="str">
        <f>VLOOKUP(Таблица1_113[[#This Row],[Марка]],Таблица13[#All],5,0)</f>
        <v>Нет</v>
      </c>
      <c r="AI1094" s="12">
        <v>44409</v>
      </c>
      <c r="AJ1094">
        <v>0</v>
      </c>
    </row>
    <row r="1095" spans="30:36">
      <c r="AD1095" t="s">
        <v>130</v>
      </c>
      <c r="AE1095" t="str">
        <f>VLOOKUP(Таблица1_113[[#This Row],[Марка]],Таблица13[#All],4,0)</f>
        <v>Китай</v>
      </c>
      <c r="AF1095" t="str">
        <f>VLOOKUP(Таблица1_113[[#This Row],[Марка]],Таблица13[#All],2,0)</f>
        <v>Economy</v>
      </c>
      <c r="AG1095">
        <f>VLOOKUP(Таблица1_113[[#This Row],[Марка]],Таблица13[#All],3,0)</f>
        <v>1969</v>
      </c>
      <c r="AH1095" t="str">
        <f>VLOOKUP(Таблица1_113[[#This Row],[Марка]],Таблица13[#All],5,0)</f>
        <v>Нет</v>
      </c>
      <c r="AI1095" s="12">
        <v>44409</v>
      </c>
      <c r="AJ1095">
        <v>0</v>
      </c>
    </row>
    <row r="1096" spans="30:36">
      <c r="AD1096" t="s">
        <v>137</v>
      </c>
      <c r="AE1096" t="str">
        <f>VLOOKUP(Таблица1_113[[#This Row],[Марка]],Таблица13[#All],4,0)</f>
        <v>Корея</v>
      </c>
      <c r="AF1096" t="str">
        <f>VLOOKUP(Таблица1_113[[#This Row],[Марка]],Таблица13[#All],2,0)</f>
        <v>Economy</v>
      </c>
      <c r="AG1096">
        <f>VLOOKUP(Таблица1_113[[#This Row],[Марка]],Таблица13[#All],3,0)</f>
        <v>1967</v>
      </c>
      <c r="AH1096" t="str">
        <f>VLOOKUP(Таблица1_113[[#This Row],[Марка]],Таблица13[#All],5,0)</f>
        <v>Нет</v>
      </c>
      <c r="AI1096" s="12">
        <v>44409</v>
      </c>
      <c r="AJ1096">
        <v>0</v>
      </c>
    </row>
    <row r="1097" spans="30:36">
      <c r="AD1097" t="s">
        <v>1</v>
      </c>
      <c r="AE1097" t="str">
        <f>VLOOKUP(Таблица1_113[[#This Row],[Марка]],Таблица13[#All],4,0)</f>
        <v>США</v>
      </c>
      <c r="AF1097" t="str">
        <f>VLOOKUP(Таблица1_113[[#This Row],[Марка]],Таблица13[#All],2,0)</f>
        <v>Economy</v>
      </c>
      <c r="AG1097">
        <f>VLOOKUP(Таблица1_113[[#This Row],[Марка]],Таблица13[#All],3,0)</f>
        <v>1911</v>
      </c>
      <c r="AH1097" t="str">
        <f>VLOOKUP(Таблица1_113[[#This Row],[Марка]],Таблица13[#All],5,0)</f>
        <v>Крупноузловая</v>
      </c>
      <c r="AI1097" s="12">
        <v>44409</v>
      </c>
      <c r="AJ1097">
        <v>2205</v>
      </c>
    </row>
    <row r="1098" spans="30:36">
      <c r="AD1098" t="s">
        <v>3</v>
      </c>
      <c r="AE1098" t="str">
        <f>VLOOKUP(Таблица1_113[[#This Row],[Марка]],Таблица13[#All],4,0)</f>
        <v>Китай</v>
      </c>
      <c r="AF1098" t="str">
        <f>VLOOKUP(Таблица1_113[[#This Row],[Марка]],Таблица13[#All],2,0)</f>
        <v>Economy</v>
      </c>
      <c r="AG1098">
        <f>VLOOKUP(Таблица1_113[[#This Row],[Марка]],Таблица13[#All],3,0)</f>
        <v>1997</v>
      </c>
      <c r="AH1098" t="str">
        <f>VLOOKUP(Таблица1_113[[#This Row],[Марка]],Таблица13[#All],5,0)</f>
        <v>Крупноузловая</v>
      </c>
      <c r="AI1098" s="12">
        <v>44409</v>
      </c>
      <c r="AJ1098">
        <v>0</v>
      </c>
    </row>
    <row r="1099" spans="30:36">
      <c r="AD1099" t="s">
        <v>36</v>
      </c>
      <c r="AE1099" t="str">
        <f>VLOOKUP(Таблица1_113[[#This Row],[Марка]],Таблица13[#All],4,0)</f>
        <v>США</v>
      </c>
      <c r="AF1099" t="str">
        <f>VLOOKUP(Таблица1_113[[#This Row],[Марка]],Таблица13[#All],2,0)</f>
        <v>Luxury</v>
      </c>
      <c r="AG1099">
        <f>VLOOKUP(Таблица1_113[[#This Row],[Марка]],Таблица13[#All],3,0)</f>
        <v>1902</v>
      </c>
      <c r="AH1099" t="str">
        <f>VLOOKUP(Таблица1_113[[#This Row],[Марка]],Таблица13[#All],5,0)</f>
        <v>Нет</v>
      </c>
      <c r="AI1099" s="12">
        <v>44409</v>
      </c>
      <c r="AJ1099">
        <v>31</v>
      </c>
    </row>
    <row r="1100" spans="30:36">
      <c r="AD1100" t="s">
        <v>8</v>
      </c>
      <c r="AE1100" t="str">
        <f>VLOOKUP(Таблица1_113[[#This Row],[Марка]],Таблица13[#All],4,0)</f>
        <v>Германия</v>
      </c>
      <c r="AF1100" t="str">
        <f>VLOOKUP(Таблица1_113[[#This Row],[Марка]],Таблица13[#All],2,0)</f>
        <v>Luxury</v>
      </c>
      <c r="AG1100">
        <f>VLOOKUP(Таблица1_113[[#This Row],[Марка]],Таблица13[#All],3,0)</f>
        <v>1916</v>
      </c>
      <c r="AH1100" t="str">
        <f>VLOOKUP(Таблица1_113[[#This Row],[Марка]],Таблица13[#All],5,0)</f>
        <v>Нет</v>
      </c>
      <c r="AI1100" s="12">
        <v>44409</v>
      </c>
      <c r="AJ1100">
        <v>126</v>
      </c>
    </row>
    <row r="1101" spans="30:36">
      <c r="AD1101" t="s">
        <v>38</v>
      </c>
      <c r="AE1101" t="str">
        <f>VLOOKUP(Таблица1_113[[#This Row],[Марка]],Таблица13[#All],4,0)</f>
        <v>Германия</v>
      </c>
      <c r="AF1101" t="str">
        <f>VLOOKUP(Таблица1_113[[#This Row],[Марка]],Таблица13[#All],2,0)</f>
        <v>Luxury</v>
      </c>
      <c r="AG1101">
        <f>VLOOKUP(Таблица1_113[[#This Row],[Марка]],Таблица13[#All],3,0)</f>
        <v>1932</v>
      </c>
      <c r="AH1101" t="str">
        <f>VLOOKUP(Таблица1_113[[#This Row],[Марка]],Таблица13[#All],5,0)</f>
        <v>Нет</v>
      </c>
      <c r="AI1101" s="12">
        <v>44409</v>
      </c>
      <c r="AJ1101">
        <v>26</v>
      </c>
    </row>
    <row r="1102" spans="30:36">
      <c r="AD1102" t="s">
        <v>136</v>
      </c>
      <c r="AE1102" t="str">
        <f>VLOOKUP(Таблица1_113[[#This Row],[Марка]],Таблица13[#All],4,0)</f>
        <v>Россия</v>
      </c>
      <c r="AF1102" t="str">
        <f>VLOOKUP(Таблица1_113[[#This Row],[Марка]],Таблица13[#All],2,0)</f>
        <v>Economy</v>
      </c>
      <c r="AG1102">
        <f>VLOOKUP(Таблица1_113[[#This Row],[Марка]],Таблица13[#All],3,0)</f>
        <v>1941</v>
      </c>
      <c r="AH1102" t="str">
        <f>VLOOKUP(Таблица1_113[[#This Row],[Марка]],Таблица13[#All],5,0)</f>
        <v>Нет</v>
      </c>
      <c r="AI1102" s="12">
        <v>44440</v>
      </c>
      <c r="AJ1102">
        <v>228</v>
      </c>
    </row>
    <row r="1103" spans="30:36">
      <c r="AD1103" t="s">
        <v>135</v>
      </c>
      <c r="AE1103" t="str">
        <f>VLOOKUP(Таблица1_113[[#This Row],[Марка]],Таблица13[#All],4,0)</f>
        <v>-</v>
      </c>
      <c r="AF1103" t="str">
        <f>VLOOKUP(Таблица1_113[[#This Row],[Марка]],Таблица13[#All],2,0)</f>
        <v>-</v>
      </c>
      <c r="AG1103" t="str">
        <f>VLOOKUP(Таблица1_113[[#This Row],[Марка]],Таблица13[#All],3,0)</f>
        <v>-</v>
      </c>
      <c r="AH1103" t="str">
        <f>VLOOKUP(Таблица1_113[[#This Row],[Марка]],Таблица13[#All],5,0)</f>
        <v>-</v>
      </c>
      <c r="AI1103" s="12">
        <v>44440</v>
      </c>
      <c r="AJ1103">
        <v>60</v>
      </c>
    </row>
    <row r="1104" spans="30:36">
      <c r="AD1104" t="s">
        <v>39</v>
      </c>
      <c r="AE1104" t="str">
        <f>VLOOKUP(Таблица1_113[[#This Row],[Марка]],Таблица13[#All],4,0)</f>
        <v>Швеция</v>
      </c>
      <c r="AF1104" t="str">
        <f>VLOOKUP(Таблица1_113[[#This Row],[Марка]],Таблица13[#All],2,0)</f>
        <v>Business</v>
      </c>
      <c r="AG1104">
        <f>VLOOKUP(Таблица1_113[[#This Row],[Марка]],Таблица13[#All],3,0)</f>
        <v>1927</v>
      </c>
      <c r="AH1104" t="str">
        <f>VLOOKUP(Таблица1_113[[#This Row],[Марка]],Таблица13[#All],5,0)</f>
        <v>Нет</v>
      </c>
      <c r="AI1104" s="12">
        <v>44440</v>
      </c>
      <c r="AJ1104">
        <v>17</v>
      </c>
    </row>
    <row r="1105" spans="30:36">
      <c r="AD1105" t="s">
        <v>21</v>
      </c>
      <c r="AE1105" t="str">
        <f>VLOOKUP(Таблица1_113[[#This Row],[Марка]],Таблица13[#All],4,0)</f>
        <v>Германия</v>
      </c>
      <c r="AF1105" t="str">
        <f>VLOOKUP(Таблица1_113[[#This Row],[Марка]],Таблица13[#All],2,0)</f>
        <v>Business</v>
      </c>
      <c r="AG1105">
        <f>VLOOKUP(Таблица1_113[[#This Row],[Марка]],Таблица13[#All],3,0)</f>
        <v>1937</v>
      </c>
      <c r="AH1105" t="str">
        <f>VLOOKUP(Таблица1_113[[#This Row],[Марка]],Таблица13[#All],5,0)</f>
        <v>Нет</v>
      </c>
      <c r="AI1105" s="12">
        <v>44440</v>
      </c>
      <c r="AJ1105">
        <v>501</v>
      </c>
    </row>
    <row r="1106" spans="30:36">
      <c r="AD1106" t="s">
        <v>2</v>
      </c>
      <c r="AE1106" t="str">
        <f>VLOOKUP(Таблица1_113[[#This Row],[Марка]],Таблица13[#All],4,0)</f>
        <v>Япония</v>
      </c>
      <c r="AF1106" t="str">
        <f>VLOOKUP(Таблица1_113[[#This Row],[Марка]],Таблица13[#All],2,0)</f>
        <v>Business</v>
      </c>
      <c r="AG1106">
        <f>VLOOKUP(Таблица1_113[[#This Row],[Марка]],Таблица13[#All],3,0)</f>
        <v>1937</v>
      </c>
      <c r="AH1106" t="str">
        <f>VLOOKUP(Таблица1_113[[#This Row],[Марка]],Таблица13[#All],5,0)</f>
        <v>Нет</v>
      </c>
      <c r="AI1106" s="12">
        <v>44440</v>
      </c>
      <c r="AJ1106">
        <v>1230</v>
      </c>
    </row>
    <row r="1107" spans="30:36">
      <c r="AD1107" t="s">
        <v>125</v>
      </c>
      <c r="AE1107" t="str">
        <f>VLOOKUP(Таблица1_113[[#This Row],[Марка]],Таблица13[#All],4,0)</f>
        <v>Япония</v>
      </c>
      <c r="AF1107" t="str">
        <f>VLOOKUP(Таблица1_113[[#This Row],[Марка]],Таблица13[#All],2,0)</f>
        <v>Business</v>
      </c>
      <c r="AG1107">
        <f>VLOOKUP(Таблица1_113[[#This Row],[Марка]],Таблица13[#All],3,0)</f>
        <v>1953</v>
      </c>
      <c r="AH1107" t="str">
        <f>VLOOKUP(Таблица1_113[[#This Row],[Марка]],Таблица13[#All],5,0)</f>
        <v>Нет</v>
      </c>
      <c r="AI1107" s="12">
        <v>44440</v>
      </c>
      <c r="AJ1107">
        <v>131</v>
      </c>
    </row>
    <row r="1108" spans="30:36">
      <c r="AD1108" t="s">
        <v>141</v>
      </c>
      <c r="AE1108" t="str">
        <f>VLOOKUP(Таблица1_113[[#This Row],[Марка]],Таблица13[#All],4,0)</f>
        <v>Чехия</v>
      </c>
      <c r="AF1108" t="str">
        <f>VLOOKUP(Таблица1_113[[#This Row],[Марка]],Таблица13[#All],2,0)</f>
        <v>Business</v>
      </c>
      <c r="AG1108">
        <f>VLOOKUP(Таблица1_113[[#This Row],[Марка]],Таблица13[#All],3,0)</f>
        <v>1895</v>
      </c>
      <c r="AH1108" t="str">
        <f>VLOOKUP(Таблица1_113[[#This Row],[Марка]],Таблица13[#All],5,0)</f>
        <v>Крупноузловая</v>
      </c>
      <c r="AI1108" s="12">
        <v>44440</v>
      </c>
      <c r="AJ1108">
        <v>0</v>
      </c>
    </row>
    <row r="1109" spans="30:36">
      <c r="AD1109" t="s">
        <v>23</v>
      </c>
      <c r="AE1109" t="str">
        <f>VLOOKUP(Таблица1_113[[#This Row],[Марка]],Таблица13[#All],4,0)</f>
        <v>Франция</v>
      </c>
      <c r="AF1109" t="str">
        <f>VLOOKUP(Таблица1_113[[#This Row],[Марка]],Таблица13[#All],2,0)</f>
        <v>Economy</v>
      </c>
      <c r="AG1109">
        <f>VLOOKUP(Таблица1_113[[#This Row],[Марка]],Таблица13[#All],3,0)</f>
        <v>1899</v>
      </c>
      <c r="AH1109" t="str">
        <f>VLOOKUP(Таблица1_113[[#This Row],[Марка]],Таблица13[#All],5,0)</f>
        <v>Крупноузловая</v>
      </c>
      <c r="AI1109" s="12">
        <v>44440</v>
      </c>
      <c r="AJ1109">
        <v>326</v>
      </c>
    </row>
    <row r="1110" spans="30:36">
      <c r="AD1110" t="s">
        <v>142</v>
      </c>
      <c r="AE1110" t="str">
        <f>VLOOKUP(Таблица1_113[[#This Row],[Марка]],Таблица13[#All],4,0)</f>
        <v>Узбекистан</v>
      </c>
      <c r="AF1110" t="str">
        <f>VLOOKUP(Таблица1_113[[#This Row],[Марка]],Таблица13[#All],2,0)</f>
        <v>Economy</v>
      </c>
      <c r="AG1110">
        <f>VLOOKUP(Таблица1_113[[#This Row],[Марка]],Таблица13[#All],3,0)</f>
        <v>2015</v>
      </c>
      <c r="AH1110" t="str">
        <f>VLOOKUP(Таблица1_113[[#This Row],[Марка]],Таблица13[#All],5,0)</f>
        <v>Крупноузловая</v>
      </c>
      <c r="AI1110" s="12">
        <v>44440</v>
      </c>
      <c r="AJ1110">
        <v>0</v>
      </c>
    </row>
    <row r="1111" spans="30:36">
      <c r="AD1111" t="s">
        <v>37</v>
      </c>
      <c r="AE1111" t="str">
        <f>VLOOKUP(Таблица1_113[[#This Row],[Марка]],Таблица13[#All],4,0)</f>
        <v>Германия</v>
      </c>
      <c r="AF1111" t="str">
        <f>VLOOKUP(Таблица1_113[[#This Row],[Марка]],Таблица13[#All],2,0)</f>
        <v>Luxury</v>
      </c>
      <c r="AG1111">
        <f>VLOOKUP(Таблица1_113[[#This Row],[Марка]],Таблица13[#All],3,0)</f>
        <v>1931</v>
      </c>
      <c r="AH1111" t="str">
        <f>VLOOKUP(Таблица1_113[[#This Row],[Марка]],Таблица13[#All],5,0)</f>
        <v>Нет</v>
      </c>
      <c r="AI1111" s="12">
        <v>44440</v>
      </c>
      <c r="AJ1111">
        <v>5</v>
      </c>
    </row>
    <row r="1112" spans="30:36">
      <c r="AD1112" t="s">
        <v>22</v>
      </c>
      <c r="AE1112" t="str">
        <f>VLOOKUP(Таблица1_113[[#This Row],[Марка]],Таблица13[#All],4,0)</f>
        <v>Япония</v>
      </c>
      <c r="AF1112" t="str">
        <f>VLOOKUP(Таблица1_113[[#This Row],[Марка]],Таблица13[#All],2,0)</f>
        <v>Business</v>
      </c>
      <c r="AG1112">
        <f>VLOOKUP(Таблица1_113[[#This Row],[Марка]],Таблица13[#All],3,0)</f>
        <v>1933</v>
      </c>
      <c r="AH1112" t="str">
        <f>VLOOKUP(Таблица1_113[[#This Row],[Марка]],Таблица13[#All],5,0)</f>
        <v>Нет</v>
      </c>
      <c r="AI1112" s="12">
        <v>44440</v>
      </c>
      <c r="AJ1112">
        <v>332</v>
      </c>
    </row>
    <row r="1113" spans="30:36">
      <c r="AD1113" t="s">
        <v>9</v>
      </c>
      <c r="AE1113" t="str">
        <f>VLOOKUP(Таблица1_113[[#This Row],[Марка]],Таблица13[#All],4,0)</f>
        <v>Япония</v>
      </c>
      <c r="AF1113" t="str">
        <f>VLOOKUP(Таблица1_113[[#This Row],[Марка]],Таблица13[#All],2,0)</f>
        <v>Business</v>
      </c>
      <c r="AG1113">
        <f>VLOOKUP(Таблица1_113[[#This Row],[Марка]],Таблица13[#All],3,0)</f>
        <v>1870</v>
      </c>
      <c r="AH1113" t="str">
        <f>VLOOKUP(Таблица1_113[[#This Row],[Марка]],Таблица13[#All],5,0)</f>
        <v>Нет</v>
      </c>
      <c r="AI1113" s="12">
        <v>44440</v>
      </c>
      <c r="AJ1113">
        <v>110</v>
      </c>
    </row>
    <row r="1114" spans="30:36">
      <c r="AD1114" t="s">
        <v>40</v>
      </c>
      <c r="AE1114" t="str">
        <f>VLOOKUP(Таблица1_113[[#This Row],[Марка]],Таблица13[#All],4,0)</f>
        <v>Великобритания</v>
      </c>
      <c r="AF1114" t="str">
        <f>VLOOKUP(Таблица1_113[[#This Row],[Марка]],Таблица13[#All],2,0)</f>
        <v>Luxury</v>
      </c>
      <c r="AG1114">
        <f>VLOOKUP(Таблица1_113[[#This Row],[Марка]],Таблица13[#All],3,0)</f>
        <v>1959</v>
      </c>
      <c r="AH1114" t="str">
        <f>VLOOKUP(Таблица1_113[[#This Row],[Марка]],Таблица13[#All],5,0)</f>
        <v>Нет</v>
      </c>
      <c r="AI1114" s="12">
        <v>44440</v>
      </c>
      <c r="AJ1114">
        <v>2</v>
      </c>
    </row>
    <row r="1115" spans="30:36">
      <c r="AD1115" t="s">
        <v>128</v>
      </c>
      <c r="AE1115" t="str">
        <f>VLOOKUP(Таблица1_113[[#This Row],[Марка]],Таблица13[#All],4,0)</f>
        <v>Германия</v>
      </c>
      <c r="AF1115" t="str">
        <f>VLOOKUP(Таблица1_113[[#This Row],[Марка]],Таблица13[#All],2,0)</f>
        <v>Luxury</v>
      </c>
      <c r="AG1115">
        <f>VLOOKUP(Таблица1_113[[#This Row],[Марка]],Таблица13[#All],3,0)</f>
        <v>1926</v>
      </c>
      <c r="AH1115" t="str">
        <f>VLOOKUP(Таблица1_113[[#This Row],[Марка]],Таблица13[#All],5,0)</f>
        <v>Нет</v>
      </c>
      <c r="AI1115" s="12">
        <v>44440</v>
      </c>
      <c r="AJ1115">
        <v>63</v>
      </c>
    </row>
    <row r="1116" spans="30:36">
      <c r="AD1116" t="s">
        <v>139</v>
      </c>
      <c r="AE1116" t="str">
        <f>VLOOKUP(Таблица1_113[[#This Row],[Марка]],Таблица13[#All],4,0)</f>
        <v>Япония</v>
      </c>
      <c r="AF1116" t="str">
        <f>VLOOKUP(Таблица1_113[[#This Row],[Марка]],Таблица13[#All],2,0)</f>
        <v>Business</v>
      </c>
      <c r="AG1116">
        <f>VLOOKUP(Таблица1_113[[#This Row],[Марка]],Таблица13[#All],3,0)</f>
        <v>1920</v>
      </c>
      <c r="AH1116" t="str">
        <f>VLOOKUP(Таблица1_113[[#This Row],[Марка]],Таблица13[#All],5,0)</f>
        <v>Нет</v>
      </c>
      <c r="AI1116" s="12">
        <v>44440</v>
      </c>
      <c r="AJ1116">
        <v>35</v>
      </c>
    </row>
    <row r="1117" spans="30:36">
      <c r="AD1117" t="s">
        <v>5</v>
      </c>
      <c r="AE1117" t="str">
        <f>VLOOKUP(Таблица1_113[[#This Row],[Марка]],Таблица13[#All],4,0)</f>
        <v>Япония</v>
      </c>
      <c r="AF1117" t="str">
        <f>VLOOKUP(Таблица1_113[[#This Row],[Марка]],Таблица13[#All],2,0)</f>
        <v>Luxury</v>
      </c>
      <c r="AG1117">
        <f>VLOOKUP(Таблица1_113[[#This Row],[Марка]],Таблица13[#All],3,0)</f>
        <v>1989</v>
      </c>
      <c r="AH1117" t="str">
        <f>VLOOKUP(Таблица1_113[[#This Row],[Марка]],Таблица13[#All],5,0)</f>
        <v>Нет</v>
      </c>
      <c r="AI1117" s="12">
        <v>44440</v>
      </c>
      <c r="AJ1117">
        <v>224</v>
      </c>
    </row>
    <row r="1118" spans="30:36">
      <c r="AD1118" t="s">
        <v>35</v>
      </c>
      <c r="AE1118" t="str">
        <f>VLOOKUP(Таблица1_113[[#This Row],[Марка]],Таблица13[#All],4,0)</f>
        <v>Великобритания</v>
      </c>
      <c r="AF1118" t="str">
        <f>VLOOKUP(Таблица1_113[[#This Row],[Марка]],Таблица13[#All],2,0)</f>
        <v>Luxury</v>
      </c>
      <c r="AG1118">
        <f>VLOOKUP(Таблица1_113[[#This Row],[Марка]],Таблица13[#All],3,0)</f>
        <v>1948</v>
      </c>
      <c r="AH1118" t="str">
        <f>VLOOKUP(Таблица1_113[[#This Row],[Марка]],Таблица13[#All],5,0)</f>
        <v>Нет</v>
      </c>
      <c r="AI1118" s="12">
        <v>44440</v>
      </c>
      <c r="AJ1118">
        <v>19</v>
      </c>
    </row>
    <row r="1119" spans="30:36">
      <c r="AD1119" t="s">
        <v>19</v>
      </c>
      <c r="AE1119" t="str">
        <f>VLOOKUP(Таблица1_113[[#This Row],[Марка]],Таблица13[#All],4,0)</f>
        <v>Россия</v>
      </c>
      <c r="AF1119" t="str">
        <f>VLOOKUP(Таблица1_113[[#This Row],[Марка]],Таблица13[#All],2,0)</f>
        <v>Economy</v>
      </c>
      <c r="AG1119">
        <f>VLOOKUP(Таблица1_113[[#This Row],[Марка]],Таблица13[#All],3,0)</f>
        <v>1970</v>
      </c>
      <c r="AH1119" t="str">
        <f>VLOOKUP(Таблица1_113[[#This Row],[Марка]],Таблица13[#All],5,0)</f>
        <v>Крупноузловая</v>
      </c>
      <c r="AI1119" s="12">
        <v>44440</v>
      </c>
      <c r="AJ1119">
        <v>822</v>
      </c>
    </row>
    <row r="1120" spans="30:36">
      <c r="AD1120" t="s">
        <v>15</v>
      </c>
      <c r="AE1120" t="str">
        <f>VLOOKUP(Таблица1_113[[#This Row],[Марка]],Таблица13[#All],4,0)</f>
        <v>Корея</v>
      </c>
      <c r="AF1120" t="str">
        <f>VLOOKUP(Таблица1_113[[#This Row],[Марка]],Таблица13[#All],2,0)</f>
        <v>Economy</v>
      </c>
      <c r="AG1120">
        <f>VLOOKUP(Таблица1_113[[#This Row],[Марка]],Таблица13[#All],3,0)</f>
        <v>1944</v>
      </c>
      <c r="AH1120" t="str">
        <f>VLOOKUP(Таблица1_113[[#This Row],[Марка]],Таблица13[#All],5,0)</f>
        <v>Крупноузловая</v>
      </c>
      <c r="AI1120" s="12">
        <v>44440</v>
      </c>
      <c r="AJ1120">
        <v>842</v>
      </c>
    </row>
    <row r="1121" spans="30:36">
      <c r="AD1121" t="s">
        <v>134</v>
      </c>
      <c r="AE1121" t="str">
        <f>VLOOKUP(Таблица1_113[[#This Row],[Марка]],Таблица13[#All],4,0)</f>
        <v>Великобритания</v>
      </c>
      <c r="AF1121" t="str">
        <f>VLOOKUP(Таблица1_113[[#This Row],[Марка]],Таблица13[#All],2,0)</f>
        <v>Luxury</v>
      </c>
      <c r="AG1121">
        <f>VLOOKUP(Таблица1_113[[#This Row],[Марка]],Таблица13[#All],3,0)</f>
        <v>1922</v>
      </c>
      <c r="AH1121" t="str">
        <f>VLOOKUP(Таблица1_113[[#This Row],[Марка]],Таблица13[#All],5,0)</f>
        <v>Нет</v>
      </c>
      <c r="AI1121" s="12">
        <v>44440</v>
      </c>
      <c r="AJ1121">
        <v>13</v>
      </c>
    </row>
    <row r="1122" spans="30:36">
      <c r="AD1122" t="s">
        <v>4</v>
      </c>
      <c r="AE1122" t="str">
        <f>VLOOKUP(Таблица1_113[[#This Row],[Марка]],Таблица13[#All],4,0)</f>
        <v>Китай</v>
      </c>
      <c r="AF1122" t="str">
        <f>VLOOKUP(Таблица1_113[[#This Row],[Марка]],Таблица13[#All],2,0)</f>
        <v>Economy</v>
      </c>
      <c r="AG1122">
        <f>VLOOKUP(Таблица1_113[[#This Row],[Марка]],Таблица13[#All],3,0)</f>
        <v>1964</v>
      </c>
      <c r="AH1122" t="str">
        <f>VLOOKUP(Таблица1_113[[#This Row],[Марка]],Таблица13[#All],5,0)</f>
        <v>Крупноузловая</v>
      </c>
      <c r="AI1122" s="12">
        <v>44440</v>
      </c>
      <c r="AJ1122">
        <v>398</v>
      </c>
    </row>
    <row r="1123" spans="30:36">
      <c r="AD1123" t="s">
        <v>140</v>
      </c>
      <c r="AE1123" t="str">
        <f>VLOOKUP(Таблица1_113[[#This Row],[Марка]],Таблица13[#All],4,0)</f>
        <v>Япония</v>
      </c>
      <c r="AF1123" t="str">
        <f>VLOOKUP(Таблица1_113[[#This Row],[Марка]],Таблица13[#All],2,0)</f>
        <v>Business</v>
      </c>
      <c r="AG1123">
        <f>VLOOKUP(Таблица1_113[[#This Row],[Марка]],Таблица13[#All],3,0)</f>
        <v>1916</v>
      </c>
      <c r="AH1123" t="str">
        <f>VLOOKUP(Таблица1_113[[#This Row],[Марка]],Таблица13[#All],5,0)</f>
        <v>Нет</v>
      </c>
      <c r="AI1123" s="12">
        <v>44440</v>
      </c>
      <c r="AJ1123">
        <v>28</v>
      </c>
    </row>
    <row r="1124" spans="30:36">
      <c r="AD1124" t="s">
        <v>34</v>
      </c>
      <c r="AE1124" t="str">
        <f>VLOOKUP(Таблица1_113[[#This Row],[Марка]],Таблица13[#All],4,0)</f>
        <v>Япония</v>
      </c>
      <c r="AF1124" t="str">
        <f>VLOOKUP(Таблица1_113[[#This Row],[Марка]],Таблица13[#All],2,0)</f>
        <v>Luxury</v>
      </c>
      <c r="AG1124">
        <f>VLOOKUP(Таблица1_113[[#This Row],[Марка]],Таблица13[#All],3,0)</f>
        <v>1989</v>
      </c>
      <c r="AH1124" t="str">
        <f>VLOOKUP(Таблица1_113[[#This Row],[Марка]],Таблица13[#All],5,0)</f>
        <v>Нет</v>
      </c>
      <c r="AI1124" s="12">
        <v>44440</v>
      </c>
      <c r="AJ1124">
        <v>46</v>
      </c>
    </row>
    <row r="1125" spans="30:36">
      <c r="AD1125" t="s">
        <v>0</v>
      </c>
      <c r="AE1125" t="str">
        <f>VLOOKUP(Таблица1_113[[#This Row],[Марка]],Таблица13[#All],4,0)</f>
        <v>Корея</v>
      </c>
      <c r="AF1125" t="str">
        <f>VLOOKUP(Таблица1_113[[#This Row],[Марка]],Таблица13[#All],2,0)</f>
        <v>Economy</v>
      </c>
      <c r="AG1125">
        <f>VLOOKUP(Таблица1_113[[#This Row],[Марка]],Таблица13[#All],3,0)</f>
        <v>1967</v>
      </c>
      <c r="AH1125" t="str">
        <f>VLOOKUP(Таблица1_113[[#This Row],[Марка]],Таблица13[#All],5,0)</f>
        <v>Крупноузловая</v>
      </c>
      <c r="AI1125" s="12">
        <v>44440</v>
      </c>
      <c r="AJ1125">
        <v>1982</v>
      </c>
    </row>
    <row r="1126" spans="30:36">
      <c r="AD1126" t="s">
        <v>6</v>
      </c>
      <c r="AE1126" t="str">
        <f>VLOOKUP(Таблица1_113[[#This Row],[Марка]],Таблица13[#All],4,0)</f>
        <v>Китай</v>
      </c>
      <c r="AF1126" t="str">
        <f>VLOOKUP(Таблица1_113[[#This Row],[Марка]],Таблица13[#All],2,0)</f>
        <v>Economy</v>
      </c>
      <c r="AG1126">
        <f>VLOOKUP(Таблица1_113[[#This Row],[Марка]],Таблица13[#All],3,0)</f>
        <v>2013</v>
      </c>
      <c r="AH1126" t="str">
        <f>VLOOKUP(Таблица1_113[[#This Row],[Марка]],Таблица13[#All],5,0)</f>
        <v>Крупноузловая</v>
      </c>
      <c r="AI1126" s="12">
        <v>44440</v>
      </c>
      <c r="AJ1126">
        <v>143</v>
      </c>
    </row>
    <row r="1127" spans="30:36">
      <c r="AD1127" t="s">
        <v>138</v>
      </c>
      <c r="AE1127" t="str">
        <f>VLOOKUP(Таблица1_113[[#This Row],[Марка]],Таблица13[#All],4,0)</f>
        <v>Корея</v>
      </c>
      <c r="AF1127" t="str">
        <f>VLOOKUP(Таблица1_113[[#This Row],[Марка]],Таблица13[#All],2,0)</f>
        <v>Luxury</v>
      </c>
      <c r="AG1127">
        <f>VLOOKUP(Таблица1_113[[#This Row],[Марка]],Таблица13[#All],3,0)</f>
        <v>2015</v>
      </c>
      <c r="AH1127" t="str">
        <f>VLOOKUP(Таблица1_113[[#This Row],[Марка]],Таблица13[#All],5,0)</f>
        <v>Нет</v>
      </c>
      <c r="AI1127" s="12">
        <v>44440</v>
      </c>
      <c r="AJ1127">
        <v>2</v>
      </c>
    </row>
    <row r="1128" spans="30:36">
      <c r="AD1128" t="s">
        <v>129</v>
      </c>
      <c r="AE1128" t="str">
        <f>VLOOKUP(Таблица1_113[[#This Row],[Марка]],Таблица13[#All],4,0)</f>
        <v>Китай</v>
      </c>
      <c r="AF1128" t="str">
        <f>VLOOKUP(Таблица1_113[[#This Row],[Марка]],Таблица13[#All],2,0)</f>
        <v>Economy</v>
      </c>
      <c r="AG1128">
        <f>VLOOKUP(Таблица1_113[[#This Row],[Марка]],Таблица13[#All],3,0)</f>
        <v>1953</v>
      </c>
      <c r="AH1128" t="str">
        <f>VLOOKUP(Таблица1_113[[#This Row],[Марка]],Таблица13[#All],5,0)</f>
        <v>Нет</v>
      </c>
      <c r="AI1128" s="12">
        <v>44440</v>
      </c>
      <c r="AJ1128">
        <v>0</v>
      </c>
    </row>
    <row r="1129" spans="30:36">
      <c r="AD1129" t="s">
        <v>130</v>
      </c>
      <c r="AE1129" t="str">
        <f>VLOOKUP(Таблица1_113[[#This Row],[Марка]],Таблица13[#All],4,0)</f>
        <v>Китай</v>
      </c>
      <c r="AF1129" t="str">
        <f>VLOOKUP(Таблица1_113[[#This Row],[Марка]],Таблица13[#All],2,0)</f>
        <v>Economy</v>
      </c>
      <c r="AG1129">
        <f>VLOOKUP(Таблица1_113[[#This Row],[Марка]],Таблица13[#All],3,0)</f>
        <v>1969</v>
      </c>
      <c r="AH1129" t="str">
        <f>VLOOKUP(Таблица1_113[[#This Row],[Марка]],Таблица13[#All],5,0)</f>
        <v>Нет</v>
      </c>
      <c r="AI1129" s="12">
        <v>44440</v>
      </c>
      <c r="AJ1129">
        <v>6</v>
      </c>
    </row>
    <row r="1130" spans="30:36">
      <c r="AD1130" t="s">
        <v>137</v>
      </c>
      <c r="AE1130" t="str">
        <f>VLOOKUP(Таблица1_113[[#This Row],[Марка]],Таблица13[#All],4,0)</f>
        <v>Корея</v>
      </c>
      <c r="AF1130" t="str">
        <f>VLOOKUP(Таблица1_113[[#This Row],[Марка]],Таблица13[#All],2,0)</f>
        <v>Economy</v>
      </c>
      <c r="AG1130">
        <f>VLOOKUP(Таблица1_113[[#This Row],[Марка]],Таблица13[#All],3,0)</f>
        <v>1967</v>
      </c>
      <c r="AH1130" t="str">
        <f>VLOOKUP(Таблица1_113[[#This Row],[Марка]],Таблица13[#All],5,0)</f>
        <v>Нет</v>
      </c>
      <c r="AI1130" s="12">
        <v>44440</v>
      </c>
      <c r="AJ1130">
        <v>0</v>
      </c>
    </row>
    <row r="1131" spans="30:36">
      <c r="AD1131" t="s">
        <v>1</v>
      </c>
      <c r="AE1131" t="str">
        <f>VLOOKUP(Таблица1_113[[#This Row],[Марка]],Таблица13[#All],4,0)</f>
        <v>США</v>
      </c>
      <c r="AF1131" t="str">
        <f>VLOOKUP(Таблица1_113[[#This Row],[Марка]],Таблица13[#All],2,0)</f>
        <v>Economy</v>
      </c>
      <c r="AG1131">
        <f>VLOOKUP(Таблица1_113[[#This Row],[Марка]],Таблица13[#All],3,0)</f>
        <v>1911</v>
      </c>
      <c r="AH1131" t="str">
        <f>VLOOKUP(Таблица1_113[[#This Row],[Марка]],Таблица13[#All],5,0)</f>
        <v>Крупноузловая</v>
      </c>
      <c r="AI1131" s="12">
        <v>44440</v>
      </c>
      <c r="AJ1131">
        <v>2327</v>
      </c>
    </row>
    <row r="1132" spans="30:36">
      <c r="AD1132" t="s">
        <v>3</v>
      </c>
      <c r="AE1132" t="str">
        <f>VLOOKUP(Таблица1_113[[#This Row],[Марка]],Таблица13[#All],4,0)</f>
        <v>Китай</v>
      </c>
      <c r="AF1132" t="str">
        <f>VLOOKUP(Таблица1_113[[#This Row],[Марка]],Таблица13[#All],2,0)</f>
        <v>Economy</v>
      </c>
      <c r="AG1132">
        <f>VLOOKUP(Таблица1_113[[#This Row],[Марка]],Таблица13[#All],3,0)</f>
        <v>1997</v>
      </c>
      <c r="AH1132" t="str">
        <f>VLOOKUP(Таблица1_113[[#This Row],[Марка]],Таблица13[#All],5,0)</f>
        <v>Крупноузловая</v>
      </c>
      <c r="AI1132" s="12">
        <v>44440</v>
      </c>
      <c r="AJ1132">
        <v>0</v>
      </c>
    </row>
    <row r="1133" spans="30:36">
      <c r="AD1133" t="s">
        <v>36</v>
      </c>
      <c r="AE1133" t="str">
        <f>VLOOKUP(Таблица1_113[[#This Row],[Марка]],Таблица13[#All],4,0)</f>
        <v>США</v>
      </c>
      <c r="AF1133" t="str">
        <f>VLOOKUP(Таблица1_113[[#This Row],[Марка]],Таблица13[#All],2,0)</f>
        <v>Luxury</v>
      </c>
      <c r="AG1133">
        <f>VLOOKUP(Таблица1_113[[#This Row],[Марка]],Таблица13[#All],3,0)</f>
        <v>1902</v>
      </c>
      <c r="AH1133" t="str">
        <f>VLOOKUP(Таблица1_113[[#This Row],[Марка]],Таблица13[#All],5,0)</f>
        <v>Нет</v>
      </c>
      <c r="AI1133" s="12">
        <v>44440</v>
      </c>
      <c r="AJ1133">
        <v>33</v>
      </c>
    </row>
    <row r="1134" spans="30:36">
      <c r="AD1134" t="s">
        <v>8</v>
      </c>
      <c r="AE1134" t="str">
        <f>VLOOKUP(Таблица1_113[[#This Row],[Марка]],Таблица13[#All],4,0)</f>
        <v>Германия</v>
      </c>
      <c r="AF1134" t="str">
        <f>VLOOKUP(Таблица1_113[[#This Row],[Марка]],Таблица13[#All],2,0)</f>
        <v>Luxury</v>
      </c>
      <c r="AG1134">
        <f>VLOOKUP(Таблица1_113[[#This Row],[Марка]],Таблица13[#All],3,0)</f>
        <v>1916</v>
      </c>
      <c r="AH1134" t="str">
        <f>VLOOKUP(Таблица1_113[[#This Row],[Марка]],Таблица13[#All],5,0)</f>
        <v>Нет</v>
      </c>
      <c r="AI1134" s="12">
        <v>44440</v>
      </c>
      <c r="AJ1134">
        <v>143</v>
      </c>
    </row>
    <row r="1135" spans="30:36">
      <c r="AD1135" t="s">
        <v>38</v>
      </c>
      <c r="AE1135" t="str">
        <f>VLOOKUP(Таблица1_113[[#This Row],[Марка]],Таблица13[#All],4,0)</f>
        <v>Германия</v>
      </c>
      <c r="AF1135" t="str">
        <f>VLOOKUP(Таблица1_113[[#This Row],[Марка]],Таблица13[#All],2,0)</f>
        <v>Luxury</v>
      </c>
      <c r="AG1135">
        <f>VLOOKUP(Таблица1_113[[#This Row],[Марка]],Таблица13[#All],3,0)</f>
        <v>1932</v>
      </c>
      <c r="AH1135" t="str">
        <f>VLOOKUP(Таблица1_113[[#This Row],[Марка]],Таблица13[#All],5,0)</f>
        <v>Нет</v>
      </c>
      <c r="AI1135" s="12">
        <v>44440</v>
      </c>
      <c r="AJ1135">
        <v>23</v>
      </c>
    </row>
    <row r="1136" spans="30:36">
      <c r="AD1136" t="s">
        <v>136</v>
      </c>
      <c r="AE1136" t="str">
        <f>VLOOKUP(Таблица1_113[[#This Row],[Марка]],Таблица13[#All],4,0)</f>
        <v>Россия</v>
      </c>
      <c r="AF1136" t="str">
        <f>VLOOKUP(Таблица1_113[[#This Row],[Марка]],Таблица13[#All],2,0)</f>
        <v>Economy</v>
      </c>
      <c r="AG1136">
        <f>VLOOKUP(Таблица1_113[[#This Row],[Марка]],Таблица13[#All],3,0)</f>
        <v>1941</v>
      </c>
      <c r="AH1136" t="str">
        <f>VLOOKUP(Таблица1_113[[#This Row],[Марка]],Таблица13[#All],5,0)</f>
        <v>Нет</v>
      </c>
      <c r="AI1136" s="12">
        <v>44470</v>
      </c>
      <c r="AJ1136">
        <v>140</v>
      </c>
    </row>
    <row r="1137" spans="30:36">
      <c r="AD1137" t="s">
        <v>135</v>
      </c>
      <c r="AE1137" t="str">
        <f>VLOOKUP(Таблица1_113[[#This Row],[Марка]],Таблица13[#All],4,0)</f>
        <v>-</v>
      </c>
      <c r="AF1137" t="str">
        <f>VLOOKUP(Таблица1_113[[#This Row],[Марка]],Таблица13[#All],2,0)</f>
        <v>-</v>
      </c>
      <c r="AG1137" t="str">
        <f>VLOOKUP(Таблица1_113[[#This Row],[Марка]],Таблица13[#All],3,0)</f>
        <v>-</v>
      </c>
      <c r="AH1137" t="str">
        <f>VLOOKUP(Таблица1_113[[#This Row],[Марка]],Таблица13[#All],5,0)</f>
        <v>-</v>
      </c>
      <c r="AI1137" s="12">
        <v>44470</v>
      </c>
      <c r="AJ1137">
        <v>74</v>
      </c>
    </row>
    <row r="1138" spans="30:36">
      <c r="AD1138" t="s">
        <v>39</v>
      </c>
      <c r="AE1138" t="str">
        <f>VLOOKUP(Таблица1_113[[#This Row],[Марка]],Таблица13[#All],4,0)</f>
        <v>Швеция</v>
      </c>
      <c r="AF1138" t="str">
        <f>VLOOKUP(Таблица1_113[[#This Row],[Марка]],Таблица13[#All],2,0)</f>
        <v>Business</v>
      </c>
      <c r="AG1138">
        <f>VLOOKUP(Таблица1_113[[#This Row],[Марка]],Таблица13[#All],3,0)</f>
        <v>1927</v>
      </c>
      <c r="AH1138" t="str">
        <f>VLOOKUP(Таблица1_113[[#This Row],[Марка]],Таблица13[#All],5,0)</f>
        <v>Нет</v>
      </c>
      <c r="AI1138" s="12">
        <v>44470</v>
      </c>
      <c r="AJ1138">
        <v>16</v>
      </c>
    </row>
    <row r="1139" spans="30:36">
      <c r="AD1139" t="s">
        <v>21</v>
      </c>
      <c r="AE1139" t="str">
        <f>VLOOKUP(Таблица1_113[[#This Row],[Марка]],Таблица13[#All],4,0)</f>
        <v>Германия</v>
      </c>
      <c r="AF1139" t="str">
        <f>VLOOKUP(Таблица1_113[[#This Row],[Марка]],Таблица13[#All],2,0)</f>
        <v>Business</v>
      </c>
      <c r="AG1139">
        <f>VLOOKUP(Таблица1_113[[#This Row],[Марка]],Таблица13[#All],3,0)</f>
        <v>1937</v>
      </c>
      <c r="AH1139" t="str">
        <f>VLOOKUP(Таблица1_113[[#This Row],[Марка]],Таблица13[#All],5,0)</f>
        <v>Нет</v>
      </c>
      <c r="AI1139" s="12">
        <v>44470</v>
      </c>
      <c r="AJ1139">
        <v>344</v>
      </c>
    </row>
    <row r="1140" spans="30:36">
      <c r="AD1140" t="s">
        <v>2</v>
      </c>
      <c r="AE1140" t="str">
        <f>VLOOKUP(Таблица1_113[[#This Row],[Марка]],Таблица13[#All],4,0)</f>
        <v>Япония</v>
      </c>
      <c r="AF1140" t="str">
        <f>VLOOKUP(Таблица1_113[[#This Row],[Марка]],Таблица13[#All],2,0)</f>
        <v>Business</v>
      </c>
      <c r="AG1140">
        <f>VLOOKUP(Таблица1_113[[#This Row],[Марка]],Таблица13[#All],3,0)</f>
        <v>1937</v>
      </c>
      <c r="AH1140" t="str">
        <f>VLOOKUP(Таблица1_113[[#This Row],[Марка]],Таблица13[#All],5,0)</f>
        <v>Нет</v>
      </c>
      <c r="AI1140" s="12">
        <v>44470</v>
      </c>
      <c r="AJ1140">
        <v>1076</v>
      </c>
    </row>
    <row r="1141" spans="30:36">
      <c r="AD1141" t="s">
        <v>125</v>
      </c>
      <c r="AE1141" t="str">
        <f>VLOOKUP(Таблица1_113[[#This Row],[Марка]],Таблица13[#All],4,0)</f>
        <v>Япония</v>
      </c>
      <c r="AF1141" t="str">
        <f>VLOOKUP(Таблица1_113[[#This Row],[Марка]],Таблица13[#All],2,0)</f>
        <v>Business</v>
      </c>
      <c r="AG1141">
        <f>VLOOKUP(Таблица1_113[[#This Row],[Марка]],Таблица13[#All],3,0)</f>
        <v>1953</v>
      </c>
      <c r="AH1141" t="str">
        <f>VLOOKUP(Таблица1_113[[#This Row],[Марка]],Таблица13[#All],5,0)</f>
        <v>Нет</v>
      </c>
      <c r="AI1141" s="12">
        <v>44470</v>
      </c>
      <c r="AJ1141">
        <v>108</v>
      </c>
    </row>
    <row r="1142" spans="30:36">
      <c r="AD1142" t="s">
        <v>141</v>
      </c>
      <c r="AE1142" t="str">
        <f>VLOOKUP(Таблица1_113[[#This Row],[Марка]],Таблица13[#All],4,0)</f>
        <v>Чехия</v>
      </c>
      <c r="AF1142" t="str">
        <f>VLOOKUP(Таблица1_113[[#This Row],[Марка]],Таблица13[#All],2,0)</f>
        <v>Business</v>
      </c>
      <c r="AG1142">
        <f>VLOOKUP(Таблица1_113[[#This Row],[Марка]],Таблица13[#All],3,0)</f>
        <v>1895</v>
      </c>
      <c r="AH1142" t="str">
        <f>VLOOKUP(Таблица1_113[[#This Row],[Марка]],Таблица13[#All],5,0)</f>
        <v>Крупноузловая</v>
      </c>
      <c r="AI1142" s="12">
        <v>44470</v>
      </c>
      <c r="AJ1142">
        <v>0</v>
      </c>
    </row>
    <row r="1143" spans="30:36">
      <c r="AD1143" t="s">
        <v>23</v>
      </c>
      <c r="AE1143" t="str">
        <f>VLOOKUP(Таблица1_113[[#This Row],[Марка]],Таблица13[#All],4,0)</f>
        <v>Франция</v>
      </c>
      <c r="AF1143" t="str">
        <f>VLOOKUP(Таблица1_113[[#This Row],[Марка]],Таблица13[#All],2,0)</f>
        <v>Economy</v>
      </c>
      <c r="AG1143">
        <f>VLOOKUP(Таблица1_113[[#This Row],[Марка]],Таблица13[#All],3,0)</f>
        <v>1899</v>
      </c>
      <c r="AH1143" t="str">
        <f>VLOOKUP(Таблица1_113[[#This Row],[Марка]],Таблица13[#All],5,0)</f>
        <v>Крупноузловая</v>
      </c>
      <c r="AI1143" s="12">
        <v>44470</v>
      </c>
      <c r="AJ1143">
        <v>270</v>
      </c>
    </row>
    <row r="1144" spans="30:36">
      <c r="AD1144" t="s">
        <v>142</v>
      </c>
      <c r="AE1144" t="str">
        <f>VLOOKUP(Таблица1_113[[#This Row],[Марка]],Таблица13[#All],4,0)</f>
        <v>Узбекистан</v>
      </c>
      <c r="AF1144" t="str">
        <f>VLOOKUP(Таблица1_113[[#This Row],[Марка]],Таблица13[#All],2,0)</f>
        <v>Economy</v>
      </c>
      <c r="AG1144">
        <f>VLOOKUP(Таблица1_113[[#This Row],[Марка]],Таблица13[#All],3,0)</f>
        <v>2015</v>
      </c>
      <c r="AH1144" t="str">
        <f>VLOOKUP(Таблица1_113[[#This Row],[Марка]],Таблица13[#All],5,0)</f>
        <v>Крупноузловая</v>
      </c>
      <c r="AI1144" s="12">
        <v>44470</v>
      </c>
      <c r="AJ1144">
        <v>0</v>
      </c>
    </row>
    <row r="1145" spans="30:36">
      <c r="AD1145" t="s">
        <v>37</v>
      </c>
      <c r="AE1145" t="str">
        <f>VLOOKUP(Таблица1_113[[#This Row],[Марка]],Таблица13[#All],4,0)</f>
        <v>Германия</v>
      </c>
      <c r="AF1145" t="str">
        <f>VLOOKUP(Таблица1_113[[#This Row],[Марка]],Таблица13[#All],2,0)</f>
        <v>Luxury</v>
      </c>
      <c r="AG1145">
        <f>VLOOKUP(Таблица1_113[[#This Row],[Марка]],Таблица13[#All],3,0)</f>
        <v>1931</v>
      </c>
      <c r="AH1145" t="str">
        <f>VLOOKUP(Таблица1_113[[#This Row],[Марка]],Таблица13[#All],5,0)</f>
        <v>Нет</v>
      </c>
      <c r="AI1145" s="12">
        <v>44470</v>
      </c>
      <c r="AJ1145">
        <v>3</v>
      </c>
    </row>
    <row r="1146" spans="30:36">
      <c r="AD1146" t="s">
        <v>22</v>
      </c>
      <c r="AE1146" t="str">
        <f>VLOOKUP(Таблица1_113[[#This Row],[Марка]],Таблица13[#All],4,0)</f>
        <v>Япония</v>
      </c>
      <c r="AF1146" t="str">
        <f>VLOOKUP(Таблица1_113[[#This Row],[Марка]],Таблица13[#All],2,0)</f>
        <v>Business</v>
      </c>
      <c r="AG1146">
        <f>VLOOKUP(Таблица1_113[[#This Row],[Марка]],Таблица13[#All],3,0)</f>
        <v>1933</v>
      </c>
      <c r="AH1146" t="str">
        <f>VLOOKUP(Таблица1_113[[#This Row],[Марка]],Таблица13[#All],5,0)</f>
        <v>Нет</v>
      </c>
      <c r="AI1146" s="12">
        <v>44470</v>
      </c>
      <c r="AJ1146">
        <v>405</v>
      </c>
    </row>
    <row r="1147" spans="30:36">
      <c r="AD1147" t="s">
        <v>9</v>
      </c>
      <c r="AE1147" t="str">
        <f>VLOOKUP(Таблица1_113[[#This Row],[Марка]],Таблица13[#All],4,0)</f>
        <v>Япония</v>
      </c>
      <c r="AF1147" t="str">
        <f>VLOOKUP(Таблица1_113[[#This Row],[Марка]],Таблица13[#All],2,0)</f>
        <v>Business</v>
      </c>
      <c r="AG1147">
        <f>VLOOKUP(Таблица1_113[[#This Row],[Марка]],Таблица13[#All],3,0)</f>
        <v>1870</v>
      </c>
      <c r="AH1147" t="str">
        <f>VLOOKUP(Таблица1_113[[#This Row],[Марка]],Таблица13[#All],5,0)</f>
        <v>Нет</v>
      </c>
      <c r="AI1147" s="12">
        <v>44470</v>
      </c>
      <c r="AJ1147">
        <v>118</v>
      </c>
    </row>
    <row r="1148" spans="30:36">
      <c r="AD1148" t="s">
        <v>40</v>
      </c>
      <c r="AE1148" t="str">
        <f>VLOOKUP(Таблица1_113[[#This Row],[Марка]],Таблица13[#All],4,0)</f>
        <v>Великобритания</v>
      </c>
      <c r="AF1148" t="str">
        <f>VLOOKUP(Таблица1_113[[#This Row],[Марка]],Таблица13[#All],2,0)</f>
        <v>Luxury</v>
      </c>
      <c r="AG1148">
        <f>VLOOKUP(Таблица1_113[[#This Row],[Марка]],Таблица13[#All],3,0)</f>
        <v>1959</v>
      </c>
      <c r="AH1148" t="str">
        <f>VLOOKUP(Таблица1_113[[#This Row],[Марка]],Таблица13[#All],5,0)</f>
        <v>Нет</v>
      </c>
      <c r="AI1148" s="12">
        <v>44470</v>
      </c>
      <c r="AJ1148">
        <v>0</v>
      </c>
    </row>
    <row r="1149" spans="30:36">
      <c r="AD1149" t="s">
        <v>128</v>
      </c>
      <c r="AE1149" t="str">
        <f>VLOOKUP(Таблица1_113[[#This Row],[Марка]],Таблица13[#All],4,0)</f>
        <v>Германия</v>
      </c>
      <c r="AF1149" t="str">
        <f>VLOOKUP(Таблица1_113[[#This Row],[Марка]],Таблица13[#All],2,0)</f>
        <v>Luxury</v>
      </c>
      <c r="AG1149">
        <f>VLOOKUP(Таблица1_113[[#This Row],[Марка]],Таблица13[#All],3,0)</f>
        <v>1926</v>
      </c>
      <c r="AH1149" t="str">
        <f>VLOOKUP(Таблица1_113[[#This Row],[Марка]],Таблица13[#All],5,0)</f>
        <v>Нет</v>
      </c>
      <c r="AI1149" s="12">
        <v>44470</v>
      </c>
      <c r="AJ1149">
        <v>34</v>
      </c>
    </row>
    <row r="1150" spans="30:36">
      <c r="AD1150" t="s">
        <v>139</v>
      </c>
      <c r="AE1150" t="str">
        <f>VLOOKUP(Таблица1_113[[#This Row],[Марка]],Таблица13[#All],4,0)</f>
        <v>Япония</v>
      </c>
      <c r="AF1150" t="str">
        <f>VLOOKUP(Таблица1_113[[#This Row],[Марка]],Таблица13[#All],2,0)</f>
        <v>Business</v>
      </c>
      <c r="AG1150">
        <f>VLOOKUP(Таблица1_113[[#This Row],[Марка]],Таблица13[#All],3,0)</f>
        <v>1920</v>
      </c>
      <c r="AH1150" t="str">
        <f>VLOOKUP(Таблица1_113[[#This Row],[Марка]],Таблица13[#All],5,0)</f>
        <v>Нет</v>
      </c>
      <c r="AI1150" s="12">
        <v>44470</v>
      </c>
      <c r="AJ1150">
        <v>75</v>
      </c>
    </row>
    <row r="1151" spans="30:36">
      <c r="AD1151" t="s">
        <v>5</v>
      </c>
      <c r="AE1151" t="str">
        <f>VLOOKUP(Таблица1_113[[#This Row],[Марка]],Таблица13[#All],4,0)</f>
        <v>Япония</v>
      </c>
      <c r="AF1151" t="str">
        <f>VLOOKUP(Таблица1_113[[#This Row],[Марка]],Таблица13[#All],2,0)</f>
        <v>Luxury</v>
      </c>
      <c r="AG1151">
        <f>VLOOKUP(Таблица1_113[[#This Row],[Марка]],Таблица13[#All],3,0)</f>
        <v>1989</v>
      </c>
      <c r="AH1151" t="str">
        <f>VLOOKUP(Таблица1_113[[#This Row],[Марка]],Таблица13[#All],5,0)</f>
        <v>Нет</v>
      </c>
      <c r="AI1151" s="12">
        <v>44470</v>
      </c>
      <c r="AJ1151">
        <v>215</v>
      </c>
    </row>
    <row r="1152" spans="30:36">
      <c r="AD1152" t="s">
        <v>35</v>
      </c>
      <c r="AE1152" t="str">
        <f>VLOOKUP(Таблица1_113[[#This Row],[Марка]],Таблица13[#All],4,0)</f>
        <v>Великобритания</v>
      </c>
      <c r="AF1152" t="str">
        <f>VLOOKUP(Таблица1_113[[#This Row],[Марка]],Таблица13[#All],2,0)</f>
        <v>Luxury</v>
      </c>
      <c r="AG1152">
        <f>VLOOKUP(Таблица1_113[[#This Row],[Марка]],Таблица13[#All],3,0)</f>
        <v>1948</v>
      </c>
      <c r="AH1152" t="str">
        <f>VLOOKUP(Таблица1_113[[#This Row],[Марка]],Таблица13[#All],5,0)</f>
        <v>Нет</v>
      </c>
      <c r="AI1152" s="12">
        <v>44470</v>
      </c>
      <c r="AJ1152">
        <v>21</v>
      </c>
    </row>
    <row r="1153" spans="30:36">
      <c r="AD1153" t="s">
        <v>19</v>
      </c>
      <c r="AE1153" t="str">
        <f>VLOOKUP(Таблица1_113[[#This Row],[Марка]],Таблица13[#All],4,0)</f>
        <v>Россия</v>
      </c>
      <c r="AF1153" t="str">
        <f>VLOOKUP(Таблица1_113[[#This Row],[Марка]],Таблица13[#All],2,0)</f>
        <v>Economy</v>
      </c>
      <c r="AG1153">
        <f>VLOOKUP(Таблица1_113[[#This Row],[Марка]],Таблица13[#All],3,0)</f>
        <v>1970</v>
      </c>
      <c r="AH1153" t="str">
        <f>VLOOKUP(Таблица1_113[[#This Row],[Марка]],Таблица13[#All],5,0)</f>
        <v>Крупноузловая</v>
      </c>
      <c r="AI1153" s="12">
        <v>44470</v>
      </c>
      <c r="AJ1153">
        <v>1003</v>
      </c>
    </row>
    <row r="1154" spans="30:36">
      <c r="AD1154" t="s">
        <v>15</v>
      </c>
      <c r="AE1154" t="str">
        <f>VLOOKUP(Таблица1_113[[#This Row],[Марка]],Таблица13[#All],4,0)</f>
        <v>Корея</v>
      </c>
      <c r="AF1154" t="str">
        <f>VLOOKUP(Таблица1_113[[#This Row],[Марка]],Таблица13[#All],2,0)</f>
        <v>Economy</v>
      </c>
      <c r="AG1154">
        <f>VLOOKUP(Таблица1_113[[#This Row],[Марка]],Таблица13[#All],3,0)</f>
        <v>1944</v>
      </c>
      <c r="AH1154" t="str">
        <f>VLOOKUP(Таблица1_113[[#This Row],[Марка]],Таблица13[#All],5,0)</f>
        <v>Крупноузловая</v>
      </c>
      <c r="AI1154" s="12">
        <v>44470</v>
      </c>
      <c r="AJ1154">
        <v>871</v>
      </c>
    </row>
    <row r="1155" spans="30:36">
      <c r="AD1155" t="s">
        <v>134</v>
      </c>
      <c r="AE1155" t="str">
        <f>VLOOKUP(Таблица1_113[[#This Row],[Марка]],Таблица13[#All],4,0)</f>
        <v>Великобритания</v>
      </c>
      <c r="AF1155" t="str">
        <f>VLOOKUP(Таблица1_113[[#This Row],[Марка]],Таблица13[#All],2,0)</f>
        <v>Luxury</v>
      </c>
      <c r="AG1155">
        <f>VLOOKUP(Таблица1_113[[#This Row],[Марка]],Таблица13[#All],3,0)</f>
        <v>1922</v>
      </c>
      <c r="AH1155" t="str">
        <f>VLOOKUP(Таблица1_113[[#This Row],[Марка]],Таблица13[#All],5,0)</f>
        <v>Нет</v>
      </c>
      <c r="AI1155" s="12">
        <v>44470</v>
      </c>
      <c r="AJ1155">
        <v>42</v>
      </c>
    </row>
    <row r="1156" spans="30:36">
      <c r="AD1156" t="s">
        <v>4</v>
      </c>
      <c r="AE1156" t="str">
        <f>VLOOKUP(Таблица1_113[[#This Row],[Марка]],Таблица13[#All],4,0)</f>
        <v>Китай</v>
      </c>
      <c r="AF1156" t="str">
        <f>VLOOKUP(Таблица1_113[[#This Row],[Марка]],Таблица13[#All],2,0)</f>
        <v>Economy</v>
      </c>
      <c r="AG1156">
        <f>VLOOKUP(Таблица1_113[[#This Row],[Марка]],Таблица13[#All],3,0)</f>
        <v>1964</v>
      </c>
      <c r="AH1156" t="str">
        <f>VLOOKUP(Таблица1_113[[#This Row],[Марка]],Таблица13[#All],5,0)</f>
        <v>Крупноузловая</v>
      </c>
      <c r="AI1156" s="12">
        <v>44470</v>
      </c>
      <c r="AJ1156">
        <v>693</v>
      </c>
    </row>
    <row r="1157" spans="30:36">
      <c r="AD1157" t="s">
        <v>140</v>
      </c>
      <c r="AE1157" t="str">
        <f>VLOOKUP(Таблица1_113[[#This Row],[Марка]],Таблица13[#All],4,0)</f>
        <v>Япония</v>
      </c>
      <c r="AF1157" t="str">
        <f>VLOOKUP(Таблица1_113[[#This Row],[Марка]],Таблица13[#All],2,0)</f>
        <v>Business</v>
      </c>
      <c r="AG1157">
        <f>VLOOKUP(Таблица1_113[[#This Row],[Марка]],Таблица13[#All],3,0)</f>
        <v>1916</v>
      </c>
      <c r="AH1157" t="str">
        <f>VLOOKUP(Таблица1_113[[#This Row],[Марка]],Таблица13[#All],5,0)</f>
        <v>Нет</v>
      </c>
      <c r="AI1157" s="12">
        <v>44470</v>
      </c>
      <c r="AJ1157">
        <v>26</v>
      </c>
    </row>
    <row r="1158" spans="30:36">
      <c r="AD1158" t="s">
        <v>34</v>
      </c>
      <c r="AE1158" t="str">
        <f>VLOOKUP(Таблица1_113[[#This Row],[Марка]],Таблица13[#All],4,0)</f>
        <v>Япония</v>
      </c>
      <c r="AF1158" t="str">
        <f>VLOOKUP(Таблица1_113[[#This Row],[Марка]],Таблица13[#All],2,0)</f>
        <v>Luxury</v>
      </c>
      <c r="AG1158">
        <f>VLOOKUP(Таблица1_113[[#This Row],[Марка]],Таблица13[#All],3,0)</f>
        <v>1989</v>
      </c>
      <c r="AH1158" t="str">
        <f>VLOOKUP(Таблица1_113[[#This Row],[Марка]],Таблица13[#All],5,0)</f>
        <v>Нет</v>
      </c>
      <c r="AI1158" s="12">
        <v>44470</v>
      </c>
      <c r="AJ1158">
        <v>33</v>
      </c>
    </row>
    <row r="1159" spans="30:36">
      <c r="AD1159" t="s">
        <v>0</v>
      </c>
      <c r="AE1159" t="str">
        <f>VLOOKUP(Таблица1_113[[#This Row],[Марка]],Таблица13[#All],4,0)</f>
        <v>Корея</v>
      </c>
      <c r="AF1159" t="str">
        <f>VLOOKUP(Таблица1_113[[#This Row],[Марка]],Таблица13[#All],2,0)</f>
        <v>Economy</v>
      </c>
      <c r="AG1159">
        <f>VLOOKUP(Таблица1_113[[#This Row],[Марка]],Таблица13[#All],3,0)</f>
        <v>1967</v>
      </c>
      <c r="AH1159" t="str">
        <f>VLOOKUP(Таблица1_113[[#This Row],[Марка]],Таблица13[#All],5,0)</f>
        <v>Крупноузловая</v>
      </c>
      <c r="AI1159" s="12">
        <v>44470</v>
      </c>
      <c r="AJ1159">
        <v>2364</v>
      </c>
    </row>
    <row r="1160" spans="30:36">
      <c r="AD1160" t="s">
        <v>6</v>
      </c>
      <c r="AE1160" t="str">
        <f>VLOOKUP(Таблица1_113[[#This Row],[Марка]],Таблица13[#All],4,0)</f>
        <v>Китай</v>
      </c>
      <c r="AF1160" t="str">
        <f>VLOOKUP(Таблица1_113[[#This Row],[Марка]],Таблица13[#All],2,0)</f>
        <v>Economy</v>
      </c>
      <c r="AG1160">
        <f>VLOOKUP(Таблица1_113[[#This Row],[Марка]],Таблица13[#All],3,0)</f>
        <v>2013</v>
      </c>
      <c r="AH1160" t="str">
        <f>VLOOKUP(Таблица1_113[[#This Row],[Марка]],Таблица13[#All],5,0)</f>
        <v>Крупноузловая</v>
      </c>
      <c r="AI1160" s="12">
        <v>44470</v>
      </c>
      <c r="AJ1160">
        <v>144</v>
      </c>
    </row>
    <row r="1161" spans="30:36">
      <c r="AD1161" t="s">
        <v>138</v>
      </c>
      <c r="AE1161" t="str">
        <f>VLOOKUP(Таблица1_113[[#This Row],[Марка]],Таблица13[#All],4,0)</f>
        <v>Корея</v>
      </c>
      <c r="AF1161" t="str">
        <f>VLOOKUP(Таблица1_113[[#This Row],[Марка]],Таблица13[#All],2,0)</f>
        <v>Luxury</v>
      </c>
      <c r="AG1161">
        <f>VLOOKUP(Таблица1_113[[#This Row],[Марка]],Таблица13[#All],3,0)</f>
        <v>2015</v>
      </c>
      <c r="AH1161" t="str">
        <f>VLOOKUP(Таблица1_113[[#This Row],[Марка]],Таблица13[#All],5,0)</f>
        <v>Нет</v>
      </c>
      <c r="AI1161" s="12">
        <v>44470</v>
      </c>
      <c r="AJ1161">
        <v>0</v>
      </c>
    </row>
    <row r="1162" spans="30:36">
      <c r="AD1162" t="s">
        <v>129</v>
      </c>
      <c r="AE1162" t="str">
        <f>VLOOKUP(Таблица1_113[[#This Row],[Марка]],Таблица13[#All],4,0)</f>
        <v>Китай</v>
      </c>
      <c r="AF1162" t="str">
        <f>VLOOKUP(Таблица1_113[[#This Row],[Марка]],Таблица13[#All],2,0)</f>
        <v>Economy</v>
      </c>
      <c r="AG1162">
        <f>VLOOKUP(Таблица1_113[[#This Row],[Марка]],Таблица13[#All],3,0)</f>
        <v>1953</v>
      </c>
      <c r="AH1162" t="str">
        <f>VLOOKUP(Таблица1_113[[#This Row],[Марка]],Таблица13[#All],5,0)</f>
        <v>Нет</v>
      </c>
      <c r="AI1162" s="12">
        <v>44470</v>
      </c>
      <c r="AJ1162">
        <v>25</v>
      </c>
    </row>
    <row r="1163" spans="30:36">
      <c r="AD1163" t="s">
        <v>130</v>
      </c>
      <c r="AE1163" t="str">
        <f>VLOOKUP(Таблица1_113[[#This Row],[Марка]],Таблица13[#All],4,0)</f>
        <v>Китай</v>
      </c>
      <c r="AF1163" t="str">
        <f>VLOOKUP(Таблица1_113[[#This Row],[Марка]],Таблица13[#All],2,0)</f>
        <v>Economy</v>
      </c>
      <c r="AG1163">
        <f>VLOOKUP(Таблица1_113[[#This Row],[Марка]],Таблица13[#All],3,0)</f>
        <v>1969</v>
      </c>
      <c r="AH1163" t="str">
        <f>VLOOKUP(Таблица1_113[[#This Row],[Марка]],Таблица13[#All],5,0)</f>
        <v>Нет</v>
      </c>
      <c r="AI1163" s="12">
        <v>44470</v>
      </c>
      <c r="AJ1163">
        <v>3</v>
      </c>
    </row>
    <row r="1164" spans="30:36">
      <c r="AD1164" t="s">
        <v>137</v>
      </c>
      <c r="AE1164" t="str">
        <f>VLOOKUP(Таблица1_113[[#This Row],[Марка]],Таблица13[#All],4,0)</f>
        <v>Корея</v>
      </c>
      <c r="AF1164" t="str">
        <f>VLOOKUP(Таблица1_113[[#This Row],[Марка]],Таблица13[#All],2,0)</f>
        <v>Economy</v>
      </c>
      <c r="AG1164">
        <f>VLOOKUP(Таблица1_113[[#This Row],[Марка]],Таблица13[#All],3,0)</f>
        <v>1967</v>
      </c>
      <c r="AH1164" t="str">
        <f>VLOOKUP(Таблица1_113[[#This Row],[Марка]],Таблица13[#All],5,0)</f>
        <v>Нет</v>
      </c>
      <c r="AI1164" s="12">
        <v>44470</v>
      </c>
      <c r="AJ1164">
        <v>0</v>
      </c>
    </row>
    <row r="1165" spans="30:36">
      <c r="AD1165" t="s">
        <v>1</v>
      </c>
      <c r="AE1165" t="str">
        <f>VLOOKUP(Таблица1_113[[#This Row],[Марка]],Таблица13[#All],4,0)</f>
        <v>США</v>
      </c>
      <c r="AF1165" t="str">
        <f>VLOOKUP(Таблица1_113[[#This Row],[Марка]],Таблица13[#All],2,0)</f>
        <v>Economy</v>
      </c>
      <c r="AG1165">
        <f>VLOOKUP(Таблица1_113[[#This Row],[Марка]],Таблица13[#All],3,0)</f>
        <v>1911</v>
      </c>
      <c r="AH1165" t="str">
        <f>VLOOKUP(Таблица1_113[[#This Row],[Марка]],Таблица13[#All],5,0)</f>
        <v>Крупноузловая</v>
      </c>
      <c r="AI1165" s="12">
        <v>44470</v>
      </c>
      <c r="AJ1165">
        <v>3462</v>
      </c>
    </row>
    <row r="1166" spans="30:36">
      <c r="AD1166" t="s">
        <v>3</v>
      </c>
      <c r="AE1166" t="str">
        <f>VLOOKUP(Таблица1_113[[#This Row],[Марка]],Таблица13[#All],4,0)</f>
        <v>Китай</v>
      </c>
      <c r="AF1166" t="str">
        <f>VLOOKUP(Таблица1_113[[#This Row],[Марка]],Таблица13[#All],2,0)</f>
        <v>Economy</v>
      </c>
      <c r="AG1166">
        <f>VLOOKUP(Таблица1_113[[#This Row],[Марка]],Таблица13[#All],3,0)</f>
        <v>1997</v>
      </c>
      <c r="AH1166" t="str">
        <f>VLOOKUP(Таблица1_113[[#This Row],[Марка]],Таблица13[#All],5,0)</f>
        <v>Крупноузловая</v>
      </c>
      <c r="AI1166" s="12">
        <v>44470</v>
      </c>
      <c r="AJ1166">
        <v>0</v>
      </c>
    </row>
    <row r="1167" spans="30:36">
      <c r="AD1167" t="s">
        <v>36</v>
      </c>
      <c r="AE1167" t="str">
        <f>VLOOKUP(Таблица1_113[[#This Row],[Марка]],Таблица13[#All],4,0)</f>
        <v>США</v>
      </c>
      <c r="AF1167" t="str">
        <f>VLOOKUP(Таблица1_113[[#This Row],[Марка]],Таблица13[#All],2,0)</f>
        <v>Luxury</v>
      </c>
      <c r="AG1167">
        <f>VLOOKUP(Таблица1_113[[#This Row],[Марка]],Таблица13[#All],3,0)</f>
        <v>1902</v>
      </c>
      <c r="AH1167" t="str">
        <f>VLOOKUP(Таблица1_113[[#This Row],[Марка]],Таблица13[#All],5,0)</f>
        <v>Нет</v>
      </c>
      <c r="AI1167" s="12">
        <v>44470</v>
      </c>
      <c r="AJ1167">
        <v>35</v>
      </c>
    </row>
    <row r="1168" spans="30:36">
      <c r="AD1168" t="s">
        <v>8</v>
      </c>
      <c r="AE1168" t="str">
        <f>VLOOKUP(Таблица1_113[[#This Row],[Марка]],Таблица13[#All],4,0)</f>
        <v>Германия</v>
      </c>
      <c r="AF1168" t="str">
        <f>VLOOKUP(Таблица1_113[[#This Row],[Марка]],Таблица13[#All],2,0)</f>
        <v>Luxury</v>
      </c>
      <c r="AG1168">
        <f>VLOOKUP(Таблица1_113[[#This Row],[Марка]],Таблица13[#All],3,0)</f>
        <v>1916</v>
      </c>
      <c r="AH1168" t="str">
        <f>VLOOKUP(Таблица1_113[[#This Row],[Марка]],Таблица13[#All],5,0)</f>
        <v>Нет</v>
      </c>
      <c r="AI1168" s="12">
        <v>44470</v>
      </c>
      <c r="AJ1168">
        <v>125</v>
      </c>
    </row>
    <row r="1169" spans="30:36">
      <c r="AD1169" t="s">
        <v>38</v>
      </c>
      <c r="AE1169" t="str">
        <f>VLOOKUP(Таблица1_113[[#This Row],[Марка]],Таблица13[#All],4,0)</f>
        <v>Германия</v>
      </c>
      <c r="AF1169" t="str">
        <f>VLOOKUP(Таблица1_113[[#This Row],[Марка]],Таблица13[#All],2,0)</f>
        <v>Luxury</v>
      </c>
      <c r="AG1169">
        <f>VLOOKUP(Таблица1_113[[#This Row],[Марка]],Таблица13[#All],3,0)</f>
        <v>1932</v>
      </c>
      <c r="AH1169" t="str">
        <f>VLOOKUP(Таблица1_113[[#This Row],[Марка]],Таблица13[#All],5,0)</f>
        <v>Нет</v>
      </c>
      <c r="AI1169" s="12">
        <v>44470</v>
      </c>
      <c r="AJ1169">
        <v>14</v>
      </c>
    </row>
    <row r="1170" spans="30:36">
      <c r="AD1170" t="s">
        <v>136</v>
      </c>
      <c r="AE1170" t="str">
        <f>VLOOKUP(Таблица1_113[[#This Row],[Марка]],Таблица13[#All],4,0)</f>
        <v>Россия</v>
      </c>
      <c r="AF1170" t="str">
        <f>VLOOKUP(Таблица1_113[[#This Row],[Марка]],Таблица13[#All],2,0)</f>
        <v>Economy</v>
      </c>
      <c r="AG1170">
        <f>VLOOKUP(Таблица1_113[[#This Row],[Марка]],Таблица13[#All],3,0)</f>
        <v>1941</v>
      </c>
      <c r="AH1170" t="str">
        <f>VLOOKUP(Таблица1_113[[#This Row],[Марка]],Таблица13[#All],5,0)</f>
        <v>Нет</v>
      </c>
      <c r="AI1170" s="12">
        <v>44501</v>
      </c>
      <c r="AJ1170">
        <v>223</v>
      </c>
    </row>
    <row r="1171" spans="30:36">
      <c r="AD1171" t="s">
        <v>135</v>
      </c>
      <c r="AE1171" t="str">
        <f>VLOOKUP(Таблица1_113[[#This Row],[Марка]],Таблица13[#All],4,0)</f>
        <v>-</v>
      </c>
      <c r="AF1171" t="str">
        <f>VLOOKUP(Таблица1_113[[#This Row],[Марка]],Таблица13[#All],2,0)</f>
        <v>-</v>
      </c>
      <c r="AG1171" t="str">
        <f>VLOOKUP(Таблица1_113[[#This Row],[Марка]],Таблица13[#All],3,0)</f>
        <v>-</v>
      </c>
      <c r="AH1171" t="str">
        <f>VLOOKUP(Таблица1_113[[#This Row],[Марка]],Таблица13[#All],5,0)</f>
        <v>-</v>
      </c>
      <c r="AI1171" s="12">
        <v>44501</v>
      </c>
      <c r="AJ1171">
        <v>57</v>
      </c>
    </row>
    <row r="1172" spans="30:36">
      <c r="AD1172" t="s">
        <v>39</v>
      </c>
      <c r="AE1172" t="str">
        <f>VLOOKUP(Таблица1_113[[#This Row],[Марка]],Таблица13[#All],4,0)</f>
        <v>Швеция</v>
      </c>
      <c r="AF1172" t="str">
        <f>VLOOKUP(Таблица1_113[[#This Row],[Марка]],Таблица13[#All],2,0)</f>
        <v>Business</v>
      </c>
      <c r="AG1172">
        <f>VLOOKUP(Таблица1_113[[#This Row],[Марка]],Таблица13[#All],3,0)</f>
        <v>1927</v>
      </c>
      <c r="AH1172" t="str">
        <f>VLOOKUP(Таблица1_113[[#This Row],[Марка]],Таблица13[#All],5,0)</f>
        <v>Нет</v>
      </c>
      <c r="AI1172" s="12">
        <v>44501</v>
      </c>
      <c r="AJ1172">
        <v>13</v>
      </c>
    </row>
    <row r="1173" spans="30:36">
      <c r="AD1173" t="s">
        <v>21</v>
      </c>
      <c r="AE1173" t="str">
        <f>VLOOKUP(Таблица1_113[[#This Row],[Марка]],Таблица13[#All],4,0)</f>
        <v>Германия</v>
      </c>
      <c r="AF1173" t="str">
        <f>VLOOKUP(Таблица1_113[[#This Row],[Марка]],Таблица13[#All],2,0)</f>
        <v>Business</v>
      </c>
      <c r="AG1173">
        <f>VLOOKUP(Таблица1_113[[#This Row],[Марка]],Таблица13[#All],3,0)</f>
        <v>1937</v>
      </c>
      <c r="AH1173" t="str">
        <f>VLOOKUP(Таблица1_113[[#This Row],[Марка]],Таблица13[#All],5,0)</f>
        <v>Нет</v>
      </c>
      <c r="AI1173" s="12">
        <v>44501</v>
      </c>
      <c r="AJ1173">
        <v>212</v>
      </c>
    </row>
    <row r="1174" spans="30:36">
      <c r="AD1174" t="s">
        <v>2</v>
      </c>
      <c r="AE1174" t="str">
        <f>VLOOKUP(Таблица1_113[[#This Row],[Марка]],Таблица13[#All],4,0)</f>
        <v>Япония</v>
      </c>
      <c r="AF1174" t="str">
        <f>VLOOKUP(Таблица1_113[[#This Row],[Марка]],Таблица13[#All],2,0)</f>
        <v>Business</v>
      </c>
      <c r="AG1174">
        <f>VLOOKUP(Таблица1_113[[#This Row],[Марка]],Таблица13[#All],3,0)</f>
        <v>1937</v>
      </c>
      <c r="AH1174" t="str">
        <f>VLOOKUP(Таблица1_113[[#This Row],[Марка]],Таблица13[#All],5,0)</f>
        <v>Нет</v>
      </c>
      <c r="AI1174" s="12">
        <v>44501</v>
      </c>
      <c r="AJ1174">
        <v>1301</v>
      </c>
    </row>
    <row r="1175" spans="30:36">
      <c r="AD1175" t="s">
        <v>125</v>
      </c>
      <c r="AE1175" t="str">
        <f>VLOOKUP(Таблица1_113[[#This Row],[Марка]],Таблица13[#All],4,0)</f>
        <v>Япония</v>
      </c>
      <c r="AF1175" t="str">
        <f>VLOOKUP(Таблица1_113[[#This Row],[Марка]],Таблица13[#All],2,0)</f>
        <v>Business</v>
      </c>
      <c r="AG1175">
        <f>VLOOKUP(Таблица1_113[[#This Row],[Марка]],Таблица13[#All],3,0)</f>
        <v>1953</v>
      </c>
      <c r="AH1175" t="str">
        <f>VLOOKUP(Таблица1_113[[#This Row],[Марка]],Таблица13[#All],5,0)</f>
        <v>Нет</v>
      </c>
      <c r="AI1175" s="12">
        <v>44501</v>
      </c>
      <c r="AJ1175">
        <v>44</v>
      </c>
    </row>
    <row r="1176" spans="30:36">
      <c r="AD1176" t="s">
        <v>141</v>
      </c>
      <c r="AE1176" t="str">
        <f>VLOOKUP(Таблица1_113[[#This Row],[Марка]],Таблица13[#All],4,0)</f>
        <v>Чехия</v>
      </c>
      <c r="AF1176" t="str">
        <f>VLOOKUP(Таблица1_113[[#This Row],[Марка]],Таблица13[#All],2,0)</f>
        <v>Business</v>
      </c>
      <c r="AG1176">
        <f>VLOOKUP(Таблица1_113[[#This Row],[Марка]],Таблица13[#All],3,0)</f>
        <v>1895</v>
      </c>
      <c r="AH1176" t="str">
        <f>VLOOKUP(Таблица1_113[[#This Row],[Марка]],Таблица13[#All],5,0)</f>
        <v>Крупноузловая</v>
      </c>
      <c r="AI1176" s="12">
        <v>44501</v>
      </c>
      <c r="AJ1176">
        <v>0</v>
      </c>
    </row>
    <row r="1177" spans="30:36">
      <c r="AD1177" t="s">
        <v>23</v>
      </c>
      <c r="AE1177" t="str">
        <f>VLOOKUP(Таблица1_113[[#This Row],[Марка]],Таблица13[#All],4,0)</f>
        <v>Франция</v>
      </c>
      <c r="AF1177" t="str">
        <f>VLOOKUP(Таблица1_113[[#This Row],[Марка]],Таблица13[#All],2,0)</f>
        <v>Economy</v>
      </c>
      <c r="AG1177">
        <f>VLOOKUP(Таблица1_113[[#This Row],[Марка]],Таблица13[#All],3,0)</f>
        <v>1899</v>
      </c>
      <c r="AH1177" t="str">
        <f>VLOOKUP(Таблица1_113[[#This Row],[Марка]],Таблица13[#All],5,0)</f>
        <v>Крупноузловая</v>
      </c>
      <c r="AI1177" s="12">
        <v>44501</v>
      </c>
      <c r="AJ1177">
        <v>421</v>
      </c>
    </row>
    <row r="1178" spans="30:36">
      <c r="AD1178" t="s">
        <v>142</v>
      </c>
      <c r="AE1178" t="str">
        <f>VLOOKUP(Таблица1_113[[#This Row],[Марка]],Таблица13[#All],4,0)</f>
        <v>Узбекистан</v>
      </c>
      <c r="AF1178" t="str">
        <f>VLOOKUP(Таблица1_113[[#This Row],[Марка]],Таблица13[#All],2,0)</f>
        <v>Economy</v>
      </c>
      <c r="AG1178">
        <f>VLOOKUP(Таблица1_113[[#This Row],[Марка]],Таблица13[#All],3,0)</f>
        <v>2015</v>
      </c>
      <c r="AH1178" t="str">
        <f>VLOOKUP(Таблица1_113[[#This Row],[Марка]],Таблица13[#All],5,0)</f>
        <v>Крупноузловая</v>
      </c>
      <c r="AI1178" s="12">
        <v>44501</v>
      </c>
      <c r="AJ1178">
        <v>0</v>
      </c>
    </row>
    <row r="1179" spans="30:36">
      <c r="AD1179" t="s">
        <v>37</v>
      </c>
      <c r="AE1179" t="str">
        <f>VLOOKUP(Таблица1_113[[#This Row],[Марка]],Таблица13[#All],4,0)</f>
        <v>Германия</v>
      </c>
      <c r="AF1179" t="str">
        <f>VLOOKUP(Таблица1_113[[#This Row],[Марка]],Таблица13[#All],2,0)</f>
        <v>Luxury</v>
      </c>
      <c r="AG1179">
        <f>VLOOKUP(Таблица1_113[[#This Row],[Марка]],Таблица13[#All],3,0)</f>
        <v>1931</v>
      </c>
      <c r="AH1179" t="str">
        <f>VLOOKUP(Таблица1_113[[#This Row],[Марка]],Таблица13[#All],5,0)</f>
        <v>Нет</v>
      </c>
      <c r="AI1179" s="12">
        <v>44501</v>
      </c>
      <c r="AJ1179">
        <v>32</v>
      </c>
    </row>
    <row r="1180" spans="30:36">
      <c r="AD1180" t="s">
        <v>22</v>
      </c>
      <c r="AE1180" t="str">
        <f>VLOOKUP(Таблица1_113[[#This Row],[Марка]],Таблица13[#All],4,0)</f>
        <v>Япония</v>
      </c>
      <c r="AF1180" t="str">
        <f>VLOOKUP(Таблица1_113[[#This Row],[Марка]],Таблица13[#All],2,0)</f>
        <v>Business</v>
      </c>
      <c r="AG1180">
        <f>VLOOKUP(Таблица1_113[[#This Row],[Марка]],Таблица13[#All],3,0)</f>
        <v>1933</v>
      </c>
      <c r="AH1180" t="str">
        <f>VLOOKUP(Таблица1_113[[#This Row],[Марка]],Таблица13[#All],5,0)</f>
        <v>Нет</v>
      </c>
      <c r="AI1180" s="12">
        <v>44501</v>
      </c>
      <c r="AJ1180">
        <v>471</v>
      </c>
    </row>
    <row r="1181" spans="30:36">
      <c r="AD1181" t="s">
        <v>9</v>
      </c>
      <c r="AE1181" t="str">
        <f>VLOOKUP(Таблица1_113[[#This Row],[Марка]],Таблица13[#All],4,0)</f>
        <v>Япония</v>
      </c>
      <c r="AF1181" t="str">
        <f>VLOOKUP(Таблица1_113[[#This Row],[Марка]],Таблица13[#All],2,0)</f>
        <v>Business</v>
      </c>
      <c r="AG1181">
        <f>VLOOKUP(Таблица1_113[[#This Row],[Марка]],Таблица13[#All],3,0)</f>
        <v>1870</v>
      </c>
      <c r="AH1181" t="str">
        <f>VLOOKUP(Таблица1_113[[#This Row],[Марка]],Таблица13[#All],5,0)</f>
        <v>Нет</v>
      </c>
      <c r="AI1181" s="12">
        <v>44501</v>
      </c>
      <c r="AJ1181">
        <v>122</v>
      </c>
    </row>
    <row r="1182" spans="30:36">
      <c r="AD1182" t="s">
        <v>40</v>
      </c>
      <c r="AE1182" t="str">
        <f>VLOOKUP(Таблица1_113[[#This Row],[Марка]],Таблица13[#All],4,0)</f>
        <v>Великобритания</v>
      </c>
      <c r="AF1182" t="str">
        <f>VLOOKUP(Таблица1_113[[#This Row],[Марка]],Таблица13[#All],2,0)</f>
        <v>Luxury</v>
      </c>
      <c r="AG1182">
        <f>VLOOKUP(Таблица1_113[[#This Row],[Марка]],Таблица13[#All],3,0)</f>
        <v>1959</v>
      </c>
      <c r="AH1182" t="str">
        <f>VLOOKUP(Таблица1_113[[#This Row],[Марка]],Таблица13[#All],5,0)</f>
        <v>Нет</v>
      </c>
      <c r="AI1182" s="12">
        <v>44501</v>
      </c>
      <c r="AJ1182">
        <v>8</v>
      </c>
    </row>
    <row r="1183" spans="30:36">
      <c r="AD1183" t="s">
        <v>128</v>
      </c>
      <c r="AE1183" t="str">
        <f>VLOOKUP(Таблица1_113[[#This Row],[Марка]],Таблица13[#All],4,0)</f>
        <v>Германия</v>
      </c>
      <c r="AF1183" t="str">
        <f>VLOOKUP(Таблица1_113[[#This Row],[Марка]],Таблица13[#All],2,0)</f>
        <v>Luxury</v>
      </c>
      <c r="AG1183">
        <f>VLOOKUP(Таблица1_113[[#This Row],[Марка]],Таблица13[#All],3,0)</f>
        <v>1926</v>
      </c>
      <c r="AH1183" t="str">
        <f>VLOOKUP(Таблица1_113[[#This Row],[Марка]],Таблица13[#All],5,0)</f>
        <v>Нет</v>
      </c>
      <c r="AI1183" s="12">
        <v>44501</v>
      </c>
      <c r="AJ1183">
        <v>69</v>
      </c>
    </row>
    <row r="1184" spans="30:36">
      <c r="AD1184" t="s">
        <v>139</v>
      </c>
      <c r="AE1184" t="str">
        <f>VLOOKUP(Таблица1_113[[#This Row],[Марка]],Таблица13[#All],4,0)</f>
        <v>Япония</v>
      </c>
      <c r="AF1184" t="str">
        <f>VLOOKUP(Таблица1_113[[#This Row],[Марка]],Таблица13[#All],2,0)</f>
        <v>Business</v>
      </c>
      <c r="AG1184">
        <f>VLOOKUP(Таблица1_113[[#This Row],[Марка]],Таблица13[#All],3,0)</f>
        <v>1920</v>
      </c>
      <c r="AH1184" t="str">
        <f>VLOOKUP(Таблица1_113[[#This Row],[Марка]],Таблица13[#All],5,0)</f>
        <v>Нет</v>
      </c>
      <c r="AI1184" s="12">
        <v>44501</v>
      </c>
      <c r="AJ1184">
        <v>32</v>
      </c>
    </row>
    <row r="1185" spans="30:36">
      <c r="AD1185" t="s">
        <v>5</v>
      </c>
      <c r="AE1185" t="str">
        <f>VLOOKUP(Таблица1_113[[#This Row],[Марка]],Таблица13[#All],4,0)</f>
        <v>Япония</v>
      </c>
      <c r="AF1185" t="str">
        <f>VLOOKUP(Таблица1_113[[#This Row],[Марка]],Таблица13[#All],2,0)</f>
        <v>Luxury</v>
      </c>
      <c r="AG1185">
        <f>VLOOKUP(Таблица1_113[[#This Row],[Марка]],Таблица13[#All],3,0)</f>
        <v>1989</v>
      </c>
      <c r="AH1185" t="str">
        <f>VLOOKUP(Таблица1_113[[#This Row],[Марка]],Таблица13[#All],5,0)</f>
        <v>Нет</v>
      </c>
      <c r="AI1185" s="12">
        <v>44501</v>
      </c>
      <c r="AJ1185">
        <v>162</v>
      </c>
    </row>
    <row r="1186" spans="30:36">
      <c r="AD1186" t="s">
        <v>35</v>
      </c>
      <c r="AE1186" t="str">
        <f>VLOOKUP(Таблица1_113[[#This Row],[Марка]],Таблица13[#All],4,0)</f>
        <v>Великобритания</v>
      </c>
      <c r="AF1186" t="str">
        <f>VLOOKUP(Таблица1_113[[#This Row],[Марка]],Таблица13[#All],2,0)</f>
        <v>Luxury</v>
      </c>
      <c r="AG1186">
        <f>VLOOKUP(Таблица1_113[[#This Row],[Марка]],Таблица13[#All],3,0)</f>
        <v>1948</v>
      </c>
      <c r="AH1186" t="str">
        <f>VLOOKUP(Таблица1_113[[#This Row],[Марка]],Таблица13[#All],5,0)</f>
        <v>Нет</v>
      </c>
      <c r="AI1186" s="12">
        <v>44501</v>
      </c>
      <c r="AJ1186">
        <v>30</v>
      </c>
    </row>
    <row r="1187" spans="30:36">
      <c r="AD1187" t="s">
        <v>19</v>
      </c>
      <c r="AE1187" t="str">
        <f>VLOOKUP(Таблица1_113[[#This Row],[Марка]],Таблица13[#All],4,0)</f>
        <v>Россия</v>
      </c>
      <c r="AF1187" t="str">
        <f>VLOOKUP(Таблица1_113[[#This Row],[Марка]],Таблица13[#All],2,0)</f>
        <v>Economy</v>
      </c>
      <c r="AG1187">
        <f>VLOOKUP(Таблица1_113[[#This Row],[Марка]],Таблица13[#All],3,0)</f>
        <v>1970</v>
      </c>
      <c r="AH1187" t="str">
        <f>VLOOKUP(Таблица1_113[[#This Row],[Марка]],Таблица13[#All],5,0)</f>
        <v>Крупноузловая</v>
      </c>
      <c r="AI1187" s="12">
        <v>44501</v>
      </c>
      <c r="AJ1187">
        <v>1494</v>
      </c>
    </row>
    <row r="1188" spans="30:36">
      <c r="AD1188" t="s">
        <v>15</v>
      </c>
      <c r="AE1188" t="str">
        <f>VLOOKUP(Таблица1_113[[#This Row],[Марка]],Таблица13[#All],4,0)</f>
        <v>Корея</v>
      </c>
      <c r="AF1188" t="str">
        <f>VLOOKUP(Таблица1_113[[#This Row],[Марка]],Таблица13[#All],2,0)</f>
        <v>Economy</v>
      </c>
      <c r="AG1188">
        <f>VLOOKUP(Таблица1_113[[#This Row],[Марка]],Таблица13[#All],3,0)</f>
        <v>1944</v>
      </c>
      <c r="AH1188" t="str">
        <f>VLOOKUP(Таблица1_113[[#This Row],[Марка]],Таблица13[#All],5,0)</f>
        <v>Крупноузловая</v>
      </c>
      <c r="AI1188" s="12">
        <v>44501</v>
      </c>
      <c r="AJ1188">
        <v>920</v>
      </c>
    </row>
    <row r="1189" spans="30:36">
      <c r="AD1189" t="s">
        <v>134</v>
      </c>
      <c r="AE1189" t="str">
        <f>VLOOKUP(Таблица1_113[[#This Row],[Марка]],Таблица13[#All],4,0)</f>
        <v>Великобритания</v>
      </c>
      <c r="AF1189" t="str">
        <f>VLOOKUP(Таблица1_113[[#This Row],[Марка]],Таблица13[#All],2,0)</f>
        <v>Luxury</v>
      </c>
      <c r="AG1189">
        <f>VLOOKUP(Таблица1_113[[#This Row],[Марка]],Таблица13[#All],3,0)</f>
        <v>1922</v>
      </c>
      <c r="AH1189" t="str">
        <f>VLOOKUP(Таблица1_113[[#This Row],[Марка]],Таблица13[#All],5,0)</f>
        <v>Нет</v>
      </c>
      <c r="AI1189" s="12">
        <v>44501</v>
      </c>
      <c r="AJ1189">
        <v>6</v>
      </c>
    </row>
    <row r="1190" spans="30:36">
      <c r="AD1190" t="s">
        <v>4</v>
      </c>
      <c r="AE1190" t="str">
        <f>VLOOKUP(Таблица1_113[[#This Row],[Марка]],Таблица13[#All],4,0)</f>
        <v>Китай</v>
      </c>
      <c r="AF1190" t="str">
        <f>VLOOKUP(Таблица1_113[[#This Row],[Марка]],Таблица13[#All],2,0)</f>
        <v>Economy</v>
      </c>
      <c r="AG1190">
        <f>VLOOKUP(Таблица1_113[[#This Row],[Марка]],Таблица13[#All],3,0)</f>
        <v>1964</v>
      </c>
      <c r="AH1190" t="str">
        <f>VLOOKUP(Таблица1_113[[#This Row],[Марка]],Таблица13[#All],5,0)</f>
        <v>Крупноузловая</v>
      </c>
      <c r="AI1190" s="12">
        <v>44501</v>
      </c>
      <c r="AJ1190">
        <v>341</v>
      </c>
    </row>
    <row r="1191" spans="30:36">
      <c r="AD1191" t="s">
        <v>140</v>
      </c>
      <c r="AE1191" t="str">
        <f>VLOOKUP(Таблица1_113[[#This Row],[Марка]],Таблица13[#All],4,0)</f>
        <v>Япония</v>
      </c>
      <c r="AF1191" t="str">
        <f>VLOOKUP(Таблица1_113[[#This Row],[Марка]],Таблица13[#All],2,0)</f>
        <v>Business</v>
      </c>
      <c r="AG1191">
        <f>VLOOKUP(Таблица1_113[[#This Row],[Марка]],Таблица13[#All],3,0)</f>
        <v>1916</v>
      </c>
      <c r="AH1191" t="str">
        <f>VLOOKUP(Таблица1_113[[#This Row],[Марка]],Таблица13[#All],5,0)</f>
        <v>Нет</v>
      </c>
      <c r="AI1191" s="12">
        <v>44501</v>
      </c>
      <c r="AJ1191">
        <v>4</v>
      </c>
    </row>
    <row r="1192" spans="30:36">
      <c r="AD1192" t="s">
        <v>34</v>
      </c>
      <c r="AE1192" t="str">
        <f>VLOOKUP(Таблица1_113[[#This Row],[Марка]],Таблица13[#All],4,0)</f>
        <v>Япония</v>
      </c>
      <c r="AF1192" t="str">
        <f>VLOOKUP(Таблица1_113[[#This Row],[Марка]],Таблица13[#All],2,0)</f>
        <v>Luxury</v>
      </c>
      <c r="AG1192">
        <f>VLOOKUP(Таблица1_113[[#This Row],[Марка]],Таблица13[#All],3,0)</f>
        <v>1989</v>
      </c>
      <c r="AH1192" t="str">
        <f>VLOOKUP(Таблица1_113[[#This Row],[Марка]],Таблица13[#All],5,0)</f>
        <v>Нет</v>
      </c>
      <c r="AI1192" s="12">
        <v>44501</v>
      </c>
      <c r="AJ1192">
        <v>45</v>
      </c>
    </row>
    <row r="1193" spans="30:36">
      <c r="AD1193" t="s">
        <v>0</v>
      </c>
      <c r="AE1193" t="str">
        <f>VLOOKUP(Таблица1_113[[#This Row],[Марка]],Таблица13[#All],4,0)</f>
        <v>Корея</v>
      </c>
      <c r="AF1193" t="str">
        <f>VLOOKUP(Таблица1_113[[#This Row],[Марка]],Таблица13[#All],2,0)</f>
        <v>Economy</v>
      </c>
      <c r="AG1193">
        <f>VLOOKUP(Таблица1_113[[#This Row],[Марка]],Таблица13[#All],3,0)</f>
        <v>1967</v>
      </c>
      <c r="AH1193" t="str">
        <f>VLOOKUP(Таблица1_113[[#This Row],[Марка]],Таблица13[#All],5,0)</f>
        <v>Крупноузловая</v>
      </c>
      <c r="AI1193" s="12">
        <v>44501</v>
      </c>
      <c r="AJ1193">
        <v>953</v>
      </c>
    </row>
    <row r="1194" spans="30:36">
      <c r="AD1194" t="s">
        <v>6</v>
      </c>
      <c r="AE1194" t="str">
        <f>VLOOKUP(Таблица1_113[[#This Row],[Марка]],Таблица13[#All],4,0)</f>
        <v>Китай</v>
      </c>
      <c r="AF1194" t="str">
        <f>VLOOKUP(Таблица1_113[[#This Row],[Марка]],Таблица13[#All],2,0)</f>
        <v>Economy</v>
      </c>
      <c r="AG1194">
        <f>VLOOKUP(Таблица1_113[[#This Row],[Марка]],Таблица13[#All],3,0)</f>
        <v>2013</v>
      </c>
      <c r="AH1194" t="str">
        <f>VLOOKUP(Таблица1_113[[#This Row],[Марка]],Таблица13[#All],5,0)</f>
        <v>Крупноузловая</v>
      </c>
      <c r="AI1194" s="12">
        <v>44501</v>
      </c>
      <c r="AJ1194">
        <v>217</v>
      </c>
    </row>
    <row r="1195" spans="30:36">
      <c r="AD1195" t="s">
        <v>138</v>
      </c>
      <c r="AE1195" t="str">
        <f>VLOOKUP(Таблица1_113[[#This Row],[Марка]],Таблица13[#All],4,0)</f>
        <v>Корея</v>
      </c>
      <c r="AF1195" t="str">
        <f>VLOOKUP(Таблица1_113[[#This Row],[Марка]],Таблица13[#All],2,0)</f>
        <v>Luxury</v>
      </c>
      <c r="AG1195">
        <f>VLOOKUP(Таблица1_113[[#This Row],[Марка]],Таблица13[#All],3,0)</f>
        <v>2015</v>
      </c>
      <c r="AH1195" t="str">
        <f>VLOOKUP(Таблица1_113[[#This Row],[Марка]],Таблица13[#All],5,0)</f>
        <v>Нет</v>
      </c>
      <c r="AI1195" s="12">
        <v>44501</v>
      </c>
      <c r="AJ1195">
        <v>0</v>
      </c>
    </row>
    <row r="1196" spans="30:36">
      <c r="AD1196" t="s">
        <v>129</v>
      </c>
      <c r="AE1196" t="str">
        <f>VLOOKUP(Таблица1_113[[#This Row],[Марка]],Таблица13[#All],4,0)</f>
        <v>Китай</v>
      </c>
      <c r="AF1196" t="str">
        <f>VLOOKUP(Таблица1_113[[#This Row],[Марка]],Таблица13[#All],2,0)</f>
        <v>Economy</v>
      </c>
      <c r="AG1196">
        <f>VLOOKUP(Таблица1_113[[#This Row],[Марка]],Таблица13[#All],3,0)</f>
        <v>1953</v>
      </c>
      <c r="AH1196" t="str">
        <f>VLOOKUP(Таблица1_113[[#This Row],[Марка]],Таблица13[#All],5,0)</f>
        <v>Нет</v>
      </c>
      <c r="AI1196" s="12">
        <v>44501</v>
      </c>
      <c r="AJ1196">
        <v>0</v>
      </c>
    </row>
    <row r="1197" spans="30:36">
      <c r="AD1197" t="s">
        <v>130</v>
      </c>
      <c r="AE1197" t="str">
        <f>VLOOKUP(Таблица1_113[[#This Row],[Марка]],Таблица13[#All],4,0)</f>
        <v>Китай</v>
      </c>
      <c r="AF1197" t="str">
        <f>VLOOKUP(Таблица1_113[[#This Row],[Марка]],Таблица13[#All],2,0)</f>
        <v>Economy</v>
      </c>
      <c r="AG1197">
        <f>VLOOKUP(Таблица1_113[[#This Row],[Марка]],Таблица13[#All],3,0)</f>
        <v>1969</v>
      </c>
      <c r="AH1197" t="str">
        <f>VLOOKUP(Таблица1_113[[#This Row],[Марка]],Таблица13[#All],5,0)</f>
        <v>Нет</v>
      </c>
      <c r="AI1197" s="12">
        <v>44501</v>
      </c>
      <c r="AJ1197">
        <v>0</v>
      </c>
    </row>
    <row r="1198" spans="30:36">
      <c r="AD1198" t="s">
        <v>137</v>
      </c>
      <c r="AE1198" t="str">
        <f>VLOOKUP(Таблица1_113[[#This Row],[Марка]],Таблица13[#All],4,0)</f>
        <v>Корея</v>
      </c>
      <c r="AF1198" t="str">
        <f>VLOOKUP(Таблица1_113[[#This Row],[Марка]],Таблица13[#All],2,0)</f>
        <v>Economy</v>
      </c>
      <c r="AG1198">
        <f>VLOOKUP(Таблица1_113[[#This Row],[Марка]],Таблица13[#All],3,0)</f>
        <v>1967</v>
      </c>
      <c r="AH1198" t="str">
        <f>VLOOKUP(Таблица1_113[[#This Row],[Марка]],Таблица13[#All],5,0)</f>
        <v>Нет</v>
      </c>
      <c r="AI1198" s="12">
        <v>44501</v>
      </c>
      <c r="AJ1198">
        <v>19</v>
      </c>
    </row>
    <row r="1199" spans="30:36">
      <c r="AD1199" t="s">
        <v>1</v>
      </c>
      <c r="AE1199" t="str">
        <f>VLOOKUP(Таблица1_113[[#This Row],[Марка]],Таблица13[#All],4,0)</f>
        <v>США</v>
      </c>
      <c r="AF1199" t="str">
        <f>VLOOKUP(Таблица1_113[[#This Row],[Марка]],Таблица13[#All],2,0)</f>
        <v>Economy</v>
      </c>
      <c r="AG1199">
        <f>VLOOKUP(Таблица1_113[[#This Row],[Марка]],Таблица13[#All],3,0)</f>
        <v>1911</v>
      </c>
      <c r="AH1199" t="str">
        <f>VLOOKUP(Таблица1_113[[#This Row],[Марка]],Таблица13[#All],5,0)</f>
        <v>Крупноузловая</v>
      </c>
      <c r="AI1199" s="12">
        <v>44501</v>
      </c>
      <c r="AJ1199">
        <v>2230</v>
      </c>
    </row>
    <row r="1200" spans="30:36">
      <c r="AD1200" t="s">
        <v>3</v>
      </c>
      <c r="AE1200" t="str">
        <f>VLOOKUP(Таблица1_113[[#This Row],[Марка]],Таблица13[#All],4,0)</f>
        <v>Китай</v>
      </c>
      <c r="AF1200" t="str">
        <f>VLOOKUP(Таблица1_113[[#This Row],[Марка]],Таблица13[#All],2,0)</f>
        <v>Economy</v>
      </c>
      <c r="AG1200">
        <f>VLOOKUP(Таблица1_113[[#This Row],[Марка]],Таблица13[#All],3,0)</f>
        <v>1997</v>
      </c>
      <c r="AH1200" t="str">
        <f>VLOOKUP(Таблица1_113[[#This Row],[Марка]],Таблица13[#All],5,0)</f>
        <v>Крупноузловая</v>
      </c>
      <c r="AI1200" s="12">
        <v>44501</v>
      </c>
      <c r="AJ1200">
        <v>0</v>
      </c>
    </row>
    <row r="1201" spans="30:36">
      <c r="AD1201" t="s">
        <v>36</v>
      </c>
      <c r="AE1201" t="str">
        <f>VLOOKUP(Таблица1_113[[#This Row],[Марка]],Таблица13[#All],4,0)</f>
        <v>США</v>
      </c>
      <c r="AF1201" t="str">
        <f>VLOOKUP(Таблица1_113[[#This Row],[Марка]],Таблица13[#All],2,0)</f>
        <v>Luxury</v>
      </c>
      <c r="AG1201">
        <f>VLOOKUP(Таблица1_113[[#This Row],[Марка]],Таблица13[#All],3,0)</f>
        <v>1902</v>
      </c>
      <c r="AH1201" t="str">
        <f>VLOOKUP(Таблица1_113[[#This Row],[Марка]],Таблица13[#All],5,0)</f>
        <v>Нет</v>
      </c>
      <c r="AI1201" s="12">
        <v>44501</v>
      </c>
      <c r="AJ1201">
        <v>15</v>
      </c>
    </row>
    <row r="1202" spans="30:36">
      <c r="AD1202" t="s">
        <v>8</v>
      </c>
      <c r="AE1202" t="str">
        <f>VLOOKUP(Таблица1_113[[#This Row],[Марка]],Таблица13[#All],4,0)</f>
        <v>Германия</v>
      </c>
      <c r="AF1202" t="str">
        <f>VLOOKUP(Таблица1_113[[#This Row],[Марка]],Таблица13[#All],2,0)</f>
        <v>Luxury</v>
      </c>
      <c r="AG1202">
        <f>VLOOKUP(Таблица1_113[[#This Row],[Марка]],Таблица13[#All],3,0)</f>
        <v>1916</v>
      </c>
      <c r="AH1202" t="str">
        <f>VLOOKUP(Таблица1_113[[#This Row],[Марка]],Таблица13[#All],5,0)</f>
        <v>Нет</v>
      </c>
      <c r="AI1202" s="12">
        <v>44501</v>
      </c>
      <c r="AJ1202">
        <v>136</v>
      </c>
    </row>
    <row r="1203" spans="30:36">
      <c r="AD1203" t="s">
        <v>38</v>
      </c>
      <c r="AE1203" t="str">
        <f>VLOOKUP(Таблица1_113[[#This Row],[Марка]],Таблица13[#All],4,0)</f>
        <v>Германия</v>
      </c>
      <c r="AF1203" t="str">
        <f>VLOOKUP(Таблица1_113[[#This Row],[Марка]],Таблица13[#All],2,0)</f>
        <v>Luxury</v>
      </c>
      <c r="AG1203">
        <f>VLOOKUP(Таблица1_113[[#This Row],[Марка]],Таблица13[#All],3,0)</f>
        <v>1932</v>
      </c>
      <c r="AH1203" t="str">
        <f>VLOOKUP(Таблица1_113[[#This Row],[Марка]],Таблица13[#All],5,0)</f>
        <v>Нет</v>
      </c>
      <c r="AI1203" s="12">
        <v>44501</v>
      </c>
      <c r="AJ1203">
        <v>26</v>
      </c>
    </row>
    <row r="1204" spans="30:36">
      <c r="AD1204" t="s">
        <v>136</v>
      </c>
      <c r="AE1204" t="str">
        <f>VLOOKUP(Таблица1_113[[#This Row],[Марка]],Таблица13[#All],4,0)</f>
        <v>Россия</v>
      </c>
      <c r="AF1204" t="str">
        <f>VLOOKUP(Таблица1_113[[#This Row],[Марка]],Таблица13[#All],2,0)</f>
        <v>Economy</v>
      </c>
      <c r="AG1204">
        <f>VLOOKUP(Таблица1_113[[#This Row],[Марка]],Таблица13[#All],3,0)</f>
        <v>1941</v>
      </c>
      <c r="AH1204" t="str">
        <f>VLOOKUP(Таблица1_113[[#This Row],[Марка]],Таблица13[#All],5,0)</f>
        <v>Нет</v>
      </c>
      <c r="AI1204" s="12">
        <v>44531</v>
      </c>
      <c r="AJ1204">
        <v>205</v>
      </c>
    </row>
    <row r="1205" spans="30:36">
      <c r="AD1205" t="s">
        <v>135</v>
      </c>
      <c r="AE1205" t="str">
        <f>VLOOKUP(Таблица1_113[[#This Row],[Марка]],Таблица13[#All],4,0)</f>
        <v>-</v>
      </c>
      <c r="AF1205" t="str">
        <f>VLOOKUP(Таблица1_113[[#This Row],[Марка]],Таблица13[#All],2,0)</f>
        <v>-</v>
      </c>
      <c r="AG1205" t="str">
        <f>VLOOKUP(Таблица1_113[[#This Row],[Марка]],Таблица13[#All],3,0)</f>
        <v>-</v>
      </c>
      <c r="AH1205" t="str">
        <f>VLOOKUP(Таблица1_113[[#This Row],[Марка]],Таблица13[#All],5,0)</f>
        <v>-</v>
      </c>
      <c r="AI1205" s="12">
        <v>44531</v>
      </c>
      <c r="AJ1205">
        <v>65</v>
      </c>
    </row>
    <row r="1206" spans="30:36">
      <c r="AD1206" t="s">
        <v>39</v>
      </c>
      <c r="AE1206" t="str">
        <f>VLOOKUP(Таблица1_113[[#This Row],[Марка]],Таблица13[#All],4,0)</f>
        <v>Швеция</v>
      </c>
      <c r="AF1206" t="str">
        <f>VLOOKUP(Таблица1_113[[#This Row],[Марка]],Таблица13[#All],2,0)</f>
        <v>Business</v>
      </c>
      <c r="AG1206">
        <f>VLOOKUP(Таблица1_113[[#This Row],[Марка]],Таблица13[#All],3,0)</f>
        <v>1927</v>
      </c>
      <c r="AH1206" t="str">
        <f>VLOOKUP(Таблица1_113[[#This Row],[Марка]],Таблица13[#All],5,0)</f>
        <v>Нет</v>
      </c>
      <c r="AI1206" s="12">
        <v>44531</v>
      </c>
      <c r="AJ1206">
        <v>8</v>
      </c>
    </row>
    <row r="1207" spans="30:36">
      <c r="AD1207" t="s">
        <v>21</v>
      </c>
      <c r="AE1207" t="str">
        <f>VLOOKUP(Таблица1_113[[#This Row],[Марка]],Таблица13[#All],4,0)</f>
        <v>Германия</v>
      </c>
      <c r="AF1207" t="str">
        <f>VLOOKUP(Таблица1_113[[#This Row],[Марка]],Таблица13[#All],2,0)</f>
        <v>Business</v>
      </c>
      <c r="AG1207">
        <f>VLOOKUP(Таблица1_113[[#This Row],[Марка]],Таблица13[#All],3,0)</f>
        <v>1937</v>
      </c>
      <c r="AH1207" t="str">
        <f>VLOOKUP(Таблица1_113[[#This Row],[Марка]],Таблица13[#All],5,0)</f>
        <v>Нет</v>
      </c>
      <c r="AI1207" s="12">
        <v>44531</v>
      </c>
      <c r="AJ1207">
        <v>191</v>
      </c>
    </row>
    <row r="1208" spans="30:36">
      <c r="AD1208" t="s">
        <v>2</v>
      </c>
      <c r="AE1208" t="str">
        <f>VLOOKUP(Таблица1_113[[#This Row],[Марка]],Таблица13[#All],4,0)</f>
        <v>Япония</v>
      </c>
      <c r="AF1208" t="str">
        <f>VLOOKUP(Таблица1_113[[#This Row],[Марка]],Таблица13[#All],2,0)</f>
        <v>Business</v>
      </c>
      <c r="AG1208">
        <f>VLOOKUP(Таблица1_113[[#This Row],[Марка]],Таблица13[#All],3,0)</f>
        <v>1937</v>
      </c>
      <c r="AH1208" t="str">
        <f>VLOOKUP(Таблица1_113[[#This Row],[Марка]],Таблица13[#All],5,0)</f>
        <v>Нет</v>
      </c>
      <c r="AI1208" s="12">
        <v>44531</v>
      </c>
      <c r="AJ1208">
        <v>1125</v>
      </c>
    </row>
    <row r="1209" spans="30:36">
      <c r="AD1209" t="s">
        <v>125</v>
      </c>
      <c r="AE1209" t="str">
        <f>VLOOKUP(Таблица1_113[[#This Row],[Марка]],Таблица13[#All],4,0)</f>
        <v>Япония</v>
      </c>
      <c r="AF1209" t="str">
        <f>VLOOKUP(Таблица1_113[[#This Row],[Марка]],Таблица13[#All],2,0)</f>
        <v>Business</v>
      </c>
      <c r="AG1209">
        <f>VLOOKUP(Таблица1_113[[#This Row],[Марка]],Таблица13[#All],3,0)</f>
        <v>1953</v>
      </c>
      <c r="AH1209" t="str">
        <f>VLOOKUP(Таблица1_113[[#This Row],[Марка]],Таблица13[#All],5,0)</f>
        <v>Нет</v>
      </c>
      <c r="AI1209" s="12">
        <v>44531</v>
      </c>
      <c r="AJ1209">
        <v>19</v>
      </c>
    </row>
    <row r="1210" spans="30:36">
      <c r="AD1210" t="s">
        <v>141</v>
      </c>
      <c r="AE1210" t="str">
        <f>VLOOKUP(Таблица1_113[[#This Row],[Марка]],Таблица13[#All],4,0)</f>
        <v>Чехия</v>
      </c>
      <c r="AF1210" t="str">
        <f>VLOOKUP(Таблица1_113[[#This Row],[Марка]],Таблица13[#All],2,0)</f>
        <v>Business</v>
      </c>
      <c r="AG1210">
        <f>VLOOKUP(Таблица1_113[[#This Row],[Марка]],Таблица13[#All],3,0)</f>
        <v>1895</v>
      </c>
      <c r="AH1210" t="str">
        <f>VLOOKUP(Таблица1_113[[#This Row],[Марка]],Таблица13[#All],5,0)</f>
        <v>Крупноузловая</v>
      </c>
      <c r="AI1210" s="12">
        <v>44531</v>
      </c>
      <c r="AJ1210">
        <v>0</v>
      </c>
    </row>
    <row r="1211" spans="30:36">
      <c r="AD1211" t="s">
        <v>23</v>
      </c>
      <c r="AE1211" t="str">
        <f>VLOOKUP(Таблица1_113[[#This Row],[Марка]],Таблица13[#All],4,0)</f>
        <v>Франция</v>
      </c>
      <c r="AF1211" t="str">
        <f>VLOOKUP(Таблица1_113[[#This Row],[Марка]],Таблица13[#All],2,0)</f>
        <v>Economy</v>
      </c>
      <c r="AG1211">
        <f>VLOOKUP(Таблица1_113[[#This Row],[Марка]],Таблица13[#All],3,0)</f>
        <v>1899</v>
      </c>
      <c r="AH1211" t="str">
        <f>VLOOKUP(Таблица1_113[[#This Row],[Марка]],Таблица13[#All],5,0)</f>
        <v>Крупноузловая</v>
      </c>
      <c r="AI1211" s="12">
        <v>44531</v>
      </c>
      <c r="AJ1211">
        <v>439</v>
      </c>
    </row>
    <row r="1212" spans="30:36">
      <c r="AD1212" t="s">
        <v>142</v>
      </c>
      <c r="AE1212" t="str">
        <f>VLOOKUP(Таблица1_113[[#This Row],[Марка]],Таблица13[#All],4,0)</f>
        <v>Узбекистан</v>
      </c>
      <c r="AF1212" t="str">
        <f>VLOOKUP(Таблица1_113[[#This Row],[Марка]],Таблица13[#All],2,0)</f>
        <v>Economy</v>
      </c>
      <c r="AG1212">
        <f>VLOOKUP(Таблица1_113[[#This Row],[Марка]],Таблица13[#All],3,0)</f>
        <v>2015</v>
      </c>
      <c r="AH1212" t="str">
        <f>VLOOKUP(Таблица1_113[[#This Row],[Марка]],Таблица13[#All],5,0)</f>
        <v>Крупноузловая</v>
      </c>
      <c r="AI1212" s="12">
        <v>44531</v>
      </c>
      <c r="AJ1212">
        <v>0</v>
      </c>
    </row>
    <row r="1213" spans="30:36">
      <c r="AD1213" t="s">
        <v>37</v>
      </c>
      <c r="AE1213" t="str">
        <f>VLOOKUP(Таблица1_113[[#This Row],[Марка]],Таблица13[#All],4,0)</f>
        <v>Германия</v>
      </c>
      <c r="AF1213" t="str">
        <f>VLOOKUP(Таблица1_113[[#This Row],[Марка]],Таблица13[#All],2,0)</f>
        <v>Luxury</v>
      </c>
      <c r="AG1213">
        <f>VLOOKUP(Таблица1_113[[#This Row],[Марка]],Таблица13[#All],3,0)</f>
        <v>1931</v>
      </c>
      <c r="AH1213" t="str">
        <f>VLOOKUP(Таблица1_113[[#This Row],[Марка]],Таблица13[#All],5,0)</f>
        <v>Нет</v>
      </c>
      <c r="AI1213" s="12">
        <v>44531</v>
      </c>
      <c r="AJ1213">
        <v>27</v>
      </c>
    </row>
    <row r="1214" spans="30:36">
      <c r="AD1214" t="s">
        <v>22</v>
      </c>
      <c r="AE1214" t="str">
        <f>VLOOKUP(Таблица1_113[[#This Row],[Марка]],Таблица13[#All],4,0)</f>
        <v>Япония</v>
      </c>
      <c r="AF1214" t="str">
        <f>VLOOKUP(Таблица1_113[[#This Row],[Марка]],Таблица13[#All],2,0)</f>
        <v>Business</v>
      </c>
      <c r="AG1214">
        <f>VLOOKUP(Таблица1_113[[#This Row],[Марка]],Таблица13[#All],3,0)</f>
        <v>1933</v>
      </c>
      <c r="AH1214" t="str">
        <f>VLOOKUP(Таблица1_113[[#This Row],[Марка]],Таблица13[#All],5,0)</f>
        <v>Нет</v>
      </c>
      <c r="AI1214" s="12">
        <v>44531</v>
      </c>
      <c r="AJ1214">
        <v>485</v>
      </c>
    </row>
    <row r="1215" spans="30:36">
      <c r="AD1215" t="s">
        <v>9</v>
      </c>
      <c r="AE1215" t="str">
        <f>VLOOKUP(Таблица1_113[[#This Row],[Марка]],Таблица13[#All],4,0)</f>
        <v>Япония</v>
      </c>
      <c r="AF1215" t="str">
        <f>VLOOKUP(Таблица1_113[[#This Row],[Марка]],Таблица13[#All],2,0)</f>
        <v>Business</v>
      </c>
      <c r="AG1215">
        <f>VLOOKUP(Таблица1_113[[#This Row],[Марка]],Таблица13[#All],3,0)</f>
        <v>1870</v>
      </c>
      <c r="AH1215" t="str">
        <f>VLOOKUP(Таблица1_113[[#This Row],[Марка]],Таблица13[#All],5,0)</f>
        <v>Нет</v>
      </c>
      <c r="AI1215" s="12">
        <v>44531</v>
      </c>
      <c r="AJ1215">
        <v>150</v>
      </c>
    </row>
    <row r="1216" spans="30:36">
      <c r="AD1216" t="s">
        <v>40</v>
      </c>
      <c r="AE1216" t="str">
        <f>VLOOKUP(Таблица1_113[[#This Row],[Марка]],Таблица13[#All],4,0)</f>
        <v>Великобритания</v>
      </c>
      <c r="AF1216" t="str">
        <f>VLOOKUP(Таблица1_113[[#This Row],[Марка]],Таблица13[#All],2,0)</f>
        <v>Luxury</v>
      </c>
      <c r="AG1216">
        <f>VLOOKUP(Таблица1_113[[#This Row],[Марка]],Таблица13[#All],3,0)</f>
        <v>1959</v>
      </c>
      <c r="AH1216" t="str">
        <f>VLOOKUP(Таблица1_113[[#This Row],[Марка]],Таблица13[#All],5,0)</f>
        <v>Нет</v>
      </c>
      <c r="AI1216" s="12">
        <v>44531</v>
      </c>
      <c r="AJ1216">
        <v>7</v>
      </c>
    </row>
    <row r="1217" spans="30:36">
      <c r="AD1217" t="s">
        <v>128</v>
      </c>
      <c r="AE1217" t="str">
        <f>VLOOKUP(Таблица1_113[[#This Row],[Марка]],Таблица13[#All],4,0)</f>
        <v>Германия</v>
      </c>
      <c r="AF1217" t="str">
        <f>VLOOKUP(Таблица1_113[[#This Row],[Марка]],Таблица13[#All],2,0)</f>
        <v>Luxury</v>
      </c>
      <c r="AG1217">
        <f>VLOOKUP(Таблица1_113[[#This Row],[Марка]],Таблица13[#All],3,0)</f>
        <v>1926</v>
      </c>
      <c r="AH1217" t="str">
        <f>VLOOKUP(Таблица1_113[[#This Row],[Марка]],Таблица13[#All],5,0)</f>
        <v>Нет</v>
      </c>
      <c r="AI1217" s="12">
        <v>44531</v>
      </c>
      <c r="AJ1217">
        <v>48</v>
      </c>
    </row>
    <row r="1218" spans="30:36">
      <c r="AD1218" t="s">
        <v>139</v>
      </c>
      <c r="AE1218" t="str">
        <f>VLOOKUP(Таблица1_113[[#This Row],[Марка]],Таблица13[#All],4,0)</f>
        <v>Япония</v>
      </c>
      <c r="AF1218" t="str">
        <f>VLOOKUP(Таблица1_113[[#This Row],[Марка]],Таблица13[#All],2,0)</f>
        <v>Business</v>
      </c>
      <c r="AG1218">
        <f>VLOOKUP(Таблица1_113[[#This Row],[Марка]],Таблица13[#All],3,0)</f>
        <v>1920</v>
      </c>
      <c r="AH1218" t="str">
        <f>VLOOKUP(Таблица1_113[[#This Row],[Марка]],Таблица13[#All],5,0)</f>
        <v>Нет</v>
      </c>
      <c r="AI1218" s="12">
        <v>44531</v>
      </c>
      <c r="AJ1218">
        <v>53</v>
      </c>
    </row>
    <row r="1219" spans="30:36">
      <c r="AD1219" t="s">
        <v>5</v>
      </c>
      <c r="AE1219" t="str">
        <f>VLOOKUP(Таблица1_113[[#This Row],[Марка]],Таблица13[#All],4,0)</f>
        <v>Япония</v>
      </c>
      <c r="AF1219" t="str">
        <f>VLOOKUP(Таблица1_113[[#This Row],[Марка]],Таблица13[#All],2,0)</f>
        <v>Luxury</v>
      </c>
      <c r="AG1219">
        <f>VLOOKUP(Таблица1_113[[#This Row],[Марка]],Таблица13[#All],3,0)</f>
        <v>1989</v>
      </c>
      <c r="AH1219" t="str">
        <f>VLOOKUP(Таблица1_113[[#This Row],[Марка]],Таблица13[#All],5,0)</f>
        <v>Нет</v>
      </c>
      <c r="AI1219" s="12">
        <v>44531</v>
      </c>
      <c r="AJ1219">
        <v>97</v>
      </c>
    </row>
    <row r="1220" spans="30:36">
      <c r="AD1220" t="s">
        <v>35</v>
      </c>
      <c r="AE1220" t="str">
        <f>VLOOKUP(Таблица1_113[[#This Row],[Марка]],Таблица13[#All],4,0)</f>
        <v>Великобритания</v>
      </c>
      <c r="AF1220" t="str">
        <f>VLOOKUP(Таблица1_113[[#This Row],[Марка]],Таблица13[#All],2,0)</f>
        <v>Luxury</v>
      </c>
      <c r="AG1220">
        <f>VLOOKUP(Таблица1_113[[#This Row],[Марка]],Таблица13[#All],3,0)</f>
        <v>1948</v>
      </c>
      <c r="AH1220" t="str">
        <f>VLOOKUP(Таблица1_113[[#This Row],[Марка]],Таблица13[#All],5,0)</f>
        <v>Нет</v>
      </c>
      <c r="AI1220" s="12">
        <v>44531</v>
      </c>
      <c r="AJ1220">
        <v>5</v>
      </c>
    </row>
    <row r="1221" spans="30:36">
      <c r="AD1221" t="s">
        <v>19</v>
      </c>
      <c r="AE1221" t="str">
        <f>VLOOKUP(Таблица1_113[[#This Row],[Марка]],Таблица13[#All],4,0)</f>
        <v>Россия</v>
      </c>
      <c r="AF1221" t="str">
        <f>VLOOKUP(Таблица1_113[[#This Row],[Марка]],Таблица13[#All],2,0)</f>
        <v>Economy</v>
      </c>
      <c r="AG1221">
        <f>VLOOKUP(Таблица1_113[[#This Row],[Марка]],Таблица13[#All],3,0)</f>
        <v>1970</v>
      </c>
      <c r="AH1221" t="str">
        <f>VLOOKUP(Таблица1_113[[#This Row],[Марка]],Таблица13[#All],5,0)</f>
        <v>Крупноузловая</v>
      </c>
      <c r="AI1221" s="12">
        <v>44531</v>
      </c>
      <c r="AJ1221">
        <v>1201</v>
      </c>
    </row>
    <row r="1222" spans="30:36">
      <c r="AD1222" t="s">
        <v>15</v>
      </c>
      <c r="AE1222" t="str">
        <f>VLOOKUP(Таблица1_113[[#This Row],[Марка]],Таблица13[#All],4,0)</f>
        <v>Корея</v>
      </c>
      <c r="AF1222" t="str">
        <f>VLOOKUP(Таблица1_113[[#This Row],[Марка]],Таблица13[#All],2,0)</f>
        <v>Economy</v>
      </c>
      <c r="AG1222">
        <f>VLOOKUP(Таблица1_113[[#This Row],[Марка]],Таблица13[#All],3,0)</f>
        <v>1944</v>
      </c>
      <c r="AH1222" t="str">
        <f>VLOOKUP(Таблица1_113[[#This Row],[Марка]],Таблица13[#All],5,0)</f>
        <v>Крупноузловая</v>
      </c>
      <c r="AI1222" s="12">
        <v>44531</v>
      </c>
      <c r="AJ1222">
        <v>925</v>
      </c>
    </row>
    <row r="1223" spans="30:36">
      <c r="AD1223" t="s">
        <v>134</v>
      </c>
      <c r="AE1223" t="str">
        <f>VLOOKUP(Таблица1_113[[#This Row],[Марка]],Таблица13[#All],4,0)</f>
        <v>Великобритания</v>
      </c>
      <c r="AF1223" t="str">
        <f>VLOOKUP(Таблица1_113[[#This Row],[Марка]],Таблица13[#All],2,0)</f>
        <v>Luxury</v>
      </c>
      <c r="AG1223">
        <f>VLOOKUP(Таблица1_113[[#This Row],[Марка]],Таблица13[#All],3,0)</f>
        <v>1922</v>
      </c>
      <c r="AH1223" t="str">
        <f>VLOOKUP(Таблица1_113[[#This Row],[Марка]],Таблица13[#All],5,0)</f>
        <v>Нет</v>
      </c>
      <c r="AI1223" s="12">
        <v>44531</v>
      </c>
      <c r="AJ1223">
        <v>4</v>
      </c>
    </row>
    <row r="1224" spans="30:36">
      <c r="AD1224" t="s">
        <v>4</v>
      </c>
      <c r="AE1224" t="str">
        <f>VLOOKUP(Таблица1_113[[#This Row],[Марка]],Таблица13[#All],4,0)</f>
        <v>Китай</v>
      </c>
      <c r="AF1224" t="str">
        <f>VLOOKUP(Таблица1_113[[#This Row],[Марка]],Таблица13[#All],2,0)</f>
        <v>Economy</v>
      </c>
      <c r="AG1224">
        <f>VLOOKUP(Таблица1_113[[#This Row],[Марка]],Таблица13[#All],3,0)</f>
        <v>1964</v>
      </c>
      <c r="AH1224" t="str">
        <f>VLOOKUP(Таблица1_113[[#This Row],[Марка]],Таблица13[#All],5,0)</f>
        <v>Крупноузловая</v>
      </c>
      <c r="AI1224" s="12">
        <v>44531</v>
      </c>
      <c r="AJ1224">
        <v>291</v>
      </c>
    </row>
    <row r="1225" spans="30:36">
      <c r="AD1225" t="s">
        <v>140</v>
      </c>
      <c r="AE1225" t="str">
        <f>VLOOKUP(Таблица1_113[[#This Row],[Марка]],Таблица13[#All],4,0)</f>
        <v>Япония</v>
      </c>
      <c r="AF1225" t="str">
        <f>VLOOKUP(Таблица1_113[[#This Row],[Марка]],Таблица13[#All],2,0)</f>
        <v>Business</v>
      </c>
      <c r="AG1225">
        <f>VLOOKUP(Таблица1_113[[#This Row],[Марка]],Таблица13[#All],3,0)</f>
        <v>1916</v>
      </c>
      <c r="AH1225" t="str">
        <f>VLOOKUP(Таблица1_113[[#This Row],[Марка]],Таблица13[#All],5,0)</f>
        <v>Нет</v>
      </c>
      <c r="AI1225" s="12">
        <v>44531</v>
      </c>
      <c r="AJ1225">
        <v>10</v>
      </c>
    </row>
    <row r="1226" spans="30:36">
      <c r="AD1226" t="s">
        <v>34</v>
      </c>
      <c r="AE1226" t="str">
        <f>VLOOKUP(Таблица1_113[[#This Row],[Марка]],Таблица13[#All],4,0)</f>
        <v>Япония</v>
      </c>
      <c r="AF1226" t="str">
        <f>VLOOKUP(Таблица1_113[[#This Row],[Марка]],Таблица13[#All],2,0)</f>
        <v>Luxury</v>
      </c>
      <c r="AG1226">
        <f>VLOOKUP(Таблица1_113[[#This Row],[Марка]],Таблица13[#All],3,0)</f>
        <v>1989</v>
      </c>
      <c r="AH1226" t="str">
        <f>VLOOKUP(Таблица1_113[[#This Row],[Марка]],Таблица13[#All],5,0)</f>
        <v>Нет</v>
      </c>
      <c r="AI1226" s="12">
        <v>44531</v>
      </c>
      <c r="AJ1226">
        <v>75</v>
      </c>
    </row>
    <row r="1227" spans="30:36">
      <c r="AD1227" t="s">
        <v>0</v>
      </c>
      <c r="AE1227" t="str">
        <f>VLOOKUP(Таблица1_113[[#This Row],[Марка]],Таблица13[#All],4,0)</f>
        <v>Корея</v>
      </c>
      <c r="AF1227" t="str">
        <f>VLOOKUP(Таблица1_113[[#This Row],[Марка]],Таблица13[#All],2,0)</f>
        <v>Economy</v>
      </c>
      <c r="AG1227">
        <f>VLOOKUP(Таблица1_113[[#This Row],[Марка]],Таблица13[#All],3,0)</f>
        <v>1967</v>
      </c>
      <c r="AH1227" t="str">
        <f>VLOOKUP(Таблица1_113[[#This Row],[Марка]],Таблица13[#All],5,0)</f>
        <v>Крупноузловая</v>
      </c>
      <c r="AI1227" s="12">
        <v>44531</v>
      </c>
      <c r="AJ1227">
        <v>2450</v>
      </c>
    </row>
    <row r="1228" spans="30:36">
      <c r="AD1228" t="s">
        <v>6</v>
      </c>
      <c r="AE1228" t="str">
        <f>VLOOKUP(Таблица1_113[[#This Row],[Марка]],Таблица13[#All],4,0)</f>
        <v>Китай</v>
      </c>
      <c r="AF1228" t="str">
        <f>VLOOKUP(Таблица1_113[[#This Row],[Марка]],Таблица13[#All],2,0)</f>
        <v>Economy</v>
      </c>
      <c r="AG1228">
        <f>VLOOKUP(Таблица1_113[[#This Row],[Марка]],Таблица13[#All],3,0)</f>
        <v>2013</v>
      </c>
      <c r="AH1228" t="str">
        <f>VLOOKUP(Таблица1_113[[#This Row],[Марка]],Таблица13[#All],5,0)</f>
        <v>Крупноузловая</v>
      </c>
      <c r="AI1228" s="12">
        <v>44531</v>
      </c>
      <c r="AJ1228">
        <v>153</v>
      </c>
    </row>
    <row r="1229" spans="30:36">
      <c r="AD1229" t="s">
        <v>138</v>
      </c>
      <c r="AE1229" t="str">
        <f>VLOOKUP(Таблица1_113[[#This Row],[Марка]],Таблица13[#All],4,0)</f>
        <v>Корея</v>
      </c>
      <c r="AF1229" t="str">
        <f>VLOOKUP(Таблица1_113[[#This Row],[Марка]],Таблица13[#All],2,0)</f>
        <v>Luxury</v>
      </c>
      <c r="AG1229">
        <f>VLOOKUP(Таблица1_113[[#This Row],[Марка]],Таблица13[#All],3,0)</f>
        <v>2015</v>
      </c>
      <c r="AH1229" t="str">
        <f>VLOOKUP(Таблица1_113[[#This Row],[Марка]],Таблица13[#All],5,0)</f>
        <v>Нет</v>
      </c>
      <c r="AI1229" s="12">
        <v>44531</v>
      </c>
      <c r="AJ1229">
        <v>0</v>
      </c>
    </row>
    <row r="1230" spans="30:36">
      <c r="AD1230" t="s">
        <v>129</v>
      </c>
      <c r="AE1230" t="str">
        <f>VLOOKUP(Таблица1_113[[#This Row],[Марка]],Таблица13[#All],4,0)</f>
        <v>Китай</v>
      </c>
      <c r="AF1230" t="str">
        <f>VLOOKUP(Таблица1_113[[#This Row],[Марка]],Таблица13[#All],2,0)</f>
        <v>Economy</v>
      </c>
      <c r="AG1230">
        <f>VLOOKUP(Таблица1_113[[#This Row],[Марка]],Таблица13[#All],3,0)</f>
        <v>1953</v>
      </c>
      <c r="AH1230" t="str">
        <f>VLOOKUP(Таблица1_113[[#This Row],[Марка]],Таблица13[#All],5,0)</f>
        <v>Нет</v>
      </c>
      <c r="AI1230" s="12">
        <v>44531</v>
      </c>
      <c r="AJ1230">
        <v>0</v>
      </c>
    </row>
    <row r="1231" spans="30:36">
      <c r="AD1231" t="s">
        <v>130</v>
      </c>
      <c r="AE1231" t="str">
        <f>VLOOKUP(Таблица1_113[[#This Row],[Марка]],Таблица13[#All],4,0)</f>
        <v>Китай</v>
      </c>
      <c r="AF1231" t="str">
        <f>VLOOKUP(Таблица1_113[[#This Row],[Марка]],Таблица13[#All],2,0)</f>
        <v>Economy</v>
      </c>
      <c r="AG1231">
        <f>VLOOKUP(Таблица1_113[[#This Row],[Марка]],Таблица13[#All],3,0)</f>
        <v>1969</v>
      </c>
      <c r="AH1231" t="str">
        <f>VLOOKUP(Таблица1_113[[#This Row],[Марка]],Таблица13[#All],5,0)</f>
        <v>Нет</v>
      </c>
      <c r="AI1231" s="12">
        <v>44531</v>
      </c>
      <c r="AJ1231">
        <v>0</v>
      </c>
    </row>
    <row r="1232" spans="30:36">
      <c r="AD1232" t="s">
        <v>137</v>
      </c>
      <c r="AE1232" t="str">
        <f>VLOOKUP(Таблица1_113[[#This Row],[Марка]],Таблица13[#All],4,0)</f>
        <v>Корея</v>
      </c>
      <c r="AF1232" t="str">
        <f>VLOOKUP(Таблица1_113[[#This Row],[Марка]],Таблица13[#All],2,0)</f>
        <v>Economy</v>
      </c>
      <c r="AG1232">
        <f>VLOOKUP(Таблица1_113[[#This Row],[Марка]],Таблица13[#All],3,0)</f>
        <v>1967</v>
      </c>
      <c r="AH1232" t="str">
        <f>VLOOKUP(Таблица1_113[[#This Row],[Марка]],Таблица13[#All],5,0)</f>
        <v>Нет</v>
      </c>
      <c r="AI1232" s="12">
        <v>44531</v>
      </c>
      <c r="AJ1232">
        <v>0</v>
      </c>
    </row>
    <row r="1233" spans="30:36">
      <c r="AD1233" t="s">
        <v>1</v>
      </c>
      <c r="AE1233" t="str">
        <f>VLOOKUP(Таблица1_113[[#This Row],[Марка]],Таблица13[#All],4,0)</f>
        <v>США</v>
      </c>
      <c r="AF1233" t="str">
        <f>VLOOKUP(Таблица1_113[[#This Row],[Марка]],Таблица13[#All],2,0)</f>
        <v>Economy</v>
      </c>
      <c r="AG1233">
        <f>VLOOKUP(Таблица1_113[[#This Row],[Марка]],Таблица13[#All],3,0)</f>
        <v>1911</v>
      </c>
      <c r="AH1233" t="str">
        <f>VLOOKUP(Таблица1_113[[#This Row],[Марка]],Таблица13[#All],5,0)</f>
        <v>Крупноузловая</v>
      </c>
      <c r="AI1233" s="12">
        <v>44531</v>
      </c>
      <c r="AJ1233">
        <v>1934</v>
      </c>
    </row>
    <row r="1234" spans="30:36">
      <c r="AD1234" t="s">
        <v>3</v>
      </c>
      <c r="AE1234" t="str">
        <f>VLOOKUP(Таблица1_113[[#This Row],[Марка]],Таблица13[#All],4,0)</f>
        <v>Китай</v>
      </c>
      <c r="AF1234" t="str">
        <f>VLOOKUP(Таблица1_113[[#This Row],[Марка]],Таблица13[#All],2,0)</f>
        <v>Economy</v>
      </c>
      <c r="AG1234">
        <f>VLOOKUP(Таблица1_113[[#This Row],[Марка]],Таблица13[#All],3,0)</f>
        <v>1997</v>
      </c>
      <c r="AH1234" t="str">
        <f>VLOOKUP(Таблица1_113[[#This Row],[Марка]],Таблица13[#All],5,0)</f>
        <v>Крупноузловая</v>
      </c>
      <c r="AI1234" s="12">
        <v>44531</v>
      </c>
      <c r="AJ1234">
        <v>62</v>
      </c>
    </row>
    <row r="1235" spans="30:36">
      <c r="AD1235" t="s">
        <v>36</v>
      </c>
      <c r="AE1235" t="str">
        <f>VLOOKUP(Таблица1_113[[#This Row],[Марка]],Таблица13[#All],4,0)</f>
        <v>США</v>
      </c>
      <c r="AF1235" t="str">
        <f>VLOOKUP(Таблица1_113[[#This Row],[Марка]],Таблица13[#All],2,0)</f>
        <v>Luxury</v>
      </c>
      <c r="AG1235">
        <f>VLOOKUP(Таблица1_113[[#This Row],[Марка]],Таблица13[#All],3,0)</f>
        <v>1902</v>
      </c>
      <c r="AH1235" t="str">
        <f>VLOOKUP(Таблица1_113[[#This Row],[Марка]],Таблица13[#All],5,0)</f>
        <v>Нет</v>
      </c>
      <c r="AI1235" s="12">
        <v>44531</v>
      </c>
      <c r="AJ1235">
        <v>29</v>
      </c>
    </row>
    <row r="1236" spans="30:36">
      <c r="AD1236" t="s">
        <v>8</v>
      </c>
      <c r="AE1236" t="str">
        <f>VLOOKUP(Таблица1_113[[#This Row],[Марка]],Таблица13[#All],4,0)</f>
        <v>Германия</v>
      </c>
      <c r="AF1236" t="str">
        <f>VLOOKUP(Таблица1_113[[#This Row],[Марка]],Таблица13[#All],2,0)</f>
        <v>Luxury</v>
      </c>
      <c r="AG1236">
        <f>VLOOKUP(Таблица1_113[[#This Row],[Марка]],Таблица13[#All],3,0)</f>
        <v>1916</v>
      </c>
      <c r="AH1236" t="str">
        <f>VLOOKUP(Таблица1_113[[#This Row],[Марка]],Таблица13[#All],5,0)</f>
        <v>Нет</v>
      </c>
      <c r="AI1236" s="12">
        <v>44531</v>
      </c>
      <c r="AJ1236">
        <v>113</v>
      </c>
    </row>
    <row r="1237" spans="30:36">
      <c r="AD1237" t="s">
        <v>38</v>
      </c>
      <c r="AE1237" t="str">
        <f>VLOOKUP(Таблица1_113[[#This Row],[Марка]],Таблица13[#All],4,0)</f>
        <v>Германия</v>
      </c>
      <c r="AF1237" t="str">
        <f>VLOOKUP(Таблица1_113[[#This Row],[Марка]],Таблица13[#All],2,0)</f>
        <v>Luxury</v>
      </c>
      <c r="AG1237">
        <f>VLOOKUP(Таблица1_113[[#This Row],[Марка]],Таблица13[#All],3,0)</f>
        <v>1932</v>
      </c>
      <c r="AH1237" t="str">
        <f>VLOOKUP(Таблица1_113[[#This Row],[Марка]],Таблица13[#All],5,0)</f>
        <v>Нет</v>
      </c>
      <c r="AI1237" s="12">
        <v>44531</v>
      </c>
      <c r="AJ1237">
        <v>16</v>
      </c>
    </row>
    <row r="1238" spans="30:36">
      <c r="AD1238" s="26" t="s">
        <v>136</v>
      </c>
      <c r="AE1238" s="26" t="str">
        <f>VLOOKUP(Таблица1_113[[#This Row],[Марка]],Таблица13[#All],4,0)</f>
        <v>Россия</v>
      </c>
      <c r="AF1238" s="26" t="str">
        <f>VLOOKUP(Таблица1_113[[#This Row],[Марка]],Таблица13[#All],2,0)</f>
        <v>Economy</v>
      </c>
      <c r="AG1238" s="26">
        <f>VLOOKUP(Таблица1_113[[#This Row],[Марка]],Таблица13[#All],3,0)</f>
        <v>1941</v>
      </c>
      <c r="AH1238" s="26" t="str">
        <f>VLOOKUP(Таблица1_113[[#This Row],[Марка]],Таблица13[#All],5,0)</f>
        <v>Нет</v>
      </c>
      <c r="AI1238" s="29">
        <v>44562</v>
      </c>
      <c r="AJ1238" s="26">
        <v>59</v>
      </c>
    </row>
    <row r="1239" spans="30:36">
      <c r="AD1239" s="26" t="s">
        <v>135</v>
      </c>
      <c r="AE1239" s="26" t="str">
        <f>VLOOKUP(Таблица1_113[[#This Row],[Марка]],Таблица13[#All],4,0)</f>
        <v>-</v>
      </c>
      <c r="AF1239" s="26" t="str">
        <f>VLOOKUP(Таблица1_113[[#This Row],[Марка]],Таблица13[#All],2,0)</f>
        <v>-</v>
      </c>
      <c r="AG1239" s="26" t="str">
        <f>VLOOKUP(Таблица1_113[[#This Row],[Марка]],Таблица13[#All],3,0)</f>
        <v>-</v>
      </c>
      <c r="AH1239" s="26" t="str">
        <f>VLOOKUP(Таблица1_113[[#This Row],[Марка]],Таблица13[#All],5,0)</f>
        <v>-</v>
      </c>
      <c r="AI1239" s="29">
        <v>44562</v>
      </c>
      <c r="AJ1239" s="26">
        <v>3</v>
      </c>
    </row>
    <row r="1240" spans="30:36">
      <c r="AD1240" s="26" t="s">
        <v>39</v>
      </c>
      <c r="AE1240" s="26" t="str">
        <f>VLOOKUP(Таблица1_113[[#This Row],[Марка]],Таблица13[#All],4,0)</f>
        <v>Швеция</v>
      </c>
      <c r="AF1240" s="26" t="str">
        <f>VLOOKUP(Таблица1_113[[#This Row],[Марка]],Таблица13[#All],2,0)</f>
        <v>Business</v>
      </c>
      <c r="AG1240" s="26">
        <f>VLOOKUP(Таблица1_113[[#This Row],[Марка]],Таблица13[#All],3,0)</f>
        <v>1927</v>
      </c>
      <c r="AH1240" s="26" t="str">
        <f>VLOOKUP(Таблица1_113[[#This Row],[Марка]],Таблица13[#All],5,0)</f>
        <v>Нет</v>
      </c>
      <c r="AI1240" s="29">
        <v>44562</v>
      </c>
      <c r="AJ1240" s="26">
        <v>1</v>
      </c>
    </row>
    <row r="1241" spans="30:36">
      <c r="AD1241" s="26" t="s">
        <v>21</v>
      </c>
      <c r="AE1241" s="26" t="str">
        <f>VLOOKUP(Таблица1_113[[#This Row],[Марка]],Таблица13[#All],4,0)</f>
        <v>Германия</v>
      </c>
      <c r="AF1241" s="26" t="str">
        <f>VLOOKUP(Таблица1_113[[#This Row],[Марка]],Таблица13[#All],2,0)</f>
        <v>Business</v>
      </c>
      <c r="AG1241" s="26">
        <f>VLOOKUP(Таблица1_113[[#This Row],[Марка]],Таблица13[#All],3,0)</f>
        <v>1937</v>
      </c>
      <c r="AH1241" s="26" t="str">
        <f>VLOOKUP(Таблица1_113[[#This Row],[Марка]],Таблица13[#All],5,0)</f>
        <v>Нет</v>
      </c>
      <c r="AI1241" s="29">
        <v>44562</v>
      </c>
      <c r="AJ1241" s="26">
        <v>119</v>
      </c>
    </row>
    <row r="1242" spans="30:36">
      <c r="AD1242" s="26" t="s">
        <v>2</v>
      </c>
      <c r="AE1242" s="26" t="str">
        <f>VLOOKUP(Таблица1_113[[#This Row],[Марка]],Таблица13[#All],4,0)</f>
        <v>Япония</v>
      </c>
      <c r="AF1242" s="26" t="str">
        <f>VLOOKUP(Таблица1_113[[#This Row],[Марка]],Таблица13[#All],2,0)</f>
        <v>Business</v>
      </c>
      <c r="AG1242" s="26">
        <f>VLOOKUP(Таблица1_113[[#This Row],[Марка]],Таблица13[#All],3,0)</f>
        <v>1937</v>
      </c>
      <c r="AH1242" s="26" t="str">
        <f>VLOOKUP(Таблица1_113[[#This Row],[Марка]],Таблица13[#All],5,0)</f>
        <v>Нет</v>
      </c>
      <c r="AI1242" s="29">
        <v>44562</v>
      </c>
      <c r="AJ1242" s="26">
        <v>480</v>
      </c>
    </row>
    <row r="1243" spans="30:36">
      <c r="AD1243" s="26" t="s">
        <v>125</v>
      </c>
      <c r="AE1243" s="26" t="str">
        <f>VLOOKUP(Таблица1_113[[#This Row],[Марка]],Таблица13[#All],4,0)</f>
        <v>Япония</v>
      </c>
      <c r="AF1243" s="26" t="str">
        <f>VLOOKUP(Таблица1_113[[#This Row],[Марка]],Таблица13[#All],2,0)</f>
        <v>Business</v>
      </c>
      <c r="AG1243" s="26">
        <f>VLOOKUP(Таблица1_113[[#This Row],[Марка]],Таблица13[#All],3,0)</f>
        <v>1953</v>
      </c>
      <c r="AH1243" s="26" t="str">
        <f>VLOOKUP(Таблица1_113[[#This Row],[Марка]],Таблица13[#All],5,0)</f>
        <v>Нет</v>
      </c>
      <c r="AI1243" s="29">
        <v>44562</v>
      </c>
      <c r="AJ1243" s="26">
        <v>5</v>
      </c>
    </row>
    <row r="1244" spans="30:36">
      <c r="AD1244" s="26" t="s">
        <v>23</v>
      </c>
      <c r="AE1244" s="26" t="str">
        <f>VLOOKUP(Таблица1_113[[#This Row],[Марка]],Таблица13[#All],4,0)</f>
        <v>Франция</v>
      </c>
      <c r="AF1244" s="26" t="str">
        <f>VLOOKUP(Таблица1_113[[#This Row],[Марка]],Таблица13[#All],2,0)</f>
        <v>Economy</v>
      </c>
      <c r="AG1244" s="26">
        <f>VLOOKUP(Таблица1_113[[#This Row],[Марка]],Таблица13[#All],3,0)</f>
        <v>1899</v>
      </c>
      <c r="AH1244" s="26" t="str">
        <f>VLOOKUP(Таблица1_113[[#This Row],[Марка]],Таблица13[#All],5,0)</f>
        <v>Крупноузловая</v>
      </c>
      <c r="AI1244" s="29">
        <v>44562</v>
      </c>
      <c r="AJ1244" s="26">
        <v>169</v>
      </c>
    </row>
    <row r="1245" spans="30:36">
      <c r="AD1245" s="26" t="s">
        <v>37</v>
      </c>
      <c r="AE1245" s="26" t="str">
        <f>VLOOKUP(Таблица1_113[[#This Row],[Марка]],Таблица13[#All],4,0)</f>
        <v>Германия</v>
      </c>
      <c r="AF1245" s="26" t="str">
        <f>VLOOKUP(Таблица1_113[[#This Row],[Марка]],Таблица13[#All],2,0)</f>
        <v>Luxury</v>
      </c>
      <c r="AG1245" s="26">
        <f>VLOOKUP(Таблица1_113[[#This Row],[Марка]],Таблица13[#All],3,0)</f>
        <v>1931</v>
      </c>
      <c r="AH1245" s="26" t="str">
        <f>VLOOKUP(Таблица1_113[[#This Row],[Марка]],Таблица13[#All],5,0)</f>
        <v>Нет</v>
      </c>
      <c r="AI1245" s="29">
        <v>44562</v>
      </c>
      <c r="AJ1245" s="26">
        <v>12</v>
      </c>
    </row>
    <row r="1246" spans="30:36">
      <c r="AD1246" s="26" t="s">
        <v>22</v>
      </c>
      <c r="AE1246" s="26" t="str">
        <f>VLOOKUP(Таблица1_113[[#This Row],[Марка]],Таблица13[#All],4,0)</f>
        <v>Япония</v>
      </c>
      <c r="AF1246" s="26" t="str">
        <f>VLOOKUP(Таблица1_113[[#This Row],[Марка]],Таблица13[#All],2,0)</f>
        <v>Business</v>
      </c>
      <c r="AG1246" s="26">
        <f>VLOOKUP(Таблица1_113[[#This Row],[Марка]],Таблица13[#All],3,0)</f>
        <v>1933</v>
      </c>
      <c r="AH1246" s="26" t="str">
        <f>VLOOKUP(Таблица1_113[[#This Row],[Марка]],Таблица13[#All],5,0)</f>
        <v>Нет</v>
      </c>
      <c r="AI1246" s="29">
        <v>44562</v>
      </c>
      <c r="AJ1246" s="26">
        <v>159</v>
      </c>
    </row>
    <row r="1247" spans="30:36">
      <c r="AD1247" s="26" t="s">
        <v>9</v>
      </c>
      <c r="AE1247" s="26" t="str">
        <f>VLOOKUP(Таблица1_113[[#This Row],[Марка]],Таблица13[#All],4,0)</f>
        <v>Япония</v>
      </c>
      <c r="AF1247" s="26" t="str">
        <f>VLOOKUP(Таблица1_113[[#This Row],[Марка]],Таблица13[#All],2,0)</f>
        <v>Business</v>
      </c>
      <c r="AG1247" s="26">
        <f>VLOOKUP(Таблица1_113[[#This Row],[Марка]],Таблица13[#All],3,0)</f>
        <v>1870</v>
      </c>
      <c r="AH1247" s="26" t="str">
        <f>VLOOKUP(Таблица1_113[[#This Row],[Марка]],Таблица13[#All],5,0)</f>
        <v>Нет</v>
      </c>
      <c r="AI1247" s="29">
        <v>44562</v>
      </c>
      <c r="AJ1247" s="26">
        <v>58</v>
      </c>
    </row>
    <row r="1248" spans="30:36">
      <c r="AD1248" s="26" t="s">
        <v>40</v>
      </c>
      <c r="AE1248" s="26" t="str">
        <f>VLOOKUP(Таблица1_113[[#This Row],[Марка]],Таблица13[#All],4,0)</f>
        <v>Великобритания</v>
      </c>
      <c r="AF1248" s="26" t="str">
        <f>VLOOKUP(Таблица1_113[[#This Row],[Марка]],Таблица13[#All],2,0)</f>
        <v>Luxury</v>
      </c>
      <c r="AG1248" s="26">
        <f>VLOOKUP(Таблица1_113[[#This Row],[Марка]],Таблица13[#All],3,0)</f>
        <v>1959</v>
      </c>
      <c r="AH1248" s="26" t="str">
        <f>VLOOKUP(Таблица1_113[[#This Row],[Марка]],Таблица13[#All],5,0)</f>
        <v>Нет</v>
      </c>
      <c r="AI1248" s="29">
        <v>44562</v>
      </c>
      <c r="AJ1248" s="26">
        <v>0</v>
      </c>
    </row>
    <row r="1249" spans="30:36">
      <c r="AD1249" s="26" t="s">
        <v>128</v>
      </c>
      <c r="AE1249" s="26" t="str">
        <f>VLOOKUP(Таблица1_113[[#This Row],[Марка]],Таблица13[#All],4,0)</f>
        <v>Германия</v>
      </c>
      <c r="AF1249" s="26" t="str">
        <f>VLOOKUP(Таблица1_113[[#This Row],[Марка]],Таблица13[#All],2,0)</f>
        <v>Luxury</v>
      </c>
      <c r="AG1249" s="26">
        <f>VLOOKUP(Таблица1_113[[#This Row],[Марка]],Таблица13[#All],3,0)</f>
        <v>1926</v>
      </c>
      <c r="AH1249" s="26" t="str">
        <f>VLOOKUP(Таблица1_113[[#This Row],[Марка]],Таблица13[#All],5,0)</f>
        <v>Нет</v>
      </c>
      <c r="AI1249" s="29">
        <v>44562</v>
      </c>
      <c r="AJ1249" s="26">
        <v>43</v>
      </c>
    </row>
    <row r="1250" spans="30:36">
      <c r="AD1250" s="26" t="s">
        <v>139</v>
      </c>
      <c r="AE1250" s="26" t="str">
        <f>VLOOKUP(Таблица1_113[[#This Row],[Марка]],Таблица13[#All],4,0)</f>
        <v>Япония</v>
      </c>
      <c r="AF1250" s="26" t="str">
        <f>VLOOKUP(Таблица1_113[[#This Row],[Марка]],Таблица13[#All],2,0)</f>
        <v>Business</v>
      </c>
      <c r="AG1250" s="26">
        <f>VLOOKUP(Таблица1_113[[#This Row],[Марка]],Таблица13[#All],3,0)</f>
        <v>1920</v>
      </c>
      <c r="AH1250" s="26" t="str">
        <f>VLOOKUP(Таблица1_113[[#This Row],[Марка]],Таблица13[#All],5,0)</f>
        <v>Нет</v>
      </c>
      <c r="AI1250" s="29">
        <v>44562</v>
      </c>
      <c r="AJ1250" s="26">
        <v>15</v>
      </c>
    </row>
    <row r="1251" spans="30:36">
      <c r="AD1251" s="26" t="s">
        <v>5</v>
      </c>
      <c r="AE1251" s="26" t="str">
        <f>VLOOKUP(Таблица1_113[[#This Row],[Марка]],Таблица13[#All],4,0)</f>
        <v>Япония</v>
      </c>
      <c r="AF1251" s="26" t="str">
        <f>VLOOKUP(Таблица1_113[[#This Row],[Марка]],Таблица13[#All],2,0)</f>
        <v>Luxury</v>
      </c>
      <c r="AG1251" s="26">
        <f>VLOOKUP(Таблица1_113[[#This Row],[Марка]],Таблица13[#All],3,0)</f>
        <v>1989</v>
      </c>
      <c r="AH1251" s="26" t="str">
        <f>VLOOKUP(Таблица1_113[[#This Row],[Марка]],Таблица13[#All],5,0)</f>
        <v>Нет</v>
      </c>
      <c r="AI1251" s="29">
        <v>44562</v>
      </c>
      <c r="AJ1251" s="26">
        <v>23</v>
      </c>
    </row>
    <row r="1252" spans="30:36">
      <c r="AD1252" s="26" t="s">
        <v>35</v>
      </c>
      <c r="AE1252" s="26" t="str">
        <f>VLOOKUP(Таблица1_113[[#This Row],[Марка]],Таблица13[#All],4,0)</f>
        <v>Великобритания</v>
      </c>
      <c r="AF1252" s="26" t="str">
        <f>VLOOKUP(Таблица1_113[[#This Row],[Марка]],Таблица13[#All],2,0)</f>
        <v>Luxury</v>
      </c>
      <c r="AG1252" s="26">
        <f>VLOOKUP(Таблица1_113[[#This Row],[Марка]],Таблица13[#All],3,0)</f>
        <v>1948</v>
      </c>
      <c r="AH1252" s="26" t="str">
        <f>VLOOKUP(Таблица1_113[[#This Row],[Марка]],Таблица13[#All],5,0)</f>
        <v>Нет</v>
      </c>
      <c r="AI1252" s="29">
        <v>44562</v>
      </c>
      <c r="AJ1252" s="26">
        <v>25</v>
      </c>
    </row>
    <row r="1253" spans="30:36">
      <c r="AD1253" s="26" t="s">
        <v>19</v>
      </c>
      <c r="AE1253" s="26" t="str">
        <f>VLOOKUP(Таблица1_113[[#This Row],[Марка]],Таблица13[#All],4,0)</f>
        <v>Россия</v>
      </c>
      <c r="AF1253" s="26" t="str">
        <f>VLOOKUP(Таблица1_113[[#This Row],[Марка]],Таблица13[#All],2,0)</f>
        <v>Economy</v>
      </c>
      <c r="AG1253" s="26">
        <f>VLOOKUP(Таблица1_113[[#This Row],[Марка]],Таблица13[#All],3,0)</f>
        <v>1970</v>
      </c>
      <c r="AH1253" s="26" t="str">
        <f>VLOOKUP(Таблица1_113[[#This Row],[Марка]],Таблица13[#All],5,0)</f>
        <v>Крупноузловая</v>
      </c>
      <c r="AI1253" s="29">
        <v>44562</v>
      </c>
      <c r="AJ1253" s="26">
        <v>226</v>
      </c>
    </row>
    <row r="1254" spans="30:36">
      <c r="AD1254" s="26" t="s">
        <v>15</v>
      </c>
      <c r="AE1254" s="26" t="str">
        <f>VLOOKUP(Таблица1_113[[#This Row],[Марка]],Таблица13[#All],4,0)</f>
        <v>Корея</v>
      </c>
      <c r="AF1254" s="26" t="str">
        <f>VLOOKUP(Таблица1_113[[#This Row],[Марка]],Таблица13[#All],2,0)</f>
        <v>Economy</v>
      </c>
      <c r="AG1254" s="26">
        <f>VLOOKUP(Таблица1_113[[#This Row],[Марка]],Таблица13[#All],3,0)</f>
        <v>1944</v>
      </c>
      <c r="AH1254" s="26" t="str">
        <f>VLOOKUP(Таблица1_113[[#This Row],[Марка]],Таблица13[#All],5,0)</f>
        <v>Крупноузловая</v>
      </c>
      <c r="AI1254" s="29">
        <v>44562</v>
      </c>
      <c r="AJ1254" s="26">
        <v>290</v>
      </c>
    </row>
    <row r="1255" spans="30:36">
      <c r="AD1255" s="26" t="s">
        <v>134</v>
      </c>
      <c r="AE1255" s="26" t="str">
        <f>VLOOKUP(Таблица1_113[[#This Row],[Марка]],Таблица13[#All],4,0)</f>
        <v>Великобритания</v>
      </c>
      <c r="AF1255" s="26" t="str">
        <f>VLOOKUP(Таблица1_113[[#This Row],[Марка]],Таблица13[#All],2,0)</f>
        <v>Luxury</v>
      </c>
      <c r="AG1255" s="26">
        <f>VLOOKUP(Таблица1_113[[#This Row],[Марка]],Таблица13[#All],3,0)</f>
        <v>1922</v>
      </c>
      <c r="AH1255" s="26" t="str">
        <f>VLOOKUP(Таблица1_113[[#This Row],[Марка]],Таблица13[#All],5,0)</f>
        <v>Нет</v>
      </c>
      <c r="AI1255" s="29">
        <v>44562</v>
      </c>
      <c r="AJ1255" s="26">
        <v>0</v>
      </c>
    </row>
    <row r="1256" spans="30:36">
      <c r="AD1256" s="26" t="s">
        <v>4</v>
      </c>
      <c r="AE1256" s="26" t="str">
        <f>VLOOKUP(Таблица1_113[[#This Row],[Марка]],Таблица13[#All],4,0)</f>
        <v>Китай</v>
      </c>
      <c r="AF1256" s="26" t="str">
        <f>VLOOKUP(Таблица1_113[[#This Row],[Марка]],Таблица13[#All],2,0)</f>
        <v>Economy</v>
      </c>
      <c r="AG1256" s="26">
        <f>VLOOKUP(Таблица1_113[[#This Row],[Марка]],Таблица13[#All],3,0)</f>
        <v>1964</v>
      </c>
      <c r="AH1256" s="26" t="str">
        <f>VLOOKUP(Таблица1_113[[#This Row],[Марка]],Таблица13[#All],5,0)</f>
        <v>Крупноузловая</v>
      </c>
      <c r="AI1256" s="29">
        <v>44562</v>
      </c>
      <c r="AJ1256" s="26">
        <v>128</v>
      </c>
    </row>
    <row r="1257" spans="30:36">
      <c r="AD1257" s="26" t="s">
        <v>140</v>
      </c>
      <c r="AE1257" s="26" t="str">
        <f>VLOOKUP(Таблица1_113[[#This Row],[Марка]],Таблица13[#All],4,0)</f>
        <v>Япония</v>
      </c>
      <c r="AF1257" s="26" t="str">
        <f>VLOOKUP(Таблица1_113[[#This Row],[Марка]],Таблица13[#All],2,0)</f>
        <v>Business</v>
      </c>
      <c r="AG1257" s="26">
        <f>VLOOKUP(Таблица1_113[[#This Row],[Марка]],Таблица13[#All],3,0)</f>
        <v>1916</v>
      </c>
      <c r="AH1257" s="26" t="str">
        <f>VLOOKUP(Таблица1_113[[#This Row],[Марка]],Таблица13[#All],5,0)</f>
        <v>Нет</v>
      </c>
      <c r="AI1257" s="29">
        <v>44562</v>
      </c>
      <c r="AJ1257" s="26">
        <v>0</v>
      </c>
    </row>
    <row r="1258" spans="30:36">
      <c r="AD1258" s="26" t="s">
        <v>34</v>
      </c>
      <c r="AE1258" s="26" t="str">
        <f>VLOOKUP(Таблица1_113[[#This Row],[Марка]],Таблица13[#All],4,0)</f>
        <v>Япония</v>
      </c>
      <c r="AF1258" s="26" t="str">
        <f>VLOOKUP(Таблица1_113[[#This Row],[Марка]],Таблица13[#All],2,0)</f>
        <v>Luxury</v>
      </c>
      <c r="AG1258" s="26">
        <f>VLOOKUP(Таблица1_113[[#This Row],[Марка]],Таблица13[#All],3,0)</f>
        <v>1989</v>
      </c>
      <c r="AH1258" s="26" t="str">
        <f>VLOOKUP(Таблица1_113[[#This Row],[Марка]],Таблица13[#All],5,0)</f>
        <v>Нет</v>
      </c>
      <c r="AI1258" s="29">
        <v>44562</v>
      </c>
      <c r="AJ1258" s="26">
        <v>39</v>
      </c>
    </row>
    <row r="1259" spans="30:36">
      <c r="AD1259" s="26" t="s">
        <v>0</v>
      </c>
      <c r="AE1259" s="26" t="str">
        <f>VLOOKUP(Таблица1_113[[#This Row],[Марка]],Таблица13[#All],4,0)</f>
        <v>Корея</v>
      </c>
      <c r="AF1259" s="26" t="str">
        <f>VLOOKUP(Таблица1_113[[#This Row],[Марка]],Таблица13[#All],2,0)</f>
        <v>Economy</v>
      </c>
      <c r="AG1259" s="26">
        <f>VLOOKUP(Таблица1_113[[#This Row],[Марка]],Таблица13[#All],3,0)</f>
        <v>1967</v>
      </c>
      <c r="AH1259" s="26" t="str">
        <f>VLOOKUP(Таблица1_113[[#This Row],[Марка]],Таблица13[#All],5,0)</f>
        <v>Крупноузловая</v>
      </c>
      <c r="AI1259" s="29">
        <v>44562</v>
      </c>
      <c r="AJ1259" s="26">
        <v>1455</v>
      </c>
    </row>
    <row r="1260" spans="30:36">
      <c r="AD1260" s="26" t="s">
        <v>6</v>
      </c>
      <c r="AE1260" s="26" t="str">
        <f>VLOOKUP(Таблица1_113[[#This Row],[Марка]],Таблица13[#All],4,0)</f>
        <v>Китай</v>
      </c>
      <c r="AF1260" s="26" t="str">
        <f>VLOOKUP(Таблица1_113[[#This Row],[Марка]],Таблица13[#All],2,0)</f>
        <v>Economy</v>
      </c>
      <c r="AG1260" s="26">
        <f>VLOOKUP(Таблица1_113[[#This Row],[Марка]],Таблица13[#All],3,0)</f>
        <v>2013</v>
      </c>
      <c r="AH1260" s="26" t="str">
        <f>VLOOKUP(Таблица1_113[[#This Row],[Марка]],Таблица13[#All],5,0)</f>
        <v>Крупноузловая</v>
      </c>
      <c r="AI1260" s="29">
        <v>44562</v>
      </c>
      <c r="AJ1260" s="26">
        <v>112</v>
      </c>
    </row>
    <row r="1261" spans="30:36">
      <c r="AD1261" s="26" t="s">
        <v>18</v>
      </c>
      <c r="AE1261" s="26" t="str">
        <f>VLOOKUP(Таблица1_113[[#This Row],[Марка]],Таблица13[#All],4,0)</f>
        <v>Китай</v>
      </c>
      <c r="AF1261" s="26" t="str">
        <f>VLOOKUP(Таблица1_113[[#This Row],[Марка]],Таблица13[#All],2,0)</f>
        <v>Economy</v>
      </c>
      <c r="AG1261" s="26">
        <f>VLOOKUP(Таблица1_113[[#This Row],[Марка]],Таблица13[#All],3,0)</f>
        <v>1986</v>
      </c>
      <c r="AH1261" s="26" t="str">
        <f>VLOOKUP(Таблица1_113[[#This Row],[Марка]],Таблица13[#All],5,0)</f>
        <v>Крупноузловая</v>
      </c>
      <c r="AI1261" s="29">
        <v>44562</v>
      </c>
      <c r="AJ1261" s="26">
        <v>0</v>
      </c>
    </row>
    <row r="1262" spans="30:36">
      <c r="AD1262" s="26" t="s">
        <v>133</v>
      </c>
      <c r="AE1262" s="26" t="str">
        <f>VLOOKUP(Таблица1_113[[#This Row],[Марка]],Таблица13[#All],4,0)</f>
        <v>Китай</v>
      </c>
      <c r="AF1262" s="26" t="str">
        <f>VLOOKUP(Таблица1_113[[#This Row],[Марка]],Таблица13[#All],2,0)</f>
        <v>Economy</v>
      </c>
      <c r="AG1262" s="26">
        <f>VLOOKUP(Таблица1_113[[#This Row],[Марка]],Таблица13[#All],3,0)</f>
        <v>1996</v>
      </c>
      <c r="AH1262" s="26" t="str">
        <f>VLOOKUP(Таблица1_113[[#This Row],[Марка]],Таблица13[#All],5,0)</f>
        <v>Нет</v>
      </c>
      <c r="AI1262" s="29">
        <v>44562</v>
      </c>
      <c r="AJ1262" s="26">
        <v>0</v>
      </c>
    </row>
    <row r="1263" spans="30:36">
      <c r="AD1263" s="26" t="s">
        <v>129</v>
      </c>
      <c r="AE1263" s="26" t="str">
        <f>VLOOKUP(Таблица1_113[[#This Row],[Марка]],Таблица13[#All],4,0)</f>
        <v>Китай</v>
      </c>
      <c r="AF1263" s="26" t="str">
        <f>VLOOKUP(Таблица1_113[[#This Row],[Марка]],Таблица13[#All],2,0)</f>
        <v>Economy</v>
      </c>
      <c r="AG1263" s="26">
        <f>VLOOKUP(Таблица1_113[[#This Row],[Марка]],Таблица13[#All],3,0)</f>
        <v>1953</v>
      </c>
      <c r="AH1263" s="26" t="str">
        <f>VLOOKUP(Таблица1_113[[#This Row],[Марка]],Таблица13[#All],5,0)</f>
        <v>Нет</v>
      </c>
      <c r="AI1263" s="29">
        <v>44562</v>
      </c>
      <c r="AJ1263" s="26">
        <v>0</v>
      </c>
    </row>
    <row r="1264" spans="30:36">
      <c r="AD1264" s="26" t="s">
        <v>130</v>
      </c>
      <c r="AE1264" s="26" t="str">
        <f>VLOOKUP(Таблица1_113[[#This Row],[Марка]],Таблица13[#All],4,0)</f>
        <v>Китай</v>
      </c>
      <c r="AF1264" s="26" t="str">
        <f>VLOOKUP(Таблица1_113[[#This Row],[Марка]],Таблица13[#All],2,0)</f>
        <v>Economy</v>
      </c>
      <c r="AG1264" s="26">
        <f>VLOOKUP(Таблица1_113[[#This Row],[Марка]],Таблица13[#All],3,0)</f>
        <v>1969</v>
      </c>
      <c r="AH1264" s="26" t="str">
        <f>VLOOKUP(Таблица1_113[[#This Row],[Марка]],Таблица13[#All],5,0)</f>
        <v>Нет</v>
      </c>
      <c r="AI1264" s="29">
        <v>44562</v>
      </c>
      <c r="AJ1264" s="26">
        <v>0</v>
      </c>
    </row>
    <row r="1265" spans="30:36">
      <c r="AD1265" s="26" t="s">
        <v>137</v>
      </c>
      <c r="AE1265" s="26" t="str">
        <f>VLOOKUP(Таблица1_113[[#This Row],[Марка]],Таблица13[#All],4,0)</f>
        <v>Корея</v>
      </c>
      <c r="AF1265" s="26" t="str">
        <f>VLOOKUP(Таблица1_113[[#This Row],[Марка]],Таблица13[#All],2,0)</f>
        <v>Economy</v>
      </c>
      <c r="AG1265" s="26">
        <f>VLOOKUP(Таблица1_113[[#This Row],[Марка]],Таблица13[#All],3,0)</f>
        <v>1967</v>
      </c>
      <c r="AH1265" s="26" t="str">
        <f>VLOOKUP(Таблица1_113[[#This Row],[Марка]],Таблица13[#All],5,0)</f>
        <v>Нет</v>
      </c>
      <c r="AI1265" s="29">
        <v>44562</v>
      </c>
      <c r="AJ1265" s="26">
        <v>9</v>
      </c>
    </row>
    <row r="1266" spans="30:36">
      <c r="AD1266" s="26" t="s">
        <v>1</v>
      </c>
      <c r="AE1266" s="26" t="str">
        <f>VLOOKUP(Таблица1_113[[#This Row],[Марка]],Таблица13[#All],4,0)</f>
        <v>США</v>
      </c>
      <c r="AF1266" s="26" t="str">
        <f>VLOOKUP(Таблица1_113[[#This Row],[Марка]],Таблица13[#All],2,0)</f>
        <v>Economy</v>
      </c>
      <c r="AG1266" s="26">
        <f>VLOOKUP(Таблица1_113[[#This Row],[Марка]],Таблица13[#All],3,0)</f>
        <v>1911</v>
      </c>
      <c r="AH1266" s="26" t="str">
        <f>VLOOKUP(Таблица1_113[[#This Row],[Марка]],Таблица13[#All],5,0)</f>
        <v>Крупноузловая</v>
      </c>
      <c r="AI1266" s="29">
        <v>44562</v>
      </c>
      <c r="AJ1266" s="26">
        <v>335</v>
      </c>
    </row>
    <row r="1267" spans="30:36">
      <c r="AD1267" s="26" t="s">
        <v>3</v>
      </c>
      <c r="AE1267" s="26" t="str">
        <f>VLOOKUP(Таблица1_113[[#This Row],[Марка]],Таблица13[#All],4,0)</f>
        <v>Китай</v>
      </c>
      <c r="AF1267" s="26" t="str">
        <f>VLOOKUP(Таблица1_113[[#This Row],[Марка]],Таблица13[#All],2,0)</f>
        <v>Economy</v>
      </c>
      <c r="AG1267" s="26">
        <f>VLOOKUP(Таблица1_113[[#This Row],[Марка]],Таблица13[#All],3,0)</f>
        <v>1997</v>
      </c>
      <c r="AH1267" s="26" t="str">
        <f>VLOOKUP(Таблица1_113[[#This Row],[Марка]],Таблица13[#All],5,0)</f>
        <v>Крупноузловая</v>
      </c>
      <c r="AI1267" s="29">
        <v>44562</v>
      </c>
      <c r="AJ1267" s="26">
        <v>35</v>
      </c>
    </row>
    <row r="1268" spans="30:36">
      <c r="AD1268" s="26" t="s">
        <v>124</v>
      </c>
      <c r="AE1268" s="26" t="str">
        <f>VLOOKUP(Таблица1_113[[#This Row],[Марка]],Таблица13[#All],4,0)</f>
        <v>Китай</v>
      </c>
      <c r="AF1268" s="26" t="str">
        <f>VLOOKUP(Таблица1_113[[#This Row],[Марка]],Таблица13[#All],2,0)</f>
        <v>Economy</v>
      </c>
      <c r="AG1268" s="26">
        <f>VLOOKUP(Таблица1_113[[#This Row],[Марка]],Таблица13[#All],3,0)</f>
        <v>1862</v>
      </c>
      <c r="AH1268" s="26" t="str">
        <f>VLOOKUP(Таблица1_113[[#This Row],[Марка]],Таблица13[#All],5,0)</f>
        <v>Нет</v>
      </c>
      <c r="AI1268" s="29">
        <v>44562</v>
      </c>
      <c r="AJ1268" s="26">
        <v>0</v>
      </c>
    </row>
    <row r="1269" spans="30:36">
      <c r="AD1269" s="26" t="s">
        <v>36</v>
      </c>
      <c r="AE1269" s="26" t="str">
        <f>VLOOKUP(Таблица1_113[[#This Row],[Марка]],Таблица13[#All],4,0)</f>
        <v>США</v>
      </c>
      <c r="AF1269" s="26" t="str">
        <f>VLOOKUP(Таблица1_113[[#This Row],[Марка]],Таблица13[#All],2,0)</f>
        <v>Luxury</v>
      </c>
      <c r="AG1269" s="26">
        <f>VLOOKUP(Таблица1_113[[#This Row],[Марка]],Таблица13[#All],3,0)</f>
        <v>1902</v>
      </c>
      <c r="AH1269" s="26" t="str">
        <f>VLOOKUP(Таблица1_113[[#This Row],[Марка]],Таблица13[#All],5,0)</f>
        <v>Нет</v>
      </c>
      <c r="AI1269" s="29">
        <v>44562</v>
      </c>
      <c r="AJ1269" s="26">
        <v>0</v>
      </c>
    </row>
    <row r="1270" spans="30:36">
      <c r="AD1270" s="26" t="s">
        <v>8</v>
      </c>
      <c r="AE1270" s="26" t="str">
        <f>VLOOKUP(Таблица1_113[[#This Row],[Марка]],Таблица13[#All],4,0)</f>
        <v>Германия</v>
      </c>
      <c r="AF1270" s="26" t="str">
        <f>VLOOKUP(Таблица1_113[[#This Row],[Марка]],Таблица13[#All],2,0)</f>
        <v>Luxury</v>
      </c>
      <c r="AG1270" s="26">
        <f>VLOOKUP(Таблица1_113[[#This Row],[Марка]],Таблица13[#All],3,0)</f>
        <v>1916</v>
      </c>
      <c r="AH1270" s="26" t="str">
        <f>VLOOKUP(Таблица1_113[[#This Row],[Марка]],Таблица13[#All],5,0)</f>
        <v>Нет</v>
      </c>
      <c r="AI1270" s="29">
        <v>44562</v>
      </c>
      <c r="AJ1270" s="26">
        <v>41</v>
      </c>
    </row>
    <row r="1271" spans="30:36">
      <c r="AD1271" s="26" t="s">
        <v>38</v>
      </c>
      <c r="AE1271" s="26" t="str">
        <f>VLOOKUP(Таблица1_113[[#This Row],[Марка]],Таблица13[#All],4,0)</f>
        <v>Германия</v>
      </c>
      <c r="AF1271" s="26" t="str">
        <f>VLOOKUP(Таблица1_113[[#This Row],[Марка]],Таблица13[#All],2,0)</f>
        <v>Luxury</v>
      </c>
      <c r="AG1271" s="26">
        <f>VLOOKUP(Таблица1_113[[#This Row],[Марка]],Таблица13[#All],3,0)</f>
        <v>1932</v>
      </c>
      <c r="AH1271" s="26" t="str">
        <f>VLOOKUP(Таблица1_113[[#This Row],[Марка]],Таблица13[#All],5,0)</f>
        <v>Нет</v>
      </c>
      <c r="AI1271" s="29">
        <v>44562</v>
      </c>
      <c r="AJ1271" s="26">
        <v>13</v>
      </c>
    </row>
    <row r="1272" spans="30:36">
      <c r="AD1272" t="s">
        <v>136</v>
      </c>
      <c r="AE1272" t="str">
        <f>VLOOKUP(Таблица1_113[[#This Row],[Марка]],Таблица13[#All],4,0)</f>
        <v>Россия</v>
      </c>
      <c r="AF1272" t="str">
        <f>VLOOKUP(Таблица1_113[[#This Row],[Марка]],Таблица13[#All],2,0)</f>
        <v>Economy</v>
      </c>
      <c r="AG1272">
        <f>VLOOKUP(Таблица1_113[[#This Row],[Марка]],Таблица13[#All],3,0)</f>
        <v>1941</v>
      </c>
      <c r="AH1272" t="str">
        <f>VLOOKUP(Таблица1_113[[#This Row],[Марка]],Таблица13[#All],5,0)</f>
        <v>Нет</v>
      </c>
      <c r="AI1272" s="12">
        <v>44593</v>
      </c>
      <c r="AJ1272">
        <v>58</v>
      </c>
    </row>
    <row r="1273" spans="30:36">
      <c r="AD1273" t="s">
        <v>135</v>
      </c>
      <c r="AE1273" t="str">
        <f>VLOOKUP(Таблица1_113[[#This Row],[Марка]],Таблица13[#All],4,0)</f>
        <v>-</v>
      </c>
      <c r="AF1273" t="str">
        <f>VLOOKUP(Таблица1_113[[#This Row],[Марка]],Таблица13[#All],2,0)</f>
        <v>-</v>
      </c>
      <c r="AG1273" t="str">
        <f>VLOOKUP(Таблица1_113[[#This Row],[Марка]],Таблица13[#All],3,0)</f>
        <v>-</v>
      </c>
      <c r="AH1273" t="str">
        <f>VLOOKUP(Таблица1_113[[#This Row],[Марка]],Таблица13[#All],5,0)</f>
        <v>-</v>
      </c>
      <c r="AI1273" s="12">
        <v>44593</v>
      </c>
      <c r="AJ1273">
        <v>14</v>
      </c>
    </row>
    <row r="1274" spans="30:36">
      <c r="AD1274" t="s">
        <v>39</v>
      </c>
      <c r="AE1274" t="str">
        <f>VLOOKUP(Таблица1_113[[#This Row],[Марка]],Таблица13[#All],4,0)</f>
        <v>Швеция</v>
      </c>
      <c r="AF1274" t="str">
        <f>VLOOKUP(Таблица1_113[[#This Row],[Марка]],Таблица13[#All],2,0)</f>
        <v>Business</v>
      </c>
      <c r="AG1274">
        <f>VLOOKUP(Таблица1_113[[#This Row],[Марка]],Таблица13[#All],3,0)</f>
        <v>1927</v>
      </c>
      <c r="AH1274" t="str">
        <f>VLOOKUP(Таблица1_113[[#This Row],[Марка]],Таблица13[#All],5,0)</f>
        <v>Нет</v>
      </c>
      <c r="AI1274" s="12">
        <v>44593</v>
      </c>
      <c r="AJ1274">
        <v>8</v>
      </c>
    </row>
    <row r="1275" spans="30:36">
      <c r="AD1275" t="s">
        <v>21</v>
      </c>
      <c r="AE1275" t="str">
        <f>VLOOKUP(Таблица1_113[[#This Row],[Марка]],Таблица13[#All],4,0)</f>
        <v>Германия</v>
      </c>
      <c r="AF1275" t="str">
        <f>VLOOKUP(Таблица1_113[[#This Row],[Марка]],Таблица13[#All],2,0)</f>
        <v>Business</v>
      </c>
      <c r="AG1275">
        <f>VLOOKUP(Таблица1_113[[#This Row],[Марка]],Таблица13[#All],3,0)</f>
        <v>1937</v>
      </c>
      <c r="AH1275" t="str">
        <f>VLOOKUP(Таблица1_113[[#This Row],[Марка]],Таблица13[#All],5,0)</f>
        <v>Нет</v>
      </c>
      <c r="AI1275" s="12">
        <v>44593</v>
      </c>
      <c r="AJ1275">
        <v>375</v>
      </c>
    </row>
    <row r="1276" spans="30:36">
      <c r="AD1276" t="s">
        <v>2</v>
      </c>
      <c r="AE1276" t="str">
        <f>VLOOKUP(Таблица1_113[[#This Row],[Марка]],Таблица13[#All],4,0)</f>
        <v>Япония</v>
      </c>
      <c r="AF1276" t="str">
        <f>VLOOKUP(Таблица1_113[[#This Row],[Марка]],Таблица13[#All],2,0)</f>
        <v>Business</v>
      </c>
      <c r="AG1276">
        <f>VLOOKUP(Таблица1_113[[#This Row],[Марка]],Таблица13[#All],3,0)</f>
        <v>1937</v>
      </c>
      <c r="AH1276" t="str">
        <f>VLOOKUP(Таблица1_113[[#This Row],[Марка]],Таблица13[#All],5,0)</f>
        <v>Нет</v>
      </c>
      <c r="AI1276" s="12">
        <v>44593</v>
      </c>
      <c r="AJ1276">
        <v>950</v>
      </c>
    </row>
    <row r="1277" spans="30:36">
      <c r="AD1277" t="s">
        <v>125</v>
      </c>
      <c r="AE1277" t="str">
        <f>VLOOKUP(Таблица1_113[[#This Row],[Марка]],Таблица13[#All],4,0)</f>
        <v>Япония</v>
      </c>
      <c r="AF1277" t="str">
        <f>VLOOKUP(Таблица1_113[[#This Row],[Марка]],Таблица13[#All],2,0)</f>
        <v>Business</v>
      </c>
      <c r="AG1277">
        <f>VLOOKUP(Таблица1_113[[#This Row],[Марка]],Таблица13[#All],3,0)</f>
        <v>1953</v>
      </c>
      <c r="AH1277" t="str">
        <f>VLOOKUP(Таблица1_113[[#This Row],[Марка]],Таблица13[#All],5,0)</f>
        <v>Нет</v>
      </c>
      <c r="AI1277" s="12">
        <v>44593</v>
      </c>
      <c r="AJ1277">
        <v>33</v>
      </c>
    </row>
    <row r="1278" spans="30:36">
      <c r="AD1278" t="s">
        <v>23</v>
      </c>
      <c r="AE1278" t="str">
        <f>VLOOKUP(Таблица1_113[[#This Row],[Марка]],Таблица13[#All],4,0)</f>
        <v>Франция</v>
      </c>
      <c r="AF1278" t="str">
        <f>VLOOKUP(Таблица1_113[[#This Row],[Марка]],Таблица13[#All],2,0)</f>
        <v>Economy</v>
      </c>
      <c r="AG1278">
        <f>VLOOKUP(Таблица1_113[[#This Row],[Марка]],Таблица13[#All],3,0)</f>
        <v>1899</v>
      </c>
      <c r="AH1278" t="str">
        <f>VLOOKUP(Таблица1_113[[#This Row],[Марка]],Таблица13[#All],5,0)</f>
        <v>Крупноузловая</v>
      </c>
      <c r="AI1278" s="12">
        <v>44593</v>
      </c>
      <c r="AJ1278">
        <v>175</v>
      </c>
    </row>
    <row r="1279" spans="30:36">
      <c r="AD1279" t="s">
        <v>37</v>
      </c>
      <c r="AE1279" t="str">
        <f>VLOOKUP(Таблица1_113[[#This Row],[Марка]],Таблица13[#All],4,0)</f>
        <v>Германия</v>
      </c>
      <c r="AF1279" t="str">
        <f>VLOOKUP(Таблица1_113[[#This Row],[Марка]],Таблица13[#All],2,0)</f>
        <v>Luxury</v>
      </c>
      <c r="AG1279">
        <f>VLOOKUP(Таблица1_113[[#This Row],[Марка]],Таблица13[#All],3,0)</f>
        <v>1931</v>
      </c>
      <c r="AH1279" t="str">
        <f>VLOOKUP(Таблица1_113[[#This Row],[Марка]],Таблица13[#All],5,0)</f>
        <v>Нет</v>
      </c>
      <c r="AI1279" s="12">
        <v>44593</v>
      </c>
      <c r="AJ1279">
        <v>9</v>
      </c>
    </row>
    <row r="1280" spans="30:36">
      <c r="AD1280" t="s">
        <v>22</v>
      </c>
      <c r="AE1280" t="str">
        <f>VLOOKUP(Таблица1_113[[#This Row],[Марка]],Таблица13[#All],4,0)</f>
        <v>Япония</v>
      </c>
      <c r="AF1280" t="str">
        <f>VLOOKUP(Таблица1_113[[#This Row],[Марка]],Таблица13[#All],2,0)</f>
        <v>Business</v>
      </c>
      <c r="AG1280">
        <f>VLOOKUP(Таблица1_113[[#This Row],[Марка]],Таблица13[#All],3,0)</f>
        <v>1933</v>
      </c>
      <c r="AH1280" t="str">
        <f>VLOOKUP(Таблица1_113[[#This Row],[Марка]],Таблица13[#All],5,0)</f>
        <v>Нет</v>
      </c>
      <c r="AI1280" s="12">
        <v>44593</v>
      </c>
      <c r="AJ1280">
        <v>220</v>
      </c>
    </row>
    <row r="1281" spans="30:36">
      <c r="AD1281" t="s">
        <v>9</v>
      </c>
      <c r="AE1281" t="str">
        <f>VLOOKUP(Таблица1_113[[#This Row],[Марка]],Таблица13[#All],4,0)</f>
        <v>Япония</v>
      </c>
      <c r="AF1281" t="str">
        <f>VLOOKUP(Таблица1_113[[#This Row],[Марка]],Таблица13[#All],2,0)</f>
        <v>Business</v>
      </c>
      <c r="AG1281">
        <f>VLOOKUP(Таблица1_113[[#This Row],[Марка]],Таблица13[#All],3,0)</f>
        <v>1870</v>
      </c>
      <c r="AH1281" t="str">
        <f>VLOOKUP(Таблица1_113[[#This Row],[Марка]],Таблица13[#All],5,0)</f>
        <v>Нет</v>
      </c>
      <c r="AI1281" s="12">
        <v>44593</v>
      </c>
      <c r="AJ1281">
        <v>70</v>
      </c>
    </row>
    <row r="1282" spans="30:36">
      <c r="AD1282" t="s">
        <v>40</v>
      </c>
      <c r="AE1282" t="str">
        <f>VLOOKUP(Таблица1_113[[#This Row],[Марка]],Таблица13[#All],4,0)</f>
        <v>Великобритания</v>
      </c>
      <c r="AF1282" t="str">
        <f>VLOOKUP(Таблица1_113[[#This Row],[Марка]],Таблица13[#All],2,0)</f>
        <v>Luxury</v>
      </c>
      <c r="AG1282">
        <f>VLOOKUP(Таблица1_113[[#This Row],[Марка]],Таблица13[#All],3,0)</f>
        <v>1959</v>
      </c>
      <c r="AH1282" t="str">
        <f>VLOOKUP(Таблица1_113[[#This Row],[Марка]],Таблица13[#All],5,0)</f>
        <v>Нет</v>
      </c>
      <c r="AI1282" s="12">
        <v>44593</v>
      </c>
      <c r="AJ1282">
        <v>6</v>
      </c>
    </row>
    <row r="1283" spans="30:36">
      <c r="AD1283" t="s">
        <v>128</v>
      </c>
      <c r="AE1283" t="str">
        <f>VLOOKUP(Таблица1_113[[#This Row],[Марка]],Таблица13[#All],4,0)</f>
        <v>Германия</v>
      </c>
      <c r="AF1283" t="str">
        <f>VLOOKUP(Таблица1_113[[#This Row],[Марка]],Таблица13[#All],2,0)</f>
        <v>Luxury</v>
      </c>
      <c r="AG1283">
        <f>VLOOKUP(Таблица1_113[[#This Row],[Марка]],Таблица13[#All],3,0)</f>
        <v>1926</v>
      </c>
      <c r="AH1283" t="str">
        <f>VLOOKUP(Таблица1_113[[#This Row],[Марка]],Таблица13[#All],5,0)</f>
        <v>Нет</v>
      </c>
      <c r="AI1283" s="12">
        <v>44593</v>
      </c>
      <c r="AJ1283">
        <v>47</v>
      </c>
    </row>
    <row r="1284" spans="30:36">
      <c r="AD1284" t="s">
        <v>139</v>
      </c>
      <c r="AE1284" t="str">
        <f>VLOOKUP(Таблица1_113[[#This Row],[Марка]],Таблица13[#All],4,0)</f>
        <v>Япония</v>
      </c>
      <c r="AF1284" t="str">
        <f>VLOOKUP(Таблица1_113[[#This Row],[Марка]],Таблица13[#All],2,0)</f>
        <v>Business</v>
      </c>
      <c r="AG1284">
        <f>VLOOKUP(Таблица1_113[[#This Row],[Марка]],Таблица13[#All],3,0)</f>
        <v>1920</v>
      </c>
      <c r="AH1284" t="str">
        <f>VLOOKUP(Таблица1_113[[#This Row],[Марка]],Таблица13[#All],5,0)</f>
        <v>Нет</v>
      </c>
      <c r="AI1284" s="12">
        <v>44593</v>
      </c>
      <c r="AJ1284">
        <v>28</v>
      </c>
    </row>
    <row r="1285" spans="30:36">
      <c r="AD1285" t="s">
        <v>5</v>
      </c>
      <c r="AE1285" t="str">
        <f>VLOOKUP(Таблица1_113[[#This Row],[Марка]],Таблица13[#All],4,0)</f>
        <v>Япония</v>
      </c>
      <c r="AF1285" t="str">
        <f>VLOOKUP(Таблица1_113[[#This Row],[Марка]],Таблица13[#All],2,0)</f>
        <v>Luxury</v>
      </c>
      <c r="AG1285">
        <f>VLOOKUP(Таблица1_113[[#This Row],[Марка]],Таблица13[#All],3,0)</f>
        <v>1989</v>
      </c>
      <c r="AH1285" t="str">
        <f>VLOOKUP(Таблица1_113[[#This Row],[Марка]],Таблица13[#All],5,0)</f>
        <v>Нет</v>
      </c>
      <c r="AI1285" s="12">
        <v>44593</v>
      </c>
      <c r="AJ1285">
        <v>164</v>
      </c>
    </row>
    <row r="1286" spans="30:36">
      <c r="AD1286" t="s">
        <v>35</v>
      </c>
      <c r="AE1286" t="str">
        <f>VLOOKUP(Таблица1_113[[#This Row],[Марка]],Таблица13[#All],4,0)</f>
        <v>Великобритания</v>
      </c>
      <c r="AF1286" t="str">
        <f>VLOOKUP(Таблица1_113[[#This Row],[Марка]],Таблица13[#All],2,0)</f>
        <v>Luxury</v>
      </c>
      <c r="AG1286">
        <f>VLOOKUP(Таблица1_113[[#This Row],[Марка]],Таблица13[#All],3,0)</f>
        <v>1948</v>
      </c>
      <c r="AH1286" t="str">
        <f>VLOOKUP(Таблица1_113[[#This Row],[Марка]],Таблица13[#All],5,0)</f>
        <v>Нет</v>
      </c>
      <c r="AI1286" s="12">
        <v>44593</v>
      </c>
      <c r="AJ1286">
        <v>13</v>
      </c>
    </row>
    <row r="1287" spans="30:36">
      <c r="AD1287" t="s">
        <v>19</v>
      </c>
      <c r="AE1287" t="str">
        <f>VLOOKUP(Таблица1_113[[#This Row],[Марка]],Таблица13[#All],4,0)</f>
        <v>Россия</v>
      </c>
      <c r="AF1287" t="str">
        <f>VLOOKUP(Таблица1_113[[#This Row],[Марка]],Таблица13[#All],2,0)</f>
        <v>Economy</v>
      </c>
      <c r="AG1287">
        <f>VLOOKUP(Таблица1_113[[#This Row],[Марка]],Таблица13[#All],3,0)</f>
        <v>1970</v>
      </c>
      <c r="AH1287" t="str">
        <f>VLOOKUP(Таблица1_113[[#This Row],[Марка]],Таблица13[#All],5,0)</f>
        <v>Крупноузловая</v>
      </c>
      <c r="AI1287" s="12">
        <v>44593</v>
      </c>
      <c r="AJ1287">
        <v>832</v>
      </c>
    </row>
    <row r="1288" spans="30:36">
      <c r="AD1288" t="s">
        <v>15</v>
      </c>
      <c r="AE1288" t="str">
        <f>VLOOKUP(Таблица1_113[[#This Row],[Марка]],Таблица13[#All],4,0)</f>
        <v>Корея</v>
      </c>
      <c r="AF1288" t="str">
        <f>VLOOKUP(Таблица1_113[[#This Row],[Марка]],Таблица13[#All],2,0)</f>
        <v>Economy</v>
      </c>
      <c r="AG1288">
        <f>VLOOKUP(Таблица1_113[[#This Row],[Марка]],Таблица13[#All],3,0)</f>
        <v>1944</v>
      </c>
      <c r="AH1288" t="str">
        <f>VLOOKUP(Таблица1_113[[#This Row],[Марка]],Таблица13[#All],5,0)</f>
        <v>Крупноузловая</v>
      </c>
      <c r="AI1288" s="12">
        <v>44593</v>
      </c>
      <c r="AJ1288">
        <v>816</v>
      </c>
    </row>
    <row r="1289" spans="30:36">
      <c r="AD1289" t="s">
        <v>134</v>
      </c>
      <c r="AE1289" t="str">
        <f>VLOOKUP(Таблица1_113[[#This Row],[Марка]],Таблица13[#All],4,0)</f>
        <v>Великобритания</v>
      </c>
      <c r="AF1289" t="str">
        <f>VLOOKUP(Таблица1_113[[#This Row],[Марка]],Таблица13[#All],2,0)</f>
        <v>Luxury</v>
      </c>
      <c r="AG1289">
        <f>VLOOKUP(Таблица1_113[[#This Row],[Марка]],Таблица13[#All],3,0)</f>
        <v>1922</v>
      </c>
      <c r="AH1289" t="str">
        <f>VLOOKUP(Таблица1_113[[#This Row],[Марка]],Таблица13[#All],5,0)</f>
        <v>Нет</v>
      </c>
      <c r="AI1289" s="12">
        <v>44593</v>
      </c>
      <c r="AJ1289">
        <v>1</v>
      </c>
    </row>
    <row r="1290" spans="30:36">
      <c r="AD1290" t="s">
        <v>4</v>
      </c>
      <c r="AE1290" t="str">
        <f>VLOOKUP(Таблица1_113[[#This Row],[Марка]],Таблица13[#All],4,0)</f>
        <v>Китай</v>
      </c>
      <c r="AF1290" t="str">
        <f>VLOOKUP(Таблица1_113[[#This Row],[Марка]],Таблица13[#All],2,0)</f>
        <v>Economy</v>
      </c>
      <c r="AG1290">
        <f>VLOOKUP(Таблица1_113[[#This Row],[Марка]],Таблица13[#All],3,0)</f>
        <v>1964</v>
      </c>
      <c r="AH1290" t="str">
        <f>VLOOKUP(Таблица1_113[[#This Row],[Марка]],Таблица13[#All],5,0)</f>
        <v>Крупноузловая</v>
      </c>
      <c r="AI1290" s="12">
        <v>44593</v>
      </c>
      <c r="AJ1290">
        <v>184</v>
      </c>
    </row>
    <row r="1291" spans="30:36">
      <c r="AD1291" t="s">
        <v>140</v>
      </c>
      <c r="AE1291" t="str">
        <f>VLOOKUP(Таблица1_113[[#This Row],[Марка]],Таблица13[#All],4,0)</f>
        <v>Япония</v>
      </c>
      <c r="AF1291" t="str">
        <f>VLOOKUP(Таблица1_113[[#This Row],[Марка]],Таблица13[#All],2,0)</f>
        <v>Business</v>
      </c>
      <c r="AG1291">
        <f>VLOOKUP(Таблица1_113[[#This Row],[Марка]],Таблица13[#All],3,0)</f>
        <v>1916</v>
      </c>
      <c r="AH1291" t="str">
        <f>VLOOKUP(Таблица1_113[[#This Row],[Марка]],Таблица13[#All],5,0)</f>
        <v>Нет</v>
      </c>
      <c r="AI1291" s="12">
        <v>44593</v>
      </c>
      <c r="AJ1291">
        <v>12</v>
      </c>
    </row>
    <row r="1292" spans="30:36">
      <c r="AD1292" t="s">
        <v>34</v>
      </c>
      <c r="AE1292" t="str">
        <f>VLOOKUP(Таблица1_113[[#This Row],[Марка]],Таблица13[#All],4,0)</f>
        <v>Япония</v>
      </c>
      <c r="AF1292" t="str">
        <f>VLOOKUP(Таблица1_113[[#This Row],[Марка]],Таблица13[#All],2,0)</f>
        <v>Luxury</v>
      </c>
      <c r="AG1292">
        <f>VLOOKUP(Таблица1_113[[#This Row],[Марка]],Таблица13[#All],3,0)</f>
        <v>1989</v>
      </c>
      <c r="AH1292" t="str">
        <f>VLOOKUP(Таблица1_113[[#This Row],[Марка]],Таблица13[#All],5,0)</f>
        <v>Нет</v>
      </c>
      <c r="AI1292" s="12">
        <v>44593</v>
      </c>
      <c r="AJ1292">
        <v>91</v>
      </c>
    </row>
    <row r="1293" spans="30:36">
      <c r="AD1293" t="s">
        <v>0</v>
      </c>
      <c r="AE1293" t="str">
        <f>VLOOKUP(Таблица1_113[[#This Row],[Марка]],Таблица13[#All],4,0)</f>
        <v>Корея</v>
      </c>
      <c r="AF1293" t="str">
        <f>VLOOKUP(Таблица1_113[[#This Row],[Марка]],Таблица13[#All],2,0)</f>
        <v>Economy</v>
      </c>
      <c r="AG1293">
        <f>VLOOKUP(Таблица1_113[[#This Row],[Марка]],Таблица13[#All],3,0)</f>
        <v>1967</v>
      </c>
      <c r="AH1293" t="str">
        <f>VLOOKUP(Таблица1_113[[#This Row],[Марка]],Таблица13[#All],5,0)</f>
        <v>Крупноузловая</v>
      </c>
      <c r="AI1293" s="12">
        <v>44593</v>
      </c>
      <c r="AJ1293">
        <v>2281</v>
      </c>
    </row>
    <row r="1294" spans="30:36">
      <c r="AD1294" t="s">
        <v>6</v>
      </c>
      <c r="AE1294" t="str">
        <f>VLOOKUP(Таблица1_113[[#This Row],[Марка]],Таблица13[#All],4,0)</f>
        <v>Китай</v>
      </c>
      <c r="AF1294" t="str">
        <f>VLOOKUP(Таблица1_113[[#This Row],[Марка]],Таблица13[#All],2,0)</f>
        <v>Economy</v>
      </c>
      <c r="AG1294">
        <f>VLOOKUP(Таблица1_113[[#This Row],[Марка]],Таблица13[#All],3,0)</f>
        <v>2013</v>
      </c>
      <c r="AH1294" t="str">
        <f>VLOOKUP(Таблица1_113[[#This Row],[Марка]],Таблица13[#All],5,0)</f>
        <v>Крупноузловая</v>
      </c>
      <c r="AI1294" s="12">
        <v>44593</v>
      </c>
      <c r="AJ1294">
        <v>135</v>
      </c>
    </row>
    <row r="1295" spans="30:36">
      <c r="AD1295" t="s">
        <v>18</v>
      </c>
      <c r="AE1295" t="str">
        <f>VLOOKUP(Таблица1_113[[#This Row],[Марка]],Таблица13[#All],4,0)</f>
        <v>Китай</v>
      </c>
      <c r="AF1295" t="str">
        <f>VLOOKUP(Таблица1_113[[#This Row],[Марка]],Таблица13[#All],2,0)</f>
        <v>Economy</v>
      </c>
      <c r="AG1295">
        <f>VLOOKUP(Таблица1_113[[#This Row],[Марка]],Таблица13[#All],3,0)</f>
        <v>1986</v>
      </c>
      <c r="AH1295" t="str">
        <f>VLOOKUP(Таблица1_113[[#This Row],[Марка]],Таблица13[#All],5,0)</f>
        <v>Крупноузловая</v>
      </c>
      <c r="AI1295" s="12">
        <v>44593</v>
      </c>
      <c r="AJ1295">
        <v>0</v>
      </c>
    </row>
    <row r="1296" spans="30:36">
      <c r="AD1296" t="s">
        <v>133</v>
      </c>
      <c r="AE1296" t="str">
        <f>VLOOKUP(Таблица1_113[[#This Row],[Марка]],Таблица13[#All],4,0)</f>
        <v>Китай</v>
      </c>
      <c r="AF1296" t="str">
        <f>VLOOKUP(Таблица1_113[[#This Row],[Марка]],Таблица13[#All],2,0)</f>
        <v>Economy</v>
      </c>
      <c r="AG1296">
        <f>VLOOKUP(Таблица1_113[[#This Row],[Марка]],Таблица13[#All],3,0)</f>
        <v>1996</v>
      </c>
      <c r="AH1296" t="str">
        <f>VLOOKUP(Таблица1_113[[#This Row],[Марка]],Таблица13[#All],5,0)</f>
        <v>Нет</v>
      </c>
      <c r="AI1296" s="12">
        <v>44593</v>
      </c>
      <c r="AJ1296">
        <v>0</v>
      </c>
    </row>
    <row r="1297" spans="30:36">
      <c r="AD1297" t="s">
        <v>129</v>
      </c>
      <c r="AE1297" t="str">
        <f>VLOOKUP(Таблица1_113[[#This Row],[Марка]],Таблица13[#All],4,0)</f>
        <v>Китай</v>
      </c>
      <c r="AF1297" t="str">
        <f>VLOOKUP(Таблица1_113[[#This Row],[Марка]],Таблица13[#All],2,0)</f>
        <v>Economy</v>
      </c>
      <c r="AG1297">
        <f>VLOOKUP(Таблица1_113[[#This Row],[Марка]],Таблица13[#All],3,0)</f>
        <v>1953</v>
      </c>
      <c r="AH1297" t="str">
        <f>VLOOKUP(Таблица1_113[[#This Row],[Марка]],Таблица13[#All],5,0)</f>
        <v>Нет</v>
      </c>
      <c r="AI1297" s="12">
        <v>44593</v>
      </c>
      <c r="AJ1297">
        <v>0</v>
      </c>
    </row>
    <row r="1298" spans="30:36">
      <c r="AD1298" t="s">
        <v>130</v>
      </c>
      <c r="AE1298" t="str">
        <f>VLOOKUP(Таблица1_113[[#This Row],[Марка]],Таблица13[#All],4,0)</f>
        <v>Китай</v>
      </c>
      <c r="AF1298" t="str">
        <f>VLOOKUP(Таблица1_113[[#This Row],[Марка]],Таблица13[#All],2,0)</f>
        <v>Economy</v>
      </c>
      <c r="AG1298">
        <f>VLOOKUP(Таблица1_113[[#This Row],[Марка]],Таблица13[#All],3,0)</f>
        <v>1969</v>
      </c>
      <c r="AH1298" t="str">
        <f>VLOOKUP(Таблица1_113[[#This Row],[Марка]],Таблица13[#All],5,0)</f>
        <v>Нет</v>
      </c>
      <c r="AI1298" s="12">
        <v>44593</v>
      </c>
      <c r="AJ1298">
        <v>0</v>
      </c>
    </row>
    <row r="1299" spans="30:36">
      <c r="AD1299" t="s">
        <v>137</v>
      </c>
      <c r="AE1299" t="str">
        <f>VLOOKUP(Таблица1_113[[#This Row],[Марка]],Таблица13[#All],4,0)</f>
        <v>Корея</v>
      </c>
      <c r="AF1299" t="str">
        <f>VLOOKUP(Таблица1_113[[#This Row],[Марка]],Таблица13[#All],2,0)</f>
        <v>Economy</v>
      </c>
      <c r="AG1299">
        <f>VLOOKUP(Таблица1_113[[#This Row],[Марка]],Таблица13[#All],3,0)</f>
        <v>1967</v>
      </c>
      <c r="AH1299" t="str">
        <f>VLOOKUP(Таблица1_113[[#This Row],[Марка]],Таблица13[#All],5,0)</f>
        <v>Нет</v>
      </c>
      <c r="AI1299" s="12">
        <v>44593</v>
      </c>
      <c r="AJ1299">
        <v>0</v>
      </c>
    </row>
    <row r="1300" spans="30:36">
      <c r="AD1300" t="s">
        <v>1</v>
      </c>
      <c r="AE1300" t="str">
        <f>VLOOKUP(Таблица1_113[[#This Row],[Марка]],Таблица13[#All],4,0)</f>
        <v>США</v>
      </c>
      <c r="AF1300" t="str">
        <f>VLOOKUP(Таблица1_113[[#This Row],[Марка]],Таблица13[#All],2,0)</f>
        <v>Economy</v>
      </c>
      <c r="AG1300">
        <f>VLOOKUP(Таблица1_113[[#This Row],[Марка]],Таблица13[#All],3,0)</f>
        <v>1911</v>
      </c>
      <c r="AH1300" t="str">
        <f>VLOOKUP(Таблица1_113[[#This Row],[Марка]],Таблица13[#All],5,0)</f>
        <v>Крупноузловая</v>
      </c>
      <c r="AI1300" s="12">
        <v>44593</v>
      </c>
      <c r="AJ1300">
        <v>837</v>
      </c>
    </row>
    <row r="1301" spans="30:36">
      <c r="AD1301" t="s">
        <v>3</v>
      </c>
      <c r="AE1301" t="str">
        <f>VLOOKUP(Таблица1_113[[#This Row],[Марка]],Таблица13[#All],4,0)</f>
        <v>Китай</v>
      </c>
      <c r="AF1301" t="str">
        <f>VLOOKUP(Таблица1_113[[#This Row],[Марка]],Таблица13[#All],2,0)</f>
        <v>Economy</v>
      </c>
      <c r="AG1301">
        <f>VLOOKUP(Таблица1_113[[#This Row],[Марка]],Таблица13[#All],3,0)</f>
        <v>1997</v>
      </c>
      <c r="AH1301" t="str">
        <f>VLOOKUP(Таблица1_113[[#This Row],[Марка]],Таблица13[#All],5,0)</f>
        <v>Крупноузловая</v>
      </c>
      <c r="AI1301" s="12">
        <v>44593</v>
      </c>
      <c r="AJ1301">
        <v>51</v>
      </c>
    </row>
    <row r="1302" spans="30:36">
      <c r="AD1302" t="s">
        <v>124</v>
      </c>
      <c r="AE1302" t="str">
        <f>VLOOKUP(Таблица1_113[[#This Row],[Марка]],Таблица13[#All],4,0)</f>
        <v>Китай</v>
      </c>
      <c r="AF1302" t="str">
        <f>VLOOKUP(Таблица1_113[[#This Row],[Марка]],Таблица13[#All],2,0)</f>
        <v>Economy</v>
      </c>
      <c r="AG1302">
        <f>VLOOKUP(Таблица1_113[[#This Row],[Марка]],Таблица13[#All],3,0)</f>
        <v>1862</v>
      </c>
      <c r="AH1302" t="str">
        <f>VLOOKUP(Таблица1_113[[#This Row],[Марка]],Таблица13[#All],5,0)</f>
        <v>Нет</v>
      </c>
      <c r="AI1302" s="12">
        <v>44593</v>
      </c>
      <c r="AJ1302">
        <v>0</v>
      </c>
    </row>
    <row r="1303" spans="30:36">
      <c r="AD1303" t="s">
        <v>36</v>
      </c>
      <c r="AE1303" t="str">
        <f>VLOOKUP(Таблица1_113[[#This Row],[Марка]],Таблица13[#All],4,0)</f>
        <v>США</v>
      </c>
      <c r="AF1303" t="str">
        <f>VLOOKUP(Таблица1_113[[#This Row],[Марка]],Таблица13[#All],2,0)</f>
        <v>Luxury</v>
      </c>
      <c r="AG1303">
        <f>VLOOKUP(Таблица1_113[[#This Row],[Марка]],Таблица13[#All],3,0)</f>
        <v>1902</v>
      </c>
      <c r="AH1303" t="str">
        <f>VLOOKUP(Таблица1_113[[#This Row],[Марка]],Таблица13[#All],5,0)</f>
        <v>Нет</v>
      </c>
      <c r="AI1303" s="12">
        <v>44593</v>
      </c>
      <c r="AJ1303">
        <v>14</v>
      </c>
    </row>
    <row r="1304" spans="30:36">
      <c r="AD1304" t="s">
        <v>8</v>
      </c>
      <c r="AE1304" t="str">
        <f>VLOOKUP(Таблица1_113[[#This Row],[Марка]],Таблица13[#All],4,0)</f>
        <v>Германия</v>
      </c>
      <c r="AF1304" t="str">
        <f>VLOOKUP(Таблица1_113[[#This Row],[Марка]],Таблица13[#All],2,0)</f>
        <v>Luxury</v>
      </c>
      <c r="AG1304">
        <f>VLOOKUP(Таблица1_113[[#This Row],[Марка]],Таблица13[#All],3,0)</f>
        <v>1916</v>
      </c>
      <c r="AH1304" t="str">
        <f>VLOOKUP(Таблица1_113[[#This Row],[Марка]],Таблица13[#All],5,0)</f>
        <v>Нет</v>
      </c>
      <c r="AI1304" s="12">
        <v>44593</v>
      </c>
      <c r="AJ1304">
        <v>148</v>
      </c>
    </row>
    <row r="1305" spans="30:36">
      <c r="AD1305" t="s">
        <v>38</v>
      </c>
      <c r="AE1305" t="str">
        <f>VLOOKUP(Таблица1_113[[#This Row],[Марка]],Таблица13[#All],4,0)</f>
        <v>Германия</v>
      </c>
      <c r="AF1305" t="str">
        <f>VLOOKUP(Таблица1_113[[#This Row],[Марка]],Таблица13[#All],2,0)</f>
        <v>Luxury</v>
      </c>
      <c r="AG1305">
        <f>VLOOKUP(Таблица1_113[[#This Row],[Марка]],Таблица13[#All],3,0)</f>
        <v>1932</v>
      </c>
      <c r="AH1305" t="str">
        <f>VLOOKUP(Таблица1_113[[#This Row],[Марка]],Таблица13[#All],5,0)</f>
        <v>Нет</v>
      </c>
      <c r="AI1305" s="12">
        <v>44593</v>
      </c>
      <c r="AJ1305">
        <v>9</v>
      </c>
    </row>
    <row r="1306" spans="30:36">
      <c r="AD1306" s="26" t="s">
        <v>136</v>
      </c>
      <c r="AE1306" s="26" t="str">
        <f>VLOOKUP(Таблица1_113[[#This Row],[Марка]],Таблица13[#All],4,0)</f>
        <v>Россия</v>
      </c>
      <c r="AF1306" s="26" t="str">
        <f>VLOOKUP(Таблица1_113[[#This Row],[Марка]],Таблица13[#All],2,0)</f>
        <v>Economy</v>
      </c>
      <c r="AG1306" s="26">
        <f>VLOOKUP(Таблица1_113[[#This Row],[Марка]],Таблица13[#All],3,0)</f>
        <v>1941</v>
      </c>
      <c r="AH1306" s="26" t="str">
        <f>VLOOKUP(Таблица1_113[[#This Row],[Марка]],Таблица13[#All],5,0)</f>
        <v>Нет</v>
      </c>
      <c r="AI1306" s="29">
        <v>44621</v>
      </c>
      <c r="AJ1306" s="26">
        <v>36</v>
      </c>
    </row>
    <row r="1307" spans="30:36">
      <c r="AD1307" s="26" t="s">
        <v>135</v>
      </c>
      <c r="AE1307" s="26" t="str">
        <f>VLOOKUP(Таблица1_113[[#This Row],[Марка]],Таблица13[#All],4,0)</f>
        <v>-</v>
      </c>
      <c r="AF1307" s="26" t="str">
        <f>VLOOKUP(Таблица1_113[[#This Row],[Марка]],Таблица13[#All],2,0)</f>
        <v>-</v>
      </c>
      <c r="AG1307" s="26" t="str">
        <f>VLOOKUP(Таблица1_113[[#This Row],[Марка]],Таблица13[#All],3,0)</f>
        <v>-</v>
      </c>
      <c r="AH1307" s="26" t="str">
        <f>VLOOKUP(Таблица1_113[[#This Row],[Марка]],Таблица13[#All],5,0)</f>
        <v>-</v>
      </c>
      <c r="AI1307" s="29">
        <v>44621</v>
      </c>
      <c r="AJ1307" s="26">
        <v>39</v>
      </c>
    </row>
    <row r="1308" spans="30:36">
      <c r="AD1308" s="26" t="s">
        <v>39</v>
      </c>
      <c r="AE1308" s="26" t="str">
        <f>VLOOKUP(Таблица1_113[[#This Row],[Марка]],Таблица13[#All],4,0)</f>
        <v>Швеция</v>
      </c>
      <c r="AF1308" s="26" t="str">
        <f>VLOOKUP(Таблица1_113[[#This Row],[Марка]],Таблица13[#All],2,0)</f>
        <v>Business</v>
      </c>
      <c r="AG1308" s="26">
        <f>VLOOKUP(Таблица1_113[[#This Row],[Марка]],Таблица13[#All],3,0)</f>
        <v>1927</v>
      </c>
      <c r="AH1308" s="26" t="str">
        <f>VLOOKUP(Таблица1_113[[#This Row],[Марка]],Таблица13[#All],5,0)</f>
        <v>Нет</v>
      </c>
      <c r="AI1308" s="29">
        <v>44621</v>
      </c>
      <c r="AJ1308" s="26">
        <v>7</v>
      </c>
    </row>
    <row r="1309" spans="30:36">
      <c r="AD1309" s="26" t="s">
        <v>21</v>
      </c>
      <c r="AE1309" s="26" t="str">
        <f>VLOOKUP(Таблица1_113[[#This Row],[Марка]],Таблица13[#All],4,0)</f>
        <v>Германия</v>
      </c>
      <c r="AF1309" s="26" t="str">
        <f>VLOOKUP(Таблица1_113[[#This Row],[Марка]],Таблица13[#All],2,0)</f>
        <v>Business</v>
      </c>
      <c r="AG1309" s="26">
        <f>VLOOKUP(Таблица1_113[[#This Row],[Марка]],Таблица13[#All],3,0)</f>
        <v>1937</v>
      </c>
      <c r="AH1309" s="26" t="str">
        <f>VLOOKUP(Таблица1_113[[#This Row],[Марка]],Таблица13[#All],5,0)</f>
        <v>Нет</v>
      </c>
      <c r="AI1309" s="29">
        <v>44621</v>
      </c>
      <c r="AJ1309" s="26">
        <v>392</v>
      </c>
    </row>
    <row r="1310" spans="30:36">
      <c r="AD1310" s="26" t="s">
        <v>2</v>
      </c>
      <c r="AE1310" s="26" t="str">
        <f>VLOOKUP(Таблица1_113[[#This Row],[Марка]],Таблица13[#All],4,0)</f>
        <v>Япония</v>
      </c>
      <c r="AF1310" s="26" t="str">
        <f>VLOOKUP(Таблица1_113[[#This Row],[Марка]],Таблица13[#All],2,0)</f>
        <v>Business</v>
      </c>
      <c r="AG1310" s="26">
        <f>VLOOKUP(Таблица1_113[[#This Row],[Марка]],Таблица13[#All],3,0)</f>
        <v>1937</v>
      </c>
      <c r="AH1310" s="26" t="str">
        <f>VLOOKUP(Таблица1_113[[#This Row],[Марка]],Таблица13[#All],5,0)</f>
        <v>Нет</v>
      </c>
      <c r="AI1310" s="29">
        <v>44621</v>
      </c>
      <c r="AJ1310" s="26">
        <v>702</v>
      </c>
    </row>
    <row r="1311" spans="30:36">
      <c r="AD1311" s="26" t="s">
        <v>125</v>
      </c>
      <c r="AE1311" s="26" t="str">
        <f>VLOOKUP(Таблица1_113[[#This Row],[Марка]],Таблица13[#All],4,0)</f>
        <v>Япония</v>
      </c>
      <c r="AF1311" s="26" t="str">
        <f>VLOOKUP(Таблица1_113[[#This Row],[Марка]],Таблица13[#All],2,0)</f>
        <v>Business</v>
      </c>
      <c r="AG1311" s="26">
        <f>VLOOKUP(Таблица1_113[[#This Row],[Марка]],Таблица13[#All],3,0)</f>
        <v>1953</v>
      </c>
      <c r="AH1311" s="26" t="str">
        <f>VLOOKUP(Таблица1_113[[#This Row],[Марка]],Таблица13[#All],5,0)</f>
        <v>Нет</v>
      </c>
      <c r="AI1311" s="29">
        <v>44621</v>
      </c>
      <c r="AJ1311" s="26">
        <v>23</v>
      </c>
    </row>
    <row r="1312" spans="30:36">
      <c r="AD1312" s="26" t="s">
        <v>23</v>
      </c>
      <c r="AE1312" s="26" t="str">
        <f>VLOOKUP(Таблица1_113[[#This Row],[Марка]],Таблица13[#All],4,0)</f>
        <v>Франция</v>
      </c>
      <c r="AF1312" s="26" t="str">
        <f>VLOOKUP(Таблица1_113[[#This Row],[Марка]],Таблица13[#All],2,0)</f>
        <v>Economy</v>
      </c>
      <c r="AG1312" s="26">
        <f>VLOOKUP(Таблица1_113[[#This Row],[Марка]],Таблица13[#All],3,0)</f>
        <v>1899</v>
      </c>
      <c r="AH1312" s="26" t="str">
        <f>VLOOKUP(Таблица1_113[[#This Row],[Марка]],Таблица13[#All],5,0)</f>
        <v>Крупноузловая</v>
      </c>
      <c r="AI1312" s="29">
        <v>44621</v>
      </c>
      <c r="AJ1312" s="26">
        <v>328</v>
      </c>
    </row>
    <row r="1313" spans="30:36">
      <c r="AD1313" s="26" t="s">
        <v>37</v>
      </c>
      <c r="AE1313" s="26" t="str">
        <f>VLOOKUP(Таблица1_113[[#This Row],[Марка]],Таблица13[#All],4,0)</f>
        <v>Германия</v>
      </c>
      <c r="AF1313" s="26" t="str">
        <f>VLOOKUP(Таблица1_113[[#This Row],[Марка]],Таблица13[#All],2,0)</f>
        <v>Luxury</v>
      </c>
      <c r="AG1313" s="26">
        <f>VLOOKUP(Таблица1_113[[#This Row],[Марка]],Таблица13[#All],3,0)</f>
        <v>1931</v>
      </c>
      <c r="AH1313" s="26" t="str">
        <f>VLOOKUP(Таблица1_113[[#This Row],[Марка]],Таблица13[#All],5,0)</f>
        <v>Нет</v>
      </c>
      <c r="AI1313" s="29">
        <v>44621</v>
      </c>
      <c r="AJ1313" s="26">
        <v>27</v>
      </c>
    </row>
    <row r="1314" spans="30:36">
      <c r="AD1314" s="26" t="s">
        <v>22</v>
      </c>
      <c r="AE1314" s="26" t="str">
        <f>VLOOKUP(Таблица1_113[[#This Row],[Марка]],Таблица13[#All],4,0)</f>
        <v>Япония</v>
      </c>
      <c r="AF1314" s="26" t="str">
        <f>VLOOKUP(Таблица1_113[[#This Row],[Марка]],Таблица13[#All],2,0)</f>
        <v>Business</v>
      </c>
      <c r="AG1314" s="26">
        <f>VLOOKUP(Таблица1_113[[#This Row],[Марка]],Таблица13[#All],3,0)</f>
        <v>1933</v>
      </c>
      <c r="AH1314" s="26" t="str">
        <f>VLOOKUP(Таблица1_113[[#This Row],[Марка]],Таблица13[#All],5,0)</f>
        <v>Нет</v>
      </c>
      <c r="AI1314" s="29">
        <v>44621</v>
      </c>
      <c r="AJ1314" s="26">
        <v>299</v>
      </c>
    </row>
    <row r="1315" spans="30:36">
      <c r="AD1315" s="26" t="s">
        <v>9</v>
      </c>
      <c r="AE1315" s="26" t="str">
        <f>VLOOKUP(Таблица1_113[[#This Row],[Марка]],Таблица13[#All],4,0)</f>
        <v>Япония</v>
      </c>
      <c r="AF1315" s="26" t="str">
        <f>VLOOKUP(Таблица1_113[[#This Row],[Марка]],Таблица13[#All],2,0)</f>
        <v>Business</v>
      </c>
      <c r="AG1315" s="26">
        <f>VLOOKUP(Таблица1_113[[#This Row],[Марка]],Таблица13[#All],3,0)</f>
        <v>1870</v>
      </c>
      <c r="AH1315" s="26" t="str">
        <f>VLOOKUP(Таблица1_113[[#This Row],[Марка]],Таблица13[#All],5,0)</f>
        <v>Нет</v>
      </c>
      <c r="AI1315" s="29">
        <v>44621</v>
      </c>
      <c r="AJ1315" s="26">
        <v>43</v>
      </c>
    </row>
    <row r="1316" spans="30:36">
      <c r="AD1316" s="26" t="s">
        <v>40</v>
      </c>
      <c r="AE1316" s="26" t="str">
        <f>VLOOKUP(Таблица1_113[[#This Row],[Марка]],Таблица13[#All],4,0)</f>
        <v>Великобритания</v>
      </c>
      <c r="AF1316" s="26" t="str">
        <f>VLOOKUP(Таблица1_113[[#This Row],[Марка]],Таблица13[#All],2,0)</f>
        <v>Luxury</v>
      </c>
      <c r="AG1316" s="26">
        <f>VLOOKUP(Таблица1_113[[#This Row],[Марка]],Таблица13[#All],3,0)</f>
        <v>1959</v>
      </c>
      <c r="AH1316" s="26" t="str">
        <f>VLOOKUP(Таблица1_113[[#This Row],[Марка]],Таблица13[#All],5,0)</f>
        <v>Нет</v>
      </c>
      <c r="AI1316" s="29">
        <v>44621</v>
      </c>
      <c r="AJ1316" s="26">
        <v>0</v>
      </c>
    </row>
    <row r="1317" spans="30:36">
      <c r="AD1317" s="26" t="s">
        <v>128</v>
      </c>
      <c r="AE1317" s="26" t="str">
        <f>VLOOKUP(Таблица1_113[[#This Row],[Марка]],Таблица13[#All],4,0)</f>
        <v>Германия</v>
      </c>
      <c r="AF1317" s="26" t="str">
        <f>VLOOKUP(Таблица1_113[[#This Row],[Марка]],Таблица13[#All],2,0)</f>
        <v>Luxury</v>
      </c>
      <c r="AG1317" s="26">
        <f>VLOOKUP(Таблица1_113[[#This Row],[Марка]],Таблица13[#All],3,0)</f>
        <v>1926</v>
      </c>
      <c r="AH1317" s="26" t="str">
        <f>VLOOKUP(Таблица1_113[[#This Row],[Марка]],Таблица13[#All],5,0)</f>
        <v>Нет</v>
      </c>
      <c r="AI1317" s="29">
        <v>44621</v>
      </c>
      <c r="AJ1317" s="26">
        <v>61</v>
      </c>
    </row>
    <row r="1318" spans="30:36">
      <c r="AD1318" s="26" t="s">
        <v>139</v>
      </c>
      <c r="AE1318" s="26" t="str">
        <f>VLOOKUP(Таблица1_113[[#This Row],[Марка]],Таблица13[#All],4,0)</f>
        <v>Япония</v>
      </c>
      <c r="AF1318" s="26" t="str">
        <f>VLOOKUP(Таблица1_113[[#This Row],[Марка]],Таблица13[#All],2,0)</f>
        <v>Business</v>
      </c>
      <c r="AG1318" s="26">
        <f>VLOOKUP(Таблица1_113[[#This Row],[Марка]],Таблица13[#All],3,0)</f>
        <v>1920</v>
      </c>
      <c r="AH1318" s="26" t="str">
        <f>VLOOKUP(Таблица1_113[[#This Row],[Марка]],Таблица13[#All],5,0)</f>
        <v>Нет</v>
      </c>
      <c r="AI1318" s="29">
        <v>44621</v>
      </c>
      <c r="AJ1318" s="26">
        <v>15</v>
      </c>
    </row>
    <row r="1319" spans="30:36">
      <c r="AD1319" s="26" t="s">
        <v>5</v>
      </c>
      <c r="AE1319" s="26" t="str">
        <f>VLOOKUP(Таблица1_113[[#This Row],[Марка]],Таблица13[#All],4,0)</f>
        <v>Япония</v>
      </c>
      <c r="AF1319" s="26" t="str">
        <f>VLOOKUP(Таблица1_113[[#This Row],[Марка]],Таблица13[#All],2,0)</f>
        <v>Luxury</v>
      </c>
      <c r="AG1319" s="26">
        <f>VLOOKUP(Таблица1_113[[#This Row],[Марка]],Таблица13[#All],3,0)</f>
        <v>1989</v>
      </c>
      <c r="AH1319" s="26" t="str">
        <f>VLOOKUP(Таблица1_113[[#This Row],[Марка]],Таблица13[#All],5,0)</f>
        <v>Нет</v>
      </c>
      <c r="AI1319" s="29">
        <v>44621</v>
      </c>
      <c r="AJ1319" s="26">
        <v>107</v>
      </c>
    </row>
    <row r="1320" spans="30:36">
      <c r="AD1320" s="26" t="s">
        <v>35</v>
      </c>
      <c r="AE1320" s="26" t="str">
        <f>VLOOKUP(Таблица1_113[[#This Row],[Марка]],Таблица13[#All],4,0)</f>
        <v>Великобритания</v>
      </c>
      <c r="AF1320" s="26" t="str">
        <f>VLOOKUP(Таблица1_113[[#This Row],[Марка]],Таблица13[#All],2,0)</f>
        <v>Luxury</v>
      </c>
      <c r="AG1320" s="26">
        <f>VLOOKUP(Таблица1_113[[#This Row],[Марка]],Таблица13[#All],3,0)</f>
        <v>1948</v>
      </c>
      <c r="AH1320" s="26" t="str">
        <f>VLOOKUP(Таблица1_113[[#This Row],[Марка]],Таблица13[#All],5,0)</f>
        <v>Нет</v>
      </c>
      <c r="AI1320" s="29">
        <v>44621</v>
      </c>
      <c r="AJ1320" s="26">
        <v>31</v>
      </c>
    </row>
    <row r="1321" spans="30:36">
      <c r="AD1321" s="26" t="s">
        <v>19</v>
      </c>
      <c r="AE1321" s="26" t="str">
        <f>VLOOKUP(Таблица1_113[[#This Row],[Марка]],Таблица13[#All],4,0)</f>
        <v>Россия</v>
      </c>
      <c r="AF1321" s="26" t="str">
        <f>VLOOKUP(Таблица1_113[[#This Row],[Марка]],Таблица13[#All],2,0)</f>
        <v>Economy</v>
      </c>
      <c r="AG1321" s="26">
        <f>VLOOKUP(Таблица1_113[[#This Row],[Марка]],Таблица13[#All],3,0)</f>
        <v>1970</v>
      </c>
      <c r="AH1321" s="26" t="str">
        <f>VLOOKUP(Таблица1_113[[#This Row],[Марка]],Таблица13[#All],5,0)</f>
        <v>Крупноузловая</v>
      </c>
      <c r="AI1321" s="29">
        <v>44621</v>
      </c>
      <c r="AJ1321" s="26">
        <v>1249</v>
      </c>
    </row>
    <row r="1322" spans="30:36">
      <c r="AD1322" s="26" t="s">
        <v>15</v>
      </c>
      <c r="AE1322" s="26" t="str">
        <f>VLOOKUP(Таблица1_113[[#This Row],[Марка]],Таблица13[#All],4,0)</f>
        <v>Корея</v>
      </c>
      <c r="AF1322" s="26" t="str">
        <f>VLOOKUP(Таблица1_113[[#This Row],[Марка]],Таблица13[#All],2,0)</f>
        <v>Economy</v>
      </c>
      <c r="AG1322" s="26">
        <f>VLOOKUP(Таблица1_113[[#This Row],[Марка]],Таблица13[#All],3,0)</f>
        <v>1944</v>
      </c>
      <c r="AH1322" s="26" t="str">
        <f>VLOOKUP(Таблица1_113[[#This Row],[Марка]],Таблица13[#All],5,0)</f>
        <v>Крупноузловая</v>
      </c>
      <c r="AI1322" s="29">
        <v>44621</v>
      </c>
      <c r="AJ1322" s="26">
        <v>1267</v>
      </c>
    </row>
    <row r="1323" spans="30:36">
      <c r="AD1323" s="26" t="s">
        <v>134</v>
      </c>
      <c r="AE1323" s="26" t="str">
        <f>VLOOKUP(Таблица1_113[[#This Row],[Марка]],Таблица13[#All],4,0)</f>
        <v>Великобритания</v>
      </c>
      <c r="AF1323" s="26" t="str">
        <f>VLOOKUP(Таблица1_113[[#This Row],[Марка]],Таблица13[#All],2,0)</f>
        <v>Luxury</v>
      </c>
      <c r="AG1323" s="26">
        <f>VLOOKUP(Таблица1_113[[#This Row],[Марка]],Таблица13[#All],3,0)</f>
        <v>1922</v>
      </c>
      <c r="AH1323" s="26" t="str">
        <f>VLOOKUP(Таблица1_113[[#This Row],[Марка]],Таблица13[#All],5,0)</f>
        <v>Нет</v>
      </c>
      <c r="AI1323" s="29">
        <v>44621</v>
      </c>
      <c r="AJ1323" s="26">
        <v>0</v>
      </c>
    </row>
    <row r="1324" spans="30:36">
      <c r="AD1324" s="26" t="s">
        <v>4</v>
      </c>
      <c r="AE1324" s="26" t="str">
        <f>VLOOKUP(Таблица1_113[[#This Row],[Марка]],Таблица13[#All],4,0)</f>
        <v>Китай</v>
      </c>
      <c r="AF1324" s="26" t="str">
        <f>VLOOKUP(Таблица1_113[[#This Row],[Марка]],Таблица13[#All],2,0)</f>
        <v>Economy</v>
      </c>
      <c r="AG1324" s="26">
        <f>VLOOKUP(Таблица1_113[[#This Row],[Марка]],Таблица13[#All],3,0)</f>
        <v>1964</v>
      </c>
      <c r="AH1324" s="26" t="str">
        <f>VLOOKUP(Таблица1_113[[#This Row],[Марка]],Таблица13[#All],5,0)</f>
        <v>Крупноузловая</v>
      </c>
      <c r="AI1324" s="29">
        <v>44621</v>
      </c>
      <c r="AJ1324" s="26">
        <v>254</v>
      </c>
    </row>
    <row r="1325" spans="30:36">
      <c r="AD1325" s="26" t="s">
        <v>140</v>
      </c>
      <c r="AE1325" s="26" t="str">
        <f>VLOOKUP(Таблица1_113[[#This Row],[Марка]],Таблица13[#All],4,0)</f>
        <v>Япония</v>
      </c>
      <c r="AF1325" s="26" t="str">
        <f>VLOOKUP(Таблица1_113[[#This Row],[Марка]],Таблица13[#All],2,0)</f>
        <v>Business</v>
      </c>
      <c r="AG1325" s="26">
        <f>VLOOKUP(Таблица1_113[[#This Row],[Марка]],Таблица13[#All],3,0)</f>
        <v>1916</v>
      </c>
      <c r="AH1325" s="26" t="str">
        <f>VLOOKUP(Таблица1_113[[#This Row],[Марка]],Таблица13[#All],5,0)</f>
        <v>Нет</v>
      </c>
      <c r="AI1325" s="29">
        <v>44621</v>
      </c>
      <c r="AJ1325" s="26">
        <v>14</v>
      </c>
    </row>
    <row r="1326" spans="30:36">
      <c r="AD1326" s="26" t="s">
        <v>34</v>
      </c>
      <c r="AE1326" s="26" t="str">
        <f>VLOOKUP(Таблица1_113[[#This Row],[Марка]],Таблица13[#All],4,0)</f>
        <v>Япония</v>
      </c>
      <c r="AF1326" s="26" t="str">
        <f>VLOOKUP(Таблица1_113[[#This Row],[Марка]],Таблица13[#All],2,0)</f>
        <v>Luxury</v>
      </c>
      <c r="AG1326" s="26">
        <f>VLOOKUP(Таблица1_113[[#This Row],[Марка]],Таблица13[#All],3,0)</f>
        <v>1989</v>
      </c>
      <c r="AH1326" s="26" t="str">
        <f>VLOOKUP(Таблица1_113[[#This Row],[Марка]],Таблица13[#All],5,0)</f>
        <v>Нет</v>
      </c>
      <c r="AI1326" s="29">
        <v>44621</v>
      </c>
      <c r="AJ1326" s="26">
        <v>24</v>
      </c>
    </row>
    <row r="1327" spans="30:36">
      <c r="AD1327" s="26" t="s">
        <v>0</v>
      </c>
      <c r="AE1327" s="26" t="str">
        <f>VLOOKUP(Таблица1_113[[#This Row],[Марка]],Таблица13[#All],4,0)</f>
        <v>Корея</v>
      </c>
      <c r="AF1327" s="26" t="str">
        <f>VLOOKUP(Таблица1_113[[#This Row],[Марка]],Таблица13[#All],2,0)</f>
        <v>Economy</v>
      </c>
      <c r="AG1327" s="26">
        <f>VLOOKUP(Таблица1_113[[#This Row],[Марка]],Таблица13[#All],3,0)</f>
        <v>1967</v>
      </c>
      <c r="AH1327" s="26" t="str">
        <f>VLOOKUP(Таблица1_113[[#This Row],[Марка]],Таблица13[#All],5,0)</f>
        <v>Крупноузловая</v>
      </c>
      <c r="AI1327" s="29">
        <v>44621</v>
      </c>
      <c r="AJ1327" s="26">
        <v>3280</v>
      </c>
    </row>
    <row r="1328" spans="30:36">
      <c r="AD1328" s="26" t="s">
        <v>6</v>
      </c>
      <c r="AE1328" s="26" t="str">
        <f>VLOOKUP(Таблица1_113[[#This Row],[Марка]],Таблица13[#All],4,0)</f>
        <v>Китай</v>
      </c>
      <c r="AF1328" s="26" t="str">
        <f>VLOOKUP(Таблица1_113[[#This Row],[Марка]],Таблица13[#All],2,0)</f>
        <v>Economy</v>
      </c>
      <c r="AG1328" s="26">
        <f>VLOOKUP(Таблица1_113[[#This Row],[Марка]],Таблица13[#All],3,0)</f>
        <v>2013</v>
      </c>
      <c r="AH1328" s="26" t="str">
        <f>VLOOKUP(Таблица1_113[[#This Row],[Марка]],Таблица13[#All],5,0)</f>
        <v>Крупноузловая</v>
      </c>
      <c r="AI1328" s="29">
        <v>44621</v>
      </c>
      <c r="AJ1328" s="26">
        <v>195</v>
      </c>
    </row>
    <row r="1329" spans="30:36">
      <c r="AD1329" s="26" t="s">
        <v>18</v>
      </c>
      <c r="AE1329" s="26" t="str">
        <f>VLOOKUP(Таблица1_113[[#This Row],[Марка]],Таблица13[#All],4,0)</f>
        <v>Китай</v>
      </c>
      <c r="AF1329" s="26" t="str">
        <f>VLOOKUP(Таблица1_113[[#This Row],[Марка]],Таблица13[#All],2,0)</f>
        <v>Economy</v>
      </c>
      <c r="AG1329" s="26">
        <f>VLOOKUP(Таблица1_113[[#This Row],[Марка]],Таблица13[#All],3,0)</f>
        <v>1986</v>
      </c>
      <c r="AH1329" s="26" t="str">
        <f>VLOOKUP(Таблица1_113[[#This Row],[Марка]],Таблица13[#All],5,0)</f>
        <v>Крупноузловая</v>
      </c>
      <c r="AI1329" s="29">
        <v>44621</v>
      </c>
      <c r="AJ1329" s="26">
        <v>0</v>
      </c>
    </row>
    <row r="1330" spans="30:36">
      <c r="AD1330" s="26" t="s">
        <v>133</v>
      </c>
      <c r="AE1330" s="26" t="str">
        <f>VLOOKUP(Таблица1_113[[#This Row],[Марка]],Таблица13[#All],4,0)</f>
        <v>Китай</v>
      </c>
      <c r="AF1330" s="26" t="str">
        <f>VLOOKUP(Таблица1_113[[#This Row],[Марка]],Таблица13[#All],2,0)</f>
        <v>Economy</v>
      </c>
      <c r="AG1330" s="26">
        <f>VLOOKUP(Таблица1_113[[#This Row],[Марка]],Таблица13[#All],3,0)</f>
        <v>1996</v>
      </c>
      <c r="AH1330" s="26" t="str">
        <f>VLOOKUP(Таблица1_113[[#This Row],[Марка]],Таблица13[#All],5,0)</f>
        <v>Нет</v>
      </c>
      <c r="AI1330" s="29">
        <v>44621</v>
      </c>
      <c r="AJ1330" s="26">
        <v>0</v>
      </c>
    </row>
    <row r="1331" spans="30:36">
      <c r="AD1331" s="26" t="s">
        <v>129</v>
      </c>
      <c r="AE1331" s="26" t="str">
        <f>VLOOKUP(Таблица1_113[[#This Row],[Марка]],Таблица13[#All],4,0)</f>
        <v>Китай</v>
      </c>
      <c r="AF1331" s="26" t="str">
        <f>VLOOKUP(Таблица1_113[[#This Row],[Марка]],Таблица13[#All],2,0)</f>
        <v>Economy</v>
      </c>
      <c r="AG1331" s="26">
        <f>VLOOKUP(Таблица1_113[[#This Row],[Марка]],Таблица13[#All],3,0)</f>
        <v>1953</v>
      </c>
      <c r="AH1331" s="26" t="str">
        <f>VLOOKUP(Таблица1_113[[#This Row],[Марка]],Таблица13[#All],5,0)</f>
        <v>Нет</v>
      </c>
      <c r="AI1331" s="29">
        <v>44621</v>
      </c>
      <c r="AJ1331" s="26">
        <v>0</v>
      </c>
    </row>
    <row r="1332" spans="30:36">
      <c r="AD1332" s="26" t="s">
        <v>130</v>
      </c>
      <c r="AE1332" s="26" t="str">
        <f>VLOOKUP(Таблица1_113[[#This Row],[Марка]],Таблица13[#All],4,0)</f>
        <v>Китай</v>
      </c>
      <c r="AF1332" s="26" t="str">
        <f>VLOOKUP(Таблица1_113[[#This Row],[Марка]],Таблица13[#All],2,0)</f>
        <v>Economy</v>
      </c>
      <c r="AG1332" s="26">
        <f>VLOOKUP(Таблица1_113[[#This Row],[Марка]],Таблица13[#All],3,0)</f>
        <v>1969</v>
      </c>
      <c r="AH1332" s="26" t="str">
        <f>VLOOKUP(Таблица1_113[[#This Row],[Марка]],Таблица13[#All],5,0)</f>
        <v>Нет</v>
      </c>
      <c r="AI1332" s="29">
        <v>44621</v>
      </c>
      <c r="AJ1332" s="26">
        <v>0</v>
      </c>
    </row>
    <row r="1333" spans="30:36">
      <c r="AD1333" s="26" t="s">
        <v>137</v>
      </c>
      <c r="AE1333" s="26" t="str">
        <f>VLOOKUP(Таблица1_113[[#This Row],[Марка]],Таблица13[#All],4,0)</f>
        <v>Корея</v>
      </c>
      <c r="AF1333" s="26" t="str">
        <f>VLOOKUP(Таблица1_113[[#This Row],[Марка]],Таблица13[#All],2,0)</f>
        <v>Economy</v>
      </c>
      <c r="AG1333" s="26">
        <f>VLOOKUP(Таблица1_113[[#This Row],[Марка]],Таблица13[#All],3,0)</f>
        <v>1967</v>
      </c>
      <c r="AH1333" s="26" t="str">
        <f>VLOOKUP(Таблица1_113[[#This Row],[Марка]],Таблица13[#All],5,0)</f>
        <v>Нет</v>
      </c>
      <c r="AI1333" s="29">
        <v>44621</v>
      </c>
      <c r="AJ1333" s="26">
        <v>0</v>
      </c>
    </row>
    <row r="1334" spans="30:36">
      <c r="AD1334" s="26" t="s">
        <v>1</v>
      </c>
      <c r="AE1334" s="26" t="str">
        <f>VLOOKUP(Таблица1_113[[#This Row],[Марка]],Таблица13[#All],4,0)</f>
        <v>США</v>
      </c>
      <c r="AF1334" s="26" t="str">
        <f>VLOOKUP(Таблица1_113[[#This Row],[Марка]],Таблица13[#All],2,0)</f>
        <v>Economy</v>
      </c>
      <c r="AG1334" s="26">
        <f>VLOOKUP(Таблица1_113[[#This Row],[Марка]],Таблица13[#All],3,0)</f>
        <v>1911</v>
      </c>
      <c r="AH1334" s="26" t="str">
        <f>VLOOKUP(Таблица1_113[[#This Row],[Марка]],Таблица13[#All],5,0)</f>
        <v>Крупноузловая</v>
      </c>
      <c r="AI1334" s="29">
        <v>44621</v>
      </c>
      <c r="AJ1334" s="26">
        <v>1743</v>
      </c>
    </row>
    <row r="1335" spans="30:36">
      <c r="AD1335" s="26" t="s">
        <v>3</v>
      </c>
      <c r="AE1335" s="26" t="str">
        <f>VLOOKUP(Таблица1_113[[#This Row],[Марка]],Таблица13[#All],4,0)</f>
        <v>Китай</v>
      </c>
      <c r="AF1335" s="26" t="str">
        <f>VLOOKUP(Таблица1_113[[#This Row],[Марка]],Таблица13[#All],2,0)</f>
        <v>Economy</v>
      </c>
      <c r="AG1335" s="26">
        <f>VLOOKUP(Таблица1_113[[#This Row],[Марка]],Таблица13[#All],3,0)</f>
        <v>1997</v>
      </c>
      <c r="AH1335" s="26" t="str">
        <f>VLOOKUP(Таблица1_113[[#This Row],[Марка]],Таблица13[#All],5,0)</f>
        <v>Крупноузловая</v>
      </c>
      <c r="AI1335" s="29">
        <v>44621</v>
      </c>
      <c r="AJ1335" s="26">
        <v>239</v>
      </c>
    </row>
    <row r="1336" spans="30:36">
      <c r="AD1336" s="26" t="s">
        <v>124</v>
      </c>
      <c r="AE1336" s="26" t="str">
        <f>VLOOKUP(Таблица1_113[[#This Row],[Марка]],Таблица13[#All],4,0)</f>
        <v>Китай</v>
      </c>
      <c r="AF1336" s="26" t="str">
        <f>VLOOKUP(Таблица1_113[[#This Row],[Марка]],Таблица13[#All],2,0)</f>
        <v>Economy</v>
      </c>
      <c r="AG1336" s="26">
        <f>VLOOKUP(Таблица1_113[[#This Row],[Марка]],Таблица13[#All],3,0)</f>
        <v>1862</v>
      </c>
      <c r="AH1336" s="26" t="str">
        <f>VLOOKUP(Таблица1_113[[#This Row],[Марка]],Таблица13[#All],5,0)</f>
        <v>Нет</v>
      </c>
      <c r="AI1336" s="29">
        <v>44621</v>
      </c>
      <c r="AJ1336" s="26">
        <v>0</v>
      </c>
    </row>
    <row r="1337" spans="30:36">
      <c r="AD1337" s="26" t="s">
        <v>36</v>
      </c>
      <c r="AE1337" s="26" t="str">
        <f>VLOOKUP(Таблица1_113[[#This Row],[Марка]],Таблица13[#All],4,0)</f>
        <v>США</v>
      </c>
      <c r="AF1337" s="26" t="str">
        <f>VLOOKUP(Таблица1_113[[#This Row],[Марка]],Таблица13[#All],2,0)</f>
        <v>Luxury</v>
      </c>
      <c r="AG1337" s="26">
        <f>VLOOKUP(Таблица1_113[[#This Row],[Марка]],Таблица13[#All],3,0)</f>
        <v>1902</v>
      </c>
      <c r="AH1337" s="26" t="str">
        <f>VLOOKUP(Таблица1_113[[#This Row],[Марка]],Таблица13[#All],5,0)</f>
        <v>Нет</v>
      </c>
      <c r="AI1337" s="29">
        <v>44621</v>
      </c>
      <c r="AJ1337" s="26">
        <v>20</v>
      </c>
    </row>
    <row r="1338" spans="30:36">
      <c r="AD1338" s="26" t="s">
        <v>8</v>
      </c>
      <c r="AE1338" s="26" t="str">
        <f>VLOOKUP(Таблица1_113[[#This Row],[Марка]],Таблица13[#All],4,0)</f>
        <v>Германия</v>
      </c>
      <c r="AF1338" s="26" t="str">
        <f>VLOOKUP(Таблица1_113[[#This Row],[Марка]],Таблица13[#All],2,0)</f>
        <v>Luxury</v>
      </c>
      <c r="AG1338" s="26">
        <f>VLOOKUP(Таблица1_113[[#This Row],[Марка]],Таблица13[#All],3,0)</f>
        <v>1916</v>
      </c>
      <c r="AH1338" s="26" t="str">
        <f>VLOOKUP(Таблица1_113[[#This Row],[Марка]],Таблица13[#All],5,0)</f>
        <v>Нет</v>
      </c>
      <c r="AI1338" s="29">
        <v>44621</v>
      </c>
      <c r="AJ1338" s="26">
        <v>147</v>
      </c>
    </row>
    <row r="1339" spans="30:36">
      <c r="AD1339" s="26" t="s">
        <v>38</v>
      </c>
      <c r="AE1339" s="26" t="str">
        <f>VLOOKUP(Таблица1_113[[#This Row],[Марка]],Таблица13[#All],4,0)</f>
        <v>Германия</v>
      </c>
      <c r="AF1339" s="26" t="str">
        <f>VLOOKUP(Таблица1_113[[#This Row],[Марка]],Таблица13[#All],2,0)</f>
        <v>Luxury</v>
      </c>
      <c r="AG1339" s="26">
        <f>VLOOKUP(Таблица1_113[[#This Row],[Марка]],Таблица13[#All],3,0)</f>
        <v>1932</v>
      </c>
      <c r="AH1339" s="26" t="str">
        <f>VLOOKUP(Таблица1_113[[#This Row],[Марка]],Таблица13[#All],5,0)</f>
        <v>Нет</v>
      </c>
      <c r="AI1339" s="29">
        <v>44621</v>
      </c>
      <c r="AJ1339" s="26">
        <v>27</v>
      </c>
    </row>
    <row r="1340" spans="30:36">
      <c r="AD1340" t="s">
        <v>136</v>
      </c>
      <c r="AE1340" t="str">
        <f>VLOOKUP(Таблица1_113[[#This Row],[Марка]],Таблица13[#All],4,0)</f>
        <v>Россия</v>
      </c>
      <c r="AF1340" t="str">
        <f>VLOOKUP(Таблица1_113[[#This Row],[Марка]],Таблица13[#All],2,0)</f>
        <v>Economy</v>
      </c>
      <c r="AG1340">
        <f>VLOOKUP(Таблица1_113[[#This Row],[Марка]],Таблица13[#All],3,0)</f>
        <v>1941</v>
      </c>
      <c r="AH1340" t="str">
        <f>VLOOKUP(Таблица1_113[[#This Row],[Марка]],Таблица13[#All],5,0)</f>
        <v>Нет</v>
      </c>
      <c r="AI1340" s="12">
        <v>44652</v>
      </c>
      <c r="AJ1340">
        <v>89</v>
      </c>
    </row>
    <row r="1341" spans="30:36">
      <c r="AD1341" t="s">
        <v>135</v>
      </c>
      <c r="AE1341" t="str">
        <f>VLOOKUP(Таблица1_113[[#This Row],[Марка]],Таблица13[#All],4,0)</f>
        <v>-</v>
      </c>
      <c r="AF1341" t="str">
        <f>VLOOKUP(Таблица1_113[[#This Row],[Марка]],Таблица13[#All],2,0)</f>
        <v>-</v>
      </c>
      <c r="AG1341" t="str">
        <f>VLOOKUP(Таблица1_113[[#This Row],[Марка]],Таблица13[#All],3,0)</f>
        <v>-</v>
      </c>
      <c r="AH1341" t="str">
        <f>VLOOKUP(Таблица1_113[[#This Row],[Марка]],Таблица13[#All],5,0)</f>
        <v>-</v>
      </c>
      <c r="AI1341" s="12">
        <v>44652</v>
      </c>
      <c r="AJ1341">
        <v>1</v>
      </c>
    </row>
    <row r="1342" spans="30:36">
      <c r="AD1342" t="s">
        <v>39</v>
      </c>
      <c r="AE1342" t="str">
        <f>VLOOKUP(Таблица1_113[[#This Row],[Марка]],Таблица13[#All],4,0)</f>
        <v>Швеция</v>
      </c>
      <c r="AF1342" t="str">
        <f>VLOOKUP(Таблица1_113[[#This Row],[Марка]],Таблица13[#All],2,0)</f>
        <v>Business</v>
      </c>
      <c r="AG1342">
        <f>VLOOKUP(Таблица1_113[[#This Row],[Марка]],Таблица13[#All],3,0)</f>
        <v>1927</v>
      </c>
      <c r="AH1342" t="str">
        <f>VLOOKUP(Таблица1_113[[#This Row],[Марка]],Таблица13[#All],5,0)</f>
        <v>Нет</v>
      </c>
      <c r="AI1342" s="12">
        <v>44652</v>
      </c>
      <c r="AJ1342">
        <v>5</v>
      </c>
    </row>
    <row r="1343" spans="30:36">
      <c r="AD1343" t="s">
        <v>21</v>
      </c>
      <c r="AE1343" t="str">
        <f>VLOOKUP(Таблица1_113[[#This Row],[Марка]],Таблица13[#All],4,0)</f>
        <v>Германия</v>
      </c>
      <c r="AF1343" t="str">
        <f>VLOOKUP(Таблица1_113[[#This Row],[Марка]],Таблица13[#All],2,0)</f>
        <v>Business</v>
      </c>
      <c r="AG1343">
        <f>VLOOKUP(Таблица1_113[[#This Row],[Марка]],Таблица13[#All],3,0)</f>
        <v>1937</v>
      </c>
      <c r="AH1343" t="str">
        <f>VLOOKUP(Таблица1_113[[#This Row],[Марка]],Таблица13[#All],5,0)</f>
        <v>Нет</v>
      </c>
      <c r="AI1343" s="12">
        <v>44652</v>
      </c>
      <c r="AJ1343">
        <v>118</v>
      </c>
    </row>
    <row r="1344" spans="30:36">
      <c r="AD1344" t="s">
        <v>2</v>
      </c>
      <c r="AE1344" t="str">
        <f>VLOOKUP(Таблица1_113[[#This Row],[Марка]],Таблица13[#All],4,0)</f>
        <v>Япония</v>
      </c>
      <c r="AF1344" t="str">
        <f>VLOOKUP(Таблица1_113[[#This Row],[Марка]],Таблица13[#All],2,0)</f>
        <v>Business</v>
      </c>
      <c r="AG1344">
        <f>VLOOKUP(Таблица1_113[[#This Row],[Марка]],Таблица13[#All],3,0)</f>
        <v>1937</v>
      </c>
      <c r="AH1344" t="str">
        <f>VLOOKUP(Таблица1_113[[#This Row],[Марка]],Таблица13[#All],5,0)</f>
        <v>Нет</v>
      </c>
      <c r="AI1344" s="12">
        <v>44652</v>
      </c>
      <c r="AJ1344">
        <v>944</v>
      </c>
    </row>
    <row r="1345" spans="30:36">
      <c r="AD1345" t="s">
        <v>125</v>
      </c>
      <c r="AE1345" t="str">
        <f>VLOOKUP(Таблица1_113[[#This Row],[Марка]],Таблица13[#All],4,0)</f>
        <v>Япония</v>
      </c>
      <c r="AF1345" t="str">
        <f>VLOOKUP(Таблица1_113[[#This Row],[Марка]],Таблица13[#All],2,0)</f>
        <v>Business</v>
      </c>
      <c r="AG1345">
        <f>VLOOKUP(Таблица1_113[[#This Row],[Марка]],Таблица13[#All],3,0)</f>
        <v>1953</v>
      </c>
      <c r="AH1345" t="str">
        <f>VLOOKUP(Таблица1_113[[#This Row],[Марка]],Таблица13[#All],5,0)</f>
        <v>Нет</v>
      </c>
      <c r="AI1345" s="12">
        <v>44652</v>
      </c>
      <c r="AJ1345">
        <v>56</v>
      </c>
    </row>
    <row r="1346" spans="30:36">
      <c r="AD1346" t="s">
        <v>23</v>
      </c>
      <c r="AE1346" t="str">
        <f>VLOOKUP(Таблица1_113[[#This Row],[Марка]],Таблица13[#All],4,0)</f>
        <v>Франция</v>
      </c>
      <c r="AF1346" t="str">
        <f>VLOOKUP(Таблица1_113[[#This Row],[Марка]],Таблица13[#All],2,0)</f>
        <v>Economy</v>
      </c>
      <c r="AG1346">
        <f>VLOOKUP(Таблица1_113[[#This Row],[Марка]],Таблица13[#All],3,0)</f>
        <v>1899</v>
      </c>
      <c r="AH1346" t="str">
        <f>VLOOKUP(Таблица1_113[[#This Row],[Марка]],Таблица13[#All],5,0)</f>
        <v>Крупноузловая</v>
      </c>
      <c r="AI1346" s="12">
        <v>44652</v>
      </c>
      <c r="AJ1346">
        <v>102</v>
      </c>
    </row>
    <row r="1347" spans="30:36">
      <c r="AD1347" t="s">
        <v>37</v>
      </c>
      <c r="AE1347" t="str">
        <f>VLOOKUP(Таблица1_113[[#This Row],[Марка]],Таблица13[#All],4,0)</f>
        <v>Германия</v>
      </c>
      <c r="AF1347" t="str">
        <f>VLOOKUP(Таблица1_113[[#This Row],[Марка]],Таблица13[#All],2,0)</f>
        <v>Luxury</v>
      </c>
      <c r="AG1347">
        <f>VLOOKUP(Таблица1_113[[#This Row],[Марка]],Таблица13[#All],3,0)</f>
        <v>1931</v>
      </c>
      <c r="AH1347" t="str">
        <f>VLOOKUP(Таблица1_113[[#This Row],[Марка]],Таблица13[#All],5,0)</f>
        <v>Нет</v>
      </c>
      <c r="AI1347" s="12">
        <v>44652</v>
      </c>
      <c r="AJ1347">
        <v>18</v>
      </c>
    </row>
    <row r="1348" spans="30:36">
      <c r="AD1348" t="s">
        <v>22</v>
      </c>
      <c r="AE1348" t="str">
        <f>VLOOKUP(Таблица1_113[[#This Row],[Марка]],Таблица13[#All],4,0)</f>
        <v>Япония</v>
      </c>
      <c r="AF1348" t="str">
        <f>VLOOKUP(Таблица1_113[[#This Row],[Марка]],Таблица13[#All],2,0)</f>
        <v>Business</v>
      </c>
      <c r="AG1348">
        <f>VLOOKUP(Таблица1_113[[#This Row],[Марка]],Таблица13[#All],3,0)</f>
        <v>1933</v>
      </c>
      <c r="AH1348" t="str">
        <f>VLOOKUP(Таблица1_113[[#This Row],[Марка]],Таблица13[#All],5,0)</f>
        <v>Нет</v>
      </c>
      <c r="AI1348" s="12">
        <v>44652</v>
      </c>
      <c r="AJ1348">
        <v>58</v>
      </c>
    </row>
    <row r="1349" spans="30:36">
      <c r="AD1349" t="s">
        <v>9</v>
      </c>
      <c r="AE1349" t="str">
        <f>VLOOKUP(Таблица1_113[[#This Row],[Марка]],Таблица13[#All],4,0)</f>
        <v>Япония</v>
      </c>
      <c r="AF1349" t="str">
        <f>VLOOKUP(Таблица1_113[[#This Row],[Марка]],Таблица13[#All],2,0)</f>
        <v>Business</v>
      </c>
      <c r="AG1349">
        <f>VLOOKUP(Таблица1_113[[#This Row],[Марка]],Таблица13[#All],3,0)</f>
        <v>1870</v>
      </c>
      <c r="AH1349" t="str">
        <f>VLOOKUP(Таблица1_113[[#This Row],[Марка]],Таблица13[#All],5,0)</f>
        <v>Нет</v>
      </c>
      <c r="AI1349" s="12">
        <v>44652</v>
      </c>
      <c r="AJ1349">
        <v>31</v>
      </c>
    </row>
    <row r="1350" spans="30:36">
      <c r="AD1350" t="s">
        <v>40</v>
      </c>
      <c r="AE1350" t="str">
        <f>VLOOKUP(Таблица1_113[[#This Row],[Марка]],Таблица13[#All],4,0)</f>
        <v>Великобритания</v>
      </c>
      <c r="AF1350" t="str">
        <f>VLOOKUP(Таблица1_113[[#This Row],[Марка]],Таблица13[#All],2,0)</f>
        <v>Luxury</v>
      </c>
      <c r="AG1350">
        <f>VLOOKUP(Таблица1_113[[#This Row],[Марка]],Таблица13[#All],3,0)</f>
        <v>1959</v>
      </c>
      <c r="AH1350" t="str">
        <f>VLOOKUP(Таблица1_113[[#This Row],[Марка]],Таблица13[#All],5,0)</f>
        <v>Нет</v>
      </c>
      <c r="AI1350" s="12">
        <v>44652</v>
      </c>
      <c r="AJ1350">
        <v>4</v>
      </c>
    </row>
    <row r="1351" spans="30:36">
      <c r="AD1351" t="s">
        <v>128</v>
      </c>
      <c r="AE1351" t="str">
        <f>VLOOKUP(Таблица1_113[[#This Row],[Марка]],Таблица13[#All],4,0)</f>
        <v>Германия</v>
      </c>
      <c r="AF1351" t="str">
        <f>VLOOKUP(Таблица1_113[[#This Row],[Марка]],Таблица13[#All],2,0)</f>
        <v>Luxury</v>
      </c>
      <c r="AG1351">
        <f>VLOOKUP(Таблица1_113[[#This Row],[Марка]],Таблица13[#All],3,0)</f>
        <v>1926</v>
      </c>
      <c r="AH1351" t="str">
        <f>VLOOKUP(Таблица1_113[[#This Row],[Марка]],Таблица13[#All],5,0)</f>
        <v>Нет</v>
      </c>
      <c r="AI1351" s="12">
        <v>44652</v>
      </c>
      <c r="AJ1351">
        <v>38</v>
      </c>
    </row>
    <row r="1352" spans="30:36">
      <c r="AD1352" t="s">
        <v>139</v>
      </c>
      <c r="AE1352" t="str">
        <f>VLOOKUP(Таблица1_113[[#This Row],[Марка]],Таблица13[#All],4,0)</f>
        <v>Япония</v>
      </c>
      <c r="AF1352" t="str">
        <f>VLOOKUP(Таблица1_113[[#This Row],[Марка]],Таблица13[#All],2,0)</f>
        <v>Business</v>
      </c>
      <c r="AG1352">
        <f>VLOOKUP(Таблица1_113[[#This Row],[Марка]],Таблица13[#All],3,0)</f>
        <v>1920</v>
      </c>
      <c r="AH1352" t="str">
        <f>VLOOKUP(Таблица1_113[[#This Row],[Марка]],Таблица13[#All],5,0)</f>
        <v>Нет</v>
      </c>
      <c r="AI1352" s="12">
        <v>44652</v>
      </c>
      <c r="AJ1352">
        <v>0</v>
      </c>
    </row>
    <row r="1353" spans="30:36">
      <c r="AD1353" t="s">
        <v>5</v>
      </c>
      <c r="AE1353" t="str">
        <f>VLOOKUP(Таблица1_113[[#This Row],[Марка]],Таблица13[#All],4,0)</f>
        <v>Япония</v>
      </c>
      <c r="AF1353" t="str">
        <f>VLOOKUP(Таблица1_113[[#This Row],[Марка]],Таблица13[#All],2,0)</f>
        <v>Luxury</v>
      </c>
      <c r="AG1353">
        <f>VLOOKUP(Таблица1_113[[#This Row],[Марка]],Таблица13[#All],3,0)</f>
        <v>1989</v>
      </c>
      <c r="AH1353" t="str">
        <f>VLOOKUP(Таблица1_113[[#This Row],[Марка]],Таблица13[#All],5,0)</f>
        <v>Нет</v>
      </c>
      <c r="AI1353" s="12">
        <v>44652</v>
      </c>
      <c r="AJ1353">
        <v>274</v>
      </c>
    </row>
    <row r="1354" spans="30:36">
      <c r="AD1354" t="s">
        <v>35</v>
      </c>
      <c r="AE1354" t="str">
        <f>VLOOKUP(Таблица1_113[[#This Row],[Марка]],Таблица13[#All],4,0)</f>
        <v>Великобритания</v>
      </c>
      <c r="AF1354" t="str">
        <f>VLOOKUP(Таблица1_113[[#This Row],[Марка]],Таблица13[#All],2,0)</f>
        <v>Luxury</v>
      </c>
      <c r="AG1354">
        <f>VLOOKUP(Таблица1_113[[#This Row],[Марка]],Таблица13[#All],3,0)</f>
        <v>1948</v>
      </c>
      <c r="AH1354" t="str">
        <f>VLOOKUP(Таблица1_113[[#This Row],[Марка]],Таблица13[#All],5,0)</f>
        <v>Нет</v>
      </c>
      <c r="AI1354" s="12">
        <v>44652</v>
      </c>
      <c r="AJ1354">
        <v>0</v>
      </c>
    </row>
    <row r="1355" spans="30:36">
      <c r="AD1355" t="s">
        <v>19</v>
      </c>
      <c r="AE1355" t="str">
        <f>VLOOKUP(Таблица1_113[[#This Row],[Марка]],Таблица13[#All],4,0)</f>
        <v>Россия</v>
      </c>
      <c r="AF1355" t="str">
        <f>VLOOKUP(Таблица1_113[[#This Row],[Марка]],Таблица13[#All],2,0)</f>
        <v>Economy</v>
      </c>
      <c r="AG1355">
        <f>VLOOKUP(Таблица1_113[[#This Row],[Марка]],Таблица13[#All],3,0)</f>
        <v>1970</v>
      </c>
      <c r="AH1355" t="str">
        <f>VLOOKUP(Таблица1_113[[#This Row],[Марка]],Таблица13[#All],5,0)</f>
        <v>Крупноузловая</v>
      </c>
      <c r="AI1355" s="12">
        <v>44652</v>
      </c>
      <c r="AJ1355">
        <v>778</v>
      </c>
    </row>
    <row r="1356" spans="30:36">
      <c r="AD1356" t="s">
        <v>15</v>
      </c>
      <c r="AE1356" t="str">
        <f>VLOOKUP(Таблица1_113[[#This Row],[Марка]],Таблица13[#All],4,0)</f>
        <v>Корея</v>
      </c>
      <c r="AF1356" t="str">
        <f>VLOOKUP(Таблица1_113[[#This Row],[Марка]],Таблица13[#All],2,0)</f>
        <v>Economy</v>
      </c>
      <c r="AG1356">
        <f>VLOOKUP(Таблица1_113[[#This Row],[Марка]],Таблица13[#All],3,0)</f>
        <v>1944</v>
      </c>
      <c r="AH1356" t="str">
        <f>VLOOKUP(Таблица1_113[[#This Row],[Марка]],Таблица13[#All],5,0)</f>
        <v>Крупноузловая</v>
      </c>
      <c r="AI1356" s="12">
        <v>44652</v>
      </c>
      <c r="AJ1356">
        <v>969</v>
      </c>
    </row>
    <row r="1357" spans="30:36">
      <c r="AD1357" t="s">
        <v>134</v>
      </c>
      <c r="AE1357" t="str">
        <f>VLOOKUP(Таблица1_113[[#This Row],[Марка]],Таблица13[#All],4,0)</f>
        <v>Великобритания</v>
      </c>
      <c r="AF1357" t="str">
        <f>VLOOKUP(Таблица1_113[[#This Row],[Марка]],Таблица13[#All],2,0)</f>
        <v>Luxury</v>
      </c>
      <c r="AG1357">
        <f>VLOOKUP(Таблица1_113[[#This Row],[Марка]],Таблица13[#All],3,0)</f>
        <v>1922</v>
      </c>
      <c r="AH1357" t="str">
        <f>VLOOKUP(Таблица1_113[[#This Row],[Марка]],Таблица13[#All],5,0)</f>
        <v>Нет</v>
      </c>
      <c r="AI1357" s="12">
        <v>44652</v>
      </c>
      <c r="AJ1357">
        <v>0</v>
      </c>
    </row>
    <row r="1358" spans="30:36">
      <c r="AD1358" t="s">
        <v>4</v>
      </c>
      <c r="AE1358" t="str">
        <f>VLOOKUP(Таблица1_113[[#This Row],[Марка]],Таблица13[#All],4,0)</f>
        <v>Китай</v>
      </c>
      <c r="AF1358" t="str">
        <f>VLOOKUP(Таблица1_113[[#This Row],[Марка]],Таблица13[#All],2,0)</f>
        <v>Economy</v>
      </c>
      <c r="AG1358">
        <f>VLOOKUP(Таблица1_113[[#This Row],[Марка]],Таблица13[#All],3,0)</f>
        <v>1964</v>
      </c>
      <c r="AH1358" t="str">
        <f>VLOOKUP(Таблица1_113[[#This Row],[Марка]],Таблица13[#All],5,0)</f>
        <v>Крупноузловая</v>
      </c>
      <c r="AI1358" s="12">
        <v>44652</v>
      </c>
      <c r="AJ1358">
        <v>234</v>
      </c>
    </row>
    <row r="1359" spans="30:36">
      <c r="AD1359" t="s">
        <v>140</v>
      </c>
      <c r="AE1359" t="str">
        <f>VLOOKUP(Таблица1_113[[#This Row],[Марка]],Таблица13[#All],4,0)</f>
        <v>Япония</v>
      </c>
      <c r="AF1359" t="str">
        <f>VLOOKUP(Таблица1_113[[#This Row],[Марка]],Таблица13[#All],2,0)</f>
        <v>Business</v>
      </c>
      <c r="AG1359">
        <f>VLOOKUP(Таблица1_113[[#This Row],[Марка]],Таблица13[#All],3,0)</f>
        <v>1916</v>
      </c>
      <c r="AH1359" t="str">
        <f>VLOOKUP(Таблица1_113[[#This Row],[Марка]],Таблица13[#All],5,0)</f>
        <v>Нет</v>
      </c>
      <c r="AI1359" s="12">
        <v>44652</v>
      </c>
      <c r="AJ1359">
        <v>1</v>
      </c>
    </row>
    <row r="1360" spans="30:36">
      <c r="AD1360" t="s">
        <v>34</v>
      </c>
      <c r="AE1360" t="str">
        <f>VLOOKUP(Таблица1_113[[#This Row],[Марка]],Таблица13[#All],4,0)</f>
        <v>Япония</v>
      </c>
      <c r="AF1360" t="str">
        <f>VLOOKUP(Таблица1_113[[#This Row],[Марка]],Таблица13[#All],2,0)</f>
        <v>Luxury</v>
      </c>
      <c r="AG1360">
        <f>VLOOKUP(Таблица1_113[[#This Row],[Марка]],Таблица13[#All],3,0)</f>
        <v>1989</v>
      </c>
      <c r="AH1360" t="str">
        <f>VLOOKUP(Таблица1_113[[#This Row],[Марка]],Таблица13[#All],5,0)</f>
        <v>Нет</v>
      </c>
      <c r="AI1360" s="12">
        <v>44652</v>
      </c>
      <c r="AJ1360">
        <v>28</v>
      </c>
    </row>
    <row r="1361" spans="30:36">
      <c r="AD1361" t="s">
        <v>0</v>
      </c>
      <c r="AE1361" t="str">
        <f>VLOOKUP(Таблица1_113[[#This Row],[Марка]],Таблица13[#All],4,0)</f>
        <v>Корея</v>
      </c>
      <c r="AF1361" t="str">
        <f>VLOOKUP(Таблица1_113[[#This Row],[Марка]],Таблица13[#All],2,0)</f>
        <v>Economy</v>
      </c>
      <c r="AG1361">
        <f>VLOOKUP(Таблица1_113[[#This Row],[Марка]],Таблица13[#All],3,0)</f>
        <v>1967</v>
      </c>
      <c r="AH1361" t="str">
        <f>VLOOKUP(Таблица1_113[[#This Row],[Марка]],Таблица13[#All],5,0)</f>
        <v>Крупноузловая</v>
      </c>
      <c r="AI1361" s="12">
        <v>44652</v>
      </c>
      <c r="AJ1361">
        <v>1833</v>
      </c>
    </row>
    <row r="1362" spans="30:36">
      <c r="AD1362" t="s">
        <v>6</v>
      </c>
      <c r="AE1362" t="str">
        <f>VLOOKUP(Таблица1_113[[#This Row],[Марка]],Таблица13[#All],4,0)</f>
        <v>Китай</v>
      </c>
      <c r="AF1362" t="str">
        <f>VLOOKUP(Таблица1_113[[#This Row],[Марка]],Таблица13[#All],2,0)</f>
        <v>Economy</v>
      </c>
      <c r="AG1362">
        <f>VLOOKUP(Таблица1_113[[#This Row],[Марка]],Таблица13[#All],3,0)</f>
        <v>2013</v>
      </c>
      <c r="AH1362" t="str">
        <f>VLOOKUP(Таблица1_113[[#This Row],[Марка]],Таблица13[#All],5,0)</f>
        <v>Крупноузловая</v>
      </c>
      <c r="AI1362" s="12">
        <v>44652</v>
      </c>
      <c r="AJ1362">
        <v>13</v>
      </c>
    </row>
    <row r="1363" spans="30:36">
      <c r="AD1363" t="s">
        <v>18</v>
      </c>
      <c r="AE1363" t="str">
        <f>VLOOKUP(Таблица1_113[[#This Row],[Марка]],Таблица13[#All],4,0)</f>
        <v>Китай</v>
      </c>
      <c r="AF1363" t="str">
        <f>VLOOKUP(Таблица1_113[[#This Row],[Марка]],Таблица13[#All],2,0)</f>
        <v>Economy</v>
      </c>
      <c r="AG1363">
        <f>VLOOKUP(Таблица1_113[[#This Row],[Марка]],Таблица13[#All],3,0)</f>
        <v>1986</v>
      </c>
      <c r="AH1363" t="str">
        <f>VLOOKUP(Таблица1_113[[#This Row],[Марка]],Таблица13[#All],5,0)</f>
        <v>Крупноузловая</v>
      </c>
      <c r="AI1363" s="12">
        <v>44652</v>
      </c>
      <c r="AJ1363">
        <v>0</v>
      </c>
    </row>
    <row r="1364" spans="30:36">
      <c r="AD1364" t="s">
        <v>133</v>
      </c>
      <c r="AE1364" t="str">
        <f>VLOOKUP(Таблица1_113[[#This Row],[Марка]],Таблица13[#All],4,0)</f>
        <v>Китай</v>
      </c>
      <c r="AF1364" t="str">
        <f>VLOOKUP(Таблица1_113[[#This Row],[Марка]],Таблица13[#All],2,0)</f>
        <v>Economy</v>
      </c>
      <c r="AG1364">
        <f>VLOOKUP(Таблица1_113[[#This Row],[Марка]],Таблица13[#All],3,0)</f>
        <v>1996</v>
      </c>
      <c r="AH1364" t="str">
        <f>VLOOKUP(Таблица1_113[[#This Row],[Марка]],Таблица13[#All],5,0)</f>
        <v>Нет</v>
      </c>
      <c r="AI1364" s="12">
        <v>44652</v>
      </c>
      <c r="AJ1364">
        <v>0</v>
      </c>
    </row>
    <row r="1365" spans="30:36">
      <c r="AD1365" t="s">
        <v>129</v>
      </c>
      <c r="AE1365" t="str">
        <f>VLOOKUP(Таблица1_113[[#This Row],[Марка]],Таблица13[#All],4,0)</f>
        <v>Китай</v>
      </c>
      <c r="AF1365" t="str">
        <f>VLOOKUP(Таблица1_113[[#This Row],[Марка]],Таблица13[#All],2,0)</f>
        <v>Economy</v>
      </c>
      <c r="AG1365">
        <f>VLOOKUP(Таблица1_113[[#This Row],[Марка]],Таблица13[#All],3,0)</f>
        <v>1953</v>
      </c>
      <c r="AH1365" t="str">
        <f>VLOOKUP(Таблица1_113[[#This Row],[Марка]],Таблица13[#All],5,0)</f>
        <v>Нет</v>
      </c>
      <c r="AI1365" s="12">
        <v>44652</v>
      </c>
      <c r="AJ1365">
        <v>28</v>
      </c>
    </row>
    <row r="1366" spans="30:36">
      <c r="AD1366" t="s">
        <v>130</v>
      </c>
      <c r="AE1366" t="str">
        <f>VLOOKUP(Таблица1_113[[#This Row],[Марка]],Таблица13[#All],4,0)</f>
        <v>Китай</v>
      </c>
      <c r="AF1366" t="str">
        <f>VLOOKUP(Таблица1_113[[#This Row],[Марка]],Таблица13[#All],2,0)</f>
        <v>Economy</v>
      </c>
      <c r="AG1366">
        <f>VLOOKUP(Таблица1_113[[#This Row],[Марка]],Таблица13[#All],3,0)</f>
        <v>1969</v>
      </c>
      <c r="AH1366" t="str">
        <f>VLOOKUP(Таблица1_113[[#This Row],[Марка]],Таблица13[#All],5,0)</f>
        <v>Нет</v>
      </c>
      <c r="AI1366" s="12">
        <v>44652</v>
      </c>
      <c r="AJ1366">
        <v>0</v>
      </c>
    </row>
    <row r="1367" spans="30:36">
      <c r="AD1367" t="s">
        <v>137</v>
      </c>
      <c r="AE1367" t="str">
        <f>VLOOKUP(Таблица1_113[[#This Row],[Марка]],Таблица13[#All],4,0)</f>
        <v>Корея</v>
      </c>
      <c r="AF1367" t="str">
        <f>VLOOKUP(Таблица1_113[[#This Row],[Марка]],Таблица13[#All],2,0)</f>
        <v>Economy</v>
      </c>
      <c r="AG1367">
        <f>VLOOKUP(Таблица1_113[[#This Row],[Марка]],Таблица13[#All],3,0)</f>
        <v>1967</v>
      </c>
      <c r="AH1367" t="str">
        <f>VLOOKUP(Таблица1_113[[#This Row],[Марка]],Таблица13[#All],5,0)</f>
        <v>Нет</v>
      </c>
      <c r="AI1367" s="12">
        <v>44652</v>
      </c>
      <c r="AJ1367">
        <v>0</v>
      </c>
    </row>
    <row r="1368" spans="30:36">
      <c r="AD1368" t="s">
        <v>1</v>
      </c>
      <c r="AE1368" t="str">
        <f>VLOOKUP(Таблица1_113[[#This Row],[Марка]],Таблица13[#All],4,0)</f>
        <v>США</v>
      </c>
      <c r="AF1368" t="str">
        <f>VLOOKUP(Таблица1_113[[#This Row],[Марка]],Таблица13[#All],2,0)</f>
        <v>Economy</v>
      </c>
      <c r="AG1368">
        <f>VLOOKUP(Таблица1_113[[#This Row],[Марка]],Таблица13[#All],3,0)</f>
        <v>1911</v>
      </c>
      <c r="AH1368" t="str">
        <f>VLOOKUP(Таблица1_113[[#This Row],[Марка]],Таблица13[#All],5,0)</f>
        <v>Крупноузловая</v>
      </c>
      <c r="AI1368" s="12">
        <v>44652</v>
      </c>
      <c r="AJ1368">
        <v>2993</v>
      </c>
    </row>
    <row r="1369" spans="30:36">
      <c r="AD1369" t="s">
        <v>3</v>
      </c>
      <c r="AE1369" t="str">
        <f>VLOOKUP(Таблица1_113[[#This Row],[Марка]],Таблица13[#All],4,0)</f>
        <v>Китай</v>
      </c>
      <c r="AF1369" t="str">
        <f>VLOOKUP(Таблица1_113[[#This Row],[Марка]],Таблица13[#All],2,0)</f>
        <v>Economy</v>
      </c>
      <c r="AG1369">
        <f>VLOOKUP(Таблица1_113[[#This Row],[Марка]],Таблица13[#All],3,0)</f>
        <v>1997</v>
      </c>
      <c r="AH1369" t="str">
        <f>VLOOKUP(Таблица1_113[[#This Row],[Марка]],Таблица13[#All],5,0)</f>
        <v>Крупноузловая</v>
      </c>
      <c r="AI1369" s="12">
        <v>44652</v>
      </c>
      <c r="AJ1369">
        <v>166</v>
      </c>
    </row>
    <row r="1370" spans="30:36">
      <c r="AD1370" t="s">
        <v>124</v>
      </c>
      <c r="AE1370" t="str">
        <f>VLOOKUP(Таблица1_113[[#This Row],[Марка]],Таблица13[#All],4,0)</f>
        <v>Китай</v>
      </c>
      <c r="AF1370" t="str">
        <f>VLOOKUP(Таблица1_113[[#This Row],[Марка]],Таблица13[#All],2,0)</f>
        <v>Economy</v>
      </c>
      <c r="AG1370">
        <f>VLOOKUP(Таблица1_113[[#This Row],[Марка]],Таблица13[#All],3,0)</f>
        <v>1862</v>
      </c>
      <c r="AH1370" t="str">
        <f>VLOOKUP(Таблица1_113[[#This Row],[Марка]],Таблица13[#All],5,0)</f>
        <v>Нет</v>
      </c>
      <c r="AI1370" s="12">
        <v>44652</v>
      </c>
      <c r="AJ1370">
        <v>0</v>
      </c>
    </row>
    <row r="1371" spans="30:36">
      <c r="AD1371" t="s">
        <v>36</v>
      </c>
      <c r="AE1371" t="str">
        <f>VLOOKUP(Таблица1_113[[#This Row],[Марка]],Таблица13[#All],4,0)</f>
        <v>США</v>
      </c>
      <c r="AF1371" t="str">
        <f>VLOOKUP(Таблица1_113[[#This Row],[Марка]],Таблица13[#All],2,0)</f>
        <v>Luxury</v>
      </c>
      <c r="AG1371">
        <f>VLOOKUP(Таблица1_113[[#This Row],[Марка]],Таблица13[#All],3,0)</f>
        <v>1902</v>
      </c>
      <c r="AH1371" t="str">
        <f>VLOOKUP(Таблица1_113[[#This Row],[Марка]],Таблица13[#All],5,0)</f>
        <v>Нет</v>
      </c>
      <c r="AI1371" s="12">
        <v>44652</v>
      </c>
      <c r="AJ1371">
        <v>22</v>
      </c>
    </row>
    <row r="1372" spans="30:36">
      <c r="AD1372" t="s">
        <v>8</v>
      </c>
      <c r="AE1372" t="str">
        <f>VLOOKUP(Таблица1_113[[#This Row],[Марка]],Таблица13[#All],4,0)</f>
        <v>Германия</v>
      </c>
      <c r="AF1372" t="str">
        <f>VLOOKUP(Таблица1_113[[#This Row],[Марка]],Таблица13[#All],2,0)</f>
        <v>Luxury</v>
      </c>
      <c r="AG1372">
        <f>VLOOKUP(Таблица1_113[[#This Row],[Марка]],Таблица13[#All],3,0)</f>
        <v>1916</v>
      </c>
      <c r="AH1372" t="str">
        <f>VLOOKUP(Таблица1_113[[#This Row],[Марка]],Таблица13[#All],5,0)</f>
        <v>Нет</v>
      </c>
      <c r="AI1372" s="12">
        <v>44652</v>
      </c>
      <c r="AJ1372">
        <v>44</v>
      </c>
    </row>
    <row r="1373" spans="30:36">
      <c r="AD1373" t="s">
        <v>38</v>
      </c>
      <c r="AE1373" t="str">
        <f>VLOOKUP(Таблица1_113[[#This Row],[Марка]],Таблица13[#All],4,0)</f>
        <v>Германия</v>
      </c>
      <c r="AF1373" t="str">
        <f>VLOOKUP(Таблица1_113[[#This Row],[Марка]],Таблица13[#All],2,0)</f>
        <v>Luxury</v>
      </c>
      <c r="AG1373">
        <f>VLOOKUP(Таблица1_113[[#This Row],[Марка]],Таблица13[#All],3,0)</f>
        <v>1932</v>
      </c>
      <c r="AH1373" t="str">
        <f>VLOOKUP(Таблица1_113[[#This Row],[Марка]],Таблица13[#All],5,0)</f>
        <v>Нет</v>
      </c>
      <c r="AI1373" s="12">
        <v>44652</v>
      </c>
      <c r="AJ1373">
        <v>8</v>
      </c>
    </row>
    <row r="1374" spans="30:36">
      <c r="AD1374" s="26" t="s">
        <v>136</v>
      </c>
      <c r="AE1374" s="26" t="str">
        <f>VLOOKUP(Таблица1_113[[#This Row],[Марка]],Таблица13[#All],4,0)</f>
        <v>Россия</v>
      </c>
      <c r="AF1374" s="26" t="str">
        <f>VLOOKUP(Таблица1_113[[#This Row],[Марка]],Таблица13[#All],2,0)</f>
        <v>Economy</v>
      </c>
      <c r="AG1374" s="26">
        <f>VLOOKUP(Таблица1_113[[#This Row],[Марка]],Таблица13[#All],3,0)</f>
        <v>1941</v>
      </c>
      <c r="AH1374" s="26" t="str">
        <f>VLOOKUP(Таблица1_113[[#This Row],[Марка]],Таблица13[#All],5,0)</f>
        <v>Нет</v>
      </c>
      <c r="AI1374" s="29">
        <v>44682</v>
      </c>
      <c r="AJ1374" s="26">
        <v>56</v>
      </c>
    </row>
    <row r="1375" spans="30:36">
      <c r="AD1375" s="26" t="s">
        <v>135</v>
      </c>
      <c r="AE1375" s="26" t="str">
        <f>VLOOKUP(Таблица1_113[[#This Row],[Марка]],Таблица13[#All],4,0)</f>
        <v>-</v>
      </c>
      <c r="AF1375" s="26" t="str">
        <f>VLOOKUP(Таблица1_113[[#This Row],[Марка]],Таблица13[#All],2,0)</f>
        <v>-</v>
      </c>
      <c r="AG1375" s="26" t="str">
        <f>VLOOKUP(Таблица1_113[[#This Row],[Марка]],Таблица13[#All],3,0)</f>
        <v>-</v>
      </c>
      <c r="AH1375" s="26" t="str">
        <f>VLOOKUP(Таблица1_113[[#This Row],[Марка]],Таблица13[#All],5,0)</f>
        <v>-</v>
      </c>
      <c r="AI1375" s="29">
        <v>44682</v>
      </c>
      <c r="AJ1375" s="26">
        <v>24</v>
      </c>
    </row>
    <row r="1376" spans="30:36">
      <c r="AD1376" s="26" t="s">
        <v>39</v>
      </c>
      <c r="AE1376" s="26" t="str">
        <f>VLOOKUP(Таблица1_113[[#This Row],[Марка]],Таблица13[#All],4,0)</f>
        <v>Швеция</v>
      </c>
      <c r="AF1376" s="26" t="str">
        <f>VLOOKUP(Таблица1_113[[#This Row],[Марка]],Таблица13[#All],2,0)</f>
        <v>Business</v>
      </c>
      <c r="AG1376" s="26">
        <f>VLOOKUP(Таблица1_113[[#This Row],[Марка]],Таблица13[#All],3,0)</f>
        <v>1927</v>
      </c>
      <c r="AH1376" s="26" t="str">
        <f>VLOOKUP(Таблица1_113[[#This Row],[Марка]],Таблица13[#All],5,0)</f>
        <v>Нет</v>
      </c>
      <c r="AI1376" s="29">
        <v>44682</v>
      </c>
      <c r="AJ1376" s="26">
        <v>0</v>
      </c>
    </row>
    <row r="1377" spans="30:36">
      <c r="AD1377" s="26" t="s">
        <v>21</v>
      </c>
      <c r="AE1377" s="26" t="str">
        <f>VLOOKUP(Таблица1_113[[#This Row],[Марка]],Таблица13[#All],4,0)</f>
        <v>Германия</v>
      </c>
      <c r="AF1377" s="26" t="str">
        <f>VLOOKUP(Таблица1_113[[#This Row],[Марка]],Таблица13[#All],2,0)</f>
        <v>Business</v>
      </c>
      <c r="AG1377" s="26">
        <f>VLOOKUP(Таблица1_113[[#This Row],[Марка]],Таблица13[#All],3,0)</f>
        <v>1937</v>
      </c>
      <c r="AH1377" s="26" t="str">
        <f>VLOOKUP(Таблица1_113[[#This Row],[Марка]],Таблица13[#All],5,0)</f>
        <v>Нет</v>
      </c>
      <c r="AI1377" s="29">
        <v>44682</v>
      </c>
      <c r="AJ1377" s="26">
        <v>55</v>
      </c>
    </row>
    <row r="1378" spans="30:36">
      <c r="AD1378" s="26" t="s">
        <v>2</v>
      </c>
      <c r="AE1378" s="26" t="str">
        <f>VLOOKUP(Таблица1_113[[#This Row],[Марка]],Таблица13[#All],4,0)</f>
        <v>Япония</v>
      </c>
      <c r="AF1378" s="26" t="str">
        <f>VLOOKUP(Таблица1_113[[#This Row],[Марка]],Таблица13[#All],2,0)</f>
        <v>Business</v>
      </c>
      <c r="AG1378" s="26">
        <f>VLOOKUP(Таблица1_113[[#This Row],[Марка]],Таблица13[#All],3,0)</f>
        <v>1937</v>
      </c>
      <c r="AH1378" s="26" t="str">
        <f>VLOOKUP(Таблица1_113[[#This Row],[Марка]],Таблица13[#All],5,0)</f>
        <v>Нет</v>
      </c>
      <c r="AI1378" s="29">
        <v>44682</v>
      </c>
      <c r="AJ1378" s="26">
        <v>655</v>
      </c>
    </row>
    <row r="1379" spans="30:36">
      <c r="AD1379" s="26" t="s">
        <v>125</v>
      </c>
      <c r="AE1379" s="26" t="str">
        <f>VLOOKUP(Таблица1_113[[#This Row],[Марка]],Таблица13[#All],4,0)</f>
        <v>Япония</v>
      </c>
      <c r="AF1379" s="26" t="str">
        <f>VLOOKUP(Таблица1_113[[#This Row],[Марка]],Таблица13[#All],2,0)</f>
        <v>Business</v>
      </c>
      <c r="AG1379" s="26">
        <f>VLOOKUP(Таблица1_113[[#This Row],[Марка]],Таблица13[#All],3,0)</f>
        <v>1953</v>
      </c>
      <c r="AH1379" s="26" t="str">
        <f>VLOOKUP(Таблица1_113[[#This Row],[Марка]],Таблица13[#All],5,0)</f>
        <v>Нет</v>
      </c>
      <c r="AI1379" s="29">
        <v>44682</v>
      </c>
      <c r="AJ1379" s="26">
        <v>23</v>
      </c>
    </row>
    <row r="1380" spans="30:36">
      <c r="AD1380" s="26" t="s">
        <v>23</v>
      </c>
      <c r="AE1380" s="26" t="str">
        <f>VLOOKUP(Таблица1_113[[#This Row],[Марка]],Таблица13[#All],4,0)</f>
        <v>Франция</v>
      </c>
      <c r="AF1380" s="26" t="str">
        <f>VLOOKUP(Таблица1_113[[#This Row],[Марка]],Таблица13[#All],2,0)</f>
        <v>Economy</v>
      </c>
      <c r="AG1380" s="26">
        <f>VLOOKUP(Таблица1_113[[#This Row],[Марка]],Таблица13[#All],3,0)</f>
        <v>1899</v>
      </c>
      <c r="AH1380" s="26" t="str">
        <f>VLOOKUP(Таблица1_113[[#This Row],[Марка]],Таблица13[#All],5,0)</f>
        <v>Крупноузловая</v>
      </c>
      <c r="AI1380" s="29">
        <v>44682</v>
      </c>
      <c r="AJ1380" s="26">
        <v>81</v>
      </c>
    </row>
    <row r="1381" spans="30:36">
      <c r="AD1381" s="26" t="s">
        <v>37</v>
      </c>
      <c r="AE1381" s="26" t="str">
        <f>VLOOKUP(Таблица1_113[[#This Row],[Марка]],Таблица13[#All],4,0)</f>
        <v>Германия</v>
      </c>
      <c r="AF1381" s="26" t="str">
        <f>VLOOKUP(Таблица1_113[[#This Row],[Марка]],Таблица13[#All],2,0)</f>
        <v>Luxury</v>
      </c>
      <c r="AG1381" s="26">
        <f>VLOOKUP(Таблица1_113[[#This Row],[Марка]],Таблица13[#All],3,0)</f>
        <v>1931</v>
      </c>
      <c r="AH1381" s="26" t="str">
        <f>VLOOKUP(Таблица1_113[[#This Row],[Марка]],Таблица13[#All],5,0)</f>
        <v>Нет</v>
      </c>
      <c r="AI1381" s="29">
        <v>44682</v>
      </c>
      <c r="AJ1381" s="26">
        <v>10</v>
      </c>
    </row>
    <row r="1382" spans="30:36">
      <c r="AD1382" s="26" t="s">
        <v>22</v>
      </c>
      <c r="AE1382" s="26" t="str">
        <f>VLOOKUP(Таблица1_113[[#This Row],[Марка]],Таблица13[#All],4,0)</f>
        <v>Япония</v>
      </c>
      <c r="AF1382" s="26" t="str">
        <f>VLOOKUP(Таблица1_113[[#This Row],[Марка]],Таблица13[#All],2,0)</f>
        <v>Business</v>
      </c>
      <c r="AG1382" s="26">
        <f>VLOOKUP(Таблица1_113[[#This Row],[Марка]],Таблица13[#All],3,0)</f>
        <v>1933</v>
      </c>
      <c r="AH1382" s="26" t="str">
        <f>VLOOKUP(Таблица1_113[[#This Row],[Марка]],Таблица13[#All],5,0)</f>
        <v>Нет</v>
      </c>
      <c r="AI1382" s="29">
        <v>44682</v>
      </c>
      <c r="AJ1382" s="26">
        <v>41</v>
      </c>
    </row>
    <row r="1383" spans="30:36">
      <c r="AD1383" s="26" t="s">
        <v>9</v>
      </c>
      <c r="AE1383" s="26" t="str">
        <f>VLOOKUP(Таблица1_113[[#This Row],[Марка]],Таблица13[#All],4,0)</f>
        <v>Япония</v>
      </c>
      <c r="AF1383" s="26" t="str">
        <f>VLOOKUP(Таблица1_113[[#This Row],[Марка]],Таблица13[#All],2,0)</f>
        <v>Business</v>
      </c>
      <c r="AG1383" s="26">
        <f>VLOOKUP(Таблица1_113[[#This Row],[Марка]],Таблица13[#All],3,0)</f>
        <v>1870</v>
      </c>
      <c r="AH1383" s="26" t="str">
        <f>VLOOKUP(Таблица1_113[[#This Row],[Марка]],Таблица13[#All],5,0)</f>
        <v>Нет</v>
      </c>
      <c r="AI1383" s="29">
        <v>44682</v>
      </c>
      <c r="AJ1383" s="26">
        <v>32</v>
      </c>
    </row>
    <row r="1384" spans="30:36">
      <c r="AD1384" s="26" t="s">
        <v>40</v>
      </c>
      <c r="AE1384" s="26" t="str">
        <f>VLOOKUP(Таблица1_113[[#This Row],[Марка]],Таблица13[#All],4,0)</f>
        <v>Великобритания</v>
      </c>
      <c r="AF1384" s="26" t="str">
        <f>VLOOKUP(Таблица1_113[[#This Row],[Марка]],Таблица13[#All],2,0)</f>
        <v>Luxury</v>
      </c>
      <c r="AG1384" s="26">
        <f>VLOOKUP(Таблица1_113[[#This Row],[Марка]],Таблица13[#All],3,0)</f>
        <v>1959</v>
      </c>
      <c r="AH1384" s="26" t="str">
        <f>VLOOKUP(Таблица1_113[[#This Row],[Марка]],Таблица13[#All],5,0)</f>
        <v>Нет</v>
      </c>
      <c r="AI1384" s="29">
        <v>44682</v>
      </c>
      <c r="AJ1384" s="26">
        <v>0</v>
      </c>
    </row>
    <row r="1385" spans="30:36">
      <c r="AD1385" s="26" t="s">
        <v>128</v>
      </c>
      <c r="AE1385" s="26" t="str">
        <f>VLOOKUP(Таблица1_113[[#This Row],[Марка]],Таблица13[#All],4,0)</f>
        <v>Германия</v>
      </c>
      <c r="AF1385" s="26" t="str">
        <f>VLOOKUP(Таблица1_113[[#This Row],[Марка]],Таблица13[#All],2,0)</f>
        <v>Luxury</v>
      </c>
      <c r="AG1385" s="26">
        <f>VLOOKUP(Таблица1_113[[#This Row],[Марка]],Таблица13[#All],3,0)</f>
        <v>1926</v>
      </c>
      <c r="AH1385" s="26" t="str">
        <f>VLOOKUP(Таблица1_113[[#This Row],[Марка]],Таблица13[#All],5,0)</f>
        <v>Нет</v>
      </c>
      <c r="AI1385" s="29">
        <v>44682</v>
      </c>
      <c r="AJ1385" s="26">
        <v>21</v>
      </c>
    </row>
    <row r="1386" spans="30:36">
      <c r="AD1386" s="26" t="s">
        <v>139</v>
      </c>
      <c r="AE1386" s="26" t="str">
        <f>VLOOKUP(Таблица1_113[[#This Row],[Марка]],Таблица13[#All],4,0)</f>
        <v>Япония</v>
      </c>
      <c r="AF1386" s="26" t="str">
        <f>VLOOKUP(Таблица1_113[[#This Row],[Марка]],Таблица13[#All],2,0)</f>
        <v>Business</v>
      </c>
      <c r="AG1386" s="26">
        <f>VLOOKUP(Таблица1_113[[#This Row],[Марка]],Таблица13[#All],3,0)</f>
        <v>1920</v>
      </c>
      <c r="AH1386" s="26" t="str">
        <f>VLOOKUP(Таблица1_113[[#This Row],[Марка]],Таблица13[#All],5,0)</f>
        <v>Нет</v>
      </c>
      <c r="AI1386" s="29">
        <v>44682</v>
      </c>
      <c r="AJ1386" s="26">
        <v>7</v>
      </c>
    </row>
    <row r="1387" spans="30:36">
      <c r="AD1387" s="26" t="s">
        <v>5</v>
      </c>
      <c r="AE1387" s="26" t="str">
        <f>VLOOKUP(Таблица1_113[[#This Row],[Марка]],Таблица13[#All],4,0)</f>
        <v>Япония</v>
      </c>
      <c r="AF1387" s="26" t="str">
        <f>VLOOKUP(Таблица1_113[[#This Row],[Марка]],Таблица13[#All],2,0)</f>
        <v>Luxury</v>
      </c>
      <c r="AG1387" s="26">
        <f>VLOOKUP(Таблица1_113[[#This Row],[Марка]],Таблица13[#All],3,0)</f>
        <v>1989</v>
      </c>
      <c r="AH1387" s="26" t="str">
        <f>VLOOKUP(Таблица1_113[[#This Row],[Марка]],Таблица13[#All],5,0)</f>
        <v>Нет</v>
      </c>
      <c r="AI1387" s="29">
        <v>44682</v>
      </c>
      <c r="AJ1387" s="26">
        <v>270</v>
      </c>
    </row>
    <row r="1388" spans="30:36">
      <c r="AD1388" s="26" t="s">
        <v>35</v>
      </c>
      <c r="AE1388" s="26" t="str">
        <f>VLOOKUP(Таблица1_113[[#This Row],[Марка]],Таблица13[#All],4,0)</f>
        <v>Великобритания</v>
      </c>
      <c r="AF1388" s="26" t="str">
        <f>VLOOKUP(Таблица1_113[[#This Row],[Марка]],Таблица13[#All],2,0)</f>
        <v>Luxury</v>
      </c>
      <c r="AG1388" s="26">
        <f>VLOOKUP(Таблица1_113[[#This Row],[Марка]],Таблица13[#All],3,0)</f>
        <v>1948</v>
      </c>
      <c r="AH1388" s="26" t="str">
        <f>VLOOKUP(Таблица1_113[[#This Row],[Марка]],Таблица13[#All],5,0)</f>
        <v>Нет</v>
      </c>
      <c r="AI1388" s="29">
        <v>44682</v>
      </c>
      <c r="AJ1388" s="26">
        <v>0</v>
      </c>
    </row>
    <row r="1389" spans="30:36">
      <c r="AD1389" s="26" t="s">
        <v>19</v>
      </c>
      <c r="AE1389" s="26" t="str">
        <f>VLOOKUP(Таблица1_113[[#This Row],[Марка]],Таблица13[#All],4,0)</f>
        <v>Россия</v>
      </c>
      <c r="AF1389" s="26" t="str">
        <f>VLOOKUP(Таблица1_113[[#This Row],[Марка]],Таблица13[#All],2,0)</f>
        <v>Economy</v>
      </c>
      <c r="AG1389" s="26">
        <f>VLOOKUP(Таблица1_113[[#This Row],[Марка]],Таблица13[#All],3,0)</f>
        <v>1970</v>
      </c>
      <c r="AH1389" s="26" t="str">
        <f>VLOOKUP(Таблица1_113[[#This Row],[Марка]],Таблица13[#All],5,0)</f>
        <v>Крупноузловая</v>
      </c>
      <c r="AI1389" s="29">
        <v>44682</v>
      </c>
      <c r="AJ1389" s="26">
        <v>834</v>
      </c>
    </row>
    <row r="1390" spans="30:36">
      <c r="AD1390" s="26" t="s">
        <v>15</v>
      </c>
      <c r="AE1390" s="26" t="str">
        <f>VLOOKUP(Таблица1_113[[#This Row],[Марка]],Таблица13[#All],4,0)</f>
        <v>Корея</v>
      </c>
      <c r="AF1390" s="26" t="str">
        <f>VLOOKUP(Таблица1_113[[#This Row],[Марка]],Таблица13[#All],2,0)</f>
        <v>Economy</v>
      </c>
      <c r="AG1390" s="26">
        <f>VLOOKUP(Таблица1_113[[#This Row],[Марка]],Таблица13[#All],3,0)</f>
        <v>1944</v>
      </c>
      <c r="AH1390" s="26" t="str">
        <f>VLOOKUP(Таблица1_113[[#This Row],[Марка]],Таблица13[#All],5,0)</f>
        <v>Крупноузловая</v>
      </c>
      <c r="AI1390" s="29">
        <v>44682</v>
      </c>
      <c r="AJ1390" s="26">
        <v>904</v>
      </c>
    </row>
    <row r="1391" spans="30:36">
      <c r="AD1391" s="26" t="s">
        <v>134</v>
      </c>
      <c r="AE1391" s="26" t="str">
        <f>VLOOKUP(Таблица1_113[[#This Row],[Марка]],Таблица13[#All],4,0)</f>
        <v>Великобритания</v>
      </c>
      <c r="AF1391" s="26" t="str">
        <f>VLOOKUP(Таблица1_113[[#This Row],[Марка]],Таблица13[#All],2,0)</f>
        <v>Luxury</v>
      </c>
      <c r="AG1391" s="26">
        <f>VLOOKUP(Таблица1_113[[#This Row],[Марка]],Таблица13[#All],3,0)</f>
        <v>1922</v>
      </c>
      <c r="AH1391" s="26" t="str">
        <f>VLOOKUP(Таблица1_113[[#This Row],[Марка]],Таблица13[#All],5,0)</f>
        <v>Нет</v>
      </c>
      <c r="AI1391" s="29">
        <v>44682</v>
      </c>
      <c r="AJ1391" s="26">
        <v>0</v>
      </c>
    </row>
    <row r="1392" spans="30:36">
      <c r="AD1392" s="26" t="s">
        <v>4</v>
      </c>
      <c r="AE1392" s="26" t="str">
        <f>VLOOKUP(Таблица1_113[[#This Row],[Марка]],Таблица13[#All],4,0)</f>
        <v>Китай</v>
      </c>
      <c r="AF1392" s="26" t="str">
        <f>VLOOKUP(Таблица1_113[[#This Row],[Марка]],Таблица13[#All],2,0)</f>
        <v>Economy</v>
      </c>
      <c r="AG1392" s="26">
        <f>VLOOKUP(Таблица1_113[[#This Row],[Марка]],Таблица13[#All],3,0)</f>
        <v>1964</v>
      </c>
      <c r="AH1392" s="26" t="str">
        <f>VLOOKUP(Таблица1_113[[#This Row],[Марка]],Таблица13[#All],5,0)</f>
        <v>Крупноузловая</v>
      </c>
      <c r="AI1392" s="29">
        <v>44682</v>
      </c>
      <c r="AJ1392" s="26">
        <v>341</v>
      </c>
    </row>
    <row r="1393" spans="30:36">
      <c r="AD1393" s="26" t="s">
        <v>140</v>
      </c>
      <c r="AE1393" s="26" t="str">
        <f>VLOOKUP(Таблица1_113[[#This Row],[Марка]],Таблица13[#All],4,0)</f>
        <v>Япония</v>
      </c>
      <c r="AF1393" s="26" t="str">
        <f>VLOOKUP(Таблица1_113[[#This Row],[Марка]],Таблица13[#All],2,0)</f>
        <v>Business</v>
      </c>
      <c r="AG1393" s="26">
        <f>VLOOKUP(Таблица1_113[[#This Row],[Марка]],Таблица13[#All],3,0)</f>
        <v>1916</v>
      </c>
      <c r="AH1393" s="26" t="str">
        <f>VLOOKUP(Таблица1_113[[#This Row],[Марка]],Таблица13[#All],5,0)</f>
        <v>Нет</v>
      </c>
      <c r="AI1393" s="29">
        <v>44682</v>
      </c>
      <c r="AJ1393" s="26">
        <v>0</v>
      </c>
    </row>
    <row r="1394" spans="30:36">
      <c r="AD1394" s="26" t="s">
        <v>34</v>
      </c>
      <c r="AE1394" s="26" t="str">
        <f>VLOOKUP(Таблица1_113[[#This Row],[Марка]],Таблица13[#All],4,0)</f>
        <v>Япония</v>
      </c>
      <c r="AF1394" s="26" t="str">
        <f>VLOOKUP(Таблица1_113[[#This Row],[Марка]],Таблица13[#All],2,0)</f>
        <v>Luxury</v>
      </c>
      <c r="AG1394" s="26">
        <f>VLOOKUP(Таблица1_113[[#This Row],[Марка]],Таблица13[#All],3,0)</f>
        <v>1989</v>
      </c>
      <c r="AH1394" s="26" t="str">
        <f>VLOOKUP(Таблица1_113[[#This Row],[Марка]],Таблица13[#All],5,0)</f>
        <v>Нет</v>
      </c>
      <c r="AI1394" s="29">
        <v>44682</v>
      </c>
      <c r="AJ1394" s="26">
        <v>26</v>
      </c>
    </row>
    <row r="1395" spans="30:36">
      <c r="AD1395" s="26" t="s">
        <v>0</v>
      </c>
      <c r="AE1395" s="26" t="str">
        <f>VLOOKUP(Таблица1_113[[#This Row],[Марка]],Таблица13[#All],4,0)</f>
        <v>Корея</v>
      </c>
      <c r="AF1395" s="26" t="str">
        <f>VLOOKUP(Таблица1_113[[#This Row],[Марка]],Таблица13[#All],2,0)</f>
        <v>Economy</v>
      </c>
      <c r="AG1395" s="26">
        <f>VLOOKUP(Таблица1_113[[#This Row],[Марка]],Таблица13[#All],3,0)</f>
        <v>1967</v>
      </c>
      <c r="AH1395" s="26" t="str">
        <f>VLOOKUP(Таблица1_113[[#This Row],[Марка]],Таблица13[#All],5,0)</f>
        <v>Крупноузловая</v>
      </c>
      <c r="AI1395" s="29">
        <v>44682</v>
      </c>
      <c r="AJ1395" s="26">
        <v>1774</v>
      </c>
    </row>
    <row r="1396" spans="30:36">
      <c r="AD1396" s="26" t="s">
        <v>6</v>
      </c>
      <c r="AE1396" s="26" t="str">
        <f>VLOOKUP(Таблица1_113[[#This Row],[Марка]],Таблица13[#All],4,0)</f>
        <v>Китай</v>
      </c>
      <c r="AF1396" s="26" t="str">
        <f>VLOOKUP(Таблица1_113[[#This Row],[Марка]],Таблица13[#All],2,0)</f>
        <v>Economy</v>
      </c>
      <c r="AG1396" s="26">
        <f>VLOOKUP(Таблица1_113[[#This Row],[Марка]],Таблица13[#All],3,0)</f>
        <v>2013</v>
      </c>
      <c r="AH1396" s="26" t="str">
        <f>VLOOKUP(Таблица1_113[[#This Row],[Марка]],Таблица13[#All],5,0)</f>
        <v>Крупноузловая</v>
      </c>
      <c r="AI1396" s="29">
        <v>44682</v>
      </c>
      <c r="AJ1396" s="26">
        <v>3</v>
      </c>
    </row>
    <row r="1397" spans="30:36">
      <c r="AD1397" s="26" t="s">
        <v>18</v>
      </c>
      <c r="AE1397" s="26" t="str">
        <f>VLOOKUP(Таблица1_113[[#This Row],[Марка]],Таблица13[#All],4,0)</f>
        <v>Китай</v>
      </c>
      <c r="AF1397" s="26" t="str">
        <f>VLOOKUP(Таблица1_113[[#This Row],[Марка]],Таблица13[#All],2,0)</f>
        <v>Economy</v>
      </c>
      <c r="AG1397" s="26">
        <f>VLOOKUP(Таблица1_113[[#This Row],[Марка]],Таблица13[#All],3,0)</f>
        <v>1986</v>
      </c>
      <c r="AH1397" s="26" t="str">
        <f>VLOOKUP(Таблица1_113[[#This Row],[Марка]],Таблица13[#All],5,0)</f>
        <v>Крупноузловая</v>
      </c>
      <c r="AI1397" s="29">
        <v>44682</v>
      </c>
      <c r="AJ1397" s="26">
        <v>0</v>
      </c>
    </row>
    <row r="1398" spans="30:36">
      <c r="AD1398" s="26" t="s">
        <v>133</v>
      </c>
      <c r="AE1398" s="26" t="str">
        <f>VLOOKUP(Таблица1_113[[#This Row],[Марка]],Таблица13[#All],4,0)</f>
        <v>Китай</v>
      </c>
      <c r="AF1398" s="26" t="str">
        <f>VLOOKUP(Таблица1_113[[#This Row],[Марка]],Таблица13[#All],2,0)</f>
        <v>Economy</v>
      </c>
      <c r="AG1398" s="26">
        <f>VLOOKUP(Таблица1_113[[#This Row],[Марка]],Таблица13[#All],3,0)</f>
        <v>1996</v>
      </c>
      <c r="AH1398" s="26" t="str">
        <f>VLOOKUP(Таблица1_113[[#This Row],[Марка]],Таблица13[#All],5,0)</f>
        <v>Нет</v>
      </c>
      <c r="AI1398" s="29">
        <v>44682</v>
      </c>
      <c r="AJ1398" s="26">
        <v>0</v>
      </c>
    </row>
    <row r="1399" spans="30:36">
      <c r="AD1399" s="26" t="s">
        <v>129</v>
      </c>
      <c r="AE1399" s="26" t="str">
        <f>VLOOKUP(Таблица1_113[[#This Row],[Марка]],Таблица13[#All],4,0)</f>
        <v>Китай</v>
      </c>
      <c r="AF1399" s="26" t="str">
        <f>VLOOKUP(Таблица1_113[[#This Row],[Марка]],Таблица13[#All],2,0)</f>
        <v>Economy</v>
      </c>
      <c r="AG1399" s="26">
        <f>VLOOKUP(Таблица1_113[[#This Row],[Марка]],Таблица13[#All],3,0)</f>
        <v>1953</v>
      </c>
      <c r="AH1399" s="26" t="str">
        <f>VLOOKUP(Таблица1_113[[#This Row],[Марка]],Таблица13[#All],5,0)</f>
        <v>Нет</v>
      </c>
      <c r="AI1399" s="29">
        <v>44682</v>
      </c>
      <c r="AJ1399" s="26">
        <v>1</v>
      </c>
    </row>
    <row r="1400" spans="30:36">
      <c r="AD1400" s="26" t="s">
        <v>130</v>
      </c>
      <c r="AE1400" s="26" t="str">
        <f>VLOOKUP(Таблица1_113[[#This Row],[Марка]],Таблица13[#All],4,0)</f>
        <v>Китай</v>
      </c>
      <c r="AF1400" s="26" t="str">
        <f>VLOOKUP(Таблица1_113[[#This Row],[Марка]],Таблица13[#All],2,0)</f>
        <v>Economy</v>
      </c>
      <c r="AG1400" s="26">
        <f>VLOOKUP(Таблица1_113[[#This Row],[Марка]],Таблица13[#All],3,0)</f>
        <v>1969</v>
      </c>
      <c r="AH1400" s="26" t="str">
        <f>VLOOKUP(Таблица1_113[[#This Row],[Марка]],Таблица13[#All],5,0)</f>
        <v>Нет</v>
      </c>
      <c r="AI1400" s="29">
        <v>44682</v>
      </c>
      <c r="AJ1400" s="26">
        <v>0</v>
      </c>
    </row>
    <row r="1401" spans="30:36">
      <c r="AD1401" s="26" t="s">
        <v>137</v>
      </c>
      <c r="AE1401" s="26" t="str">
        <f>VLOOKUP(Таблица1_113[[#This Row],[Марка]],Таблица13[#All],4,0)</f>
        <v>Корея</v>
      </c>
      <c r="AF1401" s="26" t="str">
        <f>VLOOKUP(Таблица1_113[[#This Row],[Марка]],Таблица13[#All],2,0)</f>
        <v>Economy</v>
      </c>
      <c r="AG1401" s="26">
        <f>VLOOKUP(Таблица1_113[[#This Row],[Марка]],Таблица13[#All],3,0)</f>
        <v>1967</v>
      </c>
      <c r="AH1401" s="26" t="str">
        <f>VLOOKUP(Таблица1_113[[#This Row],[Марка]],Таблица13[#All],5,0)</f>
        <v>Нет</v>
      </c>
      <c r="AI1401" s="29">
        <v>44682</v>
      </c>
      <c r="AJ1401" s="26">
        <v>0</v>
      </c>
    </row>
    <row r="1402" spans="30:36">
      <c r="AD1402" s="26" t="s">
        <v>1</v>
      </c>
      <c r="AE1402" s="26" t="str">
        <f>VLOOKUP(Таблица1_113[[#This Row],[Марка]],Таблица13[#All],4,0)</f>
        <v>США</v>
      </c>
      <c r="AF1402" s="26" t="str">
        <f>VLOOKUP(Таблица1_113[[#This Row],[Марка]],Таблица13[#All],2,0)</f>
        <v>Economy</v>
      </c>
      <c r="AG1402" s="26">
        <f>VLOOKUP(Таблица1_113[[#This Row],[Марка]],Таблица13[#All],3,0)</f>
        <v>1911</v>
      </c>
      <c r="AH1402" s="26" t="str">
        <f>VLOOKUP(Таблица1_113[[#This Row],[Марка]],Таблица13[#All],5,0)</f>
        <v>Крупноузловая</v>
      </c>
      <c r="AI1402" s="29">
        <v>44682</v>
      </c>
      <c r="AJ1402" s="26">
        <v>2654</v>
      </c>
    </row>
    <row r="1403" spans="30:36">
      <c r="AD1403" s="26" t="s">
        <v>3</v>
      </c>
      <c r="AE1403" s="26" t="str">
        <f>VLOOKUP(Таблица1_113[[#This Row],[Марка]],Таблица13[#All],4,0)</f>
        <v>Китай</v>
      </c>
      <c r="AF1403" s="26" t="str">
        <f>VLOOKUP(Таблица1_113[[#This Row],[Марка]],Таблица13[#All],2,0)</f>
        <v>Economy</v>
      </c>
      <c r="AG1403" s="26">
        <f>VLOOKUP(Таблица1_113[[#This Row],[Марка]],Таблица13[#All],3,0)</f>
        <v>1997</v>
      </c>
      <c r="AH1403" s="26" t="str">
        <f>VLOOKUP(Таблица1_113[[#This Row],[Марка]],Таблица13[#All],5,0)</f>
        <v>Крупноузловая</v>
      </c>
      <c r="AI1403" s="29">
        <v>44682</v>
      </c>
      <c r="AJ1403" s="26">
        <v>322</v>
      </c>
    </row>
    <row r="1404" spans="30:36">
      <c r="AD1404" s="26" t="s">
        <v>124</v>
      </c>
      <c r="AE1404" s="26" t="str">
        <f>VLOOKUP(Таблица1_113[[#This Row],[Марка]],Таблица13[#All],4,0)</f>
        <v>Китай</v>
      </c>
      <c r="AF1404" s="26" t="str">
        <f>VLOOKUP(Таблица1_113[[#This Row],[Марка]],Таблица13[#All],2,0)</f>
        <v>Economy</v>
      </c>
      <c r="AG1404" s="26">
        <f>VLOOKUP(Таблица1_113[[#This Row],[Марка]],Таблица13[#All],3,0)</f>
        <v>1862</v>
      </c>
      <c r="AH1404" s="26" t="str">
        <f>VLOOKUP(Таблица1_113[[#This Row],[Марка]],Таблица13[#All],5,0)</f>
        <v>Нет</v>
      </c>
      <c r="AI1404" s="29">
        <v>44682</v>
      </c>
      <c r="AJ1404" s="26">
        <v>0</v>
      </c>
    </row>
    <row r="1405" spans="30:36">
      <c r="AD1405" s="26" t="s">
        <v>36</v>
      </c>
      <c r="AE1405" s="26" t="str">
        <f>VLOOKUP(Таблица1_113[[#This Row],[Марка]],Таблица13[#All],4,0)</f>
        <v>США</v>
      </c>
      <c r="AF1405" s="26" t="str">
        <f>VLOOKUP(Таблица1_113[[#This Row],[Марка]],Таблица13[#All],2,0)</f>
        <v>Luxury</v>
      </c>
      <c r="AG1405" s="26">
        <f>VLOOKUP(Таблица1_113[[#This Row],[Марка]],Таблица13[#All],3,0)</f>
        <v>1902</v>
      </c>
      <c r="AH1405" s="26" t="str">
        <f>VLOOKUP(Таблица1_113[[#This Row],[Марка]],Таблица13[#All],5,0)</f>
        <v>Нет</v>
      </c>
      <c r="AI1405" s="29">
        <v>44682</v>
      </c>
      <c r="AJ1405" s="26">
        <v>9</v>
      </c>
    </row>
    <row r="1406" spans="30:36">
      <c r="AD1406" s="26" t="s">
        <v>8</v>
      </c>
      <c r="AE1406" s="26" t="str">
        <f>VLOOKUP(Таблица1_113[[#This Row],[Марка]],Таблица13[#All],4,0)</f>
        <v>Германия</v>
      </c>
      <c r="AF1406" s="26" t="str">
        <f>VLOOKUP(Таблица1_113[[#This Row],[Марка]],Таблица13[#All],2,0)</f>
        <v>Luxury</v>
      </c>
      <c r="AG1406" s="26">
        <f>VLOOKUP(Таблица1_113[[#This Row],[Марка]],Таблица13[#All],3,0)</f>
        <v>1916</v>
      </c>
      <c r="AH1406" s="26" t="str">
        <f>VLOOKUP(Таблица1_113[[#This Row],[Марка]],Таблица13[#All],5,0)</f>
        <v>Нет</v>
      </c>
      <c r="AI1406" s="29">
        <v>44682</v>
      </c>
      <c r="AJ1406" s="26">
        <v>36</v>
      </c>
    </row>
    <row r="1407" spans="30:36">
      <c r="AD1407" s="26" t="s">
        <v>38</v>
      </c>
      <c r="AE1407" s="26" t="str">
        <f>VLOOKUP(Таблица1_113[[#This Row],[Марка]],Таблица13[#All],4,0)</f>
        <v>Германия</v>
      </c>
      <c r="AF1407" s="26" t="str">
        <f>VLOOKUP(Таблица1_113[[#This Row],[Марка]],Таблица13[#All],2,0)</f>
        <v>Luxury</v>
      </c>
      <c r="AG1407" s="26">
        <f>VLOOKUP(Таблица1_113[[#This Row],[Марка]],Таблица13[#All],3,0)</f>
        <v>1932</v>
      </c>
      <c r="AH1407" s="26" t="str">
        <f>VLOOKUP(Таблица1_113[[#This Row],[Марка]],Таблица13[#All],5,0)</f>
        <v>Нет</v>
      </c>
      <c r="AI1407" s="29">
        <v>44682</v>
      </c>
      <c r="AJ1407" s="26">
        <v>7</v>
      </c>
    </row>
    <row r="1408" spans="30:36">
      <c r="AD1408" t="s">
        <v>136</v>
      </c>
      <c r="AE1408" t="str">
        <f>VLOOKUP(Таблица1_113[[#This Row],[Марка]],Таблица13[#All],4,0)</f>
        <v>Россия</v>
      </c>
      <c r="AF1408" t="str">
        <f>VLOOKUP(Таблица1_113[[#This Row],[Марка]],Таблица13[#All],2,0)</f>
        <v>Economy</v>
      </c>
      <c r="AG1408">
        <f>VLOOKUP(Таблица1_113[[#This Row],[Марка]],Таблица13[#All],3,0)</f>
        <v>1941</v>
      </c>
      <c r="AH1408" t="str">
        <f>VLOOKUP(Таблица1_113[[#This Row],[Марка]],Таблица13[#All],5,0)</f>
        <v>Нет</v>
      </c>
      <c r="AI1408" s="12">
        <v>44713</v>
      </c>
      <c r="AJ1408">
        <v>60</v>
      </c>
    </row>
    <row r="1409" spans="30:36">
      <c r="AD1409" t="s">
        <v>135</v>
      </c>
      <c r="AE1409" t="str">
        <f>VLOOKUP(Таблица1_113[[#This Row],[Марка]],Таблица13[#All],4,0)</f>
        <v>-</v>
      </c>
      <c r="AF1409" t="str">
        <f>VLOOKUP(Таблица1_113[[#This Row],[Марка]],Таблица13[#All],2,0)</f>
        <v>-</v>
      </c>
      <c r="AG1409" t="str">
        <f>VLOOKUP(Таблица1_113[[#This Row],[Марка]],Таблица13[#All],3,0)</f>
        <v>-</v>
      </c>
      <c r="AH1409" t="str">
        <f>VLOOKUP(Таблица1_113[[#This Row],[Марка]],Таблица13[#All],5,0)</f>
        <v>-</v>
      </c>
      <c r="AI1409" s="12">
        <v>44713</v>
      </c>
      <c r="AJ1409">
        <v>56</v>
      </c>
    </row>
    <row r="1410" spans="30:36">
      <c r="AD1410" t="s">
        <v>39</v>
      </c>
      <c r="AE1410" t="str">
        <f>VLOOKUP(Таблица1_113[[#This Row],[Марка]],Таблица13[#All],4,0)</f>
        <v>Швеция</v>
      </c>
      <c r="AF1410" t="str">
        <f>VLOOKUP(Таблица1_113[[#This Row],[Марка]],Таблица13[#All],2,0)</f>
        <v>Business</v>
      </c>
      <c r="AG1410">
        <f>VLOOKUP(Таблица1_113[[#This Row],[Марка]],Таблица13[#All],3,0)</f>
        <v>1927</v>
      </c>
      <c r="AH1410" t="str">
        <f>VLOOKUP(Таблица1_113[[#This Row],[Марка]],Таблица13[#All],5,0)</f>
        <v>Нет</v>
      </c>
      <c r="AI1410" s="12">
        <v>44713</v>
      </c>
      <c r="AJ1410">
        <v>0</v>
      </c>
    </row>
    <row r="1411" spans="30:36">
      <c r="AD1411" t="s">
        <v>21</v>
      </c>
      <c r="AE1411" t="str">
        <f>VLOOKUP(Таблица1_113[[#This Row],[Марка]],Таблица13[#All],4,0)</f>
        <v>Германия</v>
      </c>
      <c r="AF1411" t="str">
        <f>VLOOKUP(Таблица1_113[[#This Row],[Марка]],Таблица13[#All],2,0)</f>
        <v>Business</v>
      </c>
      <c r="AG1411">
        <f>VLOOKUP(Таблица1_113[[#This Row],[Марка]],Таблица13[#All],3,0)</f>
        <v>1937</v>
      </c>
      <c r="AH1411" t="str">
        <f>VLOOKUP(Таблица1_113[[#This Row],[Марка]],Таблица13[#All],5,0)</f>
        <v>Нет</v>
      </c>
      <c r="AI1411" s="12">
        <v>44713</v>
      </c>
      <c r="AJ1411">
        <v>0</v>
      </c>
    </row>
    <row r="1412" spans="30:36">
      <c r="AD1412" t="s">
        <v>2</v>
      </c>
      <c r="AE1412" t="str">
        <f>VLOOKUP(Таблица1_113[[#This Row],[Марка]],Таблица13[#All],4,0)</f>
        <v>Япония</v>
      </c>
      <c r="AF1412" t="str">
        <f>VLOOKUP(Таблица1_113[[#This Row],[Марка]],Таблица13[#All],2,0)</f>
        <v>Business</v>
      </c>
      <c r="AG1412">
        <f>VLOOKUP(Таблица1_113[[#This Row],[Марка]],Таблица13[#All],3,0)</f>
        <v>1937</v>
      </c>
      <c r="AH1412" t="str">
        <f>VLOOKUP(Таблица1_113[[#This Row],[Марка]],Таблица13[#All],5,0)</f>
        <v>Нет</v>
      </c>
      <c r="AI1412" s="12">
        <v>44713</v>
      </c>
      <c r="AJ1412">
        <v>766</v>
      </c>
    </row>
    <row r="1413" spans="30:36">
      <c r="AD1413" t="s">
        <v>125</v>
      </c>
      <c r="AE1413" t="str">
        <f>VLOOKUP(Таблица1_113[[#This Row],[Марка]],Таблица13[#All],4,0)</f>
        <v>Япония</v>
      </c>
      <c r="AF1413" t="str">
        <f>VLOOKUP(Таблица1_113[[#This Row],[Марка]],Таблица13[#All],2,0)</f>
        <v>Business</v>
      </c>
      <c r="AG1413">
        <f>VLOOKUP(Таблица1_113[[#This Row],[Марка]],Таблица13[#All],3,0)</f>
        <v>1953</v>
      </c>
      <c r="AH1413" t="str">
        <f>VLOOKUP(Таблица1_113[[#This Row],[Марка]],Таблица13[#All],5,0)</f>
        <v>Нет</v>
      </c>
      <c r="AI1413" s="12">
        <v>44713</v>
      </c>
      <c r="AJ1413">
        <v>0</v>
      </c>
    </row>
    <row r="1414" spans="30:36">
      <c r="AD1414" t="s">
        <v>23</v>
      </c>
      <c r="AE1414" t="str">
        <f>VLOOKUP(Таблица1_113[[#This Row],[Марка]],Таблица13[#All],4,0)</f>
        <v>Франция</v>
      </c>
      <c r="AF1414" t="str">
        <f>VLOOKUP(Таблица1_113[[#This Row],[Марка]],Таблица13[#All],2,0)</f>
        <v>Economy</v>
      </c>
      <c r="AG1414">
        <f>VLOOKUP(Таблица1_113[[#This Row],[Марка]],Таблица13[#All],3,0)</f>
        <v>1899</v>
      </c>
      <c r="AH1414" t="str">
        <f>VLOOKUP(Таблица1_113[[#This Row],[Марка]],Таблица13[#All],5,0)</f>
        <v>Крупноузловая</v>
      </c>
      <c r="AI1414" s="12">
        <v>44713</v>
      </c>
      <c r="AJ1414">
        <v>73</v>
      </c>
    </row>
    <row r="1415" spans="30:36">
      <c r="AD1415" t="s">
        <v>37</v>
      </c>
      <c r="AE1415" t="str">
        <f>VLOOKUP(Таблица1_113[[#This Row],[Марка]],Таблица13[#All],4,0)</f>
        <v>Германия</v>
      </c>
      <c r="AF1415" t="str">
        <f>VLOOKUP(Таблица1_113[[#This Row],[Марка]],Таблица13[#All],2,0)</f>
        <v>Luxury</v>
      </c>
      <c r="AG1415">
        <f>VLOOKUP(Таблица1_113[[#This Row],[Марка]],Таблица13[#All],3,0)</f>
        <v>1931</v>
      </c>
      <c r="AH1415" t="str">
        <f>VLOOKUP(Таблица1_113[[#This Row],[Марка]],Таблица13[#All],5,0)</f>
        <v>Нет</v>
      </c>
      <c r="AI1415" s="12">
        <v>44713</v>
      </c>
      <c r="AJ1415">
        <v>26</v>
      </c>
    </row>
    <row r="1416" spans="30:36">
      <c r="AD1416" t="s">
        <v>22</v>
      </c>
      <c r="AE1416" t="str">
        <f>VLOOKUP(Таблица1_113[[#This Row],[Марка]],Таблица13[#All],4,0)</f>
        <v>Япония</v>
      </c>
      <c r="AF1416" t="str">
        <f>VLOOKUP(Таблица1_113[[#This Row],[Марка]],Таблица13[#All],2,0)</f>
        <v>Business</v>
      </c>
      <c r="AG1416">
        <f>VLOOKUP(Таблица1_113[[#This Row],[Марка]],Таблица13[#All],3,0)</f>
        <v>1933</v>
      </c>
      <c r="AH1416" t="str">
        <f>VLOOKUP(Таблица1_113[[#This Row],[Марка]],Таблица13[#All],5,0)</f>
        <v>Нет</v>
      </c>
      <c r="AI1416" s="12">
        <v>44713</v>
      </c>
      <c r="AJ1416">
        <v>47</v>
      </c>
    </row>
    <row r="1417" spans="30:36">
      <c r="AD1417" t="s">
        <v>9</v>
      </c>
      <c r="AE1417" t="str">
        <f>VLOOKUP(Таблица1_113[[#This Row],[Марка]],Таблица13[#All],4,0)</f>
        <v>Япония</v>
      </c>
      <c r="AF1417" t="str">
        <f>VLOOKUP(Таблица1_113[[#This Row],[Марка]],Таблица13[#All],2,0)</f>
        <v>Business</v>
      </c>
      <c r="AG1417">
        <f>VLOOKUP(Таблица1_113[[#This Row],[Марка]],Таблица13[#All],3,0)</f>
        <v>1870</v>
      </c>
      <c r="AH1417" t="str">
        <f>VLOOKUP(Таблица1_113[[#This Row],[Марка]],Таблица13[#All],5,0)</f>
        <v>Нет</v>
      </c>
      <c r="AI1417" s="12">
        <v>44713</v>
      </c>
      <c r="AJ1417">
        <v>25</v>
      </c>
    </row>
    <row r="1418" spans="30:36">
      <c r="AD1418" t="s">
        <v>40</v>
      </c>
      <c r="AE1418" t="str">
        <f>VLOOKUP(Таблица1_113[[#This Row],[Марка]],Таблица13[#All],4,0)</f>
        <v>Великобритания</v>
      </c>
      <c r="AF1418" t="str">
        <f>VLOOKUP(Таблица1_113[[#This Row],[Марка]],Таблица13[#All],2,0)</f>
        <v>Luxury</v>
      </c>
      <c r="AG1418">
        <f>VLOOKUP(Таблица1_113[[#This Row],[Марка]],Таблица13[#All],3,0)</f>
        <v>1959</v>
      </c>
      <c r="AH1418" t="str">
        <f>VLOOKUP(Таблица1_113[[#This Row],[Марка]],Таблица13[#All],5,0)</f>
        <v>Нет</v>
      </c>
      <c r="AI1418" s="12">
        <v>44713</v>
      </c>
      <c r="AJ1418">
        <v>0</v>
      </c>
    </row>
    <row r="1419" spans="30:36">
      <c r="AD1419" t="s">
        <v>128</v>
      </c>
      <c r="AE1419" t="str">
        <f>VLOOKUP(Таблица1_113[[#This Row],[Марка]],Таблица13[#All],4,0)</f>
        <v>Германия</v>
      </c>
      <c r="AF1419" t="str">
        <f>VLOOKUP(Таблица1_113[[#This Row],[Марка]],Таблица13[#All],2,0)</f>
        <v>Luxury</v>
      </c>
      <c r="AG1419">
        <f>VLOOKUP(Таблица1_113[[#This Row],[Марка]],Таблица13[#All],3,0)</f>
        <v>1926</v>
      </c>
      <c r="AH1419" t="str">
        <f>VLOOKUP(Таблица1_113[[#This Row],[Марка]],Таблица13[#All],5,0)</f>
        <v>Нет</v>
      </c>
      <c r="AI1419" s="12">
        <v>44713</v>
      </c>
      <c r="AJ1419">
        <v>5</v>
      </c>
    </row>
    <row r="1420" spans="30:36">
      <c r="AD1420" t="s">
        <v>139</v>
      </c>
      <c r="AE1420" t="str">
        <f>VLOOKUP(Таблица1_113[[#This Row],[Марка]],Таблица13[#All],4,0)</f>
        <v>Япония</v>
      </c>
      <c r="AF1420" t="str">
        <f>VLOOKUP(Таблица1_113[[#This Row],[Марка]],Таблица13[#All],2,0)</f>
        <v>Business</v>
      </c>
      <c r="AG1420">
        <f>VLOOKUP(Таблица1_113[[#This Row],[Марка]],Таблица13[#All],3,0)</f>
        <v>1920</v>
      </c>
      <c r="AH1420" t="str">
        <f>VLOOKUP(Таблица1_113[[#This Row],[Марка]],Таблица13[#All],5,0)</f>
        <v>Нет</v>
      </c>
      <c r="AI1420" s="12">
        <v>44713</v>
      </c>
      <c r="AJ1420">
        <v>15</v>
      </c>
    </row>
    <row r="1421" spans="30:36">
      <c r="AD1421" t="s">
        <v>5</v>
      </c>
      <c r="AE1421" t="str">
        <f>VLOOKUP(Таблица1_113[[#This Row],[Марка]],Таблица13[#All],4,0)</f>
        <v>Япония</v>
      </c>
      <c r="AF1421" t="str">
        <f>VLOOKUP(Таблица1_113[[#This Row],[Марка]],Таблица13[#All],2,0)</f>
        <v>Luxury</v>
      </c>
      <c r="AG1421">
        <f>VLOOKUP(Таблица1_113[[#This Row],[Марка]],Таблица13[#All],3,0)</f>
        <v>1989</v>
      </c>
      <c r="AH1421" t="str">
        <f>VLOOKUP(Таблица1_113[[#This Row],[Марка]],Таблица13[#All],5,0)</f>
        <v>Нет</v>
      </c>
      <c r="AI1421" s="12">
        <v>44713</v>
      </c>
      <c r="AJ1421">
        <v>335</v>
      </c>
    </row>
    <row r="1422" spans="30:36">
      <c r="AD1422" t="s">
        <v>35</v>
      </c>
      <c r="AE1422" t="str">
        <f>VLOOKUP(Таблица1_113[[#This Row],[Марка]],Таблица13[#All],4,0)</f>
        <v>Великобритания</v>
      </c>
      <c r="AF1422" t="str">
        <f>VLOOKUP(Таблица1_113[[#This Row],[Марка]],Таблица13[#All],2,0)</f>
        <v>Luxury</v>
      </c>
      <c r="AG1422">
        <f>VLOOKUP(Таблица1_113[[#This Row],[Марка]],Таблица13[#All],3,0)</f>
        <v>1948</v>
      </c>
      <c r="AH1422" t="str">
        <f>VLOOKUP(Таблица1_113[[#This Row],[Марка]],Таблица13[#All],5,0)</f>
        <v>Нет</v>
      </c>
      <c r="AI1422" s="12">
        <v>44713</v>
      </c>
      <c r="AJ1422">
        <v>0</v>
      </c>
    </row>
    <row r="1423" spans="30:36">
      <c r="AD1423" t="s">
        <v>19</v>
      </c>
      <c r="AE1423" t="str">
        <f>VLOOKUP(Таблица1_113[[#This Row],[Марка]],Таблица13[#All],4,0)</f>
        <v>Россия</v>
      </c>
      <c r="AF1423" t="str">
        <f>VLOOKUP(Таблица1_113[[#This Row],[Марка]],Таблица13[#All],2,0)</f>
        <v>Economy</v>
      </c>
      <c r="AG1423">
        <f>VLOOKUP(Таблица1_113[[#This Row],[Марка]],Таблица13[#All],3,0)</f>
        <v>1970</v>
      </c>
      <c r="AH1423" t="str">
        <f>VLOOKUP(Таблица1_113[[#This Row],[Марка]],Таблица13[#All],5,0)</f>
        <v>Крупноузловая</v>
      </c>
      <c r="AI1423" s="12">
        <v>44713</v>
      </c>
      <c r="AJ1423">
        <v>1132</v>
      </c>
    </row>
    <row r="1424" spans="30:36">
      <c r="AD1424" t="s">
        <v>15</v>
      </c>
      <c r="AE1424" t="str">
        <f>VLOOKUP(Таблица1_113[[#This Row],[Марка]],Таблица13[#All],4,0)</f>
        <v>Корея</v>
      </c>
      <c r="AF1424" t="str">
        <f>VLOOKUP(Таблица1_113[[#This Row],[Марка]],Таблица13[#All],2,0)</f>
        <v>Economy</v>
      </c>
      <c r="AG1424">
        <f>VLOOKUP(Таблица1_113[[#This Row],[Марка]],Таблица13[#All],3,0)</f>
        <v>1944</v>
      </c>
      <c r="AH1424" t="str">
        <f>VLOOKUP(Таблица1_113[[#This Row],[Марка]],Таблица13[#All],5,0)</f>
        <v>Крупноузловая</v>
      </c>
      <c r="AI1424" s="12">
        <v>44713</v>
      </c>
      <c r="AJ1424">
        <v>1324</v>
      </c>
    </row>
    <row r="1425" spans="30:36">
      <c r="AD1425" t="s">
        <v>134</v>
      </c>
      <c r="AE1425" t="str">
        <f>VLOOKUP(Таблица1_113[[#This Row],[Марка]],Таблица13[#All],4,0)</f>
        <v>Великобритания</v>
      </c>
      <c r="AF1425" t="str">
        <f>VLOOKUP(Таблица1_113[[#This Row],[Марка]],Таблица13[#All],2,0)</f>
        <v>Luxury</v>
      </c>
      <c r="AG1425">
        <f>VLOOKUP(Таблица1_113[[#This Row],[Марка]],Таблица13[#All],3,0)</f>
        <v>1922</v>
      </c>
      <c r="AH1425" t="str">
        <f>VLOOKUP(Таблица1_113[[#This Row],[Марка]],Таблица13[#All],5,0)</f>
        <v>Нет</v>
      </c>
      <c r="AI1425" s="12">
        <v>44713</v>
      </c>
      <c r="AJ1425">
        <v>0</v>
      </c>
    </row>
    <row r="1426" spans="30:36">
      <c r="AD1426" t="s">
        <v>4</v>
      </c>
      <c r="AE1426" t="str">
        <f>VLOOKUP(Таблица1_113[[#This Row],[Марка]],Таблица13[#All],4,0)</f>
        <v>Китай</v>
      </c>
      <c r="AF1426" t="str">
        <f>VLOOKUP(Таблица1_113[[#This Row],[Марка]],Таблица13[#All],2,0)</f>
        <v>Economy</v>
      </c>
      <c r="AG1426">
        <f>VLOOKUP(Таблица1_113[[#This Row],[Марка]],Таблица13[#All],3,0)</f>
        <v>1964</v>
      </c>
      <c r="AH1426" t="str">
        <f>VLOOKUP(Таблица1_113[[#This Row],[Марка]],Таблица13[#All],5,0)</f>
        <v>Крупноузловая</v>
      </c>
      <c r="AI1426" s="12">
        <v>44713</v>
      </c>
      <c r="AJ1426">
        <v>367</v>
      </c>
    </row>
    <row r="1427" spans="30:36">
      <c r="AD1427" t="s">
        <v>140</v>
      </c>
      <c r="AE1427" t="str">
        <f>VLOOKUP(Таблица1_113[[#This Row],[Марка]],Таблица13[#All],4,0)</f>
        <v>Япония</v>
      </c>
      <c r="AF1427" t="str">
        <f>VLOOKUP(Таблица1_113[[#This Row],[Марка]],Таблица13[#All],2,0)</f>
        <v>Business</v>
      </c>
      <c r="AG1427">
        <f>VLOOKUP(Таблица1_113[[#This Row],[Марка]],Таблица13[#All],3,0)</f>
        <v>1916</v>
      </c>
      <c r="AH1427" t="str">
        <f>VLOOKUP(Таблица1_113[[#This Row],[Марка]],Таблица13[#All],5,0)</f>
        <v>Нет</v>
      </c>
      <c r="AI1427" s="12">
        <v>44713</v>
      </c>
      <c r="AJ1427">
        <v>0</v>
      </c>
    </row>
    <row r="1428" spans="30:36">
      <c r="AD1428" t="s">
        <v>34</v>
      </c>
      <c r="AE1428" t="str">
        <f>VLOOKUP(Таблица1_113[[#This Row],[Марка]],Таблица13[#All],4,0)</f>
        <v>Япония</v>
      </c>
      <c r="AF1428" t="str">
        <f>VLOOKUP(Таблица1_113[[#This Row],[Марка]],Таблица13[#All],2,0)</f>
        <v>Luxury</v>
      </c>
      <c r="AG1428">
        <f>VLOOKUP(Таблица1_113[[#This Row],[Марка]],Таблица13[#All],3,0)</f>
        <v>1989</v>
      </c>
      <c r="AH1428" t="str">
        <f>VLOOKUP(Таблица1_113[[#This Row],[Марка]],Таблица13[#All],5,0)</f>
        <v>Нет</v>
      </c>
      <c r="AI1428" s="12">
        <v>44713</v>
      </c>
      <c r="AJ1428">
        <v>23</v>
      </c>
    </row>
    <row r="1429" spans="30:36">
      <c r="AD1429" t="s">
        <v>0</v>
      </c>
      <c r="AE1429" t="str">
        <f>VLOOKUP(Таблица1_113[[#This Row],[Марка]],Таблица13[#All],4,0)</f>
        <v>Корея</v>
      </c>
      <c r="AF1429" t="str">
        <f>VLOOKUP(Таблица1_113[[#This Row],[Марка]],Таблица13[#All],2,0)</f>
        <v>Economy</v>
      </c>
      <c r="AG1429">
        <f>VLOOKUP(Таблица1_113[[#This Row],[Марка]],Таблица13[#All],3,0)</f>
        <v>1967</v>
      </c>
      <c r="AH1429" t="str">
        <f>VLOOKUP(Таблица1_113[[#This Row],[Марка]],Таблица13[#All],5,0)</f>
        <v>Крупноузловая</v>
      </c>
      <c r="AI1429" s="12">
        <v>44713</v>
      </c>
      <c r="AJ1429">
        <v>2607</v>
      </c>
    </row>
    <row r="1430" spans="30:36">
      <c r="AD1430" t="s">
        <v>6</v>
      </c>
      <c r="AE1430" t="str">
        <f>VLOOKUP(Таблица1_113[[#This Row],[Марка]],Таблица13[#All],4,0)</f>
        <v>Китай</v>
      </c>
      <c r="AF1430" t="str">
        <f>VLOOKUP(Таблица1_113[[#This Row],[Марка]],Таблица13[#All],2,0)</f>
        <v>Economy</v>
      </c>
      <c r="AG1430">
        <f>VLOOKUP(Таблица1_113[[#This Row],[Марка]],Таблица13[#All],3,0)</f>
        <v>2013</v>
      </c>
      <c r="AH1430" t="str">
        <f>VLOOKUP(Таблица1_113[[#This Row],[Марка]],Таблица13[#All],5,0)</f>
        <v>Крупноузловая</v>
      </c>
      <c r="AI1430" s="12">
        <v>44713</v>
      </c>
      <c r="AJ1430">
        <v>48</v>
      </c>
    </row>
    <row r="1431" spans="30:36">
      <c r="AD1431" t="s">
        <v>18</v>
      </c>
      <c r="AE1431" t="str">
        <f>VLOOKUP(Таблица1_113[[#This Row],[Марка]],Таблица13[#All],4,0)</f>
        <v>Китай</v>
      </c>
      <c r="AF1431" t="str">
        <f>VLOOKUP(Таблица1_113[[#This Row],[Марка]],Таблица13[#All],2,0)</f>
        <v>Economy</v>
      </c>
      <c r="AG1431">
        <f>VLOOKUP(Таблица1_113[[#This Row],[Марка]],Таблица13[#All],3,0)</f>
        <v>1986</v>
      </c>
      <c r="AH1431" t="str">
        <f>VLOOKUP(Таблица1_113[[#This Row],[Марка]],Таблица13[#All],5,0)</f>
        <v>Крупноузловая</v>
      </c>
      <c r="AI1431" s="12">
        <v>44713</v>
      </c>
      <c r="AJ1431">
        <v>0</v>
      </c>
    </row>
    <row r="1432" spans="30:36">
      <c r="AD1432" t="s">
        <v>133</v>
      </c>
      <c r="AE1432" t="str">
        <f>VLOOKUP(Таблица1_113[[#This Row],[Марка]],Таблица13[#All],4,0)</f>
        <v>Китай</v>
      </c>
      <c r="AF1432" t="str">
        <f>VLOOKUP(Таблица1_113[[#This Row],[Марка]],Таблица13[#All],2,0)</f>
        <v>Economy</v>
      </c>
      <c r="AG1432">
        <f>VLOOKUP(Таблица1_113[[#This Row],[Марка]],Таблица13[#All],3,0)</f>
        <v>1996</v>
      </c>
      <c r="AH1432" t="str">
        <f>VLOOKUP(Таблица1_113[[#This Row],[Марка]],Таблица13[#All],5,0)</f>
        <v>Нет</v>
      </c>
      <c r="AI1432" s="12">
        <v>44713</v>
      </c>
      <c r="AJ1432">
        <v>0</v>
      </c>
    </row>
    <row r="1433" spans="30:36">
      <c r="AD1433" t="s">
        <v>129</v>
      </c>
      <c r="AE1433" t="str">
        <f>VLOOKUP(Таблица1_113[[#This Row],[Марка]],Таблица13[#All],4,0)</f>
        <v>Китай</v>
      </c>
      <c r="AF1433" t="str">
        <f>VLOOKUP(Таблица1_113[[#This Row],[Марка]],Таблица13[#All],2,0)</f>
        <v>Economy</v>
      </c>
      <c r="AG1433">
        <f>VLOOKUP(Таблица1_113[[#This Row],[Марка]],Таблица13[#All],3,0)</f>
        <v>1953</v>
      </c>
      <c r="AH1433" t="str">
        <f>VLOOKUP(Таблица1_113[[#This Row],[Марка]],Таблица13[#All],5,0)</f>
        <v>Нет</v>
      </c>
      <c r="AI1433" s="12">
        <v>44713</v>
      </c>
      <c r="AJ1433">
        <v>7</v>
      </c>
    </row>
    <row r="1434" spans="30:36">
      <c r="AD1434" t="s">
        <v>130</v>
      </c>
      <c r="AE1434" t="str">
        <f>VLOOKUP(Таблица1_113[[#This Row],[Марка]],Таблица13[#All],4,0)</f>
        <v>Китай</v>
      </c>
      <c r="AF1434" t="str">
        <f>VLOOKUP(Таблица1_113[[#This Row],[Марка]],Таблица13[#All],2,0)</f>
        <v>Economy</v>
      </c>
      <c r="AG1434">
        <f>VLOOKUP(Таблица1_113[[#This Row],[Марка]],Таблица13[#All],3,0)</f>
        <v>1969</v>
      </c>
      <c r="AH1434" t="str">
        <f>VLOOKUP(Таблица1_113[[#This Row],[Марка]],Таблица13[#All],5,0)</f>
        <v>Нет</v>
      </c>
      <c r="AI1434" s="12">
        <v>44713</v>
      </c>
      <c r="AJ1434">
        <v>0</v>
      </c>
    </row>
    <row r="1435" spans="30:36">
      <c r="AD1435" t="s">
        <v>137</v>
      </c>
      <c r="AE1435" t="str">
        <f>VLOOKUP(Таблица1_113[[#This Row],[Марка]],Таблица13[#All],4,0)</f>
        <v>Корея</v>
      </c>
      <c r="AF1435" t="str">
        <f>VLOOKUP(Таблица1_113[[#This Row],[Марка]],Таблица13[#All],2,0)</f>
        <v>Economy</v>
      </c>
      <c r="AG1435">
        <f>VLOOKUP(Таблица1_113[[#This Row],[Марка]],Таблица13[#All],3,0)</f>
        <v>1967</v>
      </c>
      <c r="AH1435" t="str">
        <f>VLOOKUP(Таблица1_113[[#This Row],[Марка]],Таблица13[#All],5,0)</f>
        <v>Нет</v>
      </c>
      <c r="AI1435" s="12">
        <v>44713</v>
      </c>
      <c r="AJ1435">
        <v>0</v>
      </c>
    </row>
    <row r="1436" spans="30:36">
      <c r="AD1436" t="s">
        <v>1</v>
      </c>
      <c r="AE1436" t="str">
        <f>VLOOKUP(Таблица1_113[[#This Row],[Марка]],Таблица13[#All],4,0)</f>
        <v>США</v>
      </c>
      <c r="AF1436" t="str">
        <f>VLOOKUP(Таблица1_113[[#This Row],[Марка]],Таблица13[#All],2,0)</f>
        <v>Economy</v>
      </c>
      <c r="AG1436">
        <f>VLOOKUP(Таблица1_113[[#This Row],[Марка]],Таблица13[#All],3,0)</f>
        <v>1911</v>
      </c>
      <c r="AH1436" t="str">
        <f>VLOOKUP(Таблица1_113[[#This Row],[Марка]],Таблица13[#All],5,0)</f>
        <v>Крупноузловая</v>
      </c>
      <c r="AI1436" s="12">
        <v>44713</v>
      </c>
      <c r="AJ1436">
        <v>4080</v>
      </c>
    </row>
    <row r="1437" spans="30:36">
      <c r="AD1437" t="s">
        <v>3</v>
      </c>
      <c r="AE1437" t="str">
        <f>VLOOKUP(Таблица1_113[[#This Row],[Марка]],Таблица13[#All],4,0)</f>
        <v>Китай</v>
      </c>
      <c r="AF1437" t="str">
        <f>VLOOKUP(Таблица1_113[[#This Row],[Марка]],Таблица13[#All],2,0)</f>
        <v>Economy</v>
      </c>
      <c r="AG1437">
        <f>VLOOKUP(Таблица1_113[[#This Row],[Марка]],Таблица13[#All],3,0)</f>
        <v>1997</v>
      </c>
      <c r="AH1437" t="str">
        <f>VLOOKUP(Таблица1_113[[#This Row],[Марка]],Таблица13[#All],5,0)</f>
        <v>Крупноузловая</v>
      </c>
      <c r="AI1437" s="12">
        <v>44713</v>
      </c>
      <c r="AJ1437">
        <v>453</v>
      </c>
    </row>
    <row r="1438" spans="30:36">
      <c r="AD1438" t="s">
        <v>124</v>
      </c>
      <c r="AE1438" t="str">
        <f>VLOOKUP(Таблица1_113[[#This Row],[Марка]],Таблица13[#All],4,0)</f>
        <v>Китай</v>
      </c>
      <c r="AF1438" t="str">
        <f>VLOOKUP(Таблица1_113[[#This Row],[Марка]],Таблица13[#All],2,0)</f>
        <v>Economy</v>
      </c>
      <c r="AG1438">
        <f>VLOOKUP(Таблица1_113[[#This Row],[Марка]],Таблица13[#All],3,0)</f>
        <v>1862</v>
      </c>
      <c r="AH1438" t="str">
        <f>VLOOKUP(Таблица1_113[[#This Row],[Марка]],Таблица13[#All],5,0)</f>
        <v>Нет</v>
      </c>
      <c r="AI1438" s="12">
        <v>44713</v>
      </c>
      <c r="AJ1438">
        <v>0</v>
      </c>
    </row>
    <row r="1439" spans="30:36">
      <c r="AD1439" t="s">
        <v>36</v>
      </c>
      <c r="AE1439" t="str">
        <f>VLOOKUP(Таблица1_113[[#This Row],[Марка]],Таблица13[#All],4,0)</f>
        <v>США</v>
      </c>
      <c r="AF1439" t="str">
        <f>VLOOKUP(Таблица1_113[[#This Row],[Марка]],Таблица13[#All],2,0)</f>
        <v>Luxury</v>
      </c>
      <c r="AG1439">
        <f>VLOOKUP(Таблица1_113[[#This Row],[Марка]],Таблица13[#All],3,0)</f>
        <v>1902</v>
      </c>
      <c r="AH1439" t="str">
        <f>VLOOKUP(Таблица1_113[[#This Row],[Марка]],Таблица13[#All],5,0)</f>
        <v>Нет</v>
      </c>
      <c r="AI1439" s="12">
        <v>44713</v>
      </c>
      <c r="AJ1439">
        <v>7</v>
      </c>
    </row>
    <row r="1440" spans="30:36">
      <c r="AD1440" t="s">
        <v>8</v>
      </c>
      <c r="AE1440" t="str">
        <f>VLOOKUP(Таблица1_113[[#This Row],[Марка]],Таблица13[#All],4,0)</f>
        <v>Германия</v>
      </c>
      <c r="AF1440" t="str">
        <f>VLOOKUP(Таблица1_113[[#This Row],[Марка]],Таблица13[#All],2,0)</f>
        <v>Luxury</v>
      </c>
      <c r="AG1440">
        <f>VLOOKUP(Таблица1_113[[#This Row],[Марка]],Таблица13[#All],3,0)</f>
        <v>1916</v>
      </c>
      <c r="AH1440" t="str">
        <f>VLOOKUP(Таблица1_113[[#This Row],[Марка]],Таблица13[#All],5,0)</f>
        <v>Нет</v>
      </c>
      <c r="AI1440" s="12">
        <v>44713</v>
      </c>
      <c r="AJ1440">
        <v>33</v>
      </c>
    </row>
    <row r="1441" spans="30:36">
      <c r="AD1441" t="s">
        <v>38</v>
      </c>
      <c r="AE1441" t="str">
        <f>VLOOKUP(Таблица1_113[[#This Row],[Марка]],Таблица13[#All],4,0)</f>
        <v>Германия</v>
      </c>
      <c r="AF1441" t="str">
        <f>VLOOKUP(Таблица1_113[[#This Row],[Марка]],Таблица13[#All],2,0)</f>
        <v>Luxury</v>
      </c>
      <c r="AG1441">
        <f>VLOOKUP(Таблица1_113[[#This Row],[Марка]],Таблица13[#All],3,0)</f>
        <v>1932</v>
      </c>
      <c r="AH1441" t="str">
        <f>VLOOKUP(Таблица1_113[[#This Row],[Марка]],Таблица13[#All],5,0)</f>
        <v>Нет</v>
      </c>
      <c r="AI1441" s="12">
        <v>44713</v>
      </c>
      <c r="AJ1441">
        <v>7</v>
      </c>
    </row>
    <row r="1442" spans="30:36">
      <c r="AD1442" s="26" t="s">
        <v>136</v>
      </c>
      <c r="AE1442" s="26" t="str">
        <f>VLOOKUP(Таблица1_113[[#This Row],[Марка]],Таблица13[#All],4,0)</f>
        <v>Россия</v>
      </c>
      <c r="AF1442" s="26" t="str">
        <f>VLOOKUP(Таблица1_113[[#This Row],[Марка]],Таблица13[#All],2,0)</f>
        <v>Economy</v>
      </c>
      <c r="AG1442" s="26">
        <f>VLOOKUP(Таблица1_113[[#This Row],[Марка]],Таблица13[#All],3,0)</f>
        <v>1941</v>
      </c>
      <c r="AH1442" s="26" t="str">
        <f>VLOOKUP(Таблица1_113[[#This Row],[Марка]],Таблица13[#All],5,0)</f>
        <v>Нет</v>
      </c>
      <c r="AI1442" s="29">
        <v>44743</v>
      </c>
      <c r="AJ1442" s="26">
        <v>36</v>
      </c>
    </row>
    <row r="1443" spans="30:36">
      <c r="AD1443" s="26" t="s">
        <v>135</v>
      </c>
      <c r="AE1443" s="26" t="str">
        <f>VLOOKUP(Таблица1_113[[#This Row],[Марка]],Таблица13[#All],4,0)</f>
        <v>-</v>
      </c>
      <c r="AF1443" s="26" t="str">
        <f>VLOOKUP(Таблица1_113[[#This Row],[Марка]],Таблица13[#All],2,0)</f>
        <v>-</v>
      </c>
      <c r="AG1443" s="26" t="str">
        <f>VLOOKUP(Таблица1_113[[#This Row],[Марка]],Таблица13[#All],3,0)</f>
        <v>-</v>
      </c>
      <c r="AH1443" s="26" t="str">
        <f>VLOOKUP(Таблица1_113[[#This Row],[Марка]],Таблица13[#All],5,0)</f>
        <v>-</v>
      </c>
      <c r="AI1443" s="29">
        <v>44743</v>
      </c>
      <c r="AJ1443" s="26">
        <v>37</v>
      </c>
    </row>
    <row r="1444" spans="30:36">
      <c r="AD1444" s="26" t="s">
        <v>39</v>
      </c>
      <c r="AE1444" s="26" t="str">
        <f>VLOOKUP(Таблица1_113[[#This Row],[Марка]],Таблица13[#All],4,0)</f>
        <v>Швеция</v>
      </c>
      <c r="AF1444" s="26" t="str">
        <f>VLOOKUP(Таблица1_113[[#This Row],[Марка]],Таблица13[#All],2,0)</f>
        <v>Business</v>
      </c>
      <c r="AG1444" s="26">
        <f>VLOOKUP(Таблица1_113[[#This Row],[Марка]],Таблица13[#All],3,0)</f>
        <v>1927</v>
      </c>
      <c r="AH1444" s="26" t="str">
        <f>VLOOKUP(Таблица1_113[[#This Row],[Марка]],Таблица13[#All],5,0)</f>
        <v>Нет</v>
      </c>
      <c r="AI1444" s="29">
        <v>44743</v>
      </c>
      <c r="AJ1444" s="26">
        <v>0</v>
      </c>
    </row>
    <row r="1445" spans="30:36">
      <c r="AD1445" s="26" t="s">
        <v>21</v>
      </c>
      <c r="AE1445" s="26" t="str">
        <f>VLOOKUP(Таблица1_113[[#This Row],[Марка]],Таблица13[#All],4,0)</f>
        <v>Германия</v>
      </c>
      <c r="AF1445" s="26" t="str">
        <f>VLOOKUP(Таблица1_113[[#This Row],[Марка]],Таблица13[#All],2,0)</f>
        <v>Business</v>
      </c>
      <c r="AG1445" s="26">
        <f>VLOOKUP(Таблица1_113[[#This Row],[Марка]],Таблица13[#All],3,0)</f>
        <v>1937</v>
      </c>
      <c r="AH1445" s="26" t="str">
        <f>VLOOKUP(Таблица1_113[[#This Row],[Марка]],Таблица13[#All],5,0)</f>
        <v>Нет</v>
      </c>
      <c r="AI1445" s="29">
        <v>44743</v>
      </c>
      <c r="AJ1445" s="26">
        <v>27</v>
      </c>
    </row>
    <row r="1446" spans="30:36">
      <c r="AD1446" s="26" t="s">
        <v>2</v>
      </c>
      <c r="AE1446" s="26" t="str">
        <f>VLOOKUP(Таблица1_113[[#This Row],[Марка]],Таблица13[#All],4,0)</f>
        <v>Япония</v>
      </c>
      <c r="AF1446" s="26" t="str">
        <f>VLOOKUP(Таблица1_113[[#This Row],[Марка]],Таблица13[#All],2,0)</f>
        <v>Business</v>
      </c>
      <c r="AG1446" s="26">
        <f>VLOOKUP(Таблица1_113[[#This Row],[Марка]],Таблица13[#All],3,0)</f>
        <v>1937</v>
      </c>
      <c r="AH1446" s="26" t="str">
        <f>VLOOKUP(Таблица1_113[[#This Row],[Марка]],Таблица13[#All],5,0)</f>
        <v>Нет</v>
      </c>
      <c r="AI1446" s="29">
        <v>44743</v>
      </c>
      <c r="AJ1446" s="26">
        <v>905</v>
      </c>
    </row>
    <row r="1447" spans="30:36">
      <c r="AD1447" s="26" t="s">
        <v>125</v>
      </c>
      <c r="AE1447" s="26" t="str">
        <f>VLOOKUP(Таблица1_113[[#This Row],[Марка]],Таблица13[#All],4,0)</f>
        <v>Япония</v>
      </c>
      <c r="AF1447" s="26" t="str">
        <f>VLOOKUP(Таблица1_113[[#This Row],[Марка]],Таблица13[#All],2,0)</f>
        <v>Business</v>
      </c>
      <c r="AG1447" s="26">
        <f>VLOOKUP(Таблица1_113[[#This Row],[Марка]],Таблица13[#All],3,0)</f>
        <v>1953</v>
      </c>
      <c r="AH1447" s="26" t="str">
        <f>VLOOKUP(Таблица1_113[[#This Row],[Марка]],Таблица13[#All],5,0)</f>
        <v>Нет</v>
      </c>
      <c r="AI1447" s="29">
        <v>44743</v>
      </c>
      <c r="AJ1447" s="26">
        <v>48</v>
      </c>
    </row>
    <row r="1448" spans="30:36">
      <c r="AD1448" s="26" t="s">
        <v>23</v>
      </c>
      <c r="AE1448" s="26" t="str">
        <f>VLOOKUP(Таблица1_113[[#This Row],[Марка]],Таблица13[#All],4,0)</f>
        <v>Франция</v>
      </c>
      <c r="AF1448" s="26" t="str">
        <f>VLOOKUP(Таблица1_113[[#This Row],[Марка]],Таблица13[#All],2,0)</f>
        <v>Economy</v>
      </c>
      <c r="AG1448" s="26">
        <f>VLOOKUP(Таблица1_113[[#This Row],[Марка]],Таблица13[#All],3,0)</f>
        <v>1899</v>
      </c>
      <c r="AH1448" s="26" t="str">
        <f>VLOOKUP(Таблица1_113[[#This Row],[Марка]],Таблица13[#All],5,0)</f>
        <v>Крупноузловая</v>
      </c>
      <c r="AI1448" s="29">
        <v>44743</v>
      </c>
      <c r="AJ1448" s="26">
        <v>116</v>
      </c>
    </row>
    <row r="1449" spans="30:36">
      <c r="AD1449" s="26" t="s">
        <v>37</v>
      </c>
      <c r="AE1449" s="26" t="str">
        <f>VLOOKUP(Таблица1_113[[#This Row],[Марка]],Таблица13[#All],4,0)</f>
        <v>Германия</v>
      </c>
      <c r="AF1449" s="26" t="str">
        <f>VLOOKUP(Таблица1_113[[#This Row],[Марка]],Таблица13[#All],2,0)</f>
        <v>Luxury</v>
      </c>
      <c r="AG1449" s="26">
        <f>VLOOKUP(Таблица1_113[[#This Row],[Марка]],Таблица13[#All],3,0)</f>
        <v>1931</v>
      </c>
      <c r="AH1449" s="26" t="str">
        <f>VLOOKUP(Таблица1_113[[#This Row],[Марка]],Таблица13[#All],5,0)</f>
        <v>Нет</v>
      </c>
      <c r="AI1449" s="29">
        <v>44743</v>
      </c>
      <c r="AJ1449" s="26">
        <v>29</v>
      </c>
    </row>
    <row r="1450" spans="30:36">
      <c r="AD1450" s="26" t="s">
        <v>22</v>
      </c>
      <c r="AE1450" s="26" t="str">
        <f>VLOOKUP(Таблица1_113[[#This Row],[Марка]],Таблица13[#All],4,0)</f>
        <v>Япония</v>
      </c>
      <c r="AF1450" s="26" t="str">
        <f>VLOOKUP(Таблица1_113[[#This Row],[Марка]],Таблица13[#All],2,0)</f>
        <v>Business</v>
      </c>
      <c r="AG1450" s="26">
        <f>VLOOKUP(Таблица1_113[[#This Row],[Марка]],Таблица13[#All],3,0)</f>
        <v>1933</v>
      </c>
      <c r="AH1450" s="26" t="str">
        <f>VLOOKUP(Таблица1_113[[#This Row],[Марка]],Таблица13[#All],5,0)</f>
        <v>Нет</v>
      </c>
      <c r="AI1450" s="29">
        <v>44743</v>
      </c>
      <c r="AJ1450" s="26">
        <v>44</v>
      </c>
    </row>
    <row r="1451" spans="30:36">
      <c r="AD1451" s="26" t="s">
        <v>9</v>
      </c>
      <c r="AE1451" s="26" t="str">
        <f>VLOOKUP(Таблица1_113[[#This Row],[Марка]],Таблица13[#All],4,0)</f>
        <v>Япония</v>
      </c>
      <c r="AF1451" s="26" t="str">
        <f>VLOOKUP(Таблица1_113[[#This Row],[Марка]],Таблица13[#All],2,0)</f>
        <v>Business</v>
      </c>
      <c r="AG1451" s="26">
        <f>VLOOKUP(Таблица1_113[[#This Row],[Марка]],Таблица13[#All],3,0)</f>
        <v>1870</v>
      </c>
      <c r="AH1451" s="26" t="str">
        <f>VLOOKUP(Таблица1_113[[#This Row],[Марка]],Таблица13[#All],5,0)</f>
        <v>Нет</v>
      </c>
      <c r="AI1451" s="29">
        <v>44743</v>
      </c>
      <c r="AJ1451" s="26">
        <v>20</v>
      </c>
    </row>
    <row r="1452" spans="30:36">
      <c r="AD1452" s="26" t="s">
        <v>40</v>
      </c>
      <c r="AE1452" s="26" t="str">
        <f>VLOOKUP(Таблица1_113[[#This Row],[Марка]],Таблица13[#All],4,0)</f>
        <v>Великобритания</v>
      </c>
      <c r="AF1452" s="26" t="str">
        <f>VLOOKUP(Таблица1_113[[#This Row],[Марка]],Таблица13[#All],2,0)</f>
        <v>Luxury</v>
      </c>
      <c r="AG1452" s="26">
        <f>VLOOKUP(Таблица1_113[[#This Row],[Марка]],Таблица13[#All],3,0)</f>
        <v>1959</v>
      </c>
      <c r="AH1452" s="26" t="str">
        <f>VLOOKUP(Таблица1_113[[#This Row],[Марка]],Таблица13[#All],5,0)</f>
        <v>Нет</v>
      </c>
      <c r="AI1452" s="29">
        <v>44743</v>
      </c>
      <c r="AJ1452" s="26">
        <v>0</v>
      </c>
    </row>
    <row r="1453" spans="30:36">
      <c r="AD1453" s="26" t="s">
        <v>128</v>
      </c>
      <c r="AE1453" s="26" t="str">
        <f>VLOOKUP(Таблица1_113[[#This Row],[Марка]],Таблица13[#All],4,0)</f>
        <v>Германия</v>
      </c>
      <c r="AF1453" s="26" t="str">
        <f>VLOOKUP(Таблица1_113[[#This Row],[Марка]],Таблица13[#All],2,0)</f>
        <v>Luxury</v>
      </c>
      <c r="AG1453" s="26">
        <f>VLOOKUP(Таблица1_113[[#This Row],[Марка]],Таблица13[#All],3,0)</f>
        <v>1926</v>
      </c>
      <c r="AH1453" s="26" t="str">
        <f>VLOOKUP(Таблица1_113[[#This Row],[Марка]],Таблица13[#All],5,0)</f>
        <v>Нет</v>
      </c>
      <c r="AI1453" s="29">
        <v>44743</v>
      </c>
      <c r="AJ1453" s="26">
        <v>38</v>
      </c>
    </row>
    <row r="1454" spans="30:36">
      <c r="AD1454" s="26" t="s">
        <v>139</v>
      </c>
      <c r="AE1454" s="26" t="str">
        <f>VLOOKUP(Таблица1_113[[#This Row],[Марка]],Таблица13[#All],4,0)</f>
        <v>Япония</v>
      </c>
      <c r="AF1454" s="26" t="str">
        <f>VLOOKUP(Таблица1_113[[#This Row],[Марка]],Таблица13[#All],2,0)</f>
        <v>Business</v>
      </c>
      <c r="AG1454" s="26">
        <f>VLOOKUP(Таблица1_113[[#This Row],[Марка]],Таблица13[#All],3,0)</f>
        <v>1920</v>
      </c>
      <c r="AH1454" s="26" t="str">
        <f>VLOOKUP(Таблица1_113[[#This Row],[Марка]],Таблица13[#All],5,0)</f>
        <v>Нет</v>
      </c>
      <c r="AI1454" s="29">
        <v>44743</v>
      </c>
      <c r="AJ1454" s="26">
        <v>2</v>
      </c>
    </row>
    <row r="1455" spans="30:36">
      <c r="AD1455" s="26" t="s">
        <v>5</v>
      </c>
      <c r="AE1455" s="26" t="str">
        <f>VLOOKUP(Таблица1_113[[#This Row],[Марка]],Таблица13[#All],4,0)</f>
        <v>Япония</v>
      </c>
      <c r="AF1455" s="26" t="str">
        <f>VLOOKUP(Таблица1_113[[#This Row],[Марка]],Таблица13[#All],2,0)</f>
        <v>Luxury</v>
      </c>
      <c r="AG1455" s="26">
        <f>VLOOKUP(Таблица1_113[[#This Row],[Марка]],Таблица13[#All],3,0)</f>
        <v>1989</v>
      </c>
      <c r="AH1455" s="26" t="str">
        <f>VLOOKUP(Таблица1_113[[#This Row],[Марка]],Таблица13[#All],5,0)</f>
        <v>Нет</v>
      </c>
      <c r="AI1455" s="29">
        <v>44743</v>
      </c>
      <c r="AJ1455" s="26">
        <v>341</v>
      </c>
    </row>
    <row r="1456" spans="30:36">
      <c r="AD1456" s="26" t="s">
        <v>35</v>
      </c>
      <c r="AE1456" s="26" t="str">
        <f>VLOOKUP(Таблица1_113[[#This Row],[Марка]],Таблица13[#All],4,0)</f>
        <v>Великобритания</v>
      </c>
      <c r="AF1456" s="26" t="str">
        <f>VLOOKUP(Таблица1_113[[#This Row],[Марка]],Таблица13[#All],2,0)</f>
        <v>Luxury</v>
      </c>
      <c r="AG1456" s="26">
        <f>VLOOKUP(Таблица1_113[[#This Row],[Марка]],Таблица13[#All],3,0)</f>
        <v>1948</v>
      </c>
      <c r="AH1456" s="26" t="str">
        <f>VLOOKUP(Таблица1_113[[#This Row],[Марка]],Таблица13[#All],5,0)</f>
        <v>Нет</v>
      </c>
      <c r="AI1456" s="29">
        <v>44743</v>
      </c>
      <c r="AJ1456" s="26">
        <v>0</v>
      </c>
    </row>
    <row r="1457" spans="30:36">
      <c r="AD1457" s="26" t="s">
        <v>19</v>
      </c>
      <c r="AE1457" s="26" t="str">
        <f>VLOOKUP(Таблица1_113[[#This Row],[Марка]],Таблица13[#All],4,0)</f>
        <v>Россия</v>
      </c>
      <c r="AF1457" s="26" t="str">
        <f>VLOOKUP(Таблица1_113[[#This Row],[Марка]],Таблица13[#All],2,0)</f>
        <v>Economy</v>
      </c>
      <c r="AG1457" s="26">
        <f>VLOOKUP(Таблица1_113[[#This Row],[Марка]],Таблица13[#All],3,0)</f>
        <v>1970</v>
      </c>
      <c r="AH1457" s="26" t="str">
        <f>VLOOKUP(Таблица1_113[[#This Row],[Марка]],Таблица13[#All],5,0)</f>
        <v>Крупноузловая</v>
      </c>
      <c r="AI1457" s="29">
        <v>44743</v>
      </c>
      <c r="AJ1457" s="26">
        <v>664</v>
      </c>
    </row>
    <row r="1458" spans="30:36">
      <c r="AD1458" s="26" t="s">
        <v>15</v>
      </c>
      <c r="AE1458" s="26" t="str">
        <f>VLOOKUP(Таблица1_113[[#This Row],[Марка]],Таблица13[#All],4,0)</f>
        <v>Корея</v>
      </c>
      <c r="AF1458" s="26" t="str">
        <f>VLOOKUP(Таблица1_113[[#This Row],[Марка]],Таблица13[#All],2,0)</f>
        <v>Economy</v>
      </c>
      <c r="AG1458" s="26">
        <f>VLOOKUP(Таблица1_113[[#This Row],[Марка]],Таблица13[#All],3,0)</f>
        <v>1944</v>
      </c>
      <c r="AH1458" s="26" t="str">
        <f>VLOOKUP(Таблица1_113[[#This Row],[Марка]],Таблица13[#All],5,0)</f>
        <v>Крупноузловая</v>
      </c>
      <c r="AI1458" s="29">
        <v>44743</v>
      </c>
      <c r="AJ1458" s="26">
        <v>1346</v>
      </c>
    </row>
    <row r="1459" spans="30:36">
      <c r="AD1459" s="26" t="s">
        <v>134</v>
      </c>
      <c r="AE1459" s="26" t="str">
        <f>VLOOKUP(Таблица1_113[[#This Row],[Марка]],Таблица13[#All],4,0)</f>
        <v>Великобритания</v>
      </c>
      <c r="AF1459" s="26" t="str">
        <f>VLOOKUP(Таблица1_113[[#This Row],[Марка]],Таблица13[#All],2,0)</f>
        <v>Luxury</v>
      </c>
      <c r="AG1459" s="26">
        <f>VLOOKUP(Таблица1_113[[#This Row],[Марка]],Таблица13[#All],3,0)</f>
        <v>1922</v>
      </c>
      <c r="AH1459" s="26" t="str">
        <f>VLOOKUP(Таблица1_113[[#This Row],[Марка]],Таблица13[#All],5,0)</f>
        <v>Нет</v>
      </c>
      <c r="AI1459" s="29">
        <v>44743</v>
      </c>
      <c r="AJ1459" s="26">
        <v>0</v>
      </c>
    </row>
    <row r="1460" spans="30:36">
      <c r="AD1460" s="26" t="s">
        <v>4</v>
      </c>
      <c r="AE1460" s="26" t="str">
        <f>VLOOKUP(Таблица1_113[[#This Row],[Марка]],Таблица13[#All],4,0)</f>
        <v>Китай</v>
      </c>
      <c r="AF1460" s="26" t="str">
        <f>VLOOKUP(Таблица1_113[[#This Row],[Марка]],Таблица13[#All],2,0)</f>
        <v>Economy</v>
      </c>
      <c r="AG1460" s="26">
        <f>VLOOKUP(Таблица1_113[[#This Row],[Марка]],Таблица13[#All],3,0)</f>
        <v>1964</v>
      </c>
      <c r="AH1460" s="26" t="str">
        <f>VLOOKUP(Таблица1_113[[#This Row],[Марка]],Таблица13[#All],5,0)</f>
        <v>Крупноузловая</v>
      </c>
      <c r="AI1460" s="29">
        <v>44743</v>
      </c>
      <c r="AJ1460" s="26">
        <v>324</v>
      </c>
    </row>
    <row r="1461" spans="30:36">
      <c r="AD1461" s="26" t="s">
        <v>140</v>
      </c>
      <c r="AE1461" s="26" t="str">
        <f>VLOOKUP(Таблица1_113[[#This Row],[Марка]],Таблица13[#All],4,0)</f>
        <v>Япония</v>
      </c>
      <c r="AF1461" s="26" t="str">
        <f>VLOOKUP(Таблица1_113[[#This Row],[Марка]],Таблица13[#All],2,0)</f>
        <v>Business</v>
      </c>
      <c r="AG1461" s="26">
        <f>VLOOKUP(Таблица1_113[[#This Row],[Марка]],Таблица13[#All],3,0)</f>
        <v>1916</v>
      </c>
      <c r="AH1461" s="26" t="str">
        <f>VLOOKUP(Таблица1_113[[#This Row],[Марка]],Таблица13[#All],5,0)</f>
        <v>Нет</v>
      </c>
      <c r="AI1461" s="29">
        <v>44743</v>
      </c>
      <c r="AJ1461" s="26">
        <v>0</v>
      </c>
    </row>
    <row r="1462" spans="30:36">
      <c r="AD1462" s="26" t="s">
        <v>34</v>
      </c>
      <c r="AE1462" s="26" t="str">
        <f>VLOOKUP(Таблица1_113[[#This Row],[Марка]],Таблица13[#All],4,0)</f>
        <v>Япония</v>
      </c>
      <c r="AF1462" s="26" t="str">
        <f>VLOOKUP(Таблица1_113[[#This Row],[Марка]],Таблица13[#All],2,0)</f>
        <v>Luxury</v>
      </c>
      <c r="AG1462" s="26">
        <f>VLOOKUP(Таблица1_113[[#This Row],[Марка]],Таблица13[#All],3,0)</f>
        <v>1989</v>
      </c>
      <c r="AH1462" s="26" t="str">
        <f>VLOOKUP(Таблица1_113[[#This Row],[Марка]],Таблица13[#All],5,0)</f>
        <v>Нет</v>
      </c>
      <c r="AI1462" s="29">
        <v>44743</v>
      </c>
      <c r="AJ1462" s="26">
        <v>16</v>
      </c>
    </row>
    <row r="1463" spans="30:36">
      <c r="AD1463" s="26" t="s">
        <v>0</v>
      </c>
      <c r="AE1463" s="26" t="str">
        <f>VLOOKUP(Таблица1_113[[#This Row],[Марка]],Таблица13[#All],4,0)</f>
        <v>Корея</v>
      </c>
      <c r="AF1463" s="26" t="str">
        <f>VLOOKUP(Таблица1_113[[#This Row],[Марка]],Таблица13[#All],2,0)</f>
        <v>Economy</v>
      </c>
      <c r="AG1463" s="26">
        <f>VLOOKUP(Таблица1_113[[#This Row],[Марка]],Таблица13[#All],3,0)</f>
        <v>1967</v>
      </c>
      <c r="AH1463" s="26" t="str">
        <f>VLOOKUP(Таблица1_113[[#This Row],[Марка]],Таблица13[#All],5,0)</f>
        <v>Крупноузловая</v>
      </c>
      <c r="AI1463" s="29">
        <v>44743</v>
      </c>
      <c r="AJ1463" s="26">
        <v>2658</v>
      </c>
    </row>
    <row r="1464" spans="30:36">
      <c r="AD1464" s="26" t="s">
        <v>6</v>
      </c>
      <c r="AE1464" s="26" t="str">
        <f>VLOOKUP(Таблица1_113[[#This Row],[Марка]],Таблица13[#All],4,0)</f>
        <v>Китай</v>
      </c>
      <c r="AF1464" s="26" t="str">
        <f>VLOOKUP(Таблица1_113[[#This Row],[Марка]],Таблица13[#All],2,0)</f>
        <v>Economy</v>
      </c>
      <c r="AG1464" s="26">
        <f>VLOOKUP(Таблица1_113[[#This Row],[Марка]],Таблица13[#All],3,0)</f>
        <v>2013</v>
      </c>
      <c r="AH1464" s="26" t="str">
        <f>VLOOKUP(Таблица1_113[[#This Row],[Марка]],Таблица13[#All],5,0)</f>
        <v>Крупноузловая</v>
      </c>
      <c r="AI1464" s="29">
        <v>44743</v>
      </c>
      <c r="AJ1464" s="26">
        <v>33</v>
      </c>
    </row>
    <row r="1465" spans="30:36">
      <c r="AD1465" s="26" t="s">
        <v>18</v>
      </c>
      <c r="AE1465" s="26" t="str">
        <f>VLOOKUP(Таблица1_113[[#This Row],[Марка]],Таблица13[#All],4,0)</f>
        <v>Китай</v>
      </c>
      <c r="AF1465" s="26" t="str">
        <f>VLOOKUP(Таблица1_113[[#This Row],[Марка]],Таблица13[#All],2,0)</f>
        <v>Economy</v>
      </c>
      <c r="AG1465" s="26">
        <f>VLOOKUP(Таблица1_113[[#This Row],[Марка]],Таблица13[#All],3,0)</f>
        <v>1986</v>
      </c>
      <c r="AH1465" s="26" t="str">
        <f>VLOOKUP(Таблица1_113[[#This Row],[Марка]],Таблица13[#All],5,0)</f>
        <v>Крупноузловая</v>
      </c>
      <c r="AI1465" s="29">
        <v>44743</v>
      </c>
      <c r="AJ1465" s="26">
        <v>0</v>
      </c>
    </row>
    <row r="1466" spans="30:36">
      <c r="AD1466" s="26" t="s">
        <v>133</v>
      </c>
      <c r="AE1466" s="26" t="str">
        <f>VLOOKUP(Таблица1_113[[#This Row],[Марка]],Таблица13[#All],4,0)</f>
        <v>Китай</v>
      </c>
      <c r="AF1466" s="26" t="str">
        <f>VLOOKUP(Таблица1_113[[#This Row],[Марка]],Таблица13[#All],2,0)</f>
        <v>Economy</v>
      </c>
      <c r="AG1466" s="26">
        <f>VLOOKUP(Таблица1_113[[#This Row],[Марка]],Таблица13[#All],3,0)</f>
        <v>1996</v>
      </c>
      <c r="AH1466" s="26" t="str">
        <f>VLOOKUP(Таблица1_113[[#This Row],[Марка]],Таблица13[#All],5,0)</f>
        <v>Нет</v>
      </c>
      <c r="AI1466" s="29">
        <v>44743</v>
      </c>
      <c r="AJ1466" s="26">
        <v>0</v>
      </c>
    </row>
    <row r="1467" spans="30:36">
      <c r="AD1467" s="26" t="s">
        <v>129</v>
      </c>
      <c r="AE1467" s="26" t="str">
        <f>VLOOKUP(Таблица1_113[[#This Row],[Марка]],Таблица13[#All],4,0)</f>
        <v>Китай</v>
      </c>
      <c r="AF1467" s="26" t="str">
        <f>VLOOKUP(Таблица1_113[[#This Row],[Марка]],Таблица13[#All],2,0)</f>
        <v>Economy</v>
      </c>
      <c r="AG1467" s="26">
        <f>VLOOKUP(Таблица1_113[[#This Row],[Марка]],Таблица13[#All],3,0)</f>
        <v>1953</v>
      </c>
      <c r="AH1467" s="26" t="str">
        <f>VLOOKUP(Таблица1_113[[#This Row],[Марка]],Таблица13[#All],5,0)</f>
        <v>Нет</v>
      </c>
      <c r="AI1467" s="29">
        <v>44743</v>
      </c>
      <c r="AJ1467" s="26">
        <v>7</v>
      </c>
    </row>
    <row r="1468" spans="30:36">
      <c r="AD1468" s="26" t="s">
        <v>130</v>
      </c>
      <c r="AE1468" s="26" t="str">
        <f>VLOOKUP(Таблица1_113[[#This Row],[Марка]],Таблица13[#All],4,0)</f>
        <v>Китай</v>
      </c>
      <c r="AF1468" s="26" t="str">
        <f>VLOOKUP(Таблица1_113[[#This Row],[Марка]],Таблица13[#All],2,0)</f>
        <v>Economy</v>
      </c>
      <c r="AG1468" s="26">
        <f>VLOOKUP(Таблица1_113[[#This Row],[Марка]],Таблица13[#All],3,0)</f>
        <v>1969</v>
      </c>
      <c r="AH1468" s="26" t="str">
        <f>VLOOKUP(Таблица1_113[[#This Row],[Марка]],Таблица13[#All],5,0)</f>
        <v>Нет</v>
      </c>
      <c r="AI1468" s="29">
        <v>44743</v>
      </c>
      <c r="AJ1468" s="26">
        <v>0</v>
      </c>
    </row>
    <row r="1469" spans="30:36">
      <c r="AD1469" s="26" t="s">
        <v>137</v>
      </c>
      <c r="AE1469" s="26" t="str">
        <f>VLOOKUP(Таблица1_113[[#This Row],[Марка]],Таблица13[#All],4,0)</f>
        <v>Корея</v>
      </c>
      <c r="AF1469" s="26" t="str">
        <f>VLOOKUP(Таблица1_113[[#This Row],[Марка]],Таблица13[#All],2,0)</f>
        <v>Economy</v>
      </c>
      <c r="AG1469" s="26">
        <f>VLOOKUP(Таблица1_113[[#This Row],[Марка]],Таблица13[#All],3,0)</f>
        <v>1967</v>
      </c>
      <c r="AH1469" s="26" t="str">
        <f>VLOOKUP(Таблица1_113[[#This Row],[Марка]],Таблица13[#All],5,0)</f>
        <v>Нет</v>
      </c>
      <c r="AI1469" s="29">
        <v>44743</v>
      </c>
      <c r="AJ1469" s="26">
        <v>0</v>
      </c>
    </row>
    <row r="1470" spans="30:36">
      <c r="AD1470" s="26" t="s">
        <v>1</v>
      </c>
      <c r="AE1470" s="26" t="str">
        <f>VLOOKUP(Таблица1_113[[#This Row],[Марка]],Таблица13[#All],4,0)</f>
        <v>США</v>
      </c>
      <c r="AF1470" s="26" t="str">
        <f>VLOOKUP(Таблица1_113[[#This Row],[Марка]],Таблица13[#All],2,0)</f>
        <v>Economy</v>
      </c>
      <c r="AG1470" s="26">
        <f>VLOOKUP(Таблица1_113[[#This Row],[Марка]],Таблица13[#All],3,0)</f>
        <v>1911</v>
      </c>
      <c r="AH1470" s="26" t="str">
        <f>VLOOKUP(Таблица1_113[[#This Row],[Марка]],Таблица13[#All],5,0)</f>
        <v>Крупноузловая</v>
      </c>
      <c r="AI1470" s="29">
        <v>44743</v>
      </c>
      <c r="AJ1470" s="26">
        <v>4030</v>
      </c>
    </row>
    <row r="1471" spans="30:36">
      <c r="AD1471" s="26" t="s">
        <v>3</v>
      </c>
      <c r="AE1471" s="26" t="str">
        <f>VLOOKUP(Таблица1_113[[#This Row],[Марка]],Таблица13[#All],4,0)</f>
        <v>Китай</v>
      </c>
      <c r="AF1471" s="26" t="str">
        <f>VLOOKUP(Таблица1_113[[#This Row],[Марка]],Таблица13[#All],2,0)</f>
        <v>Economy</v>
      </c>
      <c r="AG1471" s="26">
        <f>VLOOKUP(Таблица1_113[[#This Row],[Марка]],Таблица13[#All],3,0)</f>
        <v>1997</v>
      </c>
      <c r="AH1471" s="26" t="str">
        <f>VLOOKUP(Таблица1_113[[#This Row],[Марка]],Таблица13[#All],5,0)</f>
        <v>Крупноузловая</v>
      </c>
      <c r="AI1471" s="29">
        <v>44743</v>
      </c>
      <c r="AJ1471" s="26">
        <v>538</v>
      </c>
    </row>
    <row r="1472" spans="30:36">
      <c r="AD1472" s="26" t="s">
        <v>124</v>
      </c>
      <c r="AE1472" s="26" t="str">
        <f>VLOOKUP(Таблица1_113[[#This Row],[Марка]],Таблица13[#All],4,0)</f>
        <v>Китай</v>
      </c>
      <c r="AF1472" s="26" t="str">
        <f>VLOOKUP(Таблица1_113[[#This Row],[Марка]],Таблица13[#All],2,0)</f>
        <v>Economy</v>
      </c>
      <c r="AG1472" s="26">
        <f>VLOOKUP(Таблица1_113[[#This Row],[Марка]],Таблица13[#All],3,0)</f>
        <v>1862</v>
      </c>
      <c r="AH1472" s="26" t="str">
        <f>VLOOKUP(Таблица1_113[[#This Row],[Марка]],Таблица13[#All],5,0)</f>
        <v>Нет</v>
      </c>
      <c r="AI1472" s="29">
        <v>44743</v>
      </c>
      <c r="AJ1472" s="26">
        <v>0</v>
      </c>
    </row>
    <row r="1473" spans="30:36">
      <c r="AD1473" s="26" t="s">
        <v>36</v>
      </c>
      <c r="AE1473" s="26" t="str">
        <f>VLOOKUP(Таблица1_113[[#This Row],[Марка]],Таблица13[#All],4,0)</f>
        <v>США</v>
      </c>
      <c r="AF1473" s="26" t="str">
        <f>VLOOKUP(Таблица1_113[[#This Row],[Марка]],Таблица13[#All],2,0)</f>
        <v>Luxury</v>
      </c>
      <c r="AG1473" s="26">
        <f>VLOOKUP(Таблица1_113[[#This Row],[Марка]],Таблица13[#All],3,0)</f>
        <v>1902</v>
      </c>
      <c r="AH1473" s="26" t="str">
        <f>VLOOKUP(Таблица1_113[[#This Row],[Марка]],Таблица13[#All],5,0)</f>
        <v>Нет</v>
      </c>
      <c r="AI1473" s="29">
        <v>44743</v>
      </c>
      <c r="AJ1473" s="26">
        <v>3</v>
      </c>
    </row>
    <row r="1474" spans="30:36">
      <c r="AD1474" s="26" t="s">
        <v>8</v>
      </c>
      <c r="AE1474" s="26" t="str">
        <f>VLOOKUP(Таблица1_113[[#This Row],[Марка]],Таблица13[#All],4,0)</f>
        <v>Германия</v>
      </c>
      <c r="AF1474" s="26" t="str">
        <f>VLOOKUP(Таблица1_113[[#This Row],[Марка]],Таблица13[#All],2,0)</f>
        <v>Luxury</v>
      </c>
      <c r="AG1474" s="26">
        <f>VLOOKUP(Таблица1_113[[#This Row],[Марка]],Таблица13[#All],3,0)</f>
        <v>1916</v>
      </c>
      <c r="AH1474" s="26" t="str">
        <f>VLOOKUP(Таблица1_113[[#This Row],[Марка]],Таблица13[#All],5,0)</f>
        <v>Нет</v>
      </c>
      <c r="AI1474" s="29">
        <v>44743</v>
      </c>
      <c r="AJ1474" s="26">
        <v>21</v>
      </c>
    </row>
    <row r="1475" spans="30:36">
      <c r="AD1475" s="26" t="s">
        <v>38</v>
      </c>
      <c r="AE1475" s="26" t="str">
        <f>VLOOKUP(Таблица1_113[[#This Row],[Марка]],Таблица13[#All],4,0)</f>
        <v>Германия</v>
      </c>
      <c r="AF1475" s="26" t="str">
        <f>VLOOKUP(Таблица1_113[[#This Row],[Марка]],Таблица13[#All],2,0)</f>
        <v>Luxury</v>
      </c>
      <c r="AG1475" s="26">
        <f>VLOOKUP(Таблица1_113[[#This Row],[Марка]],Таблица13[#All],3,0)</f>
        <v>1932</v>
      </c>
      <c r="AH1475" s="26" t="str">
        <f>VLOOKUP(Таблица1_113[[#This Row],[Марка]],Таблица13[#All],5,0)</f>
        <v>Нет</v>
      </c>
      <c r="AI1475" s="29">
        <v>44743</v>
      </c>
      <c r="AJ1475" s="26">
        <v>9</v>
      </c>
    </row>
    <row r="1476" spans="30:36">
      <c r="AD1476" t="s">
        <v>136</v>
      </c>
      <c r="AE1476" t="str">
        <f>VLOOKUP(Таблица1_113[[#This Row],[Марка]],Таблица13[#All],4,0)</f>
        <v>Россия</v>
      </c>
      <c r="AF1476" t="str">
        <f>VLOOKUP(Таблица1_113[[#This Row],[Марка]],Таблица13[#All],2,0)</f>
        <v>Economy</v>
      </c>
      <c r="AG1476">
        <f>VLOOKUP(Таблица1_113[[#This Row],[Марка]],Таблица13[#All],3,0)</f>
        <v>1941</v>
      </c>
      <c r="AH1476" t="str">
        <f>VLOOKUP(Таблица1_113[[#This Row],[Марка]],Таблица13[#All],5,0)</f>
        <v>Нет</v>
      </c>
      <c r="AI1476" s="12">
        <v>44774</v>
      </c>
      <c r="AJ1476">
        <v>58</v>
      </c>
    </row>
    <row r="1477" spans="30:36">
      <c r="AD1477" t="s">
        <v>135</v>
      </c>
      <c r="AE1477" t="str">
        <f>VLOOKUP(Таблица1_113[[#This Row],[Марка]],Таблица13[#All],4,0)</f>
        <v>-</v>
      </c>
      <c r="AF1477" t="str">
        <f>VLOOKUP(Таблица1_113[[#This Row],[Марка]],Таблица13[#All],2,0)</f>
        <v>-</v>
      </c>
      <c r="AG1477" t="str">
        <f>VLOOKUP(Таблица1_113[[#This Row],[Марка]],Таблица13[#All],3,0)</f>
        <v>-</v>
      </c>
      <c r="AH1477" t="str">
        <f>VLOOKUP(Таблица1_113[[#This Row],[Марка]],Таблица13[#All],5,0)</f>
        <v>-</v>
      </c>
      <c r="AI1477" s="12">
        <v>44774</v>
      </c>
      <c r="AJ1477">
        <v>10</v>
      </c>
    </row>
    <row r="1478" spans="30:36">
      <c r="AD1478" t="s">
        <v>39</v>
      </c>
      <c r="AE1478" t="str">
        <f>VLOOKUP(Таблица1_113[[#This Row],[Марка]],Таблица13[#All],4,0)</f>
        <v>Швеция</v>
      </c>
      <c r="AF1478" t="str">
        <f>VLOOKUP(Таблица1_113[[#This Row],[Марка]],Таблица13[#All],2,0)</f>
        <v>Business</v>
      </c>
      <c r="AG1478">
        <f>VLOOKUP(Таблица1_113[[#This Row],[Марка]],Таблица13[#All],3,0)</f>
        <v>1927</v>
      </c>
      <c r="AH1478" t="str">
        <f>VLOOKUP(Таблица1_113[[#This Row],[Марка]],Таблица13[#All],5,0)</f>
        <v>Нет</v>
      </c>
      <c r="AI1478" s="12">
        <v>44774</v>
      </c>
      <c r="AJ1478">
        <v>0</v>
      </c>
    </row>
    <row r="1479" spans="30:36">
      <c r="AD1479" t="s">
        <v>21</v>
      </c>
      <c r="AE1479" t="str">
        <f>VLOOKUP(Таблица1_113[[#This Row],[Марка]],Таблица13[#All],4,0)</f>
        <v>Германия</v>
      </c>
      <c r="AF1479" t="str">
        <f>VLOOKUP(Таблица1_113[[#This Row],[Марка]],Таблица13[#All],2,0)</f>
        <v>Business</v>
      </c>
      <c r="AG1479">
        <f>VLOOKUP(Таблица1_113[[#This Row],[Марка]],Таблица13[#All],3,0)</f>
        <v>1937</v>
      </c>
      <c r="AH1479" t="str">
        <f>VLOOKUP(Таблица1_113[[#This Row],[Марка]],Таблица13[#All],5,0)</f>
        <v>Нет</v>
      </c>
      <c r="AI1479" s="12">
        <v>44774</v>
      </c>
      <c r="AJ1479">
        <v>26</v>
      </c>
    </row>
    <row r="1480" spans="30:36">
      <c r="AD1480" t="s">
        <v>2</v>
      </c>
      <c r="AE1480" t="str">
        <f>VLOOKUP(Таблица1_113[[#This Row],[Марка]],Таблица13[#All],4,0)</f>
        <v>Япония</v>
      </c>
      <c r="AF1480" t="str">
        <f>VLOOKUP(Таблица1_113[[#This Row],[Марка]],Таблица13[#All],2,0)</f>
        <v>Business</v>
      </c>
      <c r="AG1480">
        <f>VLOOKUP(Таблица1_113[[#This Row],[Марка]],Таблица13[#All],3,0)</f>
        <v>1937</v>
      </c>
      <c r="AH1480" t="str">
        <f>VLOOKUP(Таблица1_113[[#This Row],[Марка]],Таблица13[#All],5,0)</f>
        <v>Нет</v>
      </c>
      <c r="AI1480" s="12">
        <v>44774</v>
      </c>
      <c r="AJ1480">
        <v>1004</v>
      </c>
    </row>
    <row r="1481" spans="30:36">
      <c r="AD1481" t="s">
        <v>125</v>
      </c>
      <c r="AE1481" t="str">
        <f>VLOOKUP(Таблица1_113[[#This Row],[Марка]],Таблица13[#All],4,0)</f>
        <v>Япония</v>
      </c>
      <c r="AF1481" t="str">
        <f>VLOOKUP(Таблица1_113[[#This Row],[Марка]],Таблица13[#All],2,0)</f>
        <v>Business</v>
      </c>
      <c r="AG1481">
        <f>VLOOKUP(Таблица1_113[[#This Row],[Марка]],Таблица13[#All],3,0)</f>
        <v>1953</v>
      </c>
      <c r="AH1481" t="str">
        <f>VLOOKUP(Таблица1_113[[#This Row],[Марка]],Таблица13[#All],5,0)</f>
        <v>Нет</v>
      </c>
      <c r="AI1481" s="12">
        <v>44774</v>
      </c>
      <c r="AJ1481">
        <v>21</v>
      </c>
    </row>
    <row r="1482" spans="30:36">
      <c r="AD1482" t="s">
        <v>23</v>
      </c>
      <c r="AE1482" t="str">
        <f>VLOOKUP(Таблица1_113[[#This Row],[Марка]],Таблица13[#All],4,0)</f>
        <v>Франция</v>
      </c>
      <c r="AF1482" t="str">
        <f>VLOOKUP(Таблица1_113[[#This Row],[Марка]],Таблица13[#All],2,0)</f>
        <v>Economy</v>
      </c>
      <c r="AG1482">
        <f>VLOOKUP(Таблица1_113[[#This Row],[Марка]],Таблица13[#All],3,0)</f>
        <v>1899</v>
      </c>
      <c r="AH1482" t="str">
        <f>VLOOKUP(Таблица1_113[[#This Row],[Марка]],Таблица13[#All],5,0)</f>
        <v>Крупноузловая</v>
      </c>
      <c r="AI1482" s="12">
        <v>44774</v>
      </c>
      <c r="AJ1482">
        <v>51</v>
      </c>
    </row>
    <row r="1483" spans="30:36">
      <c r="AD1483" t="s">
        <v>37</v>
      </c>
      <c r="AE1483" t="str">
        <f>VLOOKUP(Таблица1_113[[#This Row],[Марка]],Таблица13[#All],4,0)</f>
        <v>Германия</v>
      </c>
      <c r="AF1483" t="str">
        <f>VLOOKUP(Таблица1_113[[#This Row],[Марка]],Таблица13[#All],2,0)</f>
        <v>Luxury</v>
      </c>
      <c r="AG1483">
        <f>VLOOKUP(Таблица1_113[[#This Row],[Марка]],Таблица13[#All],3,0)</f>
        <v>1931</v>
      </c>
      <c r="AH1483" t="str">
        <f>VLOOKUP(Таблица1_113[[#This Row],[Марка]],Таблица13[#All],5,0)</f>
        <v>Нет</v>
      </c>
      <c r="AI1483" s="12">
        <v>44774</v>
      </c>
      <c r="AJ1483">
        <v>40</v>
      </c>
    </row>
    <row r="1484" spans="30:36">
      <c r="AD1484" t="s">
        <v>22</v>
      </c>
      <c r="AE1484" t="str">
        <f>VLOOKUP(Таблица1_113[[#This Row],[Марка]],Таблица13[#All],4,0)</f>
        <v>Япония</v>
      </c>
      <c r="AF1484" t="str">
        <f>VLOOKUP(Таблица1_113[[#This Row],[Марка]],Таблица13[#All],2,0)</f>
        <v>Business</v>
      </c>
      <c r="AG1484">
        <f>VLOOKUP(Таблица1_113[[#This Row],[Марка]],Таблица13[#All],3,0)</f>
        <v>1933</v>
      </c>
      <c r="AH1484" t="str">
        <f>VLOOKUP(Таблица1_113[[#This Row],[Марка]],Таблица13[#All],5,0)</f>
        <v>Нет</v>
      </c>
      <c r="AI1484" s="12">
        <v>44774</v>
      </c>
      <c r="AJ1484">
        <v>45</v>
      </c>
    </row>
    <row r="1485" spans="30:36">
      <c r="AD1485" t="s">
        <v>9</v>
      </c>
      <c r="AE1485" t="str">
        <f>VLOOKUP(Таблица1_113[[#This Row],[Марка]],Таблица13[#All],4,0)</f>
        <v>Япония</v>
      </c>
      <c r="AF1485" t="str">
        <f>VLOOKUP(Таблица1_113[[#This Row],[Марка]],Таблица13[#All],2,0)</f>
        <v>Business</v>
      </c>
      <c r="AG1485">
        <f>VLOOKUP(Таблица1_113[[#This Row],[Марка]],Таблица13[#All],3,0)</f>
        <v>1870</v>
      </c>
      <c r="AH1485" t="str">
        <f>VLOOKUP(Таблица1_113[[#This Row],[Марка]],Таблица13[#All],5,0)</f>
        <v>Нет</v>
      </c>
      <c r="AI1485" s="12">
        <v>44774</v>
      </c>
      <c r="AJ1485">
        <v>4</v>
      </c>
    </row>
    <row r="1486" spans="30:36">
      <c r="AD1486" t="s">
        <v>40</v>
      </c>
      <c r="AE1486" t="str">
        <f>VLOOKUP(Таблица1_113[[#This Row],[Марка]],Таблица13[#All],4,0)</f>
        <v>Великобритания</v>
      </c>
      <c r="AF1486" t="str">
        <f>VLOOKUP(Таблица1_113[[#This Row],[Марка]],Таблица13[#All],2,0)</f>
        <v>Luxury</v>
      </c>
      <c r="AG1486">
        <f>VLOOKUP(Таблица1_113[[#This Row],[Марка]],Таблица13[#All],3,0)</f>
        <v>1959</v>
      </c>
      <c r="AH1486" t="str">
        <f>VLOOKUP(Таблица1_113[[#This Row],[Марка]],Таблица13[#All],5,0)</f>
        <v>Нет</v>
      </c>
      <c r="AI1486" s="12">
        <v>44774</v>
      </c>
      <c r="AJ1486">
        <v>0</v>
      </c>
    </row>
    <row r="1487" spans="30:36">
      <c r="AD1487" t="s">
        <v>128</v>
      </c>
      <c r="AE1487" t="str">
        <f>VLOOKUP(Таблица1_113[[#This Row],[Марка]],Таблица13[#All],4,0)</f>
        <v>Германия</v>
      </c>
      <c r="AF1487" t="str">
        <f>VLOOKUP(Таблица1_113[[#This Row],[Марка]],Таблица13[#All],2,0)</f>
        <v>Luxury</v>
      </c>
      <c r="AG1487">
        <f>VLOOKUP(Таблица1_113[[#This Row],[Марка]],Таблица13[#All],3,0)</f>
        <v>1926</v>
      </c>
      <c r="AH1487" t="str">
        <f>VLOOKUP(Таблица1_113[[#This Row],[Марка]],Таблица13[#All],5,0)</f>
        <v>Нет</v>
      </c>
      <c r="AI1487" s="12">
        <v>44774</v>
      </c>
      <c r="AJ1487">
        <v>61</v>
      </c>
    </row>
    <row r="1488" spans="30:36">
      <c r="AD1488" t="s">
        <v>139</v>
      </c>
      <c r="AE1488" t="str">
        <f>VLOOKUP(Таблица1_113[[#This Row],[Марка]],Таблица13[#All],4,0)</f>
        <v>Япония</v>
      </c>
      <c r="AF1488" t="str">
        <f>VLOOKUP(Таблица1_113[[#This Row],[Марка]],Таблица13[#All],2,0)</f>
        <v>Business</v>
      </c>
      <c r="AG1488">
        <f>VLOOKUP(Таблица1_113[[#This Row],[Марка]],Таблица13[#All],3,0)</f>
        <v>1920</v>
      </c>
      <c r="AH1488" t="str">
        <f>VLOOKUP(Таблица1_113[[#This Row],[Марка]],Таблица13[#All],5,0)</f>
        <v>Нет</v>
      </c>
      <c r="AI1488" s="12">
        <v>44774</v>
      </c>
      <c r="AJ1488">
        <v>2</v>
      </c>
    </row>
    <row r="1489" spans="30:36">
      <c r="AD1489" t="s">
        <v>5</v>
      </c>
      <c r="AE1489" t="str">
        <f>VLOOKUP(Таблица1_113[[#This Row],[Марка]],Таблица13[#All],4,0)</f>
        <v>Япония</v>
      </c>
      <c r="AF1489" t="str">
        <f>VLOOKUP(Таблица1_113[[#This Row],[Марка]],Таблица13[#All],2,0)</f>
        <v>Luxury</v>
      </c>
      <c r="AG1489">
        <f>VLOOKUP(Таблица1_113[[#This Row],[Марка]],Таблица13[#All],3,0)</f>
        <v>1989</v>
      </c>
      <c r="AH1489" t="str">
        <f>VLOOKUP(Таблица1_113[[#This Row],[Марка]],Таблица13[#All],5,0)</f>
        <v>Нет</v>
      </c>
      <c r="AI1489" s="12">
        <v>44774</v>
      </c>
      <c r="AJ1489">
        <v>248</v>
      </c>
    </row>
    <row r="1490" spans="30:36">
      <c r="AD1490" t="s">
        <v>35</v>
      </c>
      <c r="AE1490" t="str">
        <f>VLOOKUP(Таблица1_113[[#This Row],[Марка]],Таблица13[#All],4,0)</f>
        <v>Великобритания</v>
      </c>
      <c r="AF1490" t="str">
        <f>VLOOKUP(Таблица1_113[[#This Row],[Марка]],Таблица13[#All],2,0)</f>
        <v>Luxury</v>
      </c>
      <c r="AG1490">
        <f>VLOOKUP(Таблица1_113[[#This Row],[Марка]],Таблица13[#All],3,0)</f>
        <v>1948</v>
      </c>
      <c r="AH1490" t="str">
        <f>VLOOKUP(Таблица1_113[[#This Row],[Марка]],Таблица13[#All],5,0)</f>
        <v>Нет</v>
      </c>
      <c r="AI1490" s="12">
        <v>44774</v>
      </c>
      <c r="AJ1490">
        <v>0</v>
      </c>
    </row>
    <row r="1491" spans="30:36">
      <c r="AD1491" t="s">
        <v>19</v>
      </c>
      <c r="AE1491" t="str">
        <f>VLOOKUP(Таблица1_113[[#This Row],[Марка]],Таблица13[#All],4,0)</f>
        <v>Россия</v>
      </c>
      <c r="AF1491" t="str">
        <f>VLOOKUP(Таблица1_113[[#This Row],[Марка]],Таблица13[#All],2,0)</f>
        <v>Economy</v>
      </c>
      <c r="AG1491">
        <f>VLOOKUP(Таблица1_113[[#This Row],[Марка]],Таблица13[#All],3,0)</f>
        <v>1970</v>
      </c>
      <c r="AH1491" t="str">
        <f>VLOOKUP(Таблица1_113[[#This Row],[Марка]],Таблица13[#All],5,0)</f>
        <v>Крупноузловая</v>
      </c>
      <c r="AI1491" s="12">
        <v>44774</v>
      </c>
      <c r="AJ1491">
        <v>584</v>
      </c>
    </row>
    <row r="1492" spans="30:36">
      <c r="AD1492" t="s">
        <v>15</v>
      </c>
      <c r="AE1492" t="str">
        <f>VLOOKUP(Таблица1_113[[#This Row],[Марка]],Таблица13[#All],4,0)</f>
        <v>Корея</v>
      </c>
      <c r="AF1492" t="str">
        <f>VLOOKUP(Таблица1_113[[#This Row],[Марка]],Таблица13[#All],2,0)</f>
        <v>Economy</v>
      </c>
      <c r="AG1492">
        <f>VLOOKUP(Таблица1_113[[#This Row],[Марка]],Таблица13[#All],3,0)</f>
        <v>1944</v>
      </c>
      <c r="AH1492" t="str">
        <f>VLOOKUP(Таблица1_113[[#This Row],[Марка]],Таблица13[#All],5,0)</f>
        <v>Крупноузловая</v>
      </c>
      <c r="AI1492" s="12">
        <v>44774</v>
      </c>
      <c r="AJ1492">
        <v>1497</v>
      </c>
    </row>
    <row r="1493" spans="30:36">
      <c r="AD1493" t="s">
        <v>134</v>
      </c>
      <c r="AE1493" t="str">
        <f>VLOOKUP(Таблица1_113[[#This Row],[Марка]],Таблица13[#All],4,0)</f>
        <v>Великобритания</v>
      </c>
      <c r="AF1493" t="str">
        <f>VLOOKUP(Таблица1_113[[#This Row],[Марка]],Таблица13[#All],2,0)</f>
        <v>Luxury</v>
      </c>
      <c r="AG1493">
        <f>VLOOKUP(Таблица1_113[[#This Row],[Марка]],Таблица13[#All],3,0)</f>
        <v>1922</v>
      </c>
      <c r="AH1493" t="str">
        <f>VLOOKUP(Таблица1_113[[#This Row],[Марка]],Таблица13[#All],5,0)</f>
        <v>Нет</v>
      </c>
      <c r="AI1493" s="12">
        <v>44774</v>
      </c>
      <c r="AJ1493">
        <v>0</v>
      </c>
    </row>
    <row r="1494" spans="30:36">
      <c r="AD1494" t="s">
        <v>4</v>
      </c>
      <c r="AE1494" t="str">
        <f>VLOOKUP(Таблица1_113[[#This Row],[Марка]],Таблица13[#All],4,0)</f>
        <v>Китай</v>
      </c>
      <c r="AF1494" t="str">
        <f>VLOOKUP(Таблица1_113[[#This Row],[Марка]],Таблица13[#All],2,0)</f>
        <v>Economy</v>
      </c>
      <c r="AG1494">
        <f>VLOOKUP(Таблица1_113[[#This Row],[Марка]],Таблица13[#All],3,0)</f>
        <v>1964</v>
      </c>
      <c r="AH1494" t="str">
        <f>VLOOKUP(Таблица1_113[[#This Row],[Марка]],Таблица13[#All],5,0)</f>
        <v>Крупноузловая</v>
      </c>
      <c r="AI1494" s="12">
        <v>44774</v>
      </c>
      <c r="AJ1494">
        <v>363</v>
      </c>
    </row>
    <row r="1495" spans="30:36">
      <c r="AD1495" t="s">
        <v>140</v>
      </c>
      <c r="AE1495" t="str">
        <f>VLOOKUP(Таблица1_113[[#This Row],[Марка]],Таблица13[#All],4,0)</f>
        <v>Япония</v>
      </c>
      <c r="AF1495" t="str">
        <f>VLOOKUP(Таблица1_113[[#This Row],[Марка]],Таблица13[#All],2,0)</f>
        <v>Business</v>
      </c>
      <c r="AG1495">
        <f>VLOOKUP(Таблица1_113[[#This Row],[Марка]],Таблица13[#All],3,0)</f>
        <v>1916</v>
      </c>
      <c r="AH1495" t="str">
        <f>VLOOKUP(Таблица1_113[[#This Row],[Марка]],Таблица13[#All],5,0)</f>
        <v>Нет</v>
      </c>
      <c r="AI1495" s="12">
        <v>44774</v>
      </c>
      <c r="AJ1495">
        <v>0</v>
      </c>
    </row>
    <row r="1496" spans="30:36">
      <c r="AD1496" t="s">
        <v>34</v>
      </c>
      <c r="AE1496" t="str">
        <f>VLOOKUP(Таблица1_113[[#This Row],[Марка]],Таблица13[#All],4,0)</f>
        <v>Япония</v>
      </c>
      <c r="AF1496" t="str">
        <f>VLOOKUP(Таблица1_113[[#This Row],[Марка]],Таблица13[#All],2,0)</f>
        <v>Luxury</v>
      </c>
      <c r="AG1496">
        <f>VLOOKUP(Таблица1_113[[#This Row],[Марка]],Таблица13[#All],3,0)</f>
        <v>1989</v>
      </c>
      <c r="AH1496" t="str">
        <f>VLOOKUP(Таблица1_113[[#This Row],[Марка]],Таблица13[#All],5,0)</f>
        <v>Нет</v>
      </c>
      <c r="AI1496" s="12">
        <v>44774</v>
      </c>
      <c r="AJ1496">
        <v>7</v>
      </c>
    </row>
    <row r="1497" spans="30:36">
      <c r="AD1497" t="s">
        <v>0</v>
      </c>
      <c r="AE1497" t="str">
        <f>VLOOKUP(Таблица1_113[[#This Row],[Марка]],Таблица13[#All],4,0)</f>
        <v>Корея</v>
      </c>
      <c r="AF1497" t="str">
        <f>VLOOKUP(Таблица1_113[[#This Row],[Марка]],Таблица13[#All],2,0)</f>
        <v>Economy</v>
      </c>
      <c r="AG1497">
        <f>VLOOKUP(Таблица1_113[[#This Row],[Марка]],Таблица13[#All],3,0)</f>
        <v>1967</v>
      </c>
      <c r="AH1497" t="str">
        <f>VLOOKUP(Таблица1_113[[#This Row],[Марка]],Таблица13[#All],5,0)</f>
        <v>Крупноузловая</v>
      </c>
      <c r="AI1497" s="12">
        <v>44774</v>
      </c>
      <c r="AJ1497">
        <v>2383</v>
      </c>
    </row>
    <row r="1498" spans="30:36">
      <c r="AD1498" t="s">
        <v>6</v>
      </c>
      <c r="AE1498" t="str">
        <f>VLOOKUP(Таблица1_113[[#This Row],[Марка]],Таблица13[#All],4,0)</f>
        <v>Китай</v>
      </c>
      <c r="AF1498" t="str">
        <f>VLOOKUP(Таблица1_113[[#This Row],[Марка]],Таблица13[#All],2,0)</f>
        <v>Economy</v>
      </c>
      <c r="AG1498">
        <f>VLOOKUP(Таблица1_113[[#This Row],[Марка]],Таблица13[#All],3,0)</f>
        <v>2013</v>
      </c>
      <c r="AH1498" t="str">
        <f>VLOOKUP(Таблица1_113[[#This Row],[Марка]],Таблица13[#All],5,0)</f>
        <v>Крупноузловая</v>
      </c>
      <c r="AI1498" s="12">
        <v>44774</v>
      </c>
      <c r="AJ1498">
        <v>35</v>
      </c>
    </row>
    <row r="1499" spans="30:36">
      <c r="AD1499" t="s">
        <v>18</v>
      </c>
      <c r="AE1499" t="str">
        <f>VLOOKUP(Таблица1_113[[#This Row],[Марка]],Таблица13[#All],4,0)</f>
        <v>Китай</v>
      </c>
      <c r="AF1499" t="str">
        <f>VLOOKUP(Таблица1_113[[#This Row],[Марка]],Таблица13[#All],2,0)</f>
        <v>Economy</v>
      </c>
      <c r="AG1499">
        <f>VLOOKUP(Таблица1_113[[#This Row],[Марка]],Таблица13[#All],3,0)</f>
        <v>1986</v>
      </c>
      <c r="AH1499" t="str">
        <f>VLOOKUP(Таблица1_113[[#This Row],[Марка]],Таблица13[#All],5,0)</f>
        <v>Крупноузловая</v>
      </c>
      <c r="AI1499" s="12">
        <v>44774</v>
      </c>
      <c r="AJ1499">
        <v>0</v>
      </c>
    </row>
    <row r="1500" spans="30:36">
      <c r="AD1500" t="s">
        <v>133</v>
      </c>
      <c r="AE1500" t="str">
        <f>VLOOKUP(Таблица1_113[[#This Row],[Марка]],Таблица13[#All],4,0)</f>
        <v>Китай</v>
      </c>
      <c r="AF1500" t="str">
        <f>VLOOKUP(Таблица1_113[[#This Row],[Марка]],Таблица13[#All],2,0)</f>
        <v>Economy</v>
      </c>
      <c r="AG1500">
        <f>VLOOKUP(Таблица1_113[[#This Row],[Марка]],Таблица13[#All],3,0)</f>
        <v>1996</v>
      </c>
      <c r="AH1500" t="str">
        <f>VLOOKUP(Таблица1_113[[#This Row],[Марка]],Таблица13[#All],5,0)</f>
        <v>Нет</v>
      </c>
      <c r="AI1500" s="12">
        <v>44774</v>
      </c>
      <c r="AJ1500">
        <v>5</v>
      </c>
    </row>
    <row r="1501" spans="30:36">
      <c r="AD1501" t="s">
        <v>129</v>
      </c>
      <c r="AE1501" t="str">
        <f>VLOOKUP(Таблица1_113[[#This Row],[Марка]],Таблица13[#All],4,0)</f>
        <v>Китай</v>
      </c>
      <c r="AF1501" t="str">
        <f>VLOOKUP(Таблица1_113[[#This Row],[Марка]],Таблица13[#All],2,0)</f>
        <v>Economy</v>
      </c>
      <c r="AG1501">
        <f>VLOOKUP(Таблица1_113[[#This Row],[Марка]],Таблица13[#All],3,0)</f>
        <v>1953</v>
      </c>
      <c r="AH1501" t="str">
        <f>VLOOKUP(Таблица1_113[[#This Row],[Марка]],Таблица13[#All],5,0)</f>
        <v>Нет</v>
      </c>
      <c r="AI1501" s="12">
        <v>44774</v>
      </c>
      <c r="AJ1501">
        <v>16</v>
      </c>
    </row>
    <row r="1502" spans="30:36">
      <c r="AD1502" t="s">
        <v>130</v>
      </c>
      <c r="AE1502" t="str">
        <f>VLOOKUP(Таблица1_113[[#This Row],[Марка]],Таблица13[#All],4,0)</f>
        <v>Китай</v>
      </c>
      <c r="AF1502" t="str">
        <f>VLOOKUP(Таблица1_113[[#This Row],[Марка]],Таблица13[#All],2,0)</f>
        <v>Economy</v>
      </c>
      <c r="AG1502">
        <f>VLOOKUP(Таблица1_113[[#This Row],[Марка]],Таблица13[#All],3,0)</f>
        <v>1969</v>
      </c>
      <c r="AH1502" t="str">
        <f>VLOOKUP(Таблица1_113[[#This Row],[Марка]],Таблица13[#All],5,0)</f>
        <v>Нет</v>
      </c>
      <c r="AI1502" s="12">
        <v>44774</v>
      </c>
      <c r="AJ1502">
        <v>5</v>
      </c>
    </row>
    <row r="1503" spans="30:36">
      <c r="AD1503" t="s">
        <v>137</v>
      </c>
      <c r="AE1503" t="str">
        <f>VLOOKUP(Таблица1_113[[#This Row],[Марка]],Таблица13[#All],4,0)</f>
        <v>Корея</v>
      </c>
      <c r="AF1503" t="str">
        <f>VLOOKUP(Таблица1_113[[#This Row],[Марка]],Таблица13[#All],2,0)</f>
        <v>Economy</v>
      </c>
      <c r="AG1503">
        <f>VLOOKUP(Таблица1_113[[#This Row],[Марка]],Таблица13[#All],3,0)</f>
        <v>1967</v>
      </c>
      <c r="AH1503" t="str">
        <f>VLOOKUP(Таблица1_113[[#This Row],[Марка]],Таблица13[#All],5,0)</f>
        <v>Нет</v>
      </c>
      <c r="AI1503" s="12">
        <v>44774</v>
      </c>
      <c r="AJ1503">
        <v>0</v>
      </c>
    </row>
    <row r="1504" spans="30:36">
      <c r="AD1504" t="s">
        <v>1</v>
      </c>
      <c r="AE1504" t="str">
        <f>VLOOKUP(Таблица1_113[[#This Row],[Марка]],Таблица13[#All],4,0)</f>
        <v>США</v>
      </c>
      <c r="AF1504" t="str">
        <f>VLOOKUP(Таблица1_113[[#This Row],[Марка]],Таблица13[#All],2,0)</f>
        <v>Economy</v>
      </c>
      <c r="AG1504">
        <f>VLOOKUP(Таблица1_113[[#This Row],[Марка]],Таблица13[#All],3,0)</f>
        <v>1911</v>
      </c>
      <c r="AH1504" t="str">
        <f>VLOOKUP(Таблица1_113[[#This Row],[Марка]],Таблица13[#All],5,0)</f>
        <v>Крупноузловая</v>
      </c>
      <c r="AI1504" s="12">
        <v>44774</v>
      </c>
      <c r="AJ1504">
        <v>3861</v>
      </c>
    </row>
    <row r="1505" spans="30:36">
      <c r="AD1505" t="s">
        <v>3</v>
      </c>
      <c r="AE1505" t="str">
        <f>VLOOKUP(Таблица1_113[[#This Row],[Марка]],Таблица13[#All],4,0)</f>
        <v>Китай</v>
      </c>
      <c r="AF1505" t="str">
        <f>VLOOKUP(Таблица1_113[[#This Row],[Марка]],Таблица13[#All],2,0)</f>
        <v>Economy</v>
      </c>
      <c r="AG1505">
        <f>VLOOKUP(Таблица1_113[[#This Row],[Марка]],Таблица13[#All],3,0)</f>
        <v>1997</v>
      </c>
      <c r="AH1505" t="str">
        <f>VLOOKUP(Таблица1_113[[#This Row],[Марка]],Таблица13[#All],5,0)</f>
        <v>Крупноузловая</v>
      </c>
      <c r="AI1505" s="12">
        <v>44774</v>
      </c>
      <c r="AJ1505">
        <v>786</v>
      </c>
    </row>
    <row r="1506" spans="30:36">
      <c r="AD1506" t="s">
        <v>124</v>
      </c>
      <c r="AE1506" t="str">
        <f>VLOOKUP(Таблица1_113[[#This Row],[Марка]],Таблица13[#All],4,0)</f>
        <v>Китай</v>
      </c>
      <c r="AF1506" t="str">
        <f>VLOOKUP(Таблица1_113[[#This Row],[Марка]],Таблица13[#All],2,0)</f>
        <v>Economy</v>
      </c>
      <c r="AG1506">
        <f>VLOOKUP(Таблица1_113[[#This Row],[Марка]],Таблица13[#All],3,0)</f>
        <v>1862</v>
      </c>
      <c r="AH1506" t="str">
        <f>VLOOKUP(Таблица1_113[[#This Row],[Марка]],Таблица13[#All],5,0)</f>
        <v>Нет</v>
      </c>
      <c r="AI1506" s="12">
        <v>44774</v>
      </c>
      <c r="AJ1506">
        <v>0</v>
      </c>
    </row>
    <row r="1507" spans="30:36">
      <c r="AD1507" t="s">
        <v>36</v>
      </c>
      <c r="AE1507" t="str">
        <f>VLOOKUP(Таблица1_113[[#This Row],[Марка]],Таблица13[#All],4,0)</f>
        <v>США</v>
      </c>
      <c r="AF1507" t="str">
        <f>VLOOKUP(Таблица1_113[[#This Row],[Марка]],Таблица13[#All],2,0)</f>
        <v>Luxury</v>
      </c>
      <c r="AG1507">
        <f>VLOOKUP(Таблица1_113[[#This Row],[Марка]],Таблица13[#All],3,0)</f>
        <v>1902</v>
      </c>
      <c r="AH1507" t="str">
        <f>VLOOKUP(Таблица1_113[[#This Row],[Марка]],Таблица13[#All],5,0)</f>
        <v>Нет</v>
      </c>
      <c r="AI1507" s="12">
        <v>44774</v>
      </c>
      <c r="AJ1507">
        <v>8</v>
      </c>
    </row>
    <row r="1508" spans="30:36">
      <c r="AD1508" t="s">
        <v>8</v>
      </c>
      <c r="AE1508" t="str">
        <f>VLOOKUP(Таблица1_113[[#This Row],[Марка]],Таблица13[#All],4,0)</f>
        <v>Германия</v>
      </c>
      <c r="AF1508" t="str">
        <f>VLOOKUP(Таблица1_113[[#This Row],[Марка]],Таблица13[#All],2,0)</f>
        <v>Luxury</v>
      </c>
      <c r="AG1508">
        <f>VLOOKUP(Таблица1_113[[#This Row],[Марка]],Таблица13[#All],3,0)</f>
        <v>1916</v>
      </c>
      <c r="AH1508" t="str">
        <f>VLOOKUP(Таблица1_113[[#This Row],[Марка]],Таблица13[#All],5,0)</f>
        <v>Нет</v>
      </c>
      <c r="AI1508" s="12">
        <v>44774</v>
      </c>
      <c r="AJ1508">
        <v>24</v>
      </c>
    </row>
    <row r="1509" spans="30:36">
      <c r="AD1509" t="s">
        <v>38</v>
      </c>
      <c r="AE1509" t="str">
        <f>VLOOKUP(Таблица1_113[[#This Row],[Марка]],Таблица13[#All],4,0)</f>
        <v>Германия</v>
      </c>
      <c r="AF1509" t="str">
        <f>VLOOKUP(Таблица1_113[[#This Row],[Марка]],Таблица13[#All],2,0)</f>
        <v>Luxury</v>
      </c>
      <c r="AG1509">
        <f>VLOOKUP(Таблица1_113[[#This Row],[Марка]],Таблица13[#All],3,0)</f>
        <v>1932</v>
      </c>
      <c r="AH1509" t="str">
        <f>VLOOKUP(Таблица1_113[[#This Row],[Марка]],Таблица13[#All],5,0)</f>
        <v>Нет</v>
      </c>
      <c r="AI1509" s="12">
        <v>44774</v>
      </c>
      <c r="AJ1509">
        <v>22</v>
      </c>
    </row>
    <row r="1510" spans="30:36">
      <c r="AD1510" s="26" t="s">
        <v>136</v>
      </c>
      <c r="AE1510" s="26" t="str">
        <f>VLOOKUP(Таблица1_113[[#This Row],[Марка]],Таблица13[#All],4,0)</f>
        <v>Россия</v>
      </c>
      <c r="AF1510" s="26" t="str">
        <f>VLOOKUP(Таблица1_113[[#This Row],[Марка]],Таблица13[#All],2,0)</f>
        <v>Economy</v>
      </c>
      <c r="AG1510" s="26">
        <f>VLOOKUP(Таблица1_113[[#This Row],[Марка]],Таблица13[#All],3,0)</f>
        <v>1941</v>
      </c>
      <c r="AH1510" s="26" t="str">
        <f>VLOOKUP(Таблица1_113[[#This Row],[Марка]],Таблица13[#All],5,0)</f>
        <v>Нет</v>
      </c>
      <c r="AI1510" s="29">
        <v>44805</v>
      </c>
      <c r="AJ1510" s="26">
        <v>49</v>
      </c>
    </row>
    <row r="1511" spans="30:36">
      <c r="AD1511" s="26" t="s">
        <v>135</v>
      </c>
      <c r="AE1511" s="26" t="str">
        <f>VLOOKUP(Таблица1_113[[#This Row],[Марка]],Таблица13[#All],4,0)</f>
        <v>-</v>
      </c>
      <c r="AF1511" s="26" t="str">
        <f>VLOOKUP(Таблица1_113[[#This Row],[Марка]],Таблица13[#All],2,0)</f>
        <v>-</v>
      </c>
      <c r="AG1511" s="26" t="str">
        <f>VLOOKUP(Таблица1_113[[#This Row],[Марка]],Таблица13[#All],3,0)</f>
        <v>-</v>
      </c>
      <c r="AH1511" s="26" t="str">
        <f>VLOOKUP(Таблица1_113[[#This Row],[Марка]],Таблица13[#All],5,0)</f>
        <v>-</v>
      </c>
      <c r="AI1511" s="29">
        <v>44805</v>
      </c>
      <c r="AJ1511" s="26">
        <v>80</v>
      </c>
    </row>
    <row r="1512" spans="30:36">
      <c r="AD1512" s="26" t="s">
        <v>39</v>
      </c>
      <c r="AE1512" s="26" t="str">
        <f>VLOOKUP(Таблица1_113[[#This Row],[Марка]],Таблица13[#All],4,0)</f>
        <v>Швеция</v>
      </c>
      <c r="AF1512" s="26" t="str">
        <f>VLOOKUP(Таблица1_113[[#This Row],[Марка]],Таблица13[#All],2,0)</f>
        <v>Business</v>
      </c>
      <c r="AG1512" s="26">
        <f>VLOOKUP(Таблица1_113[[#This Row],[Марка]],Таблица13[#All],3,0)</f>
        <v>1927</v>
      </c>
      <c r="AH1512" s="26" t="str">
        <f>VLOOKUP(Таблица1_113[[#This Row],[Марка]],Таблица13[#All],5,0)</f>
        <v>Нет</v>
      </c>
      <c r="AI1512" s="29">
        <v>44805</v>
      </c>
      <c r="AJ1512" s="26">
        <v>0</v>
      </c>
    </row>
    <row r="1513" spans="30:36">
      <c r="AD1513" s="26" t="s">
        <v>21</v>
      </c>
      <c r="AE1513" s="26" t="str">
        <f>VLOOKUP(Таблица1_113[[#This Row],[Марка]],Таблица13[#All],4,0)</f>
        <v>Германия</v>
      </c>
      <c r="AF1513" s="26" t="str">
        <f>VLOOKUP(Таблица1_113[[#This Row],[Марка]],Таблица13[#All],2,0)</f>
        <v>Business</v>
      </c>
      <c r="AG1513" s="26">
        <f>VLOOKUP(Таблица1_113[[#This Row],[Марка]],Таблица13[#All],3,0)</f>
        <v>1937</v>
      </c>
      <c r="AH1513" s="26" t="str">
        <f>VLOOKUP(Таблица1_113[[#This Row],[Марка]],Таблица13[#All],5,0)</f>
        <v>Нет</v>
      </c>
      <c r="AI1513" s="29">
        <v>44805</v>
      </c>
      <c r="AJ1513" s="26">
        <v>38</v>
      </c>
    </row>
    <row r="1514" spans="30:36">
      <c r="AD1514" s="26" t="s">
        <v>2</v>
      </c>
      <c r="AE1514" s="26" t="str">
        <f>VLOOKUP(Таблица1_113[[#This Row],[Марка]],Таблица13[#All],4,0)</f>
        <v>Япония</v>
      </c>
      <c r="AF1514" s="26" t="str">
        <f>VLOOKUP(Таблица1_113[[#This Row],[Марка]],Таблица13[#All],2,0)</f>
        <v>Business</v>
      </c>
      <c r="AG1514" s="26">
        <f>VLOOKUP(Таблица1_113[[#This Row],[Марка]],Таблица13[#All],3,0)</f>
        <v>1937</v>
      </c>
      <c r="AH1514" s="26" t="str">
        <f>VLOOKUP(Таблица1_113[[#This Row],[Марка]],Таблица13[#All],5,0)</f>
        <v>Нет</v>
      </c>
      <c r="AI1514" s="29">
        <v>44805</v>
      </c>
      <c r="AJ1514" s="26">
        <v>832</v>
      </c>
    </row>
    <row r="1515" spans="30:36">
      <c r="AD1515" s="26" t="s">
        <v>125</v>
      </c>
      <c r="AE1515" s="26" t="str">
        <f>VLOOKUP(Таблица1_113[[#This Row],[Марка]],Таблица13[#All],4,0)</f>
        <v>Япония</v>
      </c>
      <c r="AF1515" s="26" t="str">
        <f>VLOOKUP(Таблица1_113[[#This Row],[Марка]],Таблица13[#All],2,0)</f>
        <v>Business</v>
      </c>
      <c r="AG1515" s="26">
        <f>VLOOKUP(Таблица1_113[[#This Row],[Марка]],Таблица13[#All],3,0)</f>
        <v>1953</v>
      </c>
      <c r="AH1515" s="26" t="str">
        <f>VLOOKUP(Таблица1_113[[#This Row],[Марка]],Таблица13[#All],5,0)</f>
        <v>Нет</v>
      </c>
      <c r="AI1515" s="29">
        <v>44805</v>
      </c>
      <c r="AJ1515" s="26">
        <v>115</v>
      </c>
    </row>
    <row r="1516" spans="30:36">
      <c r="AD1516" s="26" t="s">
        <v>23</v>
      </c>
      <c r="AE1516" s="26" t="str">
        <f>VLOOKUP(Таблица1_113[[#This Row],[Марка]],Таблица13[#All],4,0)</f>
        <v>Франция</v>
      </c>
      <c r="AF1516" s="26" t="str">
        <f>VLOOKUP(Таблица1_113[[#This Row],[Марка]],Таблица13[#All],2,0)</f>
        <v>Economy</v>
      </c>
      <c r="AG1516" s="26">
        <f>VLOOKUP(Таблица1_113[[#This Row],[Марка]],Таблица13[#All],3,0)</f>
        <v>1899</v>
      </c>
      <c r="AH1516" s="26" t="str">
        <f>VLOOKUP(Таблица1_113[[#This Row],[Марка]],Таблица13[#All],5,0)</f>
        <v>Крупноузловая</v>
      </c>
      <c r="AI1516" s="29">
        <v>44805</v>
      </c>
      <c r="AJ1516" s="26">
        <v>191</v>
      </c>
    </row>
    <row r="1517" spans="30:36">
      <c r="AD1517" s="26" t="s">
        <v>37</v>
      </c>
      <c r="AE1517" s="26" t="str">
        <f>VLOOKUP(Таблица1_113[[#This Row],[Марка]],Таблица13[#All],4,0)</f>
        <v>Германия</v>
      </c>
      <c r="AF1517" s="26" t="str">
        <f>VLOOKUP(Таблица1_113[[#This Row],[Марка]],Таблица13[#All],2,0)</f>
        <v>Luxury</v>
      </c>
      <c r="AG1517" s="26">
        <f>VLOOKUP(Таблица1_113[[#This Row],[Марка]],Таблица13[#All],3,0)</f>
        <v>1931</v>
      </c>
      <c r="AH1517" s="26" t="str">
        <f>VLOOKUP(Таблица1_113[[#This Row],[Марка]],Таблица13[#All],5,0)</f>
        <v>Нет</v>
      </c>
      <c r="AI1517" s="29">
        <v>44805</v>
      </c>
      <c r="AJ1517" s="26">
        <v>22</v>
      </c>
    </row>
    <row r="1518" spans="30:36">
      <c r="AD1518" s="26" t="s">
        <v>22</v>
      </c>
      <c r="AE1518" s="26" t="str">
        <f>VLOOKUP(Таблица1_113[[#This Row],[Марка]],Таблица13[#All],4,0)</f>
        <v>Япония</v>
      </c>
      <c r="AF1518" s="26" t="str">
        <f>VLOOKUP(Таблица1_113[[#This Row],[Марка]],Таблица13[#All],2,0)</f>
        <v>Business</v>
      </c>
      <c r="AG1518" s="26">
        <f>VLOOKUP(Таблица1_113[[#This Row],[Марка]],Таблица13[#All],3,0)</f>
        <v>1933</v>
      </c>
      <c r="AH1518" s="26" t="str">
        <f>VLOOKUP(Таблица1_113[[#This Row],[Марка]],Таблица13[#All],5,0)</f>
        <v>Нет</v>
      </c>
      <c r="AI1518" s="29">
        <v>44805</v>
      </c>
      <c r="AJ1518" s="26">
        <v>36</v>
      </c>
    </row>
    <row r="1519" spans="30:36">
      <c r="AD1519" s="26" t="s">
        <v>9</v>
      </c>
      <c r="AE1519" s="26" t="str">
        <f>VLOOKUP(Таблица1_113[[#This Row],[Марка]],Таблица13[#All],4,0)</f>
        <v>Япония</v>
      </c>
      <c r="AF1519" s="26" t="str">
        <f>VLOOKUP(Таблица1_113[[#This Row],[Марка]],Таблица13[#All],2,0)</f>
        <v>Business</v>
      </c>
      <c r="AG1519" s="26">
        <f>VLOOKUP(Таблица1_113[[#This Row],[Марка]],Таблица13[#All],3,0)</f>
        <v>1870</v>
      </c>
      <c r="AH1519" s="26" t="str">
        <f>VLOOKUP(Таблица1_113[[#This Row],[Марка]],Таблица13[#All],5,0)</f>
        <v>Нет</v>
      </c>
      <c r="AI1519" s="29">
        <v>44805</v>
      </c>
      <c r="AJ1519" s="26">
        <v>0</v>
      </c>
    </row>
    <row r="1520" spans="30:36">
      <c r="AD1520" s="26" t="s">
        <v>40</v>
      </c>
      <c r="AE1520" s="26" t="str">
        <f>VLOOKUP(Таблица1_113[[#This Row],[Марка]],Таблица13[#All],4,0)</f>
        <v>Великобритания</v>
      </c>
      <c r="AF1520" s="26" t="str">
        <f>VLOOKUP(Таблица1_113[[#This Row],[Марка]],Таблица13[#All],2,0)</f>
        <v>Luxury</v>
      </c>
      <c r="AG1520" s="26">
        <f>VLOOKUP(Таблица1_113[[#This Row],[Марка]],Таблица13[#All],3,0)</f>
        <v>1959</v>
      </c>
      <c r="AH1520" s="26" t="str">
        <f>VLOOKUP(Таблица1_113[[#This Row],[Марка]],Таблица13[#All],5,0)</f>
        <v>Нет</v>
      </c>
      <c r="AI1520" s="29">
        <v>44805</v>
      </c>
      <c r="AJ1520" s="26">
        <v>0</v>
      </c>
    </row>
    <row r="1521" spans="30:36">
      <c r="AD1521" s="26" t="s">
        <v>128</v>
      </c>
      <c r="AE1521" s="26" t="str">
        <f>VLOOKUP(Таблица1_113[[#This Row],[Марка]],Таблица13[#All],4,0)</f>
        <v>Германия</v>
      </c>
      <c r="AF1521" s="26" t="str">
        <f>VLOOKUP(Таблица1_113[[#This Row],[Марка]],Таблица13[#All],2,0)</f>
        <v>Luxury</v>
      </c>
      <c r="AG1521" s="26">
        <f>VLOOKUP(Таблица1_113[[#This Row],[Марка]],Таблица13[#All],3,0)</f>
        <v>1926</v>
      </c>
      <c r="AH1521" s="26" t="str">
        <f>VLOOKUP(Таблица1_113[[#This Row],[Марка]],Таблица13[#All],5,0)</f>
        <v>Нет</v>
      </c>
      <c r="AI1521" s="29">
        <v>44805</v>
      </c>
      <c r="AJ1521" s="26">
        <v>40</v>
      </c>
    </row>
    <row r="1522" spans="30:36">
      <c r="AD1522" s="26" t="s">
        <v>139</v>
      </c>
      <c r="AE1522" s="26" t="str">
        <f>VLOOKUP(Таблица1_113[[#This Row],[Марка]],Таблица13[#All],4,0)</f>
        <v>Япония</v>
      </c>
      <c r="AF1522" s="26" t="str">
        <f>VLOOKUP(Таблица1_113[[#This Row],[Марка]],Таблица13[#All],2,0)</f>
        <v>Business</v>
      </c>
      <c r="AG1522" s="26">
        <f>VLOOKUP(Таблица1_113[[#This Row],[Марка]],Таблица13[#All],3,0)</f>
        <v>1920</v>
      </c>
      <c r="AH1522" s="26" t="str">
        <f>VLOOKUP(Таблица1_113[[#This Row],[Марка]],Таблица13[#All],5,0)</f>
        <v>Нет</v>
      </c>
      <c r="AI1522" s="29">
        <v>44805</v>
      </c>
      <c r="AJ1522" s="26">
        <v>7</v>
      </c>
    </row>
    <row r="1523" spans="30:36">
      <c r="AD1523" s="26" t="s">
        <v>5</v>
      </c>
      <c r="AE1523" s="26" t="str">
        <f>VLOOKUP(Таблица1_113[[#This Row],[Марка]],Таблица13[#All],4,0)</f>
        <v>Япония</v>
      </c>
      <c r="AF1523" s="26" t="str">
        <f>VLOOKUP(Таблица1_113[[#This Row],[Марка]],Таблица13[#All],2,0)</f>
        <v>Luxury</v>
      </c>
      <c r="AG1523" s="26">
        <f>VLOOKUP(Таблица1_113[[#This Row],[Марка]],Таблица13[#All],3,0)</f>
        <v>1989</v>
      </c>
      <c r="AH1523" s="26" t="str">
        <f>VLOOKUP(Таблица1_113[[#This Row],[Марка]],Таблица13[#All],5,0)</f>
        <v>Нет</v>
      </c>
      <c r="AI1523" s="29">
        <v>44805</v>
      </c>
      <c r="AJ1523" s="26">
        <v>274</v>
      </c>
    </row>
    <row r="1524" spans="30:36">
      <c r="AD1524" s="26" t="s">
        <v>35</v>
      </c>
      <c r="AE1524" s="26" t="str">
        <f>VLOOKUP(Таблица1_113[[#This Row],[Марка]],Таблица13[#All],4,0)</f>
        <v>Великобритания</v>
      </c>
      <c r="AF1524" s="26" t="str">
        <f>VLOOKUP(Таблица1_113[[#This Row],[Марка]],Таблица13[#All],2,0)</f>
        <v>Luxury</v>
      </c>
      <c r="AG1524" s="26">
        <f>VLOOKUP(Таблица1_113[[#This Row],[Марка]],Таблица13[#All],3,0)</f>
        <v>1948</v>
      </c>
      <c r="AH1524" s="26" t="str">
        <f>VLOOKUP(Таблица1_113[[#This Row],[Марка]],Таблица13[#All],5,0)</f>
        <v>Нет</v>
      </c>
      <c r="AI1524" s="29">
        <v>44805</v>
      </c>
      <c r="AJ1524" s="26">
        <v>0</v>
      </c>
    </row>
    <row r="1525" spans="30:36">
      <c r="AD1525" s="26" t="s">
        <v>19</v>
      </c>
      <c r="AE1525" s="26" t="str">
        <f>VLOOKUP(Таблица1_113[[#This Row],[Марка]],Таблица13[#All],4,0)</f>
        <v>Россия</v>
      </c>
      <c r="AF1525" s="26" t="str">
        <f>VLOOKUP(Таблица1_113[[#This Row],[Марка]],Таблица13[#All],2,0)</f>
        <v>Economy</v>
      </c>
      <c r="AG1525" s="26">
        <f>VLOOKUP(Таблица1_113[[#This Row],[Марка]],Таблица13[#All],3,0)</f>
        <v>1970</v>
      </c>
      <c r="AH1525" s="26" t="str">
        <f>VLOOKUP(Таблица1_113[[#This Row],[Марка]],Таблица13[#All],5,0)</f>
        <v>Крупноузловая</v>
      </c>
      <c r="AI1525" s="29">
        <v>44805</v>
      </c>
      <c r="AJ1525" s="26">
        <v>379</v>
      </c>
    </row>
    <row r="1526" spans="30:36">
      <c r="AD1526" s="26" t="s">
        <v>15</v>
      </c>
      <c r="AE1526" s="26" t="str">
        <f>VLOOKUP(Таблица1_113[[#This Row],[Марка]],Таблица13[#All],4,0)</f>
        <v>Корея</v>
      </c>
      <c r="AF1526" s="26" t="str">
        <f>VLOOKUP(Таблица1_113[[#This Row],[Марка]],Таблица13[#All],2,0)</f>
        <v>Economy</v>
      </c>
      <c r="AG1526" s="26">
        <f>VLOOKUP(Таблица1_113[[#This Row],[Марка]],Таблица13[#All],3,0)</f>
        <v>1944</v>
      </c>
      <c r="AH1526" s="26" t="str">
        <f>VLOOKUP(Таблица1_113[[#This Row],[Марка]],Таблица13[#All],5,0)</f>
        <v>Крупноузловая</v>
      </c>
      <c r="AI1526" s="29">
        <v>44805</v>
      </c>
      <c r="AJ1526" s="26">
        <v>1312</v>
      </c>
    </row>
    <row r="1527" spans="30:36">
      <c r="AD1527" s="26" t="s">
        <v>134</v>
      </c>
      <c r="AE1527" s="26" t="str">
        <f>VLOOKUP(Таблица1_113[[#This Row],[Марка]],Таблица13[#All],4,0)</f>
        <v>Великобритания</v>
      </c>
      <c r="AF1527" s="26" t="str">
        <f>VLOOKUP(Таблица1_113[[#This Row],[Марка]],Таблица13[#All],2,0)</f>
        <v>Luxury</v>
      </c>
      <c r="AG1527" s="26">
        <f>VLOOKUP(Таблица1_113[[#This Row],[Марка]],Таблица13[#All],3,0)</f>
        <v>1922</v>
      </c>
      <c r="AH1527" s="26" t="str">
        <f>VLOOKUP(Таблица1_113[[#This Row],[Марка]],Таблица13[#All],5,0)</f>
        <v>Нет</v>
      </c>
      <c r="AI1527" s="29">
        <v>44805</v>
      </c>
      <c r="AJ1527" s="26">
        <v>0</v>
      </c>
    </row>
    <row r="1528" spans="30:36">
      <c r="AD1528" s="26" t="s">
        <v>4</v>
      </c>
      <c r="AE1528" s="26" t="str">
        <f>VLOOKUP(Таблица1_113[[#This Row],[Марка]],Таблица13[#All],4,0)</f>
        <v>Китай</v>
      </c>
      <c r="AF1528" s="26" t="str">
        <f>VLOOKUP(Таблица1_113[[#This Row],[Марка]],Таблица13[#All],2,0)</f>
        <v>Economy</v>
      </c>
      <c r="AG1528" s="26">
        <f>VLOOKUP(Таблица1_113[[#This Row],[Марка]],Таблица13[#All],3,0)</f>
        <v>1964</v>
      </c>
      <c r="AH1528" s="26" t="str">
        <f>VLOOKUP(Таблица1_113[[#This Row],[Марка]],Таблица13[#All],5,0)</f>
        <v>Крупноузловая</v>
      </c>
      <c r="AI1528" s="29">
        <v>44805</v>
      </c>
      <c r="AJ1528" s="26">
        <v>393</v>
      </c>
    </row>
    <row r="1529" spans="30:36">
      <c r="AD1529" s="26" t="s">
        <v>140</v>
      </c>
      <c r="AE1529" s="26" t="str">
        <f>VLOOKUP(Таблица1_113[[#This Row],[Марка]],Таблица13[#All],4,0)</f>
        <v>Япония</v>
      </c>
      <c r="AF1529" s="26" t="str">
        <f>VLOOKUP(Таблица1_113[[#This Row],[Марка]],Таблица13[#All],2,0)</f>
        <v>Business</v>
      </c>
      <c r="AG1529" s="26">
        <f>VLOOKUP(Таблица1_113[[#This Row],[Марка]],Таблица13[#All],3,0)</f>
        <v>1916</v>
      </c>
      <c r="AH1529" s="26" t="str">
        <f>VLOOKUP(Таблица1_113[[#This Row],[Марка]],Таблица13[#All],5,0)</f>
        <v>Нет</v>
      </c>
      <c r="AI1529" s="29">
        <v>44805</v>
      </c>
      <c r="AJ1529" s="26">
        <v>0</v>
      </c>
    </row>
    <row r="1530" spans="30:36">
      <c r="AD1530" s="26" t="s">
        <v>34</v>
      </c>
      <c r="AE1530" s="26" t="str">
        <f>VLOOKUP(Таблица1_113[[#This Row],[Марка]],Таблица13[#All],4,0)</f>
        <v>Япония</v>
      </c>
      <c r="AF1530" s="26" t="str">
        <f>VLOOKUP(Таблица1_113[[#This Row],[Марка]],Таблица13[#All],2,0)</f>
        <v>Luxury</v>
      </c>
      <c r="AG1530" s="26">
        <f>VLOOKUP(Таблица1_113[[#This Row],[Марка]],Таблица13[#All],3,0)</f>
        <v>1989</v>
      </c>
      <c r="AH1530" s="26" t="str">
        <f>VLOOKUP(Таблица1_113[[#This Row],[Марка]],Таблица13[#All],5,0)</f>
        <v>Нет</v>
      </c>
      <c r="AI1530" s="29">
        <v>44805</v>
      </c>
      <c r="AJ1530" s="26">
        <v>14</v>
      </c>
    </row>
    <row r="1531" spans="30:36">
      <c r="AD1531" s="26" t="s">
        <v>0</v>
      </c>
      <c r="AE1531" s="26" t="str">
        <f>VLOOKUP(Таблица1_113[[#This Row],[Марка]],Таблица13[#All],4,0)</f>
        <v>Корея</v>
      </c>
      <c r="AF1531" s="26" t="str">
        <f>VLOOKUP(Таблица1_113[[#This Row],[Марка]],Таблица13[#All],2,0)</f>
        <v>Economy</v>
      </c>
      <c r="AG1531" s="26">
        <f>VLOOKUP(Таблица1_113[[#This Row],[Марка]],Таблица13[#All],3,0)</f>
        <v>1967</v>
      </c>
      <c r="AH1531" s="26" t="str">
        <f>VLOOKUP(Таблица1_113[[#This Row],[Марка]],Таблица13[#All],5,0)</f>
        <v>Крупноузловая</v>
      </c>
      <c r="AI1531" s="29">
        <v>44805</v>
      </c>
      <c r="AJ1531" s="26">
        <v>2754</v>
      </c>
    </row>
    <row r="1532" spans="30:36">
      <c r="AD1532" s="26" t="s">
        <v>6</v>
      </c>
      <c r="AE1532" s="26" t="str">
        <f>VLOOKUP(Таблица1_113[[#This Row],[Марка]],Таблица13[#All],4,0)</f>
        <v>Китай</v>
      </c>
      <c r="AF1532" s="26" t="str">
        <f>VLOOKUP(Таблица1_113[[#This Row],[Марка]],Таблица13[#All],2,0)</f>
        <v>Economy</v>
      </c>
      <c r="AG1532" s="26">
        <f>VLOOKUP(Таблица1_113[[#This Row],[Марка]],Таблица13[#All],3,0)</f>
        <v>2013</v>
      </c>
      <c r="AH1532" s="26" t="str">
        <f>VLOOKUP(Таблица1_113[[#This Row],[Марка]],Таблица13[#All],5,0)</f>
        <v>Крупноузловая</v>
      </c>
      <c r="AI1532" s="29">
        <v>44805</v>
      </c>
      <c r="AJ1532" s="26">
        <v>120</v>
      </c>
    </row>
    <row r="1533" spans="30:36">
      <c r="AD1533" s="26" t="s">
        <v>18</v>
      </c>
      <c r="AE1533" s="26" t="str">
        <f>VLOOKUP(Таблица1_113[[#This Row],[Марка]],Таблица13[#All],4,0)</f>
        <v>Китай</v>
      </c>
      <c r="AF1533" s="26" t="str">
        <f>VLOOKUP(Таблица1_113[[#This Row],[Марка]],Таблица13[#All],2,0)</f>
        <v>Economy</v>
      </c>
      <c r="AG1533" s="26">
        <f>VLOOKUP(Таблица1_113[[#This Row],[Марка]],Таблица13[#All],3,0)</f>
        <v>1986</v>
      </c>
      <c r="AH1533" s="26" t="str">
        <f>VLOOKUP(Таблица1_113[[#This Row],[Марка]],Таблица13[#All],5,0)</f>
        <v>Крупноузловая</v>
      </c>
      <c r="AI1533" s="29">
        <v>44805</v>
      </c>
      <c r="AJ1533" s="26">
        <v>0</v>
      </c>
    </row>
    <row r="1534" spans="30:36">
      <c r="AD1534" s="26" t="s">
        <v>133</v>
      </c>
      <c r="AE1534" s="26" t="str">
        <f>VLOOKUP(Таблица1_113[[#This Row],[Марка]],Таблица13[#All],4,0)</f>
        <v>Китай</v>
      </c>
      <c r="AF1534" s="26" t="str">
        <f>VLOOKUP(Таблица1_113[[#This Row],[Марка]],Таблица13[#All],2,0)</f>
        <v>Economy</v>
      </c>
      <c r="AG1534" s="26">
        <f>VLOOKUP(Таблица1_113[[#This Row],[Марка]],Таблица13[#All],3,0)</f>
        <v>1996</v>
      </c>
      <c r="AH1534" s="26" t="str">
        <f>VLOOKUP(Таблица1_113[[#This Row],[Марка]],Таблица13[#All],5,0)</f>
        <v>Нет</v>
      </c>
      <c r="AI1534" s="29">
        <v>44805</v>
      </c>
      <c r="AJ1534" s="26">
        <v>0</v>
      </c>
    </row>
    <row r="1535" spans="30:36">
      <c r="AD1535" s="26" t="s">
        <v>129</v>
      </c>
      <c r="AE1535" s="26" t="str">
        <f>VLOOKUP(Таблица1_113[[#This Row],[Марка]],Таблица13[#All],4,0)</f>
        <v>Китай</v>
      </c>
      <c r="AF1535" s="26" t="str">
        <f>VLOOKUP(Таблица1_113[[#This Row],[Марка]],Таблица13[#All],2,0)</f>
        <v>Economy</v>
      </c>
      <c r="AG1535" s="26">
        <f>VLOOKUP(Таблица1_113[[#This Row],[Марка]],Таблица13[#All],3,0)</f>
        <v>1953</v>
      </c>
      <c r="AH1535" s="26" t="str">
        <f>VLOOKUP(Таблица1_113[[#This Row],[Марка]],Таблица13[#All],5,0)</f>
        <v>Нет</v>
      </c>
      <c r="AI1535" s="29">
        <v>44805</v>
      </c>
      <c r="AJ1535" s="26">
        <v>39</v>
      </c>
    </row>
    <row r="1536" spans="30:36">
      <c r="AD1536" s="26" t="s">
        <v>130</v>
      </c>
      <c r="AE1536" s="26" t="str">
        <f>VLOOKUP(Таблица1_113[[#This Row],[Марка]],Таблица13[#All],4,0)</f>
        <v>Китай</v>
      </c>
      <c r="AF1536" s="26" t="str">
        <f>VLOOKUP(Таблица1_113[[#This Row],[Марка]],Таблица13[#All],2,0)</f>
        <v>Economy</v>
      </c>
      <c r="AG1536" s="26">
        <f>VLOOKUP(Таблица1_113[[#This Row],[Марка]],Таблица13[#All],3,0)</f>
        <v>1969</v>
      </c>
      <c r="AH1536" s="26" t="str">
        <f>VLOOKUP(Таблица1_113[[#This Row],[Марка]],Таблица13[#All],5,0)</f>
        <v>Нет</v>
      </c>
      <c r="AI1536" s="29">
        <v>44805</v>
      </c>
      <c r="AJ1536" s="26">
        <v>0</v>
      </c>
    </row>
    <row r="1537" spans="30:36">
      <c r="AD1537" s="26" t="s">
        <v>137</v>
      </c>
      <c r="AE1537" s="26" t="str">
        <f>VLOOKUP(Таблица1_113[[#This Row],[Марка]],Таблица13[#All],4,0)</f>
        <v>Корея</v>
      </c>
      <c r="AF1537" s="26" t="str">
        <f>VLOOKUP(Таблица1_113[[#This Row],[Марка]],Таблица13[#All],2,0)</f>
        <v>Economy</v>
      </c>
      <c r="AG1537" s="26">
        <f>VLOOKUP(Таблица1_113[[#This Row],[Марка]],Таблица13[#All],3,0)</f>
        <v>1967</v>
      </c>
      <c r="AH1537" s="26" t="str">
        <f>VLOOKUP(Таблица1_113[[#This Row],[Марка]],Таблица13[#All],5,0)</f>
        <v>Нет</v>
      </c>
      <c r="AI1537" s="29">
        <v>44805</v>
      </c>
      <c r="AJ1537" s="26">
        <v>7</v>
      </c>
    </row>
    <row r="1538" spans="30:36">
      <c r="AD1538" s="26" t="s">
        <v>1</v>
      </c>
      <c r="AE1538" s="26" t="str">
        <f>VLOOKUP(Таблица1_113[[#This Row],[Марка]],Таблица13[#All],4,0)</f>
        <v>США</v>
      </c>
      <c r="AF1538" s="26" t="str">
        <f>VLOOKUP(Таблица1_113[[#This Row],[Марка]],Таблица13[#All],2,0)</f>
        <v>Economy</v>
      </c>
      <c r="AG1538" s="26">
        <f>VLOOKUP(Таблица1_113[[#This Row],[Марка]],Таблица13[#All],3,0)</f>
        <v>1911</v>
      </c>
      <c r="AH1538" s="26" t="str">
        <f>VLOOKUP(Таблица1_113[[#This Row],[Марка]],Таблица13[#All],5,0)</f>
        <v>Крупноузловая</v>
      </c>
      <c r="AI1538" s="29">
        <v>44805</v>
      </c>
      <c r="AJ1538" s="26">
        <v>4023</v>
      </c>
    </row>
    <row r="1539" spans="30:36">
      <c r="AD1539" s="26" t="s">
        <v>3</v>
      </c>
      <c r="AE1539" s="26" t="str">
        <f>VLOOKUP(Таблица1_113[[#This Row],[Марка]],Таблица13[#All],4,0)</f>
        <v>Китай</v>
      </c>
      <c r="AF1539" s="26" t="str">
        <f>VLOOKUP(Таблица1_113[[#This Row],[Марка]],Таблица13[#All],2,0)</f>
        <v>Economy</v>
      </c>
      <c r="AG1539" s="26">
        <f>VLOOKUP(Таблица1_113[[#This Row],[Марка]],Таблица13[#All],3,0)</f>
        <v>1997</v>
      </c>
      <c r="AH1539" s="26" t="str">
        <f>VLOOKUP(Таблица1_113[[#This Row],[Марка]],Таблица13[#All],5,0)</f>
        <v>Крупноузловая</v>
      </c>
      <c r="AI1539" s="29">
        <v>44805</v>
      </c>
      <c r="AJ1539" s="26">
        <v>816</v>
      </c>
    </row>
    <row r="1540" spans="30:36">
      <c r="AD1540" s="26" t="s">
        <v>124</v>
      </c>
      <c r="AE1540" s="26" t="str">
        <f>VLOOKUP(Таблица1_113[[#This Row],[Марка]],Таблица13[#All],4,0)</f>
        <v>Китай</v>
      </c>
      <c r="AF1540" s="26" t="str">
        <f>VLOOKUP(Таблица1_113[[#This Row],[Марка]],Таблица13[#All],2,0)</f>
        <v>Economy</v>
      </c>
      <c r="AG1540" s="26">
        <f>VLOOKUP(Таблица1_113[[#This Row],[Марка]],Таблица13[#All],3,0)</f>
        <v>1862</v>
      </c>
      <c r="AH1540" s="26" t="str">
        <f>VLOOKUP(Таблица1_113[[#This Row],[Марка]],Таблица13[#All],5,0)</f>
        <v>Нет</v>
      </c>
      <c r="AI1540" s="29">
        <v>44805</v>
      </c>
      <c r="AJ1540" s="26">
        <v>0</v>
      </c>
    </row>
    <row r="1541" spans="30:36">
      <c r="AD1541" s="26" t="s">
        <v>36</v>
      </c>
      <c r="AE1541" s="26" t="str">
        <f>VLOOKUP(Таблица1_113[[#This Row],[Марка]],Таблица13[#All],4,0)</f>
        <v>США</v>
      </c>
      <c r="AF1541" s="26" t="str">
        <f>VLOOKUP(Таблица1_113[[#This Row],[Марка]],Таблица13[#All],2,0)</f>
        <v>Luxury</v>
      </c>
      <c r="AG1541" s="26">
        <f>VLOOKUP(Таблица1_113[[#This Row],[Марка]],Таблица13[#All],3,0)</f>
        <v>1902</v>
      </c>
      <c r="AH1541" s="26" t="str">
        <f>VLOOKUP(Таблица1_113[[#This Row],[Марка]],Таблица13[#All],5,0)</f>
        <v>Нет</v>
      </c>
      <c r="AI1541" s="29">
        <v>44805</v>
      </c>
      <c r="AJ1541" s="26">
        <v>37</v>
      </c>
    </row>
    <row r="1542" spans="30:36">
      <c r="AD1542" s="26" t="s">
        <v>8</v>
      </c>
      <c r="AE1542" s="26" t="str">
        <f>VLOOKUP(Таблица1_113[[#This Row],[Марка]],Таблица13[#All],4,0)</f>
        <v>Германия</v>
      </c>
      <c r="AF1542" s="26" t="str">
        <f>VLOOKUP(Таблица1_113[[#This Row],[Марка]],Таблица13[#All],2,0)</f>
        <v>Luxury</v>
      </c>
      <c r="AG1542" s="26">
        <f>VLOOKUP(Таблица1_113[[#This Row],[Марка]],Таблица13[#All],3,0)</f>
        <v>1916</v>
      </c>
      <c r="AH1542" s="26" t="str">
        <f>VLOOKUP(Таблица1_113[[#This Row],[Марка]],Таблица13[#All],5,0)</f>
        <v>Нет</v>
      </c>
      <c r="AI1542" s="29">
        <v>44805</v>
      </c>
      <c r="AJ1542" s="26">
        <v>18</v>
      </c>
    </row>
    <row r="1543" spans="30:36">
      <c r="AD1543" s="26" t="s">
        <v>38</v>
      </c>
      <c r="AE1543" s="26" t="str">
        <f>VLOOKUP(Таблица1_113[[#This Row],[Марка]],Таблица13[#All],4,0)</f>
        <v>Германия</v>
      </c>
      <c r="AF1543" s="26" t="str">
        <f>VLOOKUP(Таблица1_113[[#This Row],[Марка]],Таблица13[#All],2,0)</f>
        <v>Luxury</v>
      </c>
      <c r="AG1543" s="26">
        <f>VLOOKUP(Таблица1_113[[#This Row],[Марка]],Таблица13[#All],3,0)</f>
        <v>1932</v>
      </c>
      <c r="AH1543" s="26" t="str">
        <f>VLOOKUP(Таблица1_113[[#This Row],[Марка]],Таблица13[#All],5,0)</f>
        <v>Нет</v>
      </c>
      <c r="AI1543" s="29">
        <v>44805</v>
      </c>
      <c r="AJ1543" s="26">
        <v>8</v>
      </c>
    </row>
    <row r="1544" spans="30:36">
      <c r="AD1544" t="s">
        <v>136</v>
      </c>
      <c r="AE1544" t="str">
        <f>VLOOKUP(Таблица1_113[[#This Row],[Марка]],Таблица13[#All],4,0)</f>
        <v>Россия</v>
      </c>
      <c r="AF1544" t="str">
        <f>VLOOKUP(Таблица1_113[[#This Row],[Марка]],Таблица13[#All],2,0)</f>
        <v>Economy</v>
      </c>
      <c r="AG1544">
        <f>VLOOKUP(Таблица1_113[[#This Row],[Марка]],Таблица13[#All],3,0)</f>
        <v>1941</v>
      </c>
      <c r="AH1544" t="str">
        <f>VLOOKUP(Таблица1_113[[#This Row],[Марка]],Таблица13[#All],5,0)</f>
        <v>Нет</v>
      </c>
      <c r="AI1544" s="12">
        <v>44835</v>
      </c>
      <c r="AJ1544">
        <v>64</v>
      </c>
    </row>
    <row r="1545" spans="30:36">
      <c r="AD1545" t="s">
        <v>135</v>
      </c>
      <c r="AE1545" t="str">
        <f>VLOOKUP(Таблица1_113[[#This Row],[Марка]],Таблица13[#All],4,0)</f>
        <v>-</v>
      </c>
      <c r="AF1545" t="str">
        <f>VLOOKUP(Таблица1_113[[#This Row],[Марка]],Таблица13[#All],2,0)</f>
        <v>-</v>
      </c>
      <c r="AG1545" t="str">
        <f>VLOOKUP(Таблица1_113[[#This Row],[Марка]],Таблица13[#All],3,0)</f>
        <v>-</v>
      </c>
      <c r="AH1545" t="str">
        <f>VLOOKUP(Таблица1_113[[#This Row],[Марка]],Таблица13[#All],5,0)</f>
        <v>-</v>
      </c>
      <c r="AI1545" s="12">
        <v>44835</v>
      </c>
      <c r="AJ1545">
        <v>73</v>
      </c>
    </row>
    <row r="1546" spans="30:36">
      <c r="AD1546" t="s">
        <v>39</v>
      </c>
      <c r="AE1546" t="str">
        <f>VLOOKUP(Таблица1_113[[#This Row],[Марка]],Таблица13[#All],4,0)</f>
        <v>Швеция</v>
      </c>
      <c r="AF1546" t="str">
        <f>VLOOKUP(Таблица1_113[[#This Row],[Марка]],Таблица13[#All],2,0)</f>
        <v>Business</v>
      </c>
      <c r="AG1546">
        <f>VLOOKUP(Таблица1_113[[#This Row],[Марка]],Таблица13[#All],3,0)</f>
        <v>1927</v>
      </c>
      <c r="AH1546" t="str">
        <f>VLOOKUP(Таблица1_113[[#This Row],[Марка]],Таблица13[#All],5,0)</f>
        <v>Нет</v>
      </c>
      <c r="AI1546" s="12">
        <v>44835</v>
      </c>
      <c r="AJ1546">
        <v>0</v>
      </c>
    </row>
    <row r="1547" spans="30:36">
      <c r="AD1547" t="s">
        <v>21</v>
      </c>
      <c r="AE1547" t="str">
        <f>VLOOKUP(Таблица1_113[[#This Row],[Марка]],Таблица13[#All],4,0)</f>
        <v>Германия</v>
      </c>
      <c r="AF1547" t="str">
        <f>VLOOKUP(Таблица1_113[[#This Row],[Марка]],Таблица13[#All],2,0)</f>
        <v>Business</v>
      </c>
      <c r="AG1547">
        <f>VLOOKUP(Таблица1_113[[#This Row],[Марка]],Таблица13[#All],3,0)</f>
        <v>1937</v>
      </c>
      <c r="AH1547" t="str">
        <f>VLOOKUP(Таблица1_113[[#This Row],[Марка]],Таблица13[#All],5,0)</f>
        <v>Нет</v>
      </c>
      <c r="AI1547" s="12">
        <v>44835</v>
      </c>
      <c r="AJ1547">
        <v>10</v>
      </c>
    </row>
    <row r="1548" spans="30:36">
      <c r="AD1548" t="s">
        <v>2</v>
      </c>
      <c r="AE1548" t="str">
        <f>VLOOKUP(Таблица1_113[[#This Row],[Марка]],Таблица13[#All],4,0)</f>
        <v>Япония</v>
      </c>
      <c r="AF1548" t="str">
        <f>VLOOKUP(Таблица1_113[[#This Row],[Марка]],Таблица13[#All],2,0)</f>
        <v>Business</v>
      </c>
      <c r="AG1548">
        <f>VLOOKUP(Таблица1_113[[#This Row],[Марка]],Таблица13[#All],3,0)</f>
        <v>1937</v>
      </c>
      <c r="AH1548" t="str">
        <f>VLOOKUP(Таблица1_113[[#This Row],[Марка]],Таблица13[#All],5,0)</f>
        <v>Нет</v>
      </c>
      <c r="AI1548" s="12">
        <v>44835</v>
      </c>
      <c r="AJ1548">
        <v>657</v>
      </c>
    </row>
    <row r="1549" spans="30:36">
      <c r="AD1549" t="s">
        <v>125</v>
      </c>
      <c r="AE1549" t="str">
        <f>VLOOKUP(Таблица1_113[[#This Row],[Марка]],Таблица13[#All],4,0)</f>
        <v>Япония</v>
      </c>
      <c r="AF1549" t="str">
        <f>VLOOKUP(Таблица1_113[[#This Row],[Марка]],Таблица13[#All],2,0)</f>
        <v>Business</v>
      </c>
      <c r="AG1549">
        <f>VLOOKUP(Таблица1_113[[#This Row],[Марка]],Таблица13[#All],3,0)</f>
        <v>1953</v>
      </c>
      <c r="AH1549" t="str">
        <f>VLOOKUP(Таблица1_113[[#This Row],[Марка]],Таблица13[#All],5,0)</f>
        <v>Нет</v>
      </c>
      <c r="AI1549" s="12">
        <v>44835</v>
      </c>
      <c r="AJ1549">
        <v>111</v>
      </c>
    </row>
    <row r="1550" spans="30:36">
      <c r="AD1550" t="s">
        <v>23</v>
      </c>
      <c r="AE1550" t="str">
        <f>VLOOKUP(Таблица1_113[[#This Row],[Марка]],Таблица13[#All],4,0)</f>
        <v>Франция</v>
      </c>
      <c r="AF1550" t="str">
        <f>VLOOKUP(Таблица1_113[[#This Row],[Марка]],Таблица13[#All],2,0)</f>
        <v>Economy</v>
      </c>
      <c r="AG1550">
        <f>VLOOKUP(Таблица1_113[[#This Row],[Марка]],Таблица13[#All],3,0)</f>
        <v>1899</v>
      </c>
      <c r="AH1550" t="str">
        <f>VLOOKUP(Таблица1_113[[#This Row],[Марка]],Таблица13[#All],5,0)</f>
        <v>Крупноузловая</v>
      </c>
      <c r="AI1550" s="12">
        <v>44835</v>
      </c>
      <c r="AJ1550">
        <v>77</v>
      </c>
    </row>
    <row r="1551" spans="30:36">
      <c r="AD1551" t="s">
        <v>37</v>
      </c>
      <c r="AE1551" t="str">
        <f>VLOOKUP(Таблица1_113[[#This Row],[Марка]],Таблица13[#All],4,0)</f>
        <v>Германия</v>
      </c>
      <c r="AF1551" t="str">
        <f>VLOOKUP(Таблица1_113[[#This Row],[Марка]],Таблица13[#All],2,0)</f>
        <v>Luxury</v>
      </c>
      <c r="AG1551">
        <f>VLOOKUP(Таблица1_113[[#This Row],[Марка]],Таблица13[#All],3,0)</f>
        <v>1931</v>
      </c>
      <c r="AH1551" t="str">
        <f>VLOOKUP(Таблица1_113[[#This Row],[Марка]],Таблица13[#All],5,0)</f>
        <v>Нет</v>
      </c>
      <c r="AI1551" s="12">
        <v>44835</v>
      </c>
      <c r="AJ1551">
        <v>34</v>
      </c>
    </row>
    <row r="1552" spans="30:36">
      <c r="AD1552" t="s">
        <v>22</v>
      </c>
      <c r="AE1552" t="str">
        <f>VLOOKUP(Таблица1_113[[#This Row],[Марка]],Таблица13[#All],4,0)</f>
        <v>Япония</v>
      </c>
      <c r="AF1552" t="str">
        <f>VLOOKUP(Таблица1_113[[#This Row],[Марка]],Таблица13[#All],2,0)</f>
        <v>Business</v>
      </c>
      <c r="AG1552">
        <f>VLOOKUP(Таблица1_113[[#This Row],[Марка]],Таблица13[#All],3,0)</f>
        <v>1933</v>
      </c>
      <c r="AH1552" t="str">
        <f>VLOOKUP(Таблица1_113[[#This Row],[Марка]],Таблица13[#All],5,0)</f>
        <v>Нет</v>
      </c>
      <c r="AI1552" s="12">
        <v>44835</v>
      </c>
      <c r="AJ1552">
        <v>167</v>
      </c>
    </row>
    <row r="1553" spans="30:36">
      <c r="AD1553" t="s">
        <v>9</v>
      </c>
      <c r="AE1553" t="str">
        <f>VLOOKUP(Таблица1_113[[#This Row],[Марка]],Таблица13[#All],4,0)</f>
        <v>Япония</v>
      </c>
      <c r="AF1553" t="str">
        <f>VLOOKUP(Таблица1_113[[#This Row],[Марка]],Таблица13[#All],2,0)</f>
        <v>Business</v>
      </c>
      <c r="AG1553">
        <f>VLOOKUP(Таблица1_113[[#This Row],[Марка]],Таблица13[#All],3,0)</f>
        <v>1870</v>
      </c>
      <c r="AH1553" t="str">
        <f>VLOOKUP(Таблица1_113[[#This Row],[Марка]],Таблица13[#All],5,0)</f>
        <v>Нет</v>
      </c>
      <c r="AI1553" s="12">
        <v>44835</v>
      </c>
      <c r="AJ1553">
        <v>62</v>
      </c>
    </row>
    <row r="1554" spans="30:36">
      <c r="AD1554" t="s">
        <v>40</v>
      </c>
      <c r="AE1554" t="str">
        <f>VLOOKUP(Таблица1_113[[#This Row],[Марка]],Таблица13[#All],4,0)</f>
        <v>Великобритания</v>
      </c>
      <c r="AF1554" t="str">
        <f>VLOOKUP(Таблица1_113[[#This Row],[Марка]],Таблица13[#All],2,0)</f>
        <v>Luxury</v>
      </c>
      <c r="AG1554">
        <f>VLOOKUP(Таблица1_113[[#This Row],[Марка]],Таблица13[#All],3,0)</f>
        <v>1959</v>
      </c>
      <c r="AH1554" t="str">
        <f>VLOOKUP(Таблица1_113[[#This Row],[Марка]],Таблица13[#All],5,0)</f>
        <v>Нет</v>
      </c>
      <c r="AI1554" s="12">
        <v>44835</v>
      </c>
      <c r="AJ1554">
        <v>0</v>
      </c>
    </row>
    <row r="1555" spans="30:36">
      <c r="AD1555" t="s">
        <v>128</v>
      </c>
      <c r="AE1555" t="str">
        <f>VLOOKUP(Таблица1_113[[#This Row],[Марка]],Таблица13[#All],4,0)</f>
        <v>Германия</v>
      </c>
      <c r="AF1555" t="str">
        <f>VLOOKUP(Таблица1_113[[#This Row],[Марка]],Таблица13[#All],2,0)</f>
        <v>Luxury</v>
      </c>
      <c r="AG1555">
        <f>VLOOKUP(Таблица1_113[[#This Row],[Марка]],Таблица13[#All],3,0)</f>
        <v>1926</v>
      </c>
      <c r="AH1555" t="str">
        <f>VLOOKUP(Таблица1_113[[#This Row],[Марка]],Таблица13[#All],5,0)</f>
        <v>Нет</v>
      </c>
      <c r="AI1555" s="12">
        <v>44835</v>
      </c>
      <c r="AJ1555">
        <v>44</v>
      </c>
    </row>
    <row r="1556" spans="30:36">
      <c r="AD1556" t="s">
        <v>139</v>
      </c>
      <c r="AE1556" t="str">
        <f>VLOOKUP(Таблица1_113[[#This Row],[Марка]],Таблица13[#All],4,0)</f>
        <v>Япония</v>
      </c>
      <c r="AF1556" t="str">
        <f>VLOOKUP(Таблица1_113[[#This Row],[Марка]],Таблица13[#All],2,0)</f>
        <v>Business</v>
      </c>
      <c r="AG1556">
        <f>VLOOKUP(Таблица1_113[[#This Row],[Марка]],Таблица13[#All],3,0)</f>
        <v>1920</v>
      </c>
      <c r="AH1556" t="str">
        <f>VLOOKUP(Таблица1_113[[#This Row],[Марка]],Таблица13[#All],5,0)</f>
        <v>Нет</v>
      </c>
      <c r="AI1556" s="12">
        <v>44835</v>
      </c>
      <c r="AJ1556">
        <v>5</v>
      </c>
    </row>
    <row r="1557" spans="30:36">
      <c r="AD1557" t="s">
        <v>5</v>
      </c>
      <c r="AE1557" t="str">
        <f>VLOOKUP(Таблица1_113[[#This Row],[Марка]],Таблица13[#All],4,0)</f>
        <v>Япония</v>
      </c>
      <c r="AF1557" t="str">
        <f>VLOOKUP(Таблица1_113[[#This Row],[Марка]],Таблица13[#All],2,0)</f>
        <v>Luxury</v>
      </c>
      <c r="AG1557">
        <f>VLOOKUP(Таблица1_113[[#This Row],[Марка]],Таблица13[#All],3,0)</f>
        <v>1989</v>
      </c>
      <c r="AH1557" t="str">
        <f>VLOOKUP(Таблица1_113[[#This Row],[Марка]],Таблица13[#All],5,0)</f>
        <v>Нет</v>
      </c>
      <c r="AI1557" s="12">
        <v>44835</v>
      </c>
      <c r="AJ1557">
        <v>246</v>
      </c>
    </row>
    <row r="1558" spans="30:36">
      <c r="AD1558" t="s">
        <v>35</v>
      </c>
      <c r="AE1558" t="str">
        <f>VLOOKUP(Таблица1_113[[#This Row],[Марка]],Таблица13[#All],4,0)</f>
        <v>Великобритания</v>
      </c>
      <c r="AF1558" t="str">
        <f>VLOOKUP(Таблица1_113[[#This Row],[Марка]],Таблица13[#All],2,0)</f>
        <v>Luxury</v>
      </c>
      <c r="AG1558">
        <f>VLOOKUP(Таблица1_113[[#This Row],[Марка]],Таблица13[#All],3,0)</f>
        <v>1948</v>
      </c>
      <c r="AH1558" t="str">
        <f>VLOOKUP(Таблица1_113[[#This Row],[Марка]],Таблица13[#All],5,0)</f>
        <v>Нет</v>
      </c>
      <c r="AI1558" s="12">
        <v>44835</v>
      </c>
      <c r="AJ1558">
        <v>4</v>
      </c>
    </row>
    <row r="1559" spans="30:36">
      <c r="AD1559" t="s">
        <v>19</v>
      </c>
      <c r="AE1559" t="str">
        <f>VLOOKUP(Таблица1_113[[#This Row],[Марка]],Таблица13[#All],4,0)</f>
        <v>Россия</v>
      </c>
      <c r="AF1559" t="str">
        <f>VLOOKUP(Таблица1_113[[#This Row],[Марка]],Таблица13[#All],2,0)</f>
        <v>Economy</v>
      </c>
      <c r="AG1559">
        <f>VLOOKUP(Таблица1_113[[#This Row],[Марка]],Таблица13[#All],3,0)</f>
        <v>1970</v>
      </c>
      <c r="AH1559" t="str">
        <f>VLOOKUP(Таблица1_113[[#This Row],[Марка]],Таблица13[#All],5,0)</f>
        <v>Крупноузловая</v>
      </c>
      <c r="AI1559" s="12">
        <v>44835</v>
      </c>
      <c r="AJ1559">
        <v>306</v>
      </c>
    </row>
    <row r="1560" spans="30:36">
      <c r="AD1560" t="s">
        <v>15</v>
      </c>
      <c r="AE1560" t="str">
        <f>VLOOKUP(Таблица1_113[[#This Row],[Марка]],Таблица13[#All],4,0)</f>
        <v>Корея</v>
      </c>
      <c r="AF1560" t="str">
        <f>VLOOKUP(Таблица1_113[[#This Row],[Марка]],Таблица13[#All],2,0)</f>
        <v>Economy</v>
      </c>
      <c r="AG1560">
        <f>VLOOKUP(Таблица1_113[[#This Row],[Марка]],Таблица13[#All],3,0)</f>
        <v>1944</v>
      </c>
      <c r="AH1560" t="str">
        <f>VLOOKUP(Таблица1_113[[#This Row],[Марка]],Таблица13[#All],5,0)</f>
        <v>Крупноузловая</v>
      </c>
      <c r="AI1560" s="12">
        <v>44835</v>
      </c>
      <c r="AJ1560">
        <v>1450</v>
      </c>
    </row>
    <row r="1561" spans="30:36">
      <c r="AD1561" t="s">
        <v>134</v>
      </c>
      <c r="AE1561" t="str">
        <f>VLOOKUP(Таблица1_113[[#This Row],[Марка]],Таблица13[#All],4,0)</f>
        <v>Великобритания</v>
      </c>
      <c r="AF1561" t="str">
        <f>VLOOKUP(Таблица1_113[[#This Row],[Марка]],Таблица13[#All],2,0)</f>
        <v>Luxury</v>
      </c>
      <c r="AG1561">
        <f>VLOOKUP(Таблица1_113[[#This Row],[Марка]],Таблица13[#All],3,0)</f>
        <v>1922</v>
      </c>
      <c r="AH1561" t="str">
        <f>VLOOKUP(Таблица1_113[[#This Row],[Марка]],Таблица13[#All],5,0)</f>
        <v>Нет</v>
      </c>
      <c r="AI1561" s="12">
        <v>44835</v>
      </c>
      <c r="AJ1561">
        <v>0</v>
      </c>
    </row>
    <row r="1562" spans="30:36">
      <c r="AD1562" t="s">
        <v>4</v>
      </c>
      <c r="AE1562" t="str">
        <f>VLOOKUP(Таблица1_113[[#This Row],[Марка]],Таблица13[#All],4,0)</f>
        <v>Китай</v>
      </c>
      <c r="AF1562" t="str">
        <f>VLOOKUP(Таблица1_113[[#This Row],[Марка]],Таблица13[#All],2,0)</f>
        <v>Economy</v>
      </c>
      <c r="AG1562">
        <f>VLOOKUP(Таблица1_113[[#This Row],[Марка]],Таблица13[#All],3,0)</f>
        <v>1964</v>
      </c>
      <c r="AH1562" t="str">
        <f>VLOOKUP(Таблица1_113[[#This Row],[Марка]],Таблица13[#All],5,0)</f>
        <v>Крупноузловая</v>
      </c>
      <c r="AI1562" s="12">
        <v>44835</v>
      </c>
      <c r="AJ1562">
        <v>414</v>
      </c>
    </row>
    <row r="1563" spans="30:36">
      <c r="AD1563" t="s">
        <v>140</v>
      </c>
      <c r="AE1563" t="str">
        <f>VLOOKUP(Таблица1_113[[#This Row],[Марка]],Таблица13[#All],4,0)</f>
        <v>Япония</v>
      </c>
      <c r="AF1563" t="str">
        <f>VLOOKUP(Таблица1_113[[#This Row],[Марка]],Таблица13[#All],2,0)</f>
        <v>Business</v>
      </c>
      <c r="AG1563">
        <f>VLOOKUP(Таблица1_113[[#This Row],[Марка]],Таблица13[#All],3,0)</f>
        <v>1916</v>
      </c>
      <c r="AH1563" t="str">
        <f>VLOOKUP(Таблица1_113[[#This Row],[Марка]],Таблица13[#All],5,0)</f>
        <v>Нет</v>
      </c>
      <c r="AI1563" s="12">
        <v>44835</v>
      </c>
      <c r="AJ1563">
        <v>0</v>
      </c>
    </row>
    <row r="1564" spans="30:36">
      <c r="AD1564" t="s">
        <v>34</v>
      </c>
      <c r="AE1564" t="str">
        <f>VLOOKUP(Таблица1_113[[#This Row],[Марка]],Таблица13[#All],4,0)</f>
        <v>Япония</v>
      </c>
      <c r="AF1564" t="str">
        <f>VLOOKUP(Таблица1_113[[#This Row],[Марка]],Таблица13[#All],2,0)</f>
        <v>Luxury</v>
      </c>
      <c r="AG1564">
        <f>VLOOKUP(Таблица1_113[[#This Row],[Марка]],Таблица13[#All],3,0)</f>
        <v>1989</v>
      </c>
      <c r="AH1564" t="str">
        <f>VLOOKUP(Таблица1_113[[#This Row],[Марка]],Таблица13[#All],5,0)</f>
        <v>Нет</v>
      </c>
      <c r="AI1564" s="12">
        <v>44835</v>
      </c>
      <c r="AJ1564">
        <v>23</v>
      </c>
    </row>
    <row r="1565" spans="30:36">
      <c r="AD1565" t="s">
        <v>0</v>
      </c>
      <c r="AE1565" t="str">
        <f>VLOOKUP(Таблица1_113[[#This Row],[Марка]],Таблица13[#All],4,0)</f>
        <v>Корея</v>
      </c>
      <c r="AF1565" t="str">
        <f>VLOOKUP(Таблица1_113[[#This Row],[Марка]],Таблица13[#All],2,0)</f>
        <v>Economy</v>
      </c>
      <c r="AG1565">
        <f>VLOOKUP(Таблица1_113[[#This Row],[Марка]],Таблица13[#All],3,0)</f>
        <v>1967</v>
      </c>
      <c r="AH1565" t="str">
        <f>VLOOKUP(Таблица1_113[[#This Row],[Марка]],Таблица13[#All],5,0)</f>
        <v>Крупноузловая</v>
      </c>
      <c r="AI1565" s="12">
        <v>44835</v>
      </c>
      <c r="AJ1565">
        <v>2189</v>
      </c>
    </row>
    <row r="1566" spans="30:36">
      <c r="AD1566" t="s">
        <v>6</v>
      </c>
      <c r="AE1566" t="str">
        <f>VLOOKUP(Таблица1_113[[#This Row],[Марка]],Таблица13[#All],4,0)</f>
        <v>Китай</v>
      </c>
      <c r="AF1566" t="str">
        <f>VLOOKUP(Таблица1_113[[#This Row],[Марка]],Таблица13[#All],2,0)</f>
        <v>Economy</v>
      </c>
      <c r="AG1566">
        <f>VLOOKUP(Таблица1_113[[#This Row],[Марка]],Таблица13[#All],3,0)</f>
        <v>2013</v>
      </c>
      <c r="AH1566" t="str">
        <f>VLOOKUP(Таблица1_113[[#This Row],[Марка]],Таблица13[#All],5,0)</f>
        <v>Крупноузловая</v>
      </c>
      <c r="AI1566" s="12">
        <v>44835</v>
      </c>
      <c r="AJ1566">
        <v>189</v>
      </c>
    </row>
    <row r="1567" spans="30:36">
      <c r="AD1567" t="s">
        <v>18</v>
      </c>
      <c r="AE1567" t="str">
        <f>VLOOKUP(Таблица1_113[[#This Row],[Марка]],Таблица13[#All],4,0)</f>
        <v>Китай</v>
      </c>
      <c r="AF1567" t="str">
        <f>VLOOKUP(Таблица1_113[[#This Row],[Марка]],Таблица13[#All],2,0)</f>
        <v>Economy</v>
      </c>
      <c r="AG1567">
        <f>VLOOKUP(Таблица1_113[[#This Row],[Марка]],Таблица13[#All],3,0)</f>
        <v>1986</v>
      </c>
      <c r="AH1567" t="str">
        <f>VLOOKUP(Таблица1_113[[#This Row],[Марка]],Таблица13[#All],5,0)</f>
        <v>Крупноузловая</v>
      </c>
      <c r="AI1567" s="12">
        <v>44835</v>
      </c>
      <c r="AJ1567">
        <v>0</v>
      </c>
    </row>
    <row r="1568" spans="30:36">
      <c r="AD1568" t="s">
        <v>133</v>
      </c>
      <c r="AE1568" t="str">
        <f>VLOOKUP(Таблица1_113[[#This Row],[Марка]],Таблица13[#All],4,0)</f>
        <v>Китай</v>
      </c>
      <c r="AF1568" t="str">
        <f>VLOOKUP(Таблица1_113[[#This Row],[Марка]],Таблица13[#All],2,0)</f>
        <v>Economy</v>
      </c>
      <c r="AG1568">
        <f>VLOOKUP(Таблица1_113[[#This Row],[Марка]],Таблица13[#All],3,0)</f>
        <v>1996</v>
      </c>
      <c r="AH1568" t="str">
        <f>VLOOKUP(Таблица1_113[[#This Row],[Марка]],Таблица13[#All],5,0)</f>
        <v>Нет</v>
      </c>
      <c r="AI1568" s="12">
        <v>44835</v>
      </c>
      <c r="AJ1568">
        <v>12</v>
      </c>
    </row>
    <row r="1569" spans="30:36">
      <c r="AD1569" t="s">
        <v>129</v>
      </c>
      <c r="AE1569" t="str">
        <f>VLOOKUP(Таблица1_113[[#This Row],[Марка]],Таблица13[#All],4,0)</f>
        <v>Китай</v>
      </c>
      <c r="AF1569" t="str">
        <f>VLOOKUP(Таблица1_113[[#This Row],[Марка]],Таблица13[#All],2,0)</f>
        <v>Economy</v>
      </c>
      <c r="AG1569">
        <f>VLOOKUP(Таблица1_113[[#This Row],[Марка]],Таблица13[#All],3,0)</f>
        <v>1953</v>
      </c>
      <c r="AH1569" t="str">
        <f>VLOOKUP(Таблица1_113[[#This Row],[Марка]],Таблица13[#All],5,0)</f>
        <v>Нет</v>
      </c>
      <c r="AI1569" s="12">
        <v>44835</v>
      </c>
      <c r="AJ1569">
        <v>37</v>
      </c>
    </row>
    <row r="1570" spans="30:36">
      <c r="AD1570" t="s">
        <v>130</v>
      </c>
      <c r="AE1570" t="str">
        <f>VLOOKUP(Таблица1_113[[#This Row],[Марка]],Таблица13[#All],4,0)</f>
        <v>Китай</v>
      </c>
      <c r="AF1570" t="str">
        <f>VLOOKUP(Таблица1_113[[#This Row],[Марка]],Таблица13[#All],2,0)</f>
        <v>Economy</v>
      </c>
      <c r="AG1570">
        <f>VLOOKUP(Таблица1_113[[#This Row],[Марка]],Таблица13[#All],3,0)</f>
        <v>1969</v>
      </c>
      <c r="AH1570" t="str">
        <f>VLOOKUP(Таблица1_113[[#This Row],[Марка]],Таблица13[#All],5,0)</f>
        <v>Нет</v>
      </c>
      <c r="AI1570" s="12">
        <v>44835</v>
      </c>
      <c r="AJ1570">
        <v>13</v>
      </c>
    </row>
    <row r="1571" spans="30:36">
      <c r="AD1571" t="s">
        <v>137</v>
      </c>
      <c r="AE1571" t="str">
        <f>VLOOKUP(Таблица1_113[[#This Row],[Марка]],Таблица13[#All],4,0)</f>
        <v>Корея</v>
      </c>
      <c r="AF1571" t="str">
        <f>VLOOKUP(Таблица1_113[[#This Row],[Марка]],Таблица13[#All],2,0)</f>
        <v>Economy</v>
      </c>
      <c r="AG1571">
        <f>VLOOKUP(Таблица1_113[[#This Row],[Марка]],Таблица13[#All],3,0)</f>
        <v>1967</v>
      </c>
      <c r="AH1571" t="str">
        <f>VLOOKUP(Таблица1_113[[#This Row],[Марка]],Таблица13[#All],5,0)</f>
        <v>Нет</v>
      </c>
      <c r="AI1571" s="12">
        <v>44835</v>
      </c>
      <c r="AJ1571">
        <v>0</v>
      </c>
    </row>
    <row r="1572" spans="30:36">
      <c r="AD1572" t="s">
        <v>1</v>
      </c>
      <c r="AE1572" t="str">
        <f>VLOOKUP(Таблица1_113[[#This Row],[Марка]],Таблица13[#All],4,0)</f>
        <v>США</v>
      </c>
      <c r="AF1572" t="str">
        <f>VLOOKUP(Таблица1_113[[#This Row],[Марка]],Таблица13[#All],2,0)</f>
        <v>Economy</v>
      </c>
      <c r="AG1572">
        <f>VLOOKUP(Таблица1_113[[#This Row],[Марка]],Таблица13[#All],3,0)</f>
        <v>1911</v>
      </c>
      <c r="AH1572" t="str">
        <f>VLOOKUP(Таблица1_113[[#This Row],[Марка]],Таблица13[#All],5,0)</f>
        <v>Крупноузловая</v>
      </c>
      <c r="AI1572" s="12">
        <v>44835</v>
      </c>
      <c r="AJ1572">
        <v>3144</v>
      </c>
    </row>
    <row r="1573" spans="30:36">
      <c r="AD1573" t="s">
        <v>3</v>
      </c>
      <c r="AE1573" t="str">
        <f>VLOOKUP(Таблица1_113[[#This Row],[Марка]],Таблица13[#All],4,0)</f>
        <v>Китай</v>
      </c>
      <c r="AF1573" t="str">
        <f>VLOOKUP(Таблица1_113[[#This Row],[Марка]],Таблица13[#All],2,0)</f>
        <v>Economy</v>
      </c>
      <c r="AG1573">
        <f>VLOOKUP(Таблица1_113[[#This Row],[Марка]],Таблица13[#All],3,0)</f>
        <v>1997</v>
      </c>
      <c r="AH1573" t="str">
        <f>VLOOKUP(Таблица1_113[[#This Row],[Марка]],Таблица13[#All],5,0)</f>
        <v>Крупноузловая</v>
      </c>
      <c r="AI1573" s="12">
        <v>44835</v>
      </c>
      <c r="AJ1573">
        <v>981</v>
      </c>
    </row>
    <row r="1574" spans="30:36">
      <c r="AD1574" t="s">
        <v>124</v>
      </c>
      <c r="AE1574" t="str">
        <f>VLOOKUP(Таблица1_113[[#This Row],[Марка]],Таблица13[#All],4,0)</f>
        <v>Китай</v>
      </c>
      <c r="AF1574" t="str">
        <f>VLOOKUP(Таблица1_113[[#This Row],[Марка]],Таблица13[#All],2,0)</f>
        <v>Economy</v>
      </c>
      <c r="AG1574">
        <f>VLOOKUP(Таблица1_113[[#This Row],[Марка]],Таблица13[#All],3,0)</f>
        <v>1862</v>
      </c>
      <c r="AH1574" t="str">
        <f>VLOOKUP(Таблица1_113[[#This Row],[Марка]],Таблица13[#All],5,0)</f>
        <v>Нет</v>
      </c>
      <c r="AI1574" s="12">
        <v>44835</v>
      </c>
      <c r="AJ1574">
        <v>38</v>
      </c>
    </row>
    <row r="1575" spans="30:36">
      <c r="AD1575" t="s">
        <v>36</v>
      </c>
      <c r="AE1575" t="str">
        <f>VLOOKUP(Таблица1_113[[#This Row],[Марка]],Таблица13[#All],4,0)</f>
        <v>США</v>
      </c>
      <c r="AF1575" t="str">
        <f>VLOOKUP(Таблица1_113[[#This Row],[Марка]],Таблица13[#All],2,0)</f>
        <v>Luxury</v>
      </c>
      <c r="AG1575">
        <f>VLOOKUP(Таблица1_113[[#This Row],[Марка]],Таблица13[#All],3,0)</f>
        <v>1902</v>
      </c>
      <c r="AH1575" t="str">
        <f>VLOOKUP(Таблица1_113[[#This Row],[Марка]],Таблица13[#All],5,0)</f>
        <v>Нет</v>
      </c>
      <c r="AI1575" s="12">
        <v>44835</v>
      </c>
      <c r="AJ1575">
        <v>57</v>
      </c>
    </row>
    <row r="1576" spans="30:36">
      <c r="AD1576" t="s">
        <v>8</v>
      </c>
      <c r="AE1576" t="str">
        <f>VLOOKUP(Таблица1_113[[#This Row],[Марка]],Таблица13[#All],4,0)</f>
        <v>Германия</v>
      </c>
      <c r="AF1576" t="str">
        <f>VLOOKUP(Таблица1_113[[#This Row],[Марка]],Таблица13[#All],2,0)</f>
        <v>Luxury</v>
      </c>
      <c r="AG1576">
        <f>VLOOKUP(Таблица1_113[[#This Row],[Марка]],Таблица13[#All],3,0)</f>
        <v>1916</v>
      </c>
      <c r="AH1576" t="str">
        <f>VLOOKUP(Таблица1_113[[#This Row],[Марка]],Таблица13[#All],5,0)</f>
        <v>Нет</v>
      </c>
      <c r="AI1576" s="12">
        <v>44835</v>
      </c>
      <c r="AJ1576">
        <v>179</v>
      </c>
    </row>
    <row r="1577" spans="30:36">
      <c r="AD1577" t="s">
        <v>38</v>
      </c>
      <c r="AE1577" t="str">
        <f>VLOOKUP(Таблица1_113[[#This Row],[Марка]],Таблица13[#All],4,0)</f>
        <v>Германия</v>
      </c>
      <c r="AF1577" t="str">
        <f>VLOOKUP(Таблица1_113[[#This Row],[Марка]],Таблица13[#All],2,0)</f>
        <v>Luxury</v>
      </c>
      <c r="AG1577">
        <f>VLOOKUP(Таблица1_113[[#This Row],[Марка]],Таблица13[#All],3,0)</f>
        <v>1932</v>
      </c>
      <c r="AH1577" t="str">
        <f>VLOOKUP(Таблица1_113[[#This Row],[Марка]],Таблица13[#All],5,0)</f>
        <v>Нет</v>
      </c>
      <c r="AI1577" s="12">
        <v>44835</v>
      </c>
      <c r="AJ1577">
        <v>8</v>
      </c>
    </row>
    <row r="1578" spans="30:36">
      <c r="AD1578" s="26" t="s">
        <v>136</v>
      </c>
      <c r="AE1578" s="26" t="str">
        <f>VLOOKUP(Таблица1_113[[#This Row],[Марка]],Таблица13[#All],4,0)</f>
        <v>Россия</v>
      </c>
      <c r="AF1578" s="26" t="str">
        <f>VLOOKUP(Таблица1_113[[#This Row],[Марка]],Таблица13[#All],2,0)</f>
        <v>Economy</v>
      </c>
      <c r="AG1578" s="26">
        <f>VLOOKUP(Таблица1_113[[#This Row],[Марка]],Таблица13[#All],3,0)</f>
        <v>1941</v>
      </c>
      <c r="AH1578" s="26" t="str">
        <f>VLOOKUP(Таблица1_113[[#This Row],[Марка]],Таблица13[#All],5,0)</f>
        <v>Нет</v>
      </c>
      <c r="AI1578" s="29">
        <v>44866</v>
      </c>
      <c r="AJ1578" s="26">
        <v>46</v>
      </c>
    </row>
    <row r="1579" spans="30:36">
      <c r="AD1579" s="26" t="s">
        <v>135</v>
      </c>
      <c r="AE1579" s="26" t="str">
        <f>VLOOKUP(Таблица1_113[[#This Row],[Марка]],Таблица13[#All],4,0)</f>
        <v>-</v>
      </c>
      <c r="AF1579" s="26" t="str">
        <f>VLOOKUP(Таблица1_113[[#This Row],[Марка]],Таблица13[#All],2,0)</f>
        <v>-</v>
      </c>
      <c r="AG1579" s="26" t="str">
        <f>VLOOKUP(Таблица1_113[[#This Row],[Марка]],Таблица13[#All],3,0)</f>
        <v>-</v>
      </c>
      <c r="AH1579" s="26" t="str">
        <f>VLOOKUP(Таблица1_113[[#This Row],[Марка]],Таблица13[#All],5,0)</f>
        <v>-</v>
      </c>
      <c r="AI1579" s="29">
        <v>44866</v>
      </c>
      <c r="AJ1579" s="26">
        <v>18</v>
      </c>
    </row>
    <row r="1580" spans="30:36">
      <c r="AD1580" s="26" t="s">
        <v>39</v>
      </c>
      <c r="AE1580" s="26" t="str">
        <f>VLOOKUP(Таблица1_113[[#This Row],[Марка]],Таблица13[#All],4,0)</f>
        <v>Швеция</v>
      </c>
      <c r="AF1580" s="26" t="str">
        <f>VLOOKUP(Таблица1_113[[#This Row],[Марка]],Таблица13[#All],2,0)</f>
        <v>Business</v>
      </c>
      <c r="AG1580" s="26">
        <f>VLOOKUP(Таблица1_113[[#This Row],[Марка]],Таблица13[#All],3,0)</f>
        <v>1927</v>
      </c>
      <c r="AH1580" s="26" t="str">
        <f>VLOOKUP(Таблица1_113[[#This Row],[Марка]],Таблица13[#All],5,0)</f>
        <v>Нет</v>
      </c>
      <c r="AI1580" s="29">
        <v>44866</v>
      </c>
      <c r="AJ1580" s="26">
        <v>0</v>
      </c>
    </row>
    <row r="1581" spans="30:36">
      <c r="AD1581" s="26" t="s">
        <v>21</v>
      </c>
      <c r="AE1581" s="26" t="str">
        <f>VLOOKUP(Таблица1_113[[#This Row],[Марка]],Таблица13[#All],4,0)</f>
        <v>Германия</v>
      </c>
      <c r="AF1581" s="26" t="str">
        <f>VLOOKUP(Таблица1_113[[#This Row],[Марка]],Таблица13[#All],2,0)</f>
        <v>Business</v>
      </c>
      <c r="AG1581" s="26">
        <f>VLOOKUP(Таблица1_113[[#This Row],[Марка]],Таблица13[#All],3,0)</f>
        <v>1937</v>
      </c>
      <c r="AH1581" s="26" t="str">
        <f>VLOOKUP(Таблица1_113[[#This Row],[Марка]],Таблица13[#All],5,0)</f>
        <v>Нет</v>
      </c>
      <c r="AI1581" s="29">
        <v>44866</v>
      </c>
      <c r="AJ1581" s="26">
        <v>4</v>
      </c>
    </row>
    <row r="1582" spans="30:36">
      <c r="AD1582" s="26" t="s">
        <v>2</v>
      </c>
      <c r="AE1582" s="26" t="str">
        <f>VLOOKUP(Таблица1_113[[#This Row],[Марка]],Таблица13[#All],4,0)</f>
        <v>Япония</v>
      </c>
      <c r="AF1582" s="26" t="str">
        <f>VLOOKUP(Таблица1_113[[#This Row],[Марка]],Таблица13[#All],2,0)</f>
        <v>Business</v>
      </c>
      <c r="AG1582" s="26">
        <f>VLOOKUP(Таблица1_113[[#This Row],[Марка]],Таблица13[#All],3,0)</f>
        <v>1937</v>
      </c>
      <c r="AH1582" s="26" t="str">
        <f>VLOOKUP(Таблица1_113[[#This Row],[Марка]],Таблица13[#All],5,0)</f>
        <v>Нет</v>
      </c>
      <c r="AI1582" s="29">
        <v>44866</v>
      </c>
      <c r="AJ1582" s="26">
        <v>713</v>
      </c>
    </row>
    <row r="1583" spans="30:36">
      <c r="AD1583" s="26" t="s">
        <v>125</v>
      </c>
      <c r="AE1583" s="26" t="str">
        <f>VLOOKUP(Таблица1_113[[#This Row],[Марка]],Таблица13[#All],4,0)</f>
        <v>Япония</v>
      </c>
      <c r="AF1583" s="26" t="str">
        <f>VLOOKUP(Таблица1_113[[#This Row],[Марка]],Таблица13[#All],2,0)</f>
        <v>Business</v>
      </c>
      <c r="AG1583" s="26">
        <f>VLOOKUP(Таблица1_113[[#This Row],[Марка]],Таблица13[#All],3,0)</f>
        <v>1953</v>
      </c>
      <c r="AH1583" s="26" t="str">
        <f>VLOOKUP(Таблица1_113[[#This Row],[Марка]],Таблица13[#All],5,0)</f>
        <v>Нет</v>
      </c>
      <c r="AI1583" s="29">
        <v>44866</v>
      </c>
      <c r="AJ1583" s="26">
        <v>120</v>
      </c>
    </row>
    <row r="1584" spans="30:36">
      <c r="AD1584" s="26" t="s">
        <v>23</v>
      </c>
      <c r="AE1584" s="26" t="str">
        <f>VLOOKUP(Таблица1_113[[#This Row],[Марка]],Таблица13[#All],4,0)</f>
        <v>Франция</v>
      </c>
      <c r="AF1584" s="26" t="str">
        <f>VLOOKUP(Таблица1_113[[#This Row],[Марка]],Таблица13[#All],2,0)</f>
        <v>Economy</v>
      </c>
      <c r="AG1584" s="26">
        <f>VLOOKUP(Таблица1_113[[#This Row],[Марка]],Таблица13[#All],3,0)</f>
        <v>1899</v>
      </c>
      <c r="AH1584" s="26" t="str">
        <f>VLOOKUP(Таблица1_113[[#This Row],[Марка]],Таблица13[#All],5,0)</f>
        <v>Крупноузловая</v>
      </c>
      <c r="AI1584" s="29">
        <v>44866</v>
      </c>
      <c r="AJ1584" s="26">
        <v>38</v>
      </c>
    </row>
    <row r="1585" spans="30:36">
      <c r="AD1585" s="26" t="s">
        <v>37</v>
      </c>
      <c r="AE1585" s="26" t="str">
        <f>VLOOKUP(Таблица1_113[[#This Row],[Марка]],Таблица13[#All],4,0)</f>
        <v>Германия</v>
      </c>
      <c r="AF1585" s="26" t="str">
        <f>VLOOKUP(Таблица1_113[[#This Row],[Марка]],Таблица13[#All],2,0)</f>
        <v>Luxury</v>
      </c>
      <c r="AG1585" s="26">
        <f>VLOOKUP(Таблица1_113[[#This Row],[Марка]],Таблица13[#All],3,0)</f>
        <v>1931</v>
      </c>
      <c r="AH1585" s="26" t="str">
        <f>VLOOKUP(Таблица1_113[[#This Row],[Марка]],Таблица13[#All],5,0)</f>
        <v>Нет</v>
      </c>
      <c r="AI1585" s="29">
        <v>44866</v>
      </c>
      <c r="AJ1585" s="26">
        <v>99</v>
      </c>
    </row>
    <row r="1586" spans="30:36">
      <c r="AD1586" s="26" t="s">
        <v>22</v>
      </c>
      <c r="AE1586" s="26" t="str">
        <f>VLOOKUP(Таблица1_113[[#This Row],[Марка]],Таблица13[#All],4,0)</f>
        <v>Япония</v>
      </c>
      <c r="AF1586" s="26" t="str">
        <f>VLOOKUP(Таблица1_113[[#This Row],[Марка]],Таблица13[#All],2,0)</f>
        <v>Business</v>
      </c>
      <c r="AG1586" s="26">
        <f>VLOOKUP(Таблица1_113[[#This Row],[Марка]],Таблица13[#All],3,0)</f>
        <v>1933</v>
      </c>
      <c r="AH1586" s="26" t="str">
        <f>VLOOKUP(Таблица1_113[[#This Row],[Марка]],Таблица13[#All],5,0)</f>
        <v>Нет</v>
      </c>
      <c r="AI1586" s="29">
        <v>44866</v>
      </c>
      <c r="AJ1586" s="26">
        <v>0</v>
      </c>
    </row>
    <row r="1587" spans="30:36">
      <c r="AD1587" s="26" t="s">
        <v>9</v>
      </c>
      <c r="AE1587" s="26" t="str">
        <f>VLOOKUP(Таблица1_113[[#This Row],[Марка]],Таблица13[#All],4,0)</f>
        <v>Япония</v>
      </c>
      <c r="AF1587" s="26" t="str">
        <f>VLOOKUP(Таблица1_113[[#This Row],[Марка]],Таблица13[#All],2,0)</f>
        <v>Business</v>
      </c>
      <c r="AG1587" s="26">
        <f>VLOOKUP(Таблица1_113[[#This Row],[Марка]],Таблица13[#All],3,0)</f>
        <v>1870</v>
      </c>
      <c r="AH1587" s="26" t="str">
        <f>VLOOKUP(Таблица1_113[[#This Row],[Марка]],Таблица13[#All],5,0)</f>
        <v>Нет</v>
      </c>
      <c r="AI1587" s="29">
        <v>44866</v>
      </c>
      <c r="AJ1587" s="26">
        <v>94</v>
      </c>
    </row>
    <row r="1588" spans="30:36">
      <c r="AD1588" s="26" t="s">
        <v>40</v>
      </c>
      <c r="AE1588" s="26" t="str">
        <f>VLOOKUP(Таблица1_113[[#This Row],[Марка]],Таблица13[#All],4,0)</f>
        <v>Великобритания</v>
      </c>
      <c r="AF1588" s="26" t="str">
        <f>VLOOKUP(Таблица1_113[[#This Row],[Марка]],Таблица13[#All],2,0)</f>
        <v>Luxury</v>
      </c>
      <c r="AG1588" s="26">
        <f>VLOOKUP(Таблица1_113[[#This Row],[Марка]],Таблица13[#All],3,0)</f>
        <v>1959</v>
      </c>
      <c r="AH1588" s="26" t="str">
        <f>VLOOKUP(Таблица1_113[[#This Row],[Марка]],Таблица13[#All],5,0)</f>
        <v>Нет</v>
      </c>
      <c r="AI1588" s="29">
        <v>44866</v>
      </c>
      <c r="AJ1588" s="26">
        <v>4</v>
      </c>
    </row>
    <row r="1589" spans="30:36">
      <c r="AD1589" s="26" t="s">
        <v>128</v>
      </c>
      <c r="AE1589" s="26" t="str">
        <f>VLOOKUP(Таблица1_113[[#This Row],[Марка]],Таблица13[#All],4,0)</f>
        <v>Германия</v>
      </c>
      <c r="AF1589" s="26" t="str">
        <f>VLOOKUP(Таблица1_113[[#This Row],[Марка]],Таблица13[#All],2,0)</f>
        <v>Luxury</v>
      </c>
      <c r="AG1589" s="26">
        <f>VLOOKUP(Таблица1_113[[#This Row],[Марка]],Таблица13[#All],3,0)</f>
        <v>1926</v>
      </c>
      <c r="AH1589" s="26" t="str">
        <f>VLOOKUP(Таблица1_113[[#This Row],[Марка]],Таблица13[#All],5,0)</f>
        <v>Нет</v>
      </c>
      <c r="AI1589" s="29">
        <v>44866</v>
      </c>
      <c r="AJ1589" s="26">
        <v>64</v>
      </c>
    </row>
    <row r="1590" spans="30:36">
      <c r="AD1590" s="26" t="s">
        <v>139</v>
      </c>
      <c r="AE1590" s="26" t="str">
        <f>VLOOKUP(Таблица1_113[[#This Row],[Марка]],Таблица13[#All],4,0)</f>
        <v>Япония</v>
      </c>
      <c r="AF1590" s="26" t="str">
        <f>VLOOKUP(Таблица1_113[[#This Row],[Марка]],Таблица13[#All],2,0)</f>
        <v>Business</v>
      </c>
      <c r="AG1590" s="26">
        <f>VLOOKUP(Таблица1_113[[#This Row],[Марка]],Таблица13[#All],3,0)</f>
        <v>1920</v>
      </c>
      <c r="AH1590" s="26" t="str">
        <f>VLOOKUP(Таблица1_113[[#This Row],[Марка]],Таблица13[#All],5,0)</f>
        <v>Нет</v>
      </c>
      <c r="AI1590" s="29">
        <v>44866</v>
      </c>
      <c r="AJ1590" s="26">
        <v>0</v>
      </c>
    </row>
    <row r="1591" spans="30:36">
      <c r="AD1591" s="26" t="s">
        <v>5</v>
      </c>
      <c r="AE1591" s="26" t="str">
        <f>VLOOKUP(Таблица1_113[[#This Row],[Марка]],Таблица13[#All],4,0)</f>
        <v>Япония</v>
      </c>
      <c r="AF1591" s="26" t="str">
        <f>VLOOKUP(Таблица1_113[[#This Row],[Марка]],Таблица13[#All],2,0)</f>
        <v>Luxury</v>
      </c>
      <c r="AG1591" s="26">
        <f>VLOOKUP(Таблица1_113[[#This Row],[Марка]],Таблица13[#All],3,0)</f>
        <v>1989</v>
      </c>
      <c r="AH1591" s="26" t="str">
        <f>VLOOKUP(Таблица1_113[[#This Row],[Марка]],Таблица13[#All],5,0)</f>
        <v>Нет</v>
      </c>
      <c r="AI1591" s="29">
        <v>44866</v>
      </c>
      <c r="AJ1591" s="26">
        <v>174</v>
      </c>
    </row>
    <row r="1592" spans="30:36">
      <c r="AD1592" s="26" t="s">
        <v>35</v>
      </c>
      <c r="AE1592" s="26" t="str">
        <f>VLOOKUP(Таблица1_113[[#This Row],[Марка]],Таблица13[#All],4,0)</f>
        <v>Великобритания</v>
      </c>
      <c r="AF1592" s="26" t="str">
        <f>VLOOKUP(Таблица1_113[[#This Row],[Марка]],Таблица13[#All],2,0)</f>
        <v>Luxury</v>
      </c>
      <c r="AG1592" s="26">
        <f>VLOOKUP(Таблица1_113[[#This Row],[Марка]],Таблица13[#All],3,0)</f>
        <v>1948</v>
      </c>
      <c r="AH1592" s="26" t="str">
        <f>VLOOKUP(Таблица1_113[[#This Row],[Марка]],Таблица13[#All],5,0)</f>
        <v>Нет</v>
      </c>
      <c r="AI1592" s="29">
        <v>44866</v>
      </c>
      <c r="AJ1592" s="26">
        <v>0</v>
      </c>
    </row>
    <row r="1593" spans="30:36">
      <c r="AD1593" s="26" t="s">
        <v>19</v>
      </c>
      <c r="AE1593" s="26" t="str">
        <f>VLOOKUP(Таблица1_113[[#This Row],[Марка]],Таблица13[#All],4,0)</f>
        <v>Россия</v>
      </c>
      <c r="AF1593" s="26" t="str">
        <f>VLOOKUP(Таблица1_113[[#This Row],[Марка]],Таблица13[#All],2,0)</f>
        <v>Economy</v>
      </c>
      <c r="AG1593" s="26">
        <f>VLOOKUP(Таблица1_113[[#This Row],[Марка]],Таблица13[#All],3,0)</f>
        <v>1970</v>
      </c>
      <c r="AH1593" s="26" t="str">
        <f>VLOOKUP(Таблица1_113[[#This Row],[Марка]],Таблица13[#All],5,0)</f>
        <v>Крупноузловая</v>
      </c>
      <c r="AI1593" s="29">
        <v>44866</v>
      </c>
      <c r="AJ1593" s="26">
        <v>195</v>
      </c>
    </row>
    <row r="1594" spans="30:36">
      <c r="AD1594" s="26" t="s">
        <v>15</v>
      </c>
      <c r="AE1594" s="26" t="str">
        <f>VLOOKUP(Таблица1_113[[#This Row],[Марка]],Таблица13[#All],4,0)</f>
        <v>Корея</v>
      </c>
      <c r="AF1594" s="26" t="str">
        <f>VLOOKUP(Таблица1_113[[#This Row],[Марка]],Таблица13[#All],2,0)</f>
        <v>Economy</v>
      </c>
      <c r="AG1594" s="26">
        <f>VLOOKUP(Таблица1_113[[#This Row],[Марка]],Таблица13[#All],3,0)</f>
        <v>1944</v>
      </c>
      <c r="AH1594" s="26" t="str">
        <f>VLOOKUP(Таблица1_113[[#This Row],[Марка]],Таблица13[#All],5,0)</f>
        <v>Крупноузловая</v>
      </c>
      <c r="AI1594" s="29">
        <v>44866</v>
      </c>
      <c r="AJ1594" s="26">
        <v>1742</v>
      </c>
    </row>
    <row r="1595" spans="30:36">
      <c r="AD1595" s="26" t="s">
        <v>134</v>
      </c>
      <c r="AE1595" s="26" t="str">
        <f>VLOOKUP(Таблица1_113[[#This Row],[Марка]],Таблица13[#All],4,0)</f>
        <v>Великобритания</v>
      </c>
      <c r="AF1595" s="26" t="str">
        <f>VLOOKUP(Таблица1_113[[#This Row],[Марка]],Таблица13[#All],2,0)</f>
        <v>Luxury</v>
      </c>
      <c r="AG1595" s="26">
        <f>VLOOKUP(Таблица1_113[[#This Row],[Марка]],Таблица13[#All],3,0)</f>
        <v>1922</v>
      </c>
      <c r="AH1595" s="26" t="str">
        <f>VLOOKUP(Таблица1_113[[#This Row],[Марка]],Таблица13[#All],5,0)</f>
        <v>Нет</v>
      </c>
      <c r="AI1595" s="29">
        <v>44866</v>
      </c>
      <c r="AJ1595" s="26">
        <v>0</v>
      </c>
    </row>
    <row r="1596" spans="30:36">
      <c r="AD1596" s="26" t="s">
        <v>4</v>
      </c>
      <c r="AE1596" s="26" t="str">
        <f>VLOOKUP(Таблица1_113[[#This Row],[Марка]],Таблица13[#All],4,0)</f>
        <v>Китай</v>
      </c>
      <c r="AF1596" s="26" t="str">
        <f>VLOOKUP(Таблица1_113[[#This Row],[Марка]],Таблица13[#All],2,0)</f>
        <v>Economy</v>
      </c>
      <c r="AG1596" s="26">
        <f>VLOOKUP(Таблица1_113[[#This Row],[Марка]],Таблица13[#All],3,0)</f>
        <v>1964</v>
      </c>
      <c r="AH1596" s="26" t="str">
        <f>VLOOKUP(Таблица1_113[[#This Row],[Марка]],Таблица13[#All],5,0)</f>
        <v>Крупноузловая</v>
      </c>
      <c r="AI1596" s="29">
        <v>44866</v>
      </c>
      <c r="AJ1596" s="26">
        <v>511</v>
      </c>
    </row>
    <row r="1597" spans="30:36">
      <c r="AD1597" s="26" t="s">
        <v>140</v>
      </c>
      <c r="AE1597" s="26" t="str">
        <f>VLOOKUP(Таблица1_113[[#This Row],[Марка]],Таблица13[#All],4,0)</f>
        <v>Япония</v>
      </c>
      <c r="AF1597" s="26" t="str">
        <f>VLOOKUP(Таблица1_113[[#This Row],[Марка]],Таблица13[#All],2,0)</f>
        <v>Business</v>
      </c>
      <c r="AG1597" s="26">
        <f>VLOOKUP(Таблица1_113[[#This Row],[Марка]],Таблица13[#All],3,0)</f>
        <v>1916</v>
      </c>
      <c r="AH1597" s="26" t="str">
        <f>VLOOKUP(Таблица1_113[[#This Row],[Марка]],Таблица13[#All],5,0)</f>
        <v>Нет</v>
      </c>
      <c r="AI1597" s="29">
        <v>44866</v>
      </c>
      <c r="AJ1597" s="26">
        <v>0</v>
      </c>
    </row>
    <row r="1598" spans="30:36">
      <c r="AD1598" s="26" t="s">
        <v>34</v>
      </c>
      <c r="AE1598" s="26" t="str">
        <f>VLOOKUP(Таблица1_113[[#This Row],[Марка]],Таблица13[#All],4,0)</f>
        <v>Япония</v>
      </c>
      <c r="AF1598" s="26" t="str">
        <f>VLOOKUP(Таблица1_113[[#This Row],[Марка]],Таблица13[#All],2,0)</f>
        <v>Luxury</v>
      </c>
      <c r="AG1598" s="26">
        <f>VLOOKUP(Таблица1_113[[#This Row],[Марка]],Таблица13[#All],3,0)</f>
        <v>1989</v>
      </c>
      <c r="AH1598" s="26" t="str">
        <f>VLOOKUP(Таблица1_113[[#This Row],[Марка]],Таблица13[#All],5,0)</f>
        <v>Нет</v>
      </c>
      <c r="AI1598" s="29">
        <v>44866</v>
      </c>
      <c r="AJ1598" s="26">
        <v>0</v>
      </c>
    </row>
    <row r="1599" spans="30:36">
      <c r="AD1599" s="26" t="s">
        <v>0</v>
      </c>
      <c r="AE1599" s="26" t="str">
        <f>VLOOKUP(Таблица1_113[[#This Row],[Марка]],Таблица13[#All],4,0)</f>
        <v>Корея</v>
      </c>
      <c r="AF1599" s="26" t="str">
        <f>VLOOKUP(Таблица1_113[[#This Row],[Марка]],Таблица13[#All],2,0)</f>
        <v>Economy</v>
      </c>
      <c r="AG1599" s="26">
        <f>VLOOKUP(Таблица1_113[[#This Row],[Марка]],Таблица13[#All],3,0)</f>
        <v>1967</v>
      </c>
      <c r="AH1599" s="26" t="str">
        <f>VLOOKUP(Таблица1_113[[#This Row],[Марка]],Таблица13[#All],5,0)</f>
        <v>Крупноузловая</v>
      </c>
      <c r="AI1599" s="29">
        <v>44866</v>
      </c>
      <c r="AJ1599" s="26">
        <v>3270</v>
      </c>
    </row>
    <row r="1600" spans="30:36">
      <c r="AD1600" s="26" t="s">
        <v>6</v>
      </c>
      <c r="AE1600" s="26" t="str">
        <f>VLOOKUP(Таблица1_113[[#This Row],[Марка]],Таблица13[#All],4,0)</f>
        <v>Китай</v>
      </c>
      <c r="AF1600" s="26" t="str">
        <f>VLOOKUP(Таблица1_113[[#This Row],[Марка]],Таблица13[#All],2,0)</f>
        <v>Economy</v>
      </c>
      <c r="AG1600" s="26">
        <f>VLOOKUP(Таблица1_113[[#This Row],[Марка]],Таблица13[#All],3,0)</f>
        <v>2013</v>
      </c>
      <c r="AH1600" s="26" t="str">
        <f>VLOOKUP(Таблица1_113[[#This Row],[Марка]],Таблица13[#All],5,0)</f>
        <v>Крупноузловая</v>
      </c>
      <c r="AI1600" s="29">
        <v>44866</v>
      </c>
      <c r="AJ1600" s="26">
        <v>253</v>
      </c>
    </row>
    <row r="1601" spans="30:36">
      <c r="AD1601" s="26" t="s">
        <v>18</v>
      </c>
      <c r="AE1601" s="26" t="str">
        <f>VLOOKUP(Таблица1_113[[#This Row],[Марка]],Таблица13[#All],4,0)</f>
        <v>Китай</v>
      </c>
      <c r="AF1601" s="26" t="str">
        <f>VLOOKUP(Таблица1_113[[#This Row],[Марка]],Таблица13[#All],2,0)</f>
        <v>Economy</v>
      </c>
      <c r="AG1601" s="26">
        <f>VLOOKUP(Таблица1_113[[#This Row],[Марка]],Таблица13[#All],3,0)</f>
        <v>1986</v>
      </c>
      <c r="AH1601" s="26" t="str">
        <f>VLOOKUP(Таблица1_113[[#This Row],[Марка]],Таблица13[#All],5,0)</f>
        <v>Крупноузловая</v>
      </c>
      <c r="AI1601" s="29">
        <v>44866</v>
      </c>
      <c r="AJ1601" s="26">
        <v>0</v>
      </c>
    </row>
    <row r="1602" spans="30:36">
      <c r="AD1602" s="26" t="s">
        <v>133</v>
      </c>
      <c r="AE1602" s="26" t="str">
        <f>VLOOKUP(Таблица1_113[[#This Row],[Марка]],Таблица13[#All],4,0)</f>
        <v>Китай</v>
      </c>
      <c r="AF1602" s="26" t="str">
        <f>VLOOKUP(Таблица1_113[[#This Row],[Марка]],Таблица13[#All],2,0)</f>
        <v>Economy</v>
      </c>
      <c r="AG1602" s="26">
        <f>VLOOKUP(Таблица1_113[[#This Row],[Марка]],Таблица13[#All],3,0)</f>
        <v>1996</v>
      </c>
      <c r="AH1602" s="26" t="str">
        <f>VLOOKUP(Таблица1_113[[#This Row],[Марка]],Таблица13[#All],5,0)</f>
        <v>Нет</v>
      </c>
      <c r="AI1602" s="29">
        <v>44866</v>
      </c>
      <c r="AJ1602" s="26">
        <v>2</v>
      </c>
    </row>
    <row r="1603" spans="30:36">
      <c r="AD1603" s="26" t="s">
        <v>129</v>
      </c>
      <c r="AE1603" s="26" t="str">
        <f>VLOOKUP(Таблица1_113[[#This Row],[Марка]],Таблица13[#All],4,0)</f>
        <v>Китай</v>
      </c>
      <c r="AF1603" s="26" t="str">
        <f>VLOOKUP(Таблица1_113[[#This Row],[Марка]],Таблица13[#All],2,0)</f>
        <v>Economy</v>
      </c>
      <c r="AG1603" s="26">
        <f>VLOOKUP(Таблица1_113[[#This Row],[Марка]],Таблица13[#All],3,0)</f>
        <v>1953</v>
      </c>
      <c r="AH1603" s="26" t="str">
        <f>VLOOKUP(Таблица1_113[[#This Row],[Марка]],Таблица13[#All],5,0)</f>
        <v>Нет</v>
      </c>
      <c r="AI1603" s="29">
        <v>44866</v>
      </c>
      <c r="AJ1603" s="26">
        <v>18</v>
      </c>
    </row>
    <row r="1604" spans="30:36">
      <c r="AD1604" s="26" t="s">
        <v>130</v>
      </c>
      <c r="AE1604" s="26" t="str">
        <f>VLOOKUP(Таблица1_113[[#This Row],[Марка]],Таблица13[#All],4,0)</f>
        <v>Китай</v>
      </c>
      <c r="AF1604" s="26" t="str">
        <f>VLOOKUP(Таблица1_113[[#This Row],[Марка]],Таблица13[#All],2,0)</f>
        <v>Economy</v>
      </c>
      <c r="AG1604" s="26">
        <f>VLOOKUP(Таблица1_113[[#This Row],[Марка]],Таблица13[#All],3,0)</f>
        <v>1969</v>
      </c>
      <c r="AH1604" s="26" t="str">
        <f>VLOOKUP(Таблица1_113[[#This Row],[Марка]],Таблица13[#All],5,0)</f>
        <v>Нет</v>
      </c>
      <c r="AI1604" s="29">
        <v>44866</v>
      </c>
      <c r="AJ1604" s="26">
        <v>5</v>
      </c>
    </row>
    <row r="1605" spans="30:36">
      <c r="AD1605" s="26" t="s">
        <v>137</v>
      </c>
      <c r="AE1605" s="26" t="str">
        <f>VLOOKUP(Таблица1_113[[#This Row],[Марка]],Таблица13[#All],4,0)</f>
        <v>Корея</v>
      </c>
      <c r="AF1605" s="26" t="str">
        <f>VLOOKUP(Таблица1_113[[#This Row],[Марка]],Таблица13[#All],2,0)</f>
        <v>Economy</v>
      </c>
      <c r="AG1605" s="26">
        <f>VLOOKUP(Таблица1_113[[#This Row],[Марка]],Таблица13[#All],3,0)</f>
        <v>1967</v>
      </c>
      <c r="AH1605" s="26" t="str">
        <f>VLOOKUP(Таблица1_113[[#This Row],[Марка]],Таблица13[#All],5,0)</f>
        <v>Нет</v>
      </c>
      <c r="AI1605" s="29">
        <v>44866</v>
      </c>
      <c r="AJ1605" s="26">
        <v>0</v>
      </c>
    </row>
    <row r="1606" spans="30:36">
      <c r="AD1606" s="26" t="s">
        <v>1</v>
      </c>
      <c r="AE1606" s="26" t="str">
        <f>VLOOKUP(Таблица1_113[[#This Row],[Марка]],Таблица13[#All],4,0)</f>
        <v>США</v>
      </c>
      <c r="AF1606" s="26" t="str">
        <f>VLOOKUP(Таблица1_113[[#This Row],[Марка]],Таблица13[#All],2,0)</f>
        <v>Economy</v>
      </c>
      <c r="AG1606" s="26">
        <f>VLOOKUP(Таблица1_113[[#This Row],[Марка]],Таблица13[#All],3,0)</f>
        <v>1911</v>
      </c>
      <c r="AH1606" s="26" t="str">
        <f>VLOOKUP(Таблица1_113[[#This Row],[Марка]],Таблица13[#All],5,0)</f>
        <v>Крупноузловая</v>
      </c>
      <c r="AI1606" s="29">
        <v>44866</v>
      </c>
      <c r="AJ1606" s="26">
        <v>3127</v>
      </c>
    </row>
    <row r="1607" spans="30:36">
      <c r="AD1607" s="26" t="s">
        <v>3</v>
      </c>
      <c r="AE1607" s="26" t="str">
        <f>VLOOKUP(Таблица1_113[[#This Row],[Марка]],Таблица13[#All],4,0)</f>
        <v>Китай</v>
      </c>
      <c r="AF1607" s="26" t="str">
        <f>VLOOKUP(Таблица1_113[[#This Row],[Марка]],Таблица13[#All],2,0)</f>
        <v>Economy</v>
      </c>
      <c r="AG1607" s="26">
        <f>VLOOKUP(Таблица1_113[[#This Row],[Марка]],Таблица13[#All],3,0)</f>
        <v>1997</v>
      </c>
      <c r="AH1607" s="26" t="str">
        <f>VLOOKUP(Таблица1_113[[#This Row],[Марка]],Таблица13[#All],5,0)</f>
        <v>Крупноузловая</v>
      </c>
      <c r="AI1607" s="29">
        <v>44866</v>
      </c>
      <c r="AJ1607" s="26">
        <v>1136</v>
      </c>
    </row>
    <row r="1608" spans="30:36">
      <c r="AD1608" s="26" t="s">
        <v>124</v>
      </c>
      <c r="AE1608" s="26" t="str">
        <f>VLOOKUP(Таблица1_113[[#This Row],[Марка]],Таблица13[#All],4,0)</f>
        <v>Китай</v>
      </c>
      <c r="AF1608" s="26" t="str">
        <f>VLOOKUP(Таблица1_113[[#This Row],[Марка]],Таблица13[#All],2,0)</f>
        <v>Economy</v>
      </c>
      <c r="AG1608" s="26">
        <f>VLOOKUP(Таблица1_113[[#This Row],[Марка]],Таблица13[#All],3,0)</f>
        <v>1862</v>
      </c>
      <c r="AH1608" s="26" t="str">
        <f>VLOOKUP(Таблица1_113[[#This Row],[Марка]],Таблица13[#All],5,0)</f>
        <v>Нет</v>
      </c>
      <c r="AI1608" s="29">
        <v>44866</v>
      </c>
      <c r="AJ1608" s="26">
        <v>55</v>
      </c>
    </row>
    <row r="1609" spans="30:36">
      <c r="AD1609" s="26" t="s">
        <v>36</v>
      </c>
      <c r="AE1609" s="26" t="str">
        <f>VLOOKUP(Таблица1_113[[#This Row],[Марка]],Таблица13[#All],4,0)</f>
        <v>США</v>
      </c>
      <c r="AF1609" s="26" t="str">
        <f>VLOOKUP(Таблица1_113[[#This Row],[Марка]],Таблица13[#All],2,0)</f>
        <v>Luxury</v>
      </c>
      <c r="AG1609" s="26">
        <f>VLOOKUP(Таблица1_113[[#This Row],[Марка]],Таблица13[#All],3,0)</f>
        <v>1902</v>
      </c>
      <c r="AH1609" s="26" t="str">
        <f>VLOOKUP(Таблица1_113[[#This Row],[Марка]],Таблица13[#All],5,0)</f>
        <v>Нет</v>
      </c>
      <c r="AI1609" s="29">
        <v>44866</v>
      </c>
      <c r="AJ1609" s="26">
        <v>84</v>
      </c>
    </row>
    <row r="1610" spans="30:36">
      <c r="AD1610" s="26" t="s">
        <v>8</v>
      </c>
      <c r="AE1610" s="26" t="str">
        <f>VLOOKUP(Таблица1_113[[#This Row],[Марка]],Таблица13[#All],4,0)</f>
        <v>Германия</v>
      </c>
      <c r="AF1610" s="26" t="str">
        <f>VLOOKUP(Таблица1_113[[#This Row],[Марка]],Таблица13[#All],2,0)</f>
        <v>Luxury</v>
      </c>
      <c r="AG1610" s="26">
        <f>VLOOKUP(Таблица1_113[[#This Row],[Марка]],Таблица13[#All],3,0)</f>
        <v>1916</v>
      </c>
      <c r="AH1610" s="26" t="str">
        <f>VLOOKUP(Таблица1_113[[#This Row],[Марка]],Таблица13[#All],5,0)</f>
        <v>Нет</v>
      </c>
      <c r="AI1610" s="29">
        <v>44866</v>
      </c>
      <c r="AJ1610" s="26">
        <v>147</v>
      </c>
    </row>
    <row r="1611" spans="30:36">
      <c r="AD1611" s="26" t="s">
        <v>38</v>
      </c>
      <c r="AE1611" s="26" t="str">
        <f>VLOOKUP(Таблица1_113[[#This Row],[Марка]],Таблица13[#All],4,0)</f>
        <v>Германия</v>
      </c>
      <c r="AF1611" s="26" t="str">
        <f>VLOOKUP(Таблица1_113[[#This Row],[Марка]],Таблица13[#All],2,0)</f>
        <v>Luxury</v>
      </c>
      <c r="AG1611" s="26">
        <f>VLOOKUP(Таблица1_113[[#This Row],[Марка]],Таблица13[#All],3,0)</f>
        <v>1932</v>
      </c>
      <c r="AH1611" s="26" t="str">
        <f>VLOOKUP(Таблица1_113[[#This Row],[Марка]],Таблица13[#All],5,0)</f>
        <v>Нет</v>
      </c>
      <c r="AI1611" s="29">
        <v>44866</v>
      </c>
      <c r="AJ1611" s="26">
        <v>8</v>
      </c>
    </row>
    <row r="1612" spans="30:36">
      <c r="AD1612" t="s">
        <v>136</v>
      </c>
      <c r="AE1612" t="str">
        <f>VLOOKUP(Таблица1_113[[#This Row],[Марка]],Таблица13[#All],4,0)</f>
        <v>Россия</v>
      </c>
      <c r="AF1612" t="str">
        <f>VLOOKUP(Таблица1_113[[#This Row],[Марка]],Таблица13[#All],2,0)</f>
        <v>Economy</v>
      </c>
      <c r="AG1612">
        <f>VLOOKUP(Таблица1_113[[#This Row],[Марка]],Таблица13[#All],3,0)</f>
        <v>1941</v>
      </c>
      <c r="AH1612" t="str">
        <f>VLOOKUP(Таблица1_113[[#This Row],[Марка]],Таблица13[#All],5,0)</f>
        <v>Нет</v>
      </c>
      <c r="AI1612" s="12">
        <v>44896</v>
      </c>
      <c r="AJ1612">
        <v>28</v>
      </c>
    </row>
    <row r="1613" spans="30:36">
      <c r="AD1613" t="s">
        <v>135</v>
      </c>
      <c r="AE1613" t="str">
        <f>VLOOKUP(Таблица1_113[[#This Row],[Марка]],Таблица13[#All],4,0)</f>
        <v>-</v>
      </c>
      <c r="AF1613" t="str">
        <f>VLOOKUP(Таблица1_113[[#This Row],[Марка]],Таблица13[#All],2,0)</f>
        <v>-</v>
      </c>
      <c r="AG1613" t="str">
        <f>VLOOKUP(Таблица1_113[[#This Row],[Марка]],Таблица13[#All],3,0)</f>
        <v>-</v>
      </c>
      <c r="AH1613" t="str">
        <f>VLOOKUP(Таблица1_113[[#This Row],[Марка]],Таблица13[#All],5,0)</f>
        <v>-</v>
      </c>
      <c r="AI1613" s="12">
        <v>44896</v>
      </c>
      <c r="AJ1613">
        <v>0</v>
      </c>
    </row>
    <row r="1614" spans="30:36">
      <c r="AD1614" t="s">
        <v>39</v>
      </c>
      <c r="AE1614" t="str">
        <f>VLOOKUP(Таблица1_113[[#This Row],[Марка]],Таблица13[#All],4,0)</f>
        <v>Швеция</v>
      </c>
      <c r="AF1614" t="str">
        <f>VLOOKUP(Таблица1_113[[#This Row],[Марка]],Таблица13[#All],2,0)</f>
        <v>Business</v>
      </c>
      <c r="AG1614">
        <f>VLOOKUP(Таблица1_113[[#This Row],[Марка]],Таблица13[#All],3,0)</f>
        <v>1927</v>
      </c>
      <c r="AH1614" t="str">
        <f>VLOOKUP(Таблица1_113[[#This Row],[Марка]],Таблица13[#All],5,0)</f>
        <v>Нет</v>
      </c>
      <c r="AI1614" s="12">
        <v>44896</v>
      </c>
      <c r="AJ1614">
        <v>0</v>
      </c>
    </row>
    <row r="1615" spans="30:36">
      <c r="AD1615" t="s">
        <v>21</v>
      </c>
      <c r="AE1615" t="str">
        <f>VLOOKUP(Таблица1_113[[#This Row],[Марка]],Таблица13[#All],4,0)</f>
        <v>Германия</v>
      </c>
      <c r="AF1615" t="str">
        <f>VLOOKUP(Таблица1_113[[#This Row],[Марка]],Таблица13[#All],2,0)</f>
        <v>Business</v>
      </c>
      <c r="AG1615">
        <f>VLOOKUP(Таблица1_113[[#This Row],[Марка]],Таблица13[#All],3,0)</f>
        <v>1937</v>
      </c>
      <c r="AH1615" t="str">
        <f>VLOOKUP(Таблица1_113[[#This Row],[Марка]],Таблица13[#All],5,0)</f>
        <v>Нет</v>
      </c>
      <c r="AI1615" s="12">
        <v>44896</v>
      </c>
      <c r="AJ1615">
        <v>23</v>
      </c>
    </row>
    <row r="1616" spans="30:36">
      <c r="AD1616" t="s">
        <v>2</v>
      </c>
      <c r="AE1616" t="str">
        <f>VLOOKUP(Таблица1_113[[#This Row],[Марка]],Таблица13[#All],4,0)</f>
        <v>Япония</v>
      </c>
      <c r="AF1616" t="str">
        <f>VLOOKUP(Таблица1_113[[#This Row],[Марка]],Таблица13[#All],2,0)</f>
        <v>Business</v>
      </c>
      <c r="AG1616">
        <f>VLOOKUP(Таблица1_113[[#This Row],[Марка]],Таблица13[#All],3,0)</f>
        <v>1937</v>
      </c>
      <c r="AH1616" t="str">
        <f>VLOOKUP(Таблица1_113[[#This Row],[Марка]],Таблица13[#All],5,0)</f>
        <v>Нет</v>
      </c>
      <c r="AI1616" s="12">
        <v>44896</v>
      </c>
      <c r="AJ1616">
        <v>1042</v>
      </c>
    </row>
    <row r="1617" spans="30:36">
      <c r="AD1617" t="s">
        <v>125</v>
      </c>
      <c r="AE1617" t="str">
        <f>VLOOKUP(Таблица1_113[[#This Row],[Марка]],Таблица13[#All],4,0)</f>
        <v>Япония</v>
      </c>
      <c r="AF1617" t="str">
        <f>VLOOKUP(Таблица1_113[[#This Row],[Марка]],Таблица13[#All],2,0)</f>
        <v>Business</v>
      </c>
      <c r="AG1617">
        <f>VLOOKUP(Таблица1_113[[#This Row],[Марка]],Таблица13[#All],3,0)</f>
        <v>1953</v>
      </c>
      <c r="AH1617" t="str">
        <f>VLOOKUP(Таблица1_113[[#This Row],[Марка]],Таблица13[#All],5,0)</f>
        <v>Нет</v>
      </c>
      <c r="AI1617" s="12">
        <v>44896</v>
      </c>
      <c r="AJ1617">
        <v>79</v>
      </c>
    </row>
    <row r="1618" spans="30:36">
      <c r="AD1618" t="s">
        <v>23</v>
      </c>
      <c r="AE1618" t="str">
        <f>VLOOKUP(Таблица1_113[[#This Row],[Марка]],Таблица13[#All],4,0)</f>
        <v>Франция</v>
      </c>
      <c r="AF1618" t="str">
        <f>VLOOKUP(Таблица1_113[[#This Row],[Марка]],Таблица13[#All],2,0)</f>
        <v>Economy</v>
      </c>
      <c r="AG1618">
        <f>VLOOKUP(Таблица1_113[[#This Row],[Марка]],Таблица13[#All],3,0)</f>
        <v>1899</v>
      </c>
      <c r="AH1618" t="str">
        <f>VLOOKUP(Таблица1_113[[#This Row],[Марка]],Таблица13[#All],5,0)</f>
        <v>Крупноузловая</v>
      </c>
      <c r="AI1618" s="12">
        <v>44896</v>
      </c>
      <c r="AJ1618">
        <v>0</v>
      </c>
    </row>
    <row r="1619" spans="30:36">
      <c r="AD1619" t="s">
        <v>37</v>
      </c>
      <c r="AE1619" t="str">
        <f>VLOOKUP(Таблица1_113[[#This Row],[Марка]],Таблица13[#All],4,0)</f>
        <v>Германия</v>
      </c>
      <c r="AF1619" t="str">
        <f>VLOOKUP(Таблица1_113[[#This Row],[Марка]],Таблица13[#All],2,0)</f>
        <v>Luxury</v>
      </c>
      <c r="AG1619">
        <f>VLOOKUP(Таблица1_113[[#This Row],[Марка]],Таблица13[#All],3,0)</f>
        <v>1931</v>
      </c>
      <c r="AH1619" t="str">
        <f>VLOOKUP(Таблица1_113[[#This Row],[Марка]],Таблица13[#All],5,0)</f>
        <v>Нет</v>
      </c>
      <c r="AI1619" s="12">
        <v>44896</v>
      </c>
      <c r="AJ1619">
        <v>156</v>
      </c>
    </row>
    <row r="1620" spans="30:36">
      <c r="AD1620" t="s">
        <v>22</v>
      </c>
      <c r="AE1620" t="str">
        <f>VLOOKUP(Таблица1_113[[#This Row],[Марка]],Таблица13[#All],4,0)</f>
        <v>Япония</v>
      </c>
      <c r="AF1620" t="str">
        <f>VLOOKUP(Таблица1_113[[#This Row],[Марка]],Таблица13[#All],2,0)</f>
        <v>Business</v>
      </c>
      <c r="AG1620">
        <f>VLOOKUP(Таблица1_113[[#This Row],[Марка]],Таблица13[#All],3,0)</f>
        <v>1933</v>
      </c>
      <c r="AH1620" t="str">
        <f>VLOOKUP(Таблица1_113[[#This Row],[Марка]],Таблица13[#All],5,0)</f>
        <v>Нет</v>
      </c>
      <c r="AI1620" s="12">
        <v>44896</v>
      </c>
      <c r="AJ1620">
        <v>0</v>
      </c>
    </row>
    <row r="1621" spans="30:36">
      <c r="AD1621" t="s">
        <v>9</v>
      </c>
      <c r="AE1621" t="str">
        <f>VLOOKUP(Таблица1_113[[#This Row],[Марка]],Таблица13[#All],4,0)</f>
        <v>Япония</v>
      </c>
      <c r="AF1621" t="str">
        <f>VLOOKUP(Таблица1_113[[#This Row],[Марка]],Таблица13[#All],2,0)</f>
        <v>Business</v>
      </c>
      <c r="AG1621">
        <f>VLOOKUP(Таблица1_113[[#This Row],[Марка]],Таблица13[#All],3,0)</f>
        <v>1870</v>
      </c>
      <c r="AH1621" t="str">
        <f>VLOOKUP(Таблица1_113[[#This Row],[Марка]],Таблица13[#All],5,0)</f>
        <v>Нет</v>
      </c>
      <c r="AI1621" s="12">
        <v>44896</v>
      </c>
      <c r="AJ1621">
        <v>78</v>
      </c>
    </row>
    <row r="1622" spans="30:36">
      <c r="AD1622" t="s">
        <v>40</v>
      </c>
      <c r="AE1622" t="str">
        <f>VLOOKUP(Таблица1_113[[#This Row],[Марка]],Таблица13[#All],4,0)</f>
        <v>Великобритания</v>
      </c>
      <c r="AF1622" t="str">
        <f>VLOOKUP(Таблица1_113[[#This Row],[Марка]],Таблица13[#All],2,0)</f>
        <v>Luxury</v>
      </c>
      <c r="AG1622">
        <f>VLOOKUP(Таблица1_113[[#This Row],[Марка]],Таблица13[#All],3,0)</f>
        <v>1959</v>
      </c>
      <c r="AH1622" t="str">
        <f>VLOOKUP(Таблица1_113[[#This Row],[Марка]],Таблица13[#All],5,0)</f>
        <v>Нет</v>
      </c>
      <c r="AI1622" s="12">
        <v>44896</v>
      </c>
      <c r="AJ1622">
        <v>1</v>
      </c>
    </row>
    <row r="1623" spans="30:36">
      <c r="AD1623" t="s">
        <v>128</v>
      </c>
      <c r="AE1623" t="str">
        <f>VLOOKUP(Таблица1_113[[#This Row],[Марка]],Таблица13[#All],4,0)</f>
        <v>Германия</v>
      </c>
      <c r="AF1623" t="str">
        <f>VLOOKUP(Таблица1_113[[#This Row],[Марка]],Таблица13[#All],2,0)</f>
        <v>Luxury</v>
      </c>
      <c r="AG1623">
        <f>VLOOKUP(Таблица1_113[[#This Row],[Марка]],Таблица13[#All],3,0)</f>
        <v>1926</v>
      </c>
      <c r="AH1623" t="str">
        <f>VLOOKUP(Таблица1_113[[#This Row],[Марка]],Таблица13[#All],5,0)</f>
        <v>Нет</v>
      </c>
      <c r="AI1623" s="12">
        <v>44896</v>
      </c>
      <c r="AJ1623">
        <v>88</v>
      </c>
    </row>
    <row r="1624" spans="30:36">
      <c r="AD1624" t="s">
        <v>139</v>
      </c>
      <c r="AE1624" t="str">
        <f>VLOOKUP(Таблица1_113[[#This Row],[Марка]],Таблица13[#All],4,0)</f>
        <v>Япония</v>
      </c>
      <c r="AF1624" t="str">
        <f>VLOOKUP(Таблица1_113[[#This Row],[Марка]],Таблица13[#All],2,0)</f>
        <v>Business</v>
      </c>
      <c r="AG1624">
        <f>VLOOKUP(Таблица1_113[[#This Row],[Марка]],Таблица13[#All],3,0)</f>
        <v>1920</v>
      </c>
      <c r="AH1624" t="str">
        <f>VLOOKUP(Таблица1_113[[#This Row],[Марка]],Таблица13[#All],5,0)</f>
        <v>Нет</v>
      </c>
      <c r="AI1624" s="12">
        <v>44896</v>
      </c>
      <c r="AJ1624">
        <v>0</v>
      </c>
    </row>
    <row r="1625" spans="30:36">
      <c r="AD1625" t="s">
        <v>5</v>
      </c>
      <c r="AE1625" t="str">
        <f>VLOOKUP(Таблица1_113[[#This Row],[Марка]],Таблица13[#All],4,0)</f>
        <v>Япония</v>
      </c>
      <c r="AF1625" t="str">
        <f>VLOOKUP(Таблица1_113[[#This Row],[Марка]],Таблица13[#All],2,0)</f>
        <v>Luxury</v>
      </c>
      <c r="AG1625">
        <f>VLOOKUP(Таблица1_113[[#This Row],[Марка]],Таблица13[#All],3,0)</f>
        <v>1989</v>
      </c>
      <c r="AH1625" t="str">
        <f>VLOOKUP(Таблица1_113[[#This Row],[Марка]],Таблица13[#All],5,0)</f>
        <v>Нет</v>
      </c>
      <c r="AI1625" s="12">
        <v>44896</v>
      </c>
      <c r="AJ1625">
        <v>212</v>
      </c>
    </row>
    <row r="1626" spans="30:36">
      <c r="AD1626" t="s">
        <v>35</v>
      </c>
      <c r="AE1626" t="str">
        <f>VLOOKUP(Таблица1_113[[#This Row],[Марка]],Таблица13[#All],4,0)</f>
        <v>Великобритания</v>
      </c>
      <c r="AF1626" t="str">
        <f>VLOOKUP(Таблица1_113[[#This Row],[Марка]],Таблица13[#All],2,0)</f>
        <v>Luxury</v>
      </c>
      <c r="AG1626">
        <f>VLOOKUP(Таблица1_113[[#This Row],[Марка]],Таблица13[#All],3,0)</f>
        <v>1948</v>
      </c>
      <c r="AH1626" t="str">
        <f>VLOOKUP(Таблица1_113[[#This Row],[Марка]],Таблица13[#All],5,0)</f>
        <v>Нет</v>
      </c>
      <c r="AI1626" s="12">
        <v>44896</v>
      </c>
      <c r="AJ1626">
        <v>8</v>
      </c>
    </row>
    <row r="1627" spans="30:36">
      <c r="AD1627" t="s">
        <v>19</v>
      </c>
      <c r="AE1627" t="str">
        <f>VLOOKUP(Таблица1_113[[#This Row],[Марка]],Таблица13[#All],4,0)</f>
        <v>Россия</v>
      </c>
      <c r="AF1627" t="str">
        <f>VLOOKUP(Таблица1_113[[#This Row],[Марка]],Таблица13[#All],2,0)</f>
        <v>Economy</v>
      </c>
      <c r="AG1627">
        <f>VLOOKUP(Таблица1_113[[#This Row],[Марка]],Таблица13[#All],3,0)</f>
        <v>1970</v>
      </c>
      <c r="AH1627" t="str">
        <f>VLOOKUP(Таблица1_113[[#This Row],[Марка]],Таблица13[#All],5,0)</f>
        <v>Крупноузловая</v>
      </c>
      <c r="AI1627" s="12">
        <v>44896</v>
      </c>
      <c r="AJ1627">
        <v>195</v>
      </c>
    </row>
    <row r="1628" spans="30:36">
      <c r="AD1628" t="s">
        <v>15</v>
      </c>
      <c r="AE1628" t="str">
        <f>VLOOKUP(Таблица1_113[[#This Row],[Марка]],Таблица13[#All],4,0)</f>
        <v>Корея</v>
      </c>
      <c r="AF1628" t="str">
        <f>VLOOKUP(Таблица1_113[[#This Row],[Марка]],Таблица13[#All],2,0)</f>
        <v>Economy</v>
      </c>
      <c r="AG1628">
        <f>VLOOKUP(Таблица1_113[[#This Row],[Марка]],Таблица13[#All],3,0)</f>
        <v>1944</v>
      </c>
      <c r="AH1628" t="str">
        <f>VLOOKUP(Таблица1_113[[#This Row],[Марка]],Таблица13[#All],5,0)</f>
        <v>Крупноузловая</v>
      </c>
      <c r="AI1628" s="12">
        <v>44896</v>
      </c>
      <c r="AJ1628">
        <v>1568</v>
      </c>
    </row>
    <row r="1629" spans="30:36">
      <c r="AD1629" t="s">
        <v>134</v>
      </c>
      <c r="AE1629" t="str">
        <f>VLOOKUP(Таблица1_113[[#This Row],[Марка]],Таблица13[#All],4,0)</f>
        <v>Великобритания</v>
      </c>
      <c r="AF1629" t="str">
        <f>VLOOKUP(Таблица1_113[[#This Row],[Марка]],Таблица13[#All],2,0)</f>
        <v>Luxury</v>
      </c>
      <c r="AG1629">
        <f>VLOOKUP(Таблица1_113[[#This Row],[Марка]],Таблица13[#All],3,0)</f>
        <v>1922</v>
      </c>
      <c r="AH1629" t="str">
        <f>VLOOKUP(Таблица1_113[[#This Row],[Марка]],Таблица13[#All],5,0)</f>
        <v>Нет</v>
      </c>
      <c r="AI1629" s="12">
        <v>44896</v>
      </c>
      <c r="AJ1629">
        <v>6</v>
      </c>
    </row>
    <row r="1630" spans="30:36">
      <c r="AD1630" t="s">
        <v>4</v>
      </c>
      <c r="AE1630" t="str">
        <f>VLOOKUP(Таблица1_113[[#This Row],[Марка]],Таблица13[#All],4,0)</f>
        <v>Китай</v>
      </c>
      <c r="AF1630" t="str">
        <f>VLOOKUP(Таблица1_113[[#This Row],[Марка]],Таблица13[#All],2,0)</f>
        <v>Economy</v>
      </c>
      <c r="AG1630">
        <f>VLOOKUP(Таблица1_113[[#This Row],[Марка]],Таблица13[#All],3,0)</f>
        <v>1964</v>
      </c>
      <c r="AH1630" t="str">
        <f>VLOOKUP(Таблица1_113[[#This Row],[Марка]],Таблица13[#All],5,0)</f>
        <v>Крупноузловая</v>
      </c>
      <c r="AI1630" s="12">
        <v>44896</v>
      </c>
      <c r="AJ1630">
        <v>857</v>
      </c>
    </row>
    <row r="1631" spans="30:36">
      <c r="AD1631" t="s">
        <v>140</v>
      </c>
      <c r="AE1631" t="str">
        <f>VLOOKUP(Таблица1_113[[#This Row],[Марка]],Таблица13[#All],4,0)</f>
        <v>Япония</v>
      </c>
      <c r="AF1631" t="str">
        <f>VLOOKUP(Таблица1_113[[#This Row],[Марка]],Таблица13[#All],2,0)</f>
        <v>Business</v>
      </c>
      <c r="AG1631">
        <f>VLOOKUP(Таблица1_113[[#This Row],[Марка]],Таблица13[#All],3,0)</f>
        <v>1916</v>
      </c>
      <c r="AH1631" t="str">
        <f>VLOOKUP(Таблица1_113[[#This Row],[Марка]],Таблица13[#All],5,0)</f>
        <v>Нет</v>
      </c>
      <c r="AI1631" s="12">
        <v>44896</v>
      </c>
      <c r="AJ1631">
        <v>0</v>
      </c>
    </row>
    <row r="1632" spans="30:36">
      <c r="AD1632" t="s">
        <v>34</v>
      </c>
      <c r="AE1632" t="str">
        <f>VLOOKUP(Таблица1_113[[#This Row],[Марка]],Таблица13[#All],4,0)</f>
        <v>Япония</v>
      </c>
      <c r="AF1632" t="str">
        <f>VLOOKUP(Таблица1_113[[#This Row],[Марка]],Таблица13[#All],2,0)</f>
        <v>Luxury</v>
      </c>
      <c r="AG1632">
        <f>VLOOKUP(Таблица1_113[[#This Row],[Марка]],Таблица13[#All],3,0)</f>
        <v>1989</v>
      </c>
      <c r="AH1632" t="str">
        <f>VLOOKUP(Таблица1_113[[#This Row],[Марка]],Таблица13[#All],5,0)</f>
        <v>Нет</v>
      </c>
      <c r="AI1632" s="12">
        <v>44896</v>
      </c>
      <c r="AJ1632">
        <v>0</v>
      </c>
    </row>
    <row r="1633" spans="30:36">
      <c r="AD1633" t="s">
        <v>0</v>
      </c>
      <c r="AE1633" t="str">
        <f>VLOOKUP(Таблица1_113[[#This Row],[Марка]],Таблица13[#All],4,0)</f>
        <v>Корея</v>
      </c>
      <c r="AF1633" t="str">
        <f>VLOOKUP(Таблица1_113[[#This Row],[Марка]],Таблица13[#All],2,0)</f>
        <v>Economy</v>
      </c>
      <c r="AG1633">
        <f>VLOOKUP(Таблица1_113[[#This Row],[Марка]],Таблица13[#All],3,0)</f>
        <v>1967</v>
      </c>
      <c r="AH1633" t="str">
        <f>VLOOKUP(Таблица1_113[[#This Row],[Марка]],Таблица13[#All],5,0)</f>
        <v>Крупноузловая</v>
      </c>
      <c r="AI1633" s="12">
        <v>44896</v>
      </c>
      <c r="AJ1633">
        <v>3443</v>
      </c>
    </row>
    <row r="1634" spans="30:36">
      <c r="AD1634" t="s">
        <v>6</v>
      </c>
      <c r="AE1634" t="str">
        <f>VLOOKUP(Таблица1_113[[#This Row],[Марка]],Таблица13[#All],4,0)</f>
        <v>Китай</v>
      </c>
      <c r="AF1634" t="str">
        <f>VLOOKUP(Таблица1_113[[#This Row],[Марка]],Таблица13[#All],2,0)</f>
        <v>Economy</v>
      </c>
      <c r="AG1634">
        <f>VLOOKUP(Таблица1_113[[#This Row],[Марка]],Таблица13[#All],3,0)</f>
        <v>2013</v>
      </c>
      <c r="AH1634" t="str">
        <f>VLOOKUP(Таблица1_113[[#This Row],[Марка]],Таблица13[#All],5,0)</f>
        <v>Крупноузловая</v>
      </c>
      <c r="AI1634" s="12">
        <v>44896</v>
      </c>
      <c r="AJ1634">
        <v>337</v>
      </c>
    </row>
    <row r="1635" spans="30:36">
      <c r="AD1635" t="s">
        <v>18</v>
      </c>
      <c r="AE1635" t="str">
        <f>VLOOKUP(Таблица1_113[[#This Row],[Марка]],Таблица13[#All],4,0)</f>
        <v>Китай</v>
      </c>
      <c r="AF1635" t="str">
        <f>VLOOKUP(Таблица1_113[[#This Row],[Марка]],Таблица13[#All],2,0)</f>
        <v>Economy</v>
      </c>
      <c r="AG1635">
        <f>VLOOKUP(Таблица1_113[[#This Row],[Марка]],Таблица13[#All],3,0)</f>
        <v>1986</v>
      </c>
      <c r="AH1635" t="str">
        <f>VLOOKUP(Таблица1_113[[#This Row],[Марка]],Таблица13[#All],5,0)</f>
        <v>Крупноузловая</v>
      </c>
      <c r="AI1635" s="12">
        <v>44896</v>
      </c>
      <c r="AJ1635">
        <v>127</v>
      </c>
    </row>
    <row r="1636" spans="30:36">
      <c r="AD1636" t="s">
        <v>133</v>
      </c>
      <c r="AE1636" t="str">
        <f>VLOOKUP(Таблица1_113[[#This Row],[Марка]],Таблица13[#All],4,0)</f>
        <v>Китай</v>
      </c>
      <c r="AF1636" t="str">
        <f>VLOOKUP(Таблица1_113[[#This Row],[Марка]],Таблица13[#All],2,0)</f>
        <v>Economy</v>
      </c>
      <c r="AG1636">
        <f>VLOOKUP(Таблица1_113[[#This Row],[Марка]],Таблица13[#All],3,0)</f>
        <v>1996</v>
      </c>
      <c r="AH1636" t="str">
        <f>VLOOKUP(Таблица1_113[[#This Row],[Марка]],Таблица13[#All],5,0)</f>
        <v>Нет</v>
      </c>
      <c r="AI1636" s="12">
        <v>44896</v>
      </c>
      <c r="AJ1636">
        <v>7</v>
      </c>
    </row>
    <row r="1637" spans="30:36">
      <c r="AD1637" t="s">
        <v>129</v>
      </c>
      <c r="AE1637" t="str">
        <f>VLOOKUP(Таблица1_113[[#This Row],[Марка]],Таблица13[#All],4,0)</f>
        <v>Китай</v>
      </c>
      <c r="AF1637" t="str">
        <f>VLOOKUP(Таблица1_113[[#This Row],[Марка]],Таблица13[#All],2,0)</f>
        <v>Economy</v>
      </c>
      <c r="AG1637">
        <f>VLOOKUP(Таблица1_113[[#This Row],[Марка]],Таблица13[#All],3,0)</f>
        <v>1953</v>
      </c>
      <c r="AH1637" t="str">
        <f>VLOOKUP(Таблица1_113[[#This Row],[Марка]],Таблица13[#All],5,0)</f>
        <v>Нет</v>
      </c>
      <c r="AI1637" s="12">
        <v>44896</v>
      </c>
      <c r="AJ1637">
        <v>15</v>
      </c>
    </row>
    <row r="1638" spans="30:36">
      <c r="AD1638" t="s">
        <v>130</v>
      </c>
      <c r="AE1638" t="str">
        <f>VLOOKUP(Таблица1_113[[#This Row],[Марка]],Таблица13[#All],4,0)</f>
        <v>Китай</v>
      </c>
      <c r="AF1638" t="str">
        <f>VLOOKUP(Таблица1_113[[#This Row],[Марка]],Таблица13[#All],2,0)</f>
        <v>Economy</v>
      </c>
      <c r="AG1638">
        <f>VLOOKUP(Таблица1_113[[#This Row],[Марка]],Таблица13[#All],3,0)</f>
        <v>1969</v>
      </c>
      <c r="AH1638" t="str">
        <f>VLOOKUP(Таблица1_113[[#This Row],[Марка]],Таблица13[#All],5,0)</f>
        <v>Нет</v>
      </c>
      <c r="AI1638" s="12">
        <v>44896</v>
      </c>
      <c r="AJ1638">
        <v>2</v>
      </c>
    </row>
    <row r="1639" spans="30:36">
      <c r="AD1639" t="s">
        <v>137</v>
      </c>
      <c r="AE1639" t="str">
        <f>VLOOKUP(Таблица1_113[[#This Row],[Марка]],Таблица13[#All],4,0)</f>
        <v>Корея</v>
      </c>
      <c r="AF1639" t="str">
        <f>VLOOKUP(Таблица1_113[[#This Row],[Марка]],Таблица13[#All],2,0)</f>
        <v>Economy</v>
      </c>
      <c r="AG1639">
        <f>VLOOKUP(Таблица1_113[[#This Row],[Марка]],Таблица13[#All],3,0)</f>
        <v>1967</v>
      </c>
      <c r="AH1639" t="str">
        <f>VLOOKUP(Таблица1_113[[#This Row],[Марка]],Таблица13[#All],5,0)</f>
        <v>Нет</v>
      </c>
      <c r="AI1639" s="12">
        <v>44896</v>
      </c>
      <c r="AJ1639">
        <v>5</v>
      </c>
    </row>
    <row r="1640" spans="30:36">
      <c r="AD1640" t="s">
        <v>1</v>
      </c>
      <c r="AE1640" t="str">
        <f>VLOOKUP(Таблица1_113[[#This Row],[Марка]],Таблица13[#All],4,0)</f>
        <v>США</v>
      </c>
      <c r="AF1640" t="str">
        <f>VLOOKUP(Таблица1_113[[#This Row],[Марка]],Таблица13[#All],2,0)</f>
        <v>Economy</v>
      </c>
      <c r="AG1640">
        <f>VLOOKUP(Таблица1_113[[#This Row],[Марка]],Таблица13[#All],3,0)</f>
        <v>1911</v>
      </c>
      <c r="AH1640" t="str">
        <f>VLOOKUP(Таблица1_113[[#This Row],[Марка]],Таблица13[#All],5,0)</f>
        <v>Крупноузловая</v>
      </c>
      <c r="AI1640" s="12">
        <v>44896</v>
      </c>
      <c r="AJ1640">
        <v>3545</v>
      </c>
    </row>
    <row r="1641" spans="30:36">
      <c r="AD1641" t="s">
        <v>3</v>
      </c>
      <c r="AE1641" t="str">
        <f>VLOOKUP(Таблица1_113[[#This Row],[Марка]],Таблица13[#All],4,0)</f>
        <v>Китай</v>
      </c>
      <c r="AF1641" t="str">
        <f>VLOOKUP(Таблица1_113[[#This Row],[Марка]],Таблица13[#All],2,0)</f>
        <v>Economy</v>
      </c>
      <c r="AG1641">
        <f>VLOOKUP(Таблица1_113[[#This Row],[Марка]],Таблица13[#All],3,0)</f>
        <v>1997</v>
      </c>
      <c r="AH1641" t="str">
        <f>VLOOKUP(Таблица1_113[[#This Row],[Марка]],Таблица13[#All],5,0)</f>
        <v>Крупноузловая</v>
      </c>
      <c r="AI1641" s="12">
        <v>44896</v>
      </c>
      <c r="AJ1641">
        <v>835</v>
      </c>
    </row>
    <row r="1642" spans="30:36">
      <c r="AD1642" t="s">
        <v>124</v>
      </c>
      <c r="AE1642" t="str">
        <f>VLOOKUP(Таблица1_113[[#This Row],[Марка]],Таблица13[#All],4,0)</f>
        <v>Китай</v>
      </c>
      <c r="AF1642" t="str">
        <f>VLOOKUP(Таблица1_113[[#This Row],[Марка]],Таблица13[#All],2,0)</f>
        <v>Economy</v>
      </c>
      <c r="AG1642">
        <f>VLOOKUP(Таблица1_113[[#This Row],[Марка]],Таблица13[#All],3,0)</f>
        <v>1862</v>
      </c>
      <c r="AH1642" t="str">
        <f>VLOOKUP(Таблица1_113[[#This Row],[Марка]],Таблица13[#All],5,0)</f>
        <v>Нет</v>
      </c>
      <c r="AI1642" s="12">
        <v>44896</v>
      </c>
      <c r="AJ1642">
        <v>155</v>
      </c>
    </row>
    <row r="1643" spans="30:36">
      <c r="AD1643" t="s">
        <v>36</v>
      </c>
      <c r="AE1643" t="str">
        <f>VLOOKUP(Таблица1_113[[#This Row],[Марка]],Таблица13[#All],4,0)</f>
        <v>США</v>
      </c>
      <c r="AF1643" t="str">
        <f>VLOOKUP(Таблица1_113[[#This Row],[Марка]],Таблица13[#All],2,0)</f>
        <v>Luxury</v>
      </c>
      <c r="AG1643">
        <f>VLOOKUP(Таблица1_113[[#This Row],[Марка]],Таблица13[#All],3,0)</f>
        <v>1902</v>
      </c>
      <c r="AH1643" t="str">
        <f>VLOOKUP(Таблица1_113[[#This Row],[Марка]],Таблица13[#All],5,0)</f>
        <v>Нет</v>
      </c>
      <c r="AI1643" s="12">
        <v>44896</v>
      </c>
      <c r="AJ1643">
        <v>48</v>
      </c>
    </row>
    <row r="1644" spans="30:36">
      <c r="AD1644" t="s">
        <v>8</v>
      </c>
      <c r="AE1644" t="str">
        <f>VLOOKUP(Таблица1_113[[#This Row],[Марка]],Таблица13[#All],4,0)</f>
        <v>Германия</v>
      </c>
      <c r="AF1644" t="str">
        <f>VLOOKUP(Таблица1_113[[#This Row],[Марка]],Таблица13[#All],2,0)</f>
        <v>Luxury</v>
      </c>
      <c r="AG1644">
        <f>VLOOKUP(Таблица1_113[[#This Row],[Марка]],Таблица13[#All],3,0)</f>
        <v>1916</v>
      </c>
      <c r="AH1644" t="str">
        <f>VLOOKUP(Таблица1_113[[#This Row],[Марка]],Таблица13[#All],5,0)</f>
        <v>Нет</v>
      </c>
      <c r="AI1644" s="12">
        <v>44896</v>
      </c>
      <c r="AJ1644">
        <v>157</v>
      </c>
    </row>
    <row r="1645" spans="30:36">
      <c r="AD1645" t="s">
        <v>38</v>
      </c>
      <c r="AE1645" t="str">
        <f>VLOOKUP(Таблица1_113[[#This Row],[Марка]],Таблица13[#All],4,0)</f>
        <v>Германия</v>
      </c>
      <c r="AF1645" t="str">
        <f>VLOOKUP(Таблица1_113[[#This Row],[Марка]],Таблица13[#All],2,0)</f>
        <v>Luxury</v>
      </c>
      <c r="AG1645">
        <f>VLOOKUP(Таблица1_113[[#This Row],[Марка]],Таблица13[#All],3,0)</f>
        <v>1932</v>
      </c>
      <c r="AH1645" t="str">
        <f>VLOOKUP(Таблица1_113[[#This Row],[Марка]],Таблица13[#All],5,0)</f>
        <v>Нет</v>
      </c>
      <c r="AI1645" s="12">
        <v>44896</v>
      </c>
      <c r="AJ1645">
        <v>10</v>
      </c>
    </row>
    <row r="1646" spans="30:36">
      <c r="AD1646" t="s">
        <v>136</v>
      </c>
      <c r="AE1646" t="str">
        <f>VLOOKUP(Таблица1_113[[#This Row],[Марка]],Таблица13[#All],4,0)</f>
        <v>Россия</v>
      </c>
      <c r="AF1646" t="str">
        <f>VLOOKUP(Таблица1_113[[#This Row],[Марка]],Таблица13[#All],2,0)</f>
        <v>Economy</v>
      </c>
      <c r="AG1646">
        <f>VLOOKUP(Таблица1_113[[#This Row],[Марка]],Таблица13[#All],3,0)</f>
        <v>1941</v>
      </c>
      <c r="AH1646" t="str">
        <f>VLOOKUP(Таблица1_113[[#This Row],[Марка]],Таблица13[#All],5,0)</f>
        <v>Нет</v>
      </c>
      <c r="AI1646" s="12">
        <v>44927</v>
      </c>
      <c r="AJ1646">
        <v>11</v>
      </c>
    </row>
    <row r="1647" spans="30:36">
      <c r="AD1647" t="s">
        <v>21</v>
      </c>
      <c r="AE1647" t="str">
        <f>VLOOKUP(Таблица1_113[[#This Row],[Марка]],Таблица13[#All],4,0)</f>
        <v>Германия</v>
      </c>
      <c r="AF1647" t="str">
        <f>VLOOKUP(Таблица1_113[[#This Row],[Марка]],Таблица13[#All],2,0)</f>
        <v>Business</v>
      </c>
      <c r="AG1647">
        <f>VLOOKUP(Таблица1_113[[#This Row],[Марка]],Таблица13[#All],3,0)</f>
        <v>1937</v>
      </c>
      <c r="AH1647" t="str">
        <f>VLOOKUP(Таблица1_113[[#This Row],[Марка]],Таблица13[#All],5,0)</f>
        <v>Нет</v>
      </c>
      <c r="AI1647" s="12">
        <v>44927</v>
      </c>
      <c r="AJ1647">
        <v>11</v>
      </c>
    </row>
    <row r="1648" spans="30:36">
      <c r="AD1648" t="s">
        <v>2</v>
      </c>
      <c r="AE1648" t="str">
        <f>VLOOKUP(Таблица1_113[[#This Row],[Марка]],Таблица13[#All],4,0)</f>
        <v>Япония</v>
      </c>
      <c r="AF1648" t="str">
        <f>VLOOKUP(Таблица1_113[[#This Row],[Марка]],Таблица13[#All],2,0)</f>
        <v>Business</v>
      </c>
      <c r="AG1648">
        <f>VLOOKUP(Таблица1_113[[#This Row],[Марка]],Таблица13[#All],3,0)</f>
        <v>1937</v>
      </c>
      <c r="AH1648" t="str">
        <f>VLOOKUP(Таблица1_113[[#This Row],[Марка]],Таблица13[#All],5,0)</f>
        <v>Нет</v>
      </c>
      <c r="AI1648" s="12">
        <v>44927</v>
      </c>
      <c r="AJ1648">
        <v>605</v>
      </c>
    </row>
    <row r="1649" spans="30:36">
      <c r="AD1649" t="s">
        <v>20</v>
      </c>
      <c r="AE1649" t="str">
        <f>VLOOKUP(Таблица1_113[[#This Row],[Марка]],Таблица13[#All],4,0)</f>
        <v>Китай</v>
      </c>
      <c r="AF1649" t="str">
        <f>VLOOKUP(Таблица1_113[[#This Row],[Марка]],Таблица13[#All],2,0)</f>
        <v>Business</v>
      </c>
      <c r="AG1649">
        <f>VLOOKUP(Таблица1_113[[#This Row],[Марка]],Таблица13[#All],3,0)</f>
        <v>2021</v>
      </c>
      <c r="AH1649" t="str">
        <f>VLOOKUP(Таблица1_113[[#This Row],[Марка]],Таблица13[#All],5,0)</f>
        <v>Нет</v>
      </c>
      <c r="AI1649" s="12">
        <v>44927</v>
      </c>
      <c r="AJ1649">
        <v>0</v>
      </c>
    </row>
    <row r="1650" spans="30:36">
      <c r="AD1650" t="s">
        <v>125</v>
      </c>
      <c r="AE1650" t="str">
        <f>VLOOKUP(Таблица1_113[[#This Row],[Марка]],Таблица13[#All],4,0)</f>
        <v>Япония</v>
      </c>
      <c r="AF1650" t="str">
        <f>VLOOKUP(Таблица1_113[[#This Row],[Марка]],Таблица13[#All],2,0)</f>
        <v>Business</v>
      </c>
      <c r="AG1650">
        <f>VLOOKUP(Таблица1_113[[#This Row],[Марка]],Таблица13[#All],3,0)</f>
        <v>1953</v>
      </c>
      <c r="AH1650" t="str">
        <f>VLOOKUP(Таблица1_113[[#This Row],[Марка]],Таблица13[#All],5,0)</f>
        <v>Нет</v>
      </c>
      <c r="AI1650" s="12">
        <v>44927</v>
      </c>
      <c r="AJ1650">
        <v>89</v>
      </c>
    </row>
    <row r="1651" spans="30:36">
      <c r="AD1651" t="s">
        <v>37</v>
      </c>
      <c r="AE1651" t="str">
        <f>VLOOKUP(Таблица1_113[[#This Row],[Марка]],Таблица13[#All],4,0)</f>
        <v>Германия</v>
      </c>
      <c r="AF1651" t="str">
        <f>VLOOKUP(Таблица1_113[[#This Row],[Марка]],Таблица13[#All],2,0)</f>
        <v>Luxury</v>
      </c>
      <c r="AG1651">
        <f>VLOOKUP(Таблица1_113[[#This Row],[Марка]],Таблица13[#All],3,0)</f>
        <v>1931</v>
      </c>
      <c r="AH1651" t="str">
        <f>VLOOKUP(Таблица1_113[[#This Row],[Марка]],Таблица13[#All],5,0)</f>
        <v>Нет</v>
      </c>
      <c r="AI1651" s="12">
        <v>44927</v>
      </c>
      <c r="AJ1651">
        <v>22</v>
      </c>
    </row>
    <row r="1652" spans="30:36">
      <c r="AD1652" t="s">
        <v>126</v>
      </c>
      <c r="AE1652" t="str">
        <f>VLOOKUP(Таблица1_113[[#This Row],[Марка]],Таблица13[#All],4,0)</f>
        <v>Россия</v>
      </c>
      <c r="AF1652" t="str">
        <f>VLOOKUP(Таблица1_113[[#This Row],[Марка]],Таблица13[#All],2,0)</f>
        <v>Economy</v>
      </c>
      <c r="AG1652">
        <f>VLOOKUP(Таблица1_113[[#This Row],[Марка]],Таблица13[#All],3,0)</f>
        <v>2022</v>
      </c>
      <c r="AH1652" t="str">
        <f>VLOOKUP(Таблица1_113[[#This Row],[Марка]],Таблица13[#All],5,0)</f>
        <v>Нет</v>
      </c>
      <c r="AI1652" s="12">
        <v>44927</v>
      </c>
      <c r="AJ1652">
        <v>0</v>
      </c>
    </row>
    <row r="1653" spans="30:36">
      <c r="AD1653" t="s">
        <v>22</v>
      </c>
      <c r="AE1653" t="str">
        <f>VLOOKUP(Таблица1_113[[#This Row],[Марка]],Таблица13[#All],4,0)</f>
        <v>Япония</v>
      </c>
      <c r="AF1653" t="str">
        <f>VLOOKUP(Таблица1_113[[#This Row],[Марка]],Таблица13[#All],2,0)</f>
        <v>Business</v>
      </c>
      <c r="AG1653">
        <f>VLOOKUP(Таблица1_113[[#This Row],[Марка]],Таблица13[#All],3,0)</f>
        <v>1933</v>
      </c>
      <c r="AH1653" t="str">
        <f>VLOOKUP(Таблица1_113[[#This Row],[Марка]],Таблица13[#All],5,0)</f>
        <v>Нет</v>
      </c>
      <c r="AI1653" s="12">
        <v>44927</v>
      </c>
      <c r="AJ1653">
        <v>0</v>
      </c>
    </row>
    <row r="1654" spans="30:36">
      <c r="AD1654" t="s">
        <v>9</v>
      </c>
      <c r="AE1654" t="str">
        <f>VLOOKUP(Таблица1_113[[#This Row],[Марка]],Таблица13[#All],4,0)</f>
        <v>Япония</v>
      </c>
      <c r="AF1654" t="str">
        <f>VLOOKUP(Таблица1_113[[#This Row],[Марка]],Таблица13[#All],2,0)</f>
        <v>Business</v>
      </c>
      <c r="AG1654">
        <f>VLOOKUP(Таблица1_113[[#This Row],[Марка]],Таблица13[#All],3,0)</f>
        <v>1870</v>
      </c>
      <c r="AH1654" t="str">
        <f>VLOOKUP(Таблица1_113[[#This Row],[Марка]],Таблица13[#All],5,0)</f>
        <v>Нет</v>
      </c>
      <c r="AI1654" s="12">
        <v>44927</v>
      </c>
      <c r="AJ1654">
        <v>44</v>
      </c>
    </row>
    <row r="1655" spans="30:36">
      <c r="AD1655" t="s">
        <v>40</v>
      </c>
      <c r="AE1655" t="str">
        <f>VLOOKUP(Таблица1_113[[#This Row],[Марка]],Таблица13[#All],4,0)</f>
        <v>Великобритания</v>
      </c>
      <c r="AF1655" t="str">
        <f>VLOOKUP(Таблица1_113[[#This Row],[Марка]],Таблица13[#All],2,0)</f>
        <v>Luxury</v>
      </c>
      <c r="AG1655">
        <f>VLOOKUP(Таблица1_113[[#This Row],[Марка]],Таблица13[#All],3,0)</f>
        <v>1959</v>
      </c>
      <c r="AH1655" t="str">
        <f>VLOOKUP(Таблица1_113[[#This Row],[Марка]],Таблица13[#All],5,0)</f>
        <v>Нет</v>
      </c>
      <c r="AI1655" s="12">
        <v>44927</v>
      </c>
      <c r="AJ1655">
        <v>7</v>
      </c>
    </row>
    <row r="1656" spans="30:36">
      <c r="AD1656" t="s">
        <v>128</v>
      </c>
      <c r="AE1656" t="str">
        <f>VLOOKUP(Таблица1_113[[#This Row],[Марка]],Таблица13[#All],4,0)</f>
        <v>Германия</v>
      </c>
      <c r="AF1656" t="str">
        <f>VLOOKUP(Таблица1_113[[#This Row],[Марка]],Таблица13[#All],2,0)</f>
        <v>Luxury</v>
      </c>
      <c r="AG1656">
        <f>VLOOKUP(Таблица1_113[[#This Row],[Марка]],Таблица13[#All],3,0)</f>
        <v>1926</v>
      </c>
      <c r="AH1656" t="str">
        <f>VLOOKUP(Таблица1_113[[#This Row],[Марка]],Таблица13[#All],5,0)</f>
        <v>Нет</v>
      </c>
      <c r="AI1656" s="12">
        <v>44927</v>
      </c>
      <c r="AJ1656">
        <v>40</v>
      </c>
    </row>
    <row r="1657" spans="30:36">
      <c r="AD1657" t="s">
        <v>5</v>
      </c>
      <c r="AE1657" t="str">
        <f>VLOOKUP(Таблица1_113[[#This Row],[Марка]],Таблица13[#All],4,0)</f>
        <v>Япония</v>
      </c>
      <c r="AF1657" t="str">
        <f>VLOOKUP(Таблица1_113[[#This Row],[Марка]],Таблица13[#All],2,0)</f>
        <v>Luxury</v>
      </c>
      <c r="AG1657">
        <f>VLOOKUP(Таблица1_113[[#This Row],[Марка]],Таблица13[#All],3,0)</f>
        <v>1989</v>
      </c>
      <c r="AH1657" t="str">
        <f>VLOOKUP(Таблица1_113[[#This Row],[Марка]],Таблица13[#All],5,0)</f>
        <v>Нет</v>
      </c>
      <c r="AI1657" s="12">
        <v>44927</v>
      </c>
      <c r="AJ1657">
        <v>205</v>
      </c>
    </row>
    <row r="1658" spans="30:36">
      <c r="AD1658" t="s">
        <v>35</v>
      </c>
      <c r="AE1658" t="str">
        <f>VLOOKUP(Таблица1_113[[#This Row],[Марка]],Таблица13[#All],4,0)</f>
        <v>Великобритания</v>
      </c>
      <c r="AF1658" t="str">
        <f>VLOOKUP(Таблица1_113[[#This Row],[Марка]],Таблица13[#All],2,0)</f>
        <v>Luxury</v>
      </c>
      <c r="AG1658">
        <f>VLOOKUP(Таблица1_113[[#This Row],[Марка]],Таблица13[#All],3,0)</f>
        <v>1948</v>
      </c>
      <c r="AH1658" t="str">
        <f>VLOOKUP(Таблица1_113[[#This Row],[Марка]],Таблица13[#All],5,0)</f>
        <v>Нет</v>
      </c>
      <c r="AI1658" s="12">
        <v>44927</v>
      </c>
      <c r="AJ1658">
        <v>29</v>
      </c>
    </row>
    <row r="1659" spans="30:36">
      <c r="AD1659" t="s">
        <v>19</v>
      </c>
      <c r="AE1659" t="str">
        <f>VLOOKUP(Таблица1_113[[#This Row],[Марка]],Таблица13[#All],4,0)</f>
        <v>Россия</v>
      </c>
      <c r="AF1659" t="str">
        <f>VLOOKUP(Таблица1_113[[#This Row],[Марка]],Таблица13[#All],2,0)</f>
        <v>Economy</v>
      </c>
      <c r="AG1659">
        <f>VLOOKUP(Таблица1_113[[#This Row],[Марка]],Таблица13[#All],3,0)</f>
        <v>1970</v>
      </c>
      <c r="AH1659" t="str">
        <f>VLOOKUP(Таблица1_113[[#This Row],[Марка]],Таблица13[#All],5,0)</f>
        <v>Крупноузловая</v>
      </c>
      <c r="AI1659" s="12">
        <v>44927</v>
      </c>
      <c r="AJ1659">
        <v>67</v>
      </c>
    </row>
    <row r="1660" spans="30:36">
      <c r="AD1660" t="s">
        <v>15</v>
      </c>
      <c r="AE1660" t="str">
        <f>VLOOKUP(Таблица1_113[[#This Row],[Марка]],Таблица13[#All],4,0)</f>
        <v>Корея</v>
      </c>
      <c r="AF1660" t="str">
        <f>VLOOKUP(Таблица1_113[[#This Row],[Марка]],Таблица13[#All],2,0)</f>
        <v>Economy</v>
      </c>
      <c r="AG1660">
        <f>VLOOKUP(Таблица1_113[[#This Row],[Марка]],Таблица13[#All],3,0)</f>
        <v>1944</v>
      </c>
      <c r="AH1660" t="str">
        <f>VLOOKUP(Таблица1_113[[#This Row],[Марка]],Таблица13[#All],5,0)</f>
        <v>Крупноузловая</v>
      </c>
      <c r="AI1660" s="12">
        <v>44927</v>
      </c>
      <c r="AJ1660">
        <v>1740</v>
      </c>
    </row>
    <row r="1661" spans="30:36">
      <c r="AD1661" t="s">
        <v>17</v>
      </c>
      <c r="AE1661" t="str">
        <f>VLOOKUP(Таблица1_113[[#This Row],[Марка]],Таблица13[#All],4,0)</f>
        <v>Китай</v>
      </c>
      <c r="AF1661" t="str">
        <f>VLOOKUP(Таблица1_113[[#This Row],[Марка]],Таблица13[#All],2,0)</f>
        <v>Economy</v>
      </c>
      <c r="AG1661">
        <f>VLOOKUP(Таблица1_113[[#This Row],[Марка]],Таблица13[#All],3,0)</f>
        <v>2014</v>
      </c>
      <c r="AH1661" t="str">
        <f>VLOOKUP(Таблица1_113[[#This Row],[Марка]],Таблица13[#All],5,0)</f>
        <v>Нет</v>
      </c>
      <c r="AI1661" s="12">
        <v>44927</v>
      </c>
      <c r="AJ1661">
        <v>0</v>
      </c>
    </row>
    <row r="1662" spans="30:36">
      <c r="AD1662" t="s">
        <v>134</v>
      </c>
      <c r="AE1662" t="str">
        <f>VLOOKUP(Таблица1_113[[#This Row],[Марка]],Таблица13[#All],4,0)</f>
        <v>Великобритания</v>
      </c>
      <c r="AF1662" t="str">
        <f>VLOOKUP(Таблица1_113[[#This Row],[Марка]],Таблица13[#All],2,0)</f>
        <v>Luxury</v>
      </c>
      <c r="AG1662">
        <f>VLOOKUP(Таблица1_113[[#This Row],[Марка]],Таблица13[#All],3,0)</f>
        <v>1922</v>
      </c>
      <c r="AH1662" t="str">
        <f>VLOOKUP(Таблица1_113[[#This Row],[Марка]],Таблица13[#All],5,0)</f>
        <v>Нет</v>
      </c>
      <c r="AI1662" s="12">
        <v>44927</v>
      </c>
      <c r="AJ1662">
        <v>2</v>
      </c>
    </row>
    <row r="1663" spans="30:36">
      <c r="AD1663" t="s">
        <v>4</v>
      </c>
      <c r="AE1663" t="str">
        <f>VLOOKUP(Таблица1_113[[#This Row],[Марка]],Таблица13[#All],4,0)</f>
        <v>Китай</v>
      </c>
      <c r="AF1663" t="str">
        <f>VLOOKUP(Таблица1_113[[#This Row],[Марка]],Таблица13[#All],2,0)</f>
        <v>Economy</v>
      </c>
      <c r="AG1663">
        <f>VLOOKUP(Таблица1_113[[#This Row],[Марка]],Таблица13[#All],3,0)</f>
        <v>1964</v>
      </c>
      <c r="AH1663" t="str">
        <f>VLOOKUP(Таблица1_113[[#This Row],[Марка]],Таблица13[#All],5,0)</f>
        <v>Крупноузловая</v>
      </c>
      <c r="AI1663" s="12">
        <v>44927</v>
      </c>
      <c r="AJ1663">
        <v>256</v>
      </c>
    </row>
    <row r="1664" spans="30:36">
      <c r="AD1664" t="s">
        <v>34</v>
      </c>
      <c r="AE1664" t="str">
        <f>VLOOKUP(Таблица1_113[[#This Row],[Марка]],Таблица13[#All],4,0)</f>
        <v>Япония</v>
      </c>
      <c r="AF1664" t="str">
        <f>VLOOKUP(Таблица1_113[[#This Row],[Марка]],Таблица13[#All],2,0)</f>
        <v>Luxury</v>
      </c>
      <c r="AG1664">
        <f>VLOOKUP(Таблица1_113[[#This Row],[Марка]],Таблица13[#All],3,0)</f>
        <v>1989</v>
      </c>
      <c r="AH1664" t="str">
        <f>VLOOKUP(Таблица1_113[[#This Row],[Марка]],Таблица13[#All],5,0)</f>
        <v>Нет</v>
      </c>
      <c r="AI1664" s="12">
        <v>44927</v>
      </c>
      <c r="AJ1664">
        <v>0</v>
      </c>
    </row>
    <row r="1665" spans="30:36">
      <c r="AD1665" t="s">
        <v>0</v>
      </c>
      <c r="AE1665" t="str">
        <f>VLOOKUP(Таблица1_113[[#This Row],[Марка]],Таблица13[#All],4,0)</f>
        <v>Корея</v>
      </c>
      <c r="AF1665" t="str">
        <f>VLOOKUP(Таблица1_113[[#This Row],[Марка]],Таблица13[#All],2,0)</f>
        <v>Economy</v>
      </c>
      <c r="AG1665">
        <f>VLOOKUP(Таблица1_113[[#This Row],[Марка]],Таблица13[#All],3,0)</f>
        <v>1967</v>
      </c>
      <c r="AH1665" t="str">
        <f>VLOOKUP(Таблица1_113[[#This Row],[Марка]],Таблица13[#All],5,0)</f>
        <v>Крупноузловая</v>
      </c>
      <c r="AI1665" s="12">
        <v>44927</v>
      </c>
      <c r="AJ1665">
        <v>2288</v>
      </c>
    </row>
    <row r="1666" spans="30:36">
      <c r="AD1666" t="s">
        <v>131</v>
      </c>
      <c r="AE1666" t="str">
        <f>VLOOKUP(Таблица1_113[[#This Row],[Марка]],Таблица13[#All],4,0)</f>
        <v>Китай</v>
      </c>
      <c r="AF1666" t="str">
        <f>VLOOKUP(Таблица1_113[[#This Row],[Марка]],Таблица13[#All],2,0)</f>
        <v>Luxury</v>
      </c>
      <c r="AG1666">
        <f>VLOOKUP(Таблица1_113[[#This Row],[Марка]],Таблица13[#All],3,0)</f>
        <v>1958</v>
      </c>
      <c r="AH1666" t="str">
        <f>VLOOKUP(Таблица1_113[[#This Row],[Марка]],Таблица13[#All],5,0)</f>
        <v>Нет</v>
      </c>
      <c r="AI1666" s="12">
        <v>44927</v>
      </c>
      <c r="AJ1666">
        <v>0</v>
      </c>
    </row>
    <row r="1667" spans="30:36">
      <c r="AD1667" t="s">
        <v>6</v>
      </c>
      <c r="AE1667" t="str">
        <f>VLOOKUP(Таблица1_113[[#This Row],[Марка]],Таблица13[#All],4,0)</f>
        <v>Китай</v>
      </c>
      <c r="AF1667" t="str">
        <f>VLOOKUP(Таблица1_113[[#This Row],[Марка]],Таблица13[#All],2,0)</f>
        <v>Economy</v>
      </c>
      <c r="AG1667">
        <f>VLOOKUP(Таблица1_113[[#This Row],[Марка]],Таблица13[#All],3,0)</f>
        <v>2013</v>
      </c>
      <c r="AH1667" t="str">
        <f>VLOOKUP(Таблица1_113[[#This Row],[Марка]],Таблица13[#All],5,0)</f>
        <v>Крупноузловая</v>
      </c>
      <c r="AI1667" s="12">
        <v>44927</v>
      </c>
      <c r="AJ1667">
        <v>397</v>
      </c>
    </row>
    <row r="1668" spans="30:36">
      <c r="AD1668" t="s">
        <v>132</v>
      </c>
      <c r="AE1668" t="str">
        <f>VLOOKUP(Таблица1_113[[#This Row],[Марка]],Таблица13[#All],4,0)</f>
        <v>Китай</v>
      </c>
      <c r="AF1668" t="str">
        <f>VLOOKUP(Таблица1_113[[#This Row],[Марка]],Таблица13[#All],2,0)</f>
        <v>Economy</v>
      </c>
      <c r="AG1668">
        <f>VLOOKUP(Таблица1_113[[#This Row],[Марка]],Таблица13[#All],3,0)</f>
        <v>1984</v>
      </c>
      <c r="AH1668" t="str">
        <f>VLOOKUP(Таблица1_113[[#This Row],[Марка]],Таблица13[#All],5,0)</f>
        <v>Нет</v>
      </c>
      <c r="AI1668" s="12">
        <v>44927</v>
      </c>
      <c r="AJ1668">
        <v>0</v>
      </c>
    </row>
    <row r="1669" spans="30:36">
      <c r="AD1669" t="s">
        <v>138</v>
      </c>
      <c r="AE1669" t="str">
        <f>VLOOKUP(Таблица1_113[[#This Row],[Марка]],Таблица13[#All],4,0)</f>
        <v>Корея</v>
      </c>
      <c r="AF1669" t="str">
        <f>VLOOKUP(Таблица1_113[[#This Row],[Марка]],Таблица13[#All],2,0)</f>
        <v>Luxury</v>
      </c>
      <c r="AG1669">
        <f>VLOOKUP(Таблица1_113[[#This Row],[Марка]],Таблица13[#All],3,0)</f>
        <v>2015</v>
      </c>
      <c r="AH1669" t="str">
        <f>VLOOKUP(Таблица1_113[[#This Row],[Марка]],Таблица13[#All],5,0)</f>
        <v>Нет</v>
      </c>
      <c r="AI1669" s="12">
        <v>44927</v>
      </c>
      <c r="AJ1669">
        <v>0</v>
      </c>
    </row>
    <row r="1670" spans="30:36">
      <c r="AD1670" t="s">
        <v>18</v>
      </c>
      <c r="AE1670" t="str">
        <f>VLOOKUP(Таблица1_113[[#This Row],[Марка]],Таблица13[#All],4,0)</f>
        <v>Китай</v>
      </c>
      <c r="AF1670" t="str">
        <f>VLOOKUP(Таблица1_113[[#This Row],[Марка]],Таблица13[#All],2,0)</f>
        <v>Economy</v>
      </c>
      <c r="AG1670">
        <f>VLOOKUP(Таблица1_113[[#This Row],[Марка]],Таблица13[#All],3,0)</f>
        <v>1986</v>
      </c>
      <c r="AH1670" t="str">
        <f>VLOOKUP(Таблица1_113[[#This Row],[Марка]],Таблица13[#All],5,0)</f>
        <v>Крупноузловая</v>
      </c>
      <c r="AI1670" s="12">
        <v>44927</v>
      </c>
      <c r="AJ1670">
        <v>86</v>
      </c>
    </row>
    <row r="1671" spans="30:36">
      <c r="AD1671" t="s">
        <v>127</v>
      </c>
      <c r="AE1671" t="str">
        <f>VLOOKUP(Таблица1_113[[#This Row],[Марка]],Таблица13[#All],4,0)</f>
        <v>Китай</v>
      </c>
      <c r="AF1671" t="str">
        <f>VLOOKUP(Таблица1_113[[#This Row],[Марка]],Таблица13[#All],2,0)</f>
        <v>Economy</v>
      </c>
      <c r="AG1671">
        <f>VLOOKUP(Таблица1_113[[#This Row],[Марка]],Таблица13[#All],3,0)</f>
        <v>1997</v>
      </c>
      <c r="AH1671" t="str">
        <f>VLOOKUP(Таблица1_113[[#This Row],[Марка]],Таблица13[#All],5,0)</f>
        <v>Нет</v>
      </c>
      <c r="AI1671" s="12">
        <v>44927</v>
      </c>
      <c r="AJ1671">
        <v>0</v>
      </c>
    </row>
    <row r="1672" spans="30:36">
      <c r="AD1672" t="s">
        <v>133</v>
      </c>
      <c r="AE1672" t="str">
        <f>VLOOKUP(Таблица1_113[[#This Row],[Марка]],Таблица13[#All],4,0)</f>
        <v>Китай</v>
      </c>
      <c r="AF1672" t="str">
        <f>VLOOKUP(Таблица1_113[[#This Row],[Марка]],Таблица13[#All],2,0)</f>
        <v>Economy</v>
      </c>
      <c r="AG1672">
        <f>VLOOKUP(Таблица1_113[[#This Row],[Марка]],Таблица13[#All],3,0)</f>
        <v>1996</v>
      </c>
      <c r="AH1672" t="str">
        <f>VLOOKUP(Таблица1_113[[#This Row],[Марка]],Таблица13[#All],5,0)</f>
        <v>Нет</v>
      </c>
      <c r="AI1672" s="12">
        <v>44927</v>
      </c>
      <c r="AJ1672">
        <v>1</v>
      </c>
    </row>
    <row r="1673" spans="30:36">
      <c r="AD1673" t="s">
        <v>129</v>
      </c>
      <c r="AE1673" t="str">
        <f>VLOOKUP(Таблица1_113[[#This Row],[Марка]],Таблица13[#All],4,0)</f>
        <v>Китай</v>
      </c>
      <c r="AF1673" t="str">
        <f>VLOOKUP(Таблица1_113[[#This Row],[Марка]],Таблица13[#All],2,0)</f>
        <v>Economy</v>
      </c>
      <c r="AG1673">
        <f>VLOOKUP(Таблица1_113[[#This Row],[Марка]],Таблица13[#All],3,0)</f>
        <v>1953</v>
      </c>
      <c r="AH1673" t="str">
        <f>VLOOKUP(Таблица1_113[[#This Row],[Марка]],Таблица13[#All],5,0)</f>
        <v>Нет</v>
      </c>
      <c r="AI1673" s="12">
        <v>44927</v>
      </c>
      <c r="AJ1673">
        <v>9</v>
      </c>
    </row>
    <row r="1674" spans="30:36">
      <c r="AD1674" t="s">
        <v>7</v>
      </c>
      <c r="AE1674" t="str">
        <f>VLOOKUP(Таблица1_113[[#This Row],[Марка]],Таблица13[#All],4,0)</f>
        <v>Китай</v>
      </c>
      <c r="AF1674" t="str">
        <f>VLOOKUP(Таблица1_113[[#This Row],[Марка]],Таблица13[#All],2,0)</f>
        <v>Business</v>
      </c>
      <c r="AG1674">
        <f>VLOOKUP(Таблица1_113[[#This Row],[Марка]],Таблица13[#All],3,0)</f>
        <v>2017</v>
      </c>
      <c r="AH1674" t="str">
        <f>VLOOKUP(Таблица1_113[[#This Row],[Марка]],Таблица13[#All],5,0)</f>
        <v>Нет</v>
      </c>
      <c r="AI1674" s="12">
        <v>44927</v>
      </c>
      <c r="AJ1674">
        <v>212</v>
      </c>
    </row>
    <row r="1675" spans="30:36">
      <c r="AD1675" t="s">
        <v>130</v>
      </c>
      <c r="AE1675" t="str">
        <f>VLOOKUP(Таблица1_113[[#This Row],[Марка]],Таблица13[#All],4,0)</f>
        <v>Китай</v>
      </c>
      <c r="AF1675" t="str">
        <f>VLOOKUP(Таблица1_113[[#This Row],[Марка]],Таблица13[#All],2,0)</f>
        <v>Economy</v>
      </c>
      <c r="AG1675">
        <f>VLOOKUP(Таблица1_113[[#This Row],[Марка]],Таблица13[#All],3,0)</f>
        <v>1969</v>
      </c>
      <c r="AH1675" t="str">
        <f>VLOOKUP(Таблица1_113[[#This Row],[Марка]],Таблица13[#All],5,0)</f>
        <v>Нет</v>
      </c>
      <c r="AI1675" s="12">
        <v>44927</v>
      </c>
      <c r="AJ1675">
        <v>0</v>
      </c>
    </row>
    <row r="1676" spans="30:36">
      <c r="AD1676" t="s">
        <v>137</v>
      </c>
      <c r="AE1676" t="str">
        <f>VLOOKUP(Таблица1_113[[#This Row],[Марка]],Таблица13[#All],4,0)</f>
        <v>Корея</v>
      </c>
      <c r="AF1676" t="str">
        <f>VLOOKUP(Таблица1_113[[#This Row],[Марка]],Таблица13[#All],2,0)</f>
        <v>Economy</v>
      </c>
      <c r="AG1676">
        <f>VLOOKUP(Таблица1_113[[#This Row],[Марка]],Таблица13[#All],3,0)</f>
        <v>1967</v>
      </c>
      <c r="AH1676" t="str">
        <f>VLOOKUP(Таблица1_113[[#This Row],[Марка]],Таблица13[#All],5,0)</f>
        <v>Нет</v>
      </c>
      <c r="AI1676" s="12">
        <v>44927</v>
      </c>
      <c r="AJ1676">
        <v>0</v>
      </c>
    </row>
    <row r="1677" spans="30:36">
      <c r="AD1677" t="s">
        <v>1</v>
      </c>
      <c r="AE1677" t="str">
        <f>VLOOKUP(Таблица1_113[[#This Row],[Марка]],Таблица13[#All],4,0)</f>
        <v>США</v>
      </c>
      <c r="AF1677" t="str">
        <f>VLOOKUP(Таблица1_113[[#This Row],[Марка]],Таблица13[#All],2,0)</f>
        <v>Economy</v>
      </c>
      <c r="AG1677">
        <f>VLOOKUP(Таблица1_113[[#This Row],[Марка]],Таблица13[#All],3,0)</f>
        <v>1911</v>
      </c>
      <c r="AH1677" t="str">
        <f>VLOOKUP(Таблица1_113[[#This Row],[Марка]],Таблица13[#All],5,0)</f>
        <v>Крупноузловая</v>
      </c>
      <c r="AI1677" s="12">
        <v>44927</v>
      </c>
      <c r="AJ1677">
        <v>3223</v>
      </c>
    </row>
    <row r="1678" spans="30:36">
      <c r="AD1678" t="s">
        <v>3</v>
      </c>
      <c r="AE1678" t="str">
        <f>VLOOKUP(Таблица1_113[[#This Row],[Марка]],Таблица13[#All],4,0)</f>
        <v>Китай</v>
      </c>
      <c r="AF1678" t="str">
        <f>VLOOKUP(Таблица1_113[[#This Row],[Марка]],Таблица13[#All],2,0)</f>
        <v>Economy</v>
      </c>
      <c r="AG1678">
        <f>VLOOKUP(Таблица1_113[[#This Row],[Марка]],Таблица13[#All],3,0)</f>
        <v>1997</v>
      </c>
      <c r="AH1678" t="str">
        <f>VLOOKUP(Таблица1_113[[#This Row],[Марка]],Таблица13[#All],5,0)</f>
        <v>Крупноузловая</v>
      </c>
      <c r="AI1678" s="12">
        <v>44927</v>
      </c>
      <c r="AJ1678">
        <v>652</v>
      </c>
    </row>
    <row r="1679" spans="30:36">
      <c r="AD1679" t="s">
        <v>124</v>
      </c>
      <c r="AE1679" t="str">
        <f>VLOOKUP(Таблица1_113[[#This Row],[Марка]],Таблица13[#All],4,0)</f>
        <v>Китай</v>
      </c>
      <c r="AF1679" t="str">
        <f>VLOOKUP(Таблица1_113[[#This Row],[Марка]],Таблица13[#All],2,0)</f>
        <v>Economy</v>
      </c>
      <c r="AG1679">
        <f>VLOOKUP(Таблица1_113[[#This Row],[Марка]],Таблица13[#All],3,0)</f>
        <v>1862</v>
      </c>
      <c r="AH1679" t="str">
        <f>VLOOKUP(Таблица1_113[[#This Row],[Марка]],Таблица13[#All],5,0)</f>
        <v>Нет</v>
      </c>
      <c r="AI1679" s="12">
        <v>44927</v>
      </c>
      <c r="AJ1679">
        <v>131</v>
      </c>
    </row>
    <row r="1680" spans="30:36">
      <c r="AD1680" t="s">
        <v>36</v>
      </c>
      <c r="AE1680" t="str">
        <f>VLOOKUP(Таблица1_113[[#This Row],[Марка]],Таблица13[#All],4,0)</f>
        <v>США</v>
      </c>
      <c r="AF1680" t="str">
        <f>VLOOKUP(Таблица1_113[[#This Row],[Марка]],Таблица13[#All],2,0)</f>
        <v>Luxury</v>
      </c>
      <c r="AG1680">
        <f>VLOOKUP(Таблица1_113[[#This Row],[Марка]],Таблица13[#All],3,0)</f>
        <v>1902</v>
      </c>
      <c r="AH1680" t="str">
        <f>VLOOKUP(Таблица1_113[[#This Row],[Марка]],Таблица13[#All],5,0)</f>
        <v>Нет</v>
      </c>
      <c r="AI1680" s="12">
        <v>44927</v>
      </c>
      <c r="AJ1680">
        <v>0</v>
      </c>
    </row>
    <row r="1681" spans="30:36">
      <c r="AD1681" t="s">
        <v>8</v>
      </c>
      <c r="AE1681" t="str">
        <f>VLOOKUP(Таблица1_113[[#This Row],[Марка]],Таблица13[#All],4,0)</f>
        <v>Германия</v>
      </c>
      <c r="AF1681" t="str">
        <f>VLOOKUP(Таблица1_113[[#This Row],[Марка]],Таблица13[#All],2,0)</f>
        <v>Luxury</v>
      </c>
      <c r="AG1681">
        <f>VLOOKUP(Таблица1_113[[#This Row],[Марка]],Таблица13[#All],3,0)</f>
        <v>1916</v>
      </c>
      <c r="AH1681" t="str">
        <f>VLOOKUP(Таблица1_113[[#This Row],[Марка]],Таблица13[#All],5,0)</f>
        <v>Нет</v>
      </c>
      <c r="AI1681" s="12">
        <v>44927</v>
      </c>
      <c r="AJ1681">
        <v>144</v>
      </c>
    </row>
    <row r="1682" spans="30:36">
      <c r="AD1682" t="s">
        <v>38</v>
      </c>
      <c r="AE1682" t="str">
        <f>VLOOKUP(Таблица1_113[[#This Row],[Марка]],Таблица13[#All],4,0)</f>
        <v>Германия</v>
      </c>
      <c r="AF1682" t="str">
        <f>VLOOKUP(Таблица1_113[[#This Row],[Марка]],Таблица13[#All],2,0)</f>
        <v>Luxury</v>
      </c>
      <c r="AG1682">
        <f>VLOOKUP(Таблица1_113[[#This Row],[Марка]],Таблица13[#All],3,0)</f>
        <v>1932</v>
      </c>
      <c r="AH1682" t="str">
        <f>VLOOKUP(Таблица1_113[[#This Row],[Марка]],Таблица13[#All],5,0)</f>
        <v>Нет</v>
      </c>
      <c r="AI1682" s="12">
        <v>44927</v>
      </c>
      <c r="AJ1682">
        <v>9</v>
      </c>
    </row>
    <row r="1683" spans="30:36">
      <c r="AD1683" t="s">
        <v>136</v>
      </c>
      <c r="AE1683" t="str">
        <f>VLOOKUP(Таблица1_113[[#This Row],[Марка]],Таблица13[#All],4,0)</f>
        <v>Россия</v>
      </c>
      <c r="AF1683" t="str">
        <f>VLOOKUP(Таблица1_113[[#This Row],[Марка]],Таблица13[#All],2,0)</f>
        <v>Economy</v>
      </c>
      <c r="AG1683">
        <f>VLOOKUP(Таблица1_113[[#This Row],[Марка]],Таблица13[#All],3,0)</f>
        <v>1941</v>
      </c>
      <c r="AH1683" t="str">
        <f>VLOOKUP(Таблица1_113[[#This Row],[Марка]],Таблица13[#All],5,0)</f>
        <v>Нет</v>
      </c>
      <c r="AI1683" s="12">
        <v>44958</v>
      </c>
      <c r="AJ1683">
        <v>23</v>
      </c>
    </row>
    <row r="1684" spans="30:36">
      <c r="AD1684" t="s">
        <v>21</v>
      </c>
      <c r="AE1684" t="str">
        <f>VLOOKUP(Таблица1_113[[#This Row],[Марка]],Таблица13[#All],4,0)</f>
        <v>Германия</v>
      </c>
      <c r="AF1684" t="str">
        <f>VLOOKUP(Таблица1_113[[#This Row],[Марка]],Таблица13[#All],2,0)</f>
        <v>Business</v>
      </c>
      <c r="AG1684">
        <f>VLOOKUP(Таблица1_113[[#This Row],[Марка]],Таблица13[#All],3,0)</f>
        <v>1937</v>
      </c>
      <c r="AH1684" t="str">
        <f>VLOOKUP(Таблица1_113[[#This Row],[Марка]],Таблица13[#All],5,0)</f>
        <v>Нет</v>
      </c>
      <c r="AI1684" s="12">
        <v>44958</v>
      </c>
      <c r="AJ1684">
        <v>16</v>
      </c>
    </row>
    <row r="1685" spans="30:36">
      <c r="AD1685" t="s">
        <v>2</v>
      </c>
      <c r="AE1685" t="str">
        <f>VLOOKUP(Таблица1_113[[#This Row],[Марка]],Таблица13[#All],4,0)</f>
        <v>Япония</v>
      </c>
      <c r="AF1685" t="str">
        <f>VLOOKUP(Таблица1_113[[#This Row],[Марка]],Таблица13[#All],2,0)</f>
        <v>Business</v>
      </c>
      <c r="AG1685">
        <f>VLOOKUP(Таблица1_113[[#This Row],[Марка]],Таблица13[#All],3,0)</f>
        <v>1937</v>
      </c>
      <c r="AH1685" t="str">
        <f>VLOOKUP(Таблица1_113[[#This Row],[Марка]],Таблица13[#All],5,0)</f>
        <v>Нет</v>
      </c>
      <c r="AI1685" s="12">
        <v>44958</v>
      </c>
      <c r="AJ1685">
        <v>864</v>
      </c>
    </row>
    <row r="1686" spans="30:36">
      <c r="AD1686" t="s">
        <v>20</v>
      </c>
      <c r="AE1686" t="str">
        <f>VLOOKUP(Таблица1_113[[#This Row],[Марка]],Таблица13[#All],4,0)</f>
        <v>Китай</v>
      </c>
      <c r="AF1686" t="str">
        <f>VLOOKUP(Таблица1_113[[#This Row],[Марка]],Таблица13[#All],2,0)</f>
        <v>Business</v>
      </c>
      <c r="AG1686">
        <f>VLOOKUP(Таблица1_113[[#This Row],[Марка]],Таблица13[#All],3,0)</f>
        <v>2021</v>
      </c>
      <c r="AH1686" t="str">
        <f>VLOOKUP(Таблица1_113[[#This Row],[Марка]],Таблица13[#All],5,0)</f>
        <v>Нет</v>
      </c>
      <c r="AI1686" s="12">
        <v>44958</v>
      </c>
      <c r="AJ1686">
        <v>0</v>
      </c>
    </row>
    <row r="1687" spans="30:36">
      <c r="AD1687" t="s">
        <v>125</v>
      </c>
      <c r="AE1687" t="str">
        <f>VLOOKUP(Таблица1_113[[#This Row],[Марка]],Таблица13[#All],4,0)</f>
        <v>Япония</v>
      </c>
      <c r="AF1687" t="str">
        <f>VLOOKUP(Таблица1_113[[#This Row],[Марка]],Таблица13[#All],2,0)</f>
        <v>Business</v>
      </c>
      <c r="AG1687">
        <f>VLOOKUP(Таблица1_113[[#This Row],[Марка]],Таблица13[#All],3,0)</f>
        <v>1953</v>
      </c>
      <c r="AH1687" t="str">
        <f>VLOOKUP(Таблица1_113[[#This Row],[Марка]],Таблица13[#All],5,0)</f>
        <v>Нет</v>
      </c>
      <c r="AI1687" s="12">
        <v>44958</v>
      </c>
      <c r="AJ1687">
        <v>101</v>
      </c>
    </row>
    <row r="1688" spans="30:36">
      <c r="AD1688" t="s">
        <v>37</v>
      </c>
      <c r="AE1688" t="str">
        <f>VLOOKUP(Таблица1_113[[#This Row],[Марка]],Таблица13[#All],4,0)</f>
        <v>Германия</v>
      </c>
      <c r="AF1688" t="str">
        <f>VLOOKUP(Таблица1_113[[#This Row],[Марка]],Таблица13[#All],2,0)</f>
        <v>Luxury</v>
      </c>
      <c r="AG1688">
        <f>VLOOKUP(Таблица1_113[[#This Row],[Марка]],Таблица13[#All],3,0)</f>
        <v>1931</v>
      </c>
      <c r="AH1688" t="str">
        <f>VLOOKUP(Таблица1_113[[#This Row],[Марка]],Таблица13[#All],5,0)</f>
        <v>Нет</v>
      </c>
      <c r="AI1688" s="12">
        <v>44958</v>
      </c>
      <c r="AJ1688">
        <v>33</v>
      </c>
    </row>
    <row r="1689" spans="30:36">
      <c r="AD1689" t="s">
        <v>126</v>
      </c>
      <c r="AE1689" t="str">
        <f>VLOOKUP(Таблица1_113[[#This Row],[Марка]],Таблица13[#All],4,0)</f>
        <v>Россия</v>
      </c>
      <c r="AF1689" t="str">
        <f>VLOOKUP(Таблица1_113[[#This Row],[Марка]],Таблица13[#All],2,0)</f>
        <v>Economy</v>
      </c>
      <c r="AG1689">
        <f>VLOOKUP(Таблица1_113[[#This Row],[Марка]],Таблица13[#All],3,0)</f>
        <v>2022</v>
      </c>
      <c r="AH1689" t="str">
        <f>VLOOKUP(Таблица1_113[[#This Row],[Марка]],Таблица13[#All],5,0)</f>
        <v>Нет</v>
      </c>
      <c r="AI1689" s="12">
        <v>44958</v>
      </c>
      <c r="AJ1689">
        <v>0</v>
      </c>
    </row>
    <row r="1690" spans="30:36">
      <c r="AD1690" t="s">
        <v>22</v>
      </c>
      <c r="AE1690" t="str">
        <f>VLOOKUP(Таблица1_113[[#This Row],[Марка]],Таблица13[#All],4,0)</f>
        <v>Япония</v>
      </c>
      <c r="AF1690" t="str">
        <f>VLOOKUP(Таблица1_113[[#This Row],[Марка]],Таблица13[#All],2,0)</f>
        <v>Business</v>
      </c>
      <c r="AG1690">
        <f>VLOOKUP(Таблица1_113[[#This Row],[Марка]],Таблица13[#All],3,0)</f>
        <v>1933</v>
      </c>
      <c r="AH1690" t="str">
        <f>VLOOKUP(Таблица1_113[[#This Row],[Марка]],Таблица13[#All],5,0)</f>
        <v>Нет</v>
      </c>
      <c r="AI1690" s="12">
        <v>44958</v>
      </c>
      <c r="AJ1690">
        <v>0</v>
      </c>
    </row>
    <row r="1691" spans="30:36">
      <c r="AD1691" t="s">
        <v>9</v>
      </c>
      <c r="AE1691" t="str">
        <f>VLOOKUP(Таблица1_113[[#This Row],[Марка]],Таблица13[#All],4,0)</f>
        <v>Япония</v>
      </c>
      <c r="AF1691" t="str">
        <f>VLOOKUP(Таблица1_113[[#This Row],[Марка]],Таблица13[#All],2,0)</f>
        <v>Business</v>
      </c>
      <c r="AG1691">
        <f>VLOOKUP(Таблица1_113[[#This Row],[Марка]],Таблица13[#All],3,0)</f>
        <v>1870</v>
      </c>
      <c r="AH1691" t="str">
        <f>VLOOKUP(Таблица1_113[[#This Row],[Марка]],Таблица13[#All],5,0)</f>
        <v>Нет</v>
      </c>
      <c r="AI1691" s="12">
        <v>44958</v>
      </c>
      <c r="AJ1691">
        <v>26</v>
      </c>
    </row>
    <row r="1692" spans="30:36">
      <c r="AD1692" t="s">
        <v>40</v>
      </c>
      <c r="AE1692" t="str">
        <f>VLOOKUP(Таблица1_113[[#This Row],[Марка]],Таблица13[#All],4,0)</f>
        <v>Великобритания</v>
      </c>
      <c r="AF1692" t="str">
        <f>VLOOKUP(Таблица1_113[[#This Row],[Марка]],Таблица13[#All],2,0)</f>
        <v>Luxury</v>
      </c>
      <c r="AG1692">
        <f>VLOOKUP(Таблица1_113[[#This Row],[Марка]],Таблица13[#All],3,0)</f>
        <v>1959</v>
      </c>
      <c r="AH1692" t="str">
        <f>VLOOKUP(Таблица1_113[[#This Row],[Марка]],Таблица13[#All],5,0)</f>
        <v>Нет</v>
      </c>
      <c r="AI1692" s="12">
        <v>44958</v>
      </c>
      <c r="AJ1692">
        <v>1</v>
      </c>
    </row>
    <row r="1693" spans="30:36">
      <c r="AD1693" t="s">
        <v>128</v>
      </c>
      <c r="AE1693" t="str">
        <f>VLOOKUP(Таблица1_113[[#This Row],[Марка]],Таблица13[#All],4,0)</f>
        <v>Германия</v>
      </c>
      <c r="AF1693" t="str">
        <f>VLOOKUP(Таблица1_113[[#This Row],[Марка]],Таблица13[#All],2,0)</f>
        <v>Luxury</v>
      </c>
      <c r="AG1693">
        <f>VLOOKUP(Таблица1_113[[#This Row],[Марка]],Таблица13[#All],3,0)</f>
        <v>1926</v>
      </c>
      <c r="AH1693" t="str">
        <f>VLOOKUP(Таблица1_113[[#This Row],[Марка]],Таблица13[#All],5,0)</f>
        <v>Нет</v>
      </c>
      <c r="AI1693" s="12">
        <v>44958</v>
      </c>
      <c r="AJ1693">
        <v>43</v>
      </c>
    </row>
    <row r="1694" spans="30:36">
      <c r="AD1694" t="s">
        <v>5</v>
      </c>
      <c r="AE1694" t="str">
        <f>VLOOKUP(Таблица1_113[[#This Row],[Марка]],Таблица13[#All],4,0)</f>
        <v>Япония</v>
      </c>
      <c r="AF1694" t="str">
        <f>VLOOKUP(Таблица1_113[[#This Row],[Марка]],Таблица13[#All],2,0)</f>
        <v>Luxury</v>
      </c>
      <c r="AG1694">
        <f>VLOOKUP(Таблица1_113[[#This Row],[Марка]],Таблица13[#All],3,0)</f>
        <v>1989</v>
      </c>
      <c r="AH1694" t="str">
        <f>VLOOKUP(Таблица1_113[[#This Row],[Марка]],Таблица13[#All],5,0)</f>
        <v>Нет</v>
      </c>
      <c r="AI1694" s="12">
        <v>44958</v>
      </c>
      <c r="AJ1694">
        <v>237</v>
      </c>
    </row>
    <row r="1695" spans="30:36">
      <c r="AD1695" t="s">
        <v>35</v>
      </c>
      <c r="AE1695" t="str">
        <f>VLOOKUP(Таблица1_113[[#This Row],[Марка]],Таблица13[#All],4,0)</f>
        <v>Великобритания</v>
      </c>
      <c r="AF1695" t="str">
        <f>VLOOKUP(Таблица1_113[[#This Row],[Марка]],Таблица13[#All],2,0)</f>
        <v>Luxury</v>
      </c>
      <c r="AG1695">
        <f>VLOOKUP(Таблица1_113[[#This Row],[Марка]],Таблица13[#All],3,0)</f>
        <v>1948</v>
      </c>
      <c r="AH1695" t="str">
        <f>VLOOKUP(Таблица1_113[[#This Row],[Марка]],Таблица13[#All],5,0)</f>
        <v>Нет</v>
      </c>
      <c r="AI1695" s="12">
        <v>44958</v>
      </c>
      <c r="AJ1695">
        <v>12</v>
      </c>
    </row>
    <row r="1696" spans="30:36">
      <c r="AD1696" t="s">
        <v>19</v>
      </c>
      <c r="AE1696" t="str">
        <f>VLOOKUP(Таблица1_113[[#This Row],[Марка]],Таблица13[#All],4,0)</f>
        <v>Россия</v>
      </c>
      <c r="AF1696" t="str">
        <f>VLOOKUP(Таблица1_113[[#This Row],[Марка]],Таблица13[#All],2,0)</f>
        <v>Economy</v>
      </c>
      <c r="AG1696">
        <f>VLOOKUP(Таблица1_113[[#This Row],[Марка]],Таблица13[#All],3,0)</f>
        <v>1970</v>
      </c>
      <c r="AH1696" t="str">
        <f>VLOOKUP(Таблица1_113[[#This Row],[Марка]],Таблица13[#All],5,0)</f>
        <v>Крупноузловая</v>
      </c>
      <c r="AI1696" s="12">
        <v>44958</v>
      </c>
      <c r="AJ1696">
        <v>34</v>
      </c>
    </row>
    <row r="1697" spans="30:36">
      <c r="AD1697" t="s">
        <v>15</v>
      </c>
      <c r="AE1697" t="str">
        <f>VLOOKUP(Таблица1_113[[#This Row],[Марка]],Таблица13[#All],4,0)</f>
        <v>Корея</v>
      </c>
      <c r="AF1697" t="str">
        <f>VLOOKUP(Таблица1_113[[#This Row],[Марка]],Таблица13[#All],2,0)</f>
        <v>Economy</v>
      </c>
      <c r="AG1697">
        <f>VLOOKUP(Таблица1_113[[#This Row],[Марка]],Таблица13[#All],3,0)</f>
        <v>1944</v>
      </c>
      <c r="AH1697" t="str">
        <f>VLOOKUP(Таблица1_113[[#This Row],[Марка]],Таблица13[#All],5,0)</f>
        <v>Крупноузловая</v>
      </c>
      <c r="AI1697" s="12">
        <v>44958</v>
      </c>
      <c r="AJ1697">
        <v>1825</v>
      </c>
    </row>
    <row r="1698" spans="30:36">
      <c r="AD1698" t="s">
        <v>17</v>
      </c>
      <c r="AE1698" t="str">
        <f>VLOOKUP(Таблица1_113[[#This Row],[Марка]],Таблица13[#All],4,0)</f>
        <v>Китай</v>
      </c>
      <c r="AF1698" t="str">
        <f>VLOOKUP(Таблица1_113[[#This Row],[Марка]],Таблица13[#All],2,0)</f>
        <v>Economy</v>
      </c>
      <c r="AG1698">
        <f>VLOOKUP(Таблица1_113[[#This Row],[Марка]],Таблица13[#All],3,0)</f>
        <v>2014</v>
      </c>
      <c r="AH1698" t="str">
        <f>VLOOKUP(Таблица1_113[[#This Row],[Марка]],Таблица13[#All],5,0)</f>
        <v>Нет</v>
      </c>
      <c r="AI1698" s="12">
        <v>44958</v>
      </c>
      <c r="AJ1698">
        <v>0</v>
      </c>
    </row>
    <row r="1699" spans="30:36">
      <c r="AD1699" t="s">
        <v>134</v>
      </c>
      <c r="AE1699" t="str">
        <f>VLOOKUP(Таблица1_113[[#This Row],[Марка]],Таблица13[#All],4,0)</f>
        <v>Великобритания</v>
      </c>
      <c r="AF1699" t="str">
        <f>VLOOKUP(Таблица1_113[[#This Row],[Марка]],Таблица13[#All],2,0)</f>
        <v>Luxury</v>
      </c>
      <c r="AG1699">
        <f>VLOOKUP(Таблица1_113[[#This Row],[Марка]],Таблица13[#All],3,0)</f>
        <v>1922</v>
      </c>
      <c r="AH1699" t="str">
        <f>VLOOKUP(Таблица1_113[[#This Row],[Марка]],Таблица13[#All],5,0)</f>
        <v>Нет</v>
      </c>
      <c r="AI1699" s="12">
        <v>44958</v>
      </c>
      <c r="AJ1699">
        <v>3</v>
      </c>
    </row>
    <row r="1700" spans="30:36">
      <c r="AD1700" t="s">
        <v>4</v>
      </c>
      <c r="AE1700" t="str">
        <f>VLOOKUP(Таблица1_113[[#This Row],[Марка]],Таблица13[#All],4,0)</f>
        <v>Китай</v>
      </c>
      <c r="AF1700" t="str">
        <f>VLOOKUP(Таблица1_113[[#This Row],[Марка]],Таблица13[#All],2,0)</f>
        <v>Economy</v>
      </c>
      <c r="AG1700">
        <f>VLOOKUP(Таблица1_113[[#This Row],[Марка]],Таблица13[#All],3,0)</f>
        <v>1964</v>
      </c>
      <c r="AH1700" t="str">
        <f>VLOOKUP(Таблица1_113[[#This Row],[Марка]],Таблица13[#All],5,0)</f>
        <v>Крупноузловая</v>
      </c>
      <c r="AI1700" s="12">
        <v>44958</v>
      </c>
      <c r="AJ1700">
        <v>407</v>
      </c>
    </row>
    <row r="1701" spans="30:36">
      <c r="AD1701" t="s">
        <v>34</v>
      </c>
      <c r="AE1701" t="str">
        <f>VLOOKUP(Таблица1_113[[#This Row],[Марка]],Таблица13[#All],4,0)</f>
        <v>Япония</v>
      </c>
      <c r="AF1701" t="str">
        <f>VLOOKUP(Таблица1_113[[#This Row],[Марка]],Таблица13[#All],2,0)</f>
        <v>Luxury</v>
      </c>
      <c r="AG1701">
        <f>VLOOKUP(Таблица1_113[[#This Row],[Марка]],Таблица13[#All],3,0)</f>
        <v>1989</v>
      </c>
      <c r="AH1701" t="str">
        <f>VLOOKUP(Таблица1_113[[#This Row],[Марка]],Таблица13[#All],5,0)</f>
        <v>Нет</v>
      </c>
      <c r="AI1701" s="12">
        <v>44958</v>
      </c>
      <c r="AJ1701">
        <v>0</v>
      </c>
    </row>
    <row r="1702" spans="30:36">
      <c r="AD1702" t="s">
        <v>0</v>
      </c>
      <c r="AE1702" t="str">
        <f>VLOOKUP(Таблица1_113[[#This Row],[Марка]],Таблица13[#All],4,0)</f>
        <v>Корея</v>
      </c>
      <c r="AF1702" t="str">
        <f>VLOOKUP(Таблица1_113[[#This Row],[Марка]],Таблица13[#All],2,0)</f>
        <v>Economy</v>
      </c>
      <c r="AG1702">
        <f>VLOOKUP(Таблица1_113[[#This Row],[Марка]],Таблица13[#All],3,0)</f>
        <v>1967</v>
      </c>
      <c r="AH1702" t="str">
        <f>VLOOKUP(Таблица1_113[[#This Row],[Марка]],Таблица13[#All],5,0)</f>
        <v>Крупноузловая</v>
      </c>
      <c r="AI1702" s="12">
        <v>44958</v>
      </c>
      <c r="AJ1702">
        <v>3501</v>
      </c>
    </row>
    <row r="1703" spans="30:36">
      <c r="AD1703" t="s">
        <v>131</v>
      </c>
      <c r="AE1703" t="str">
        <f>VLOOKUP(Таблица1_113[[#This Row],[Марка]],Таблица13[#All],4,0)</f>
        <v>Китай</v>
      </c>
      <c r="AF1703" t="str">
        <f>VLOOKUP(Таблица1_113[[#This Row],[Марка]],Таблица13[#All],2,0)</f>
        <v>Luxury</v>
      </c>
      <c r="AG1703">
        <f>VLOOKUP(Таблица1_113[[#This Row],[Марка]],Таблица13[#All],3,0)</f>
        <v>1958</v>
      </c>
      <c r="AH1703" t="str">
        <f>VLOOKUP(Таблица1_113[[#This Row],[Марка]],Таблица13[#All],5,0)</f>
        <v>Нет</v>
      </c>
      <c r="AI1703" s="12">
        <v>44958</v>
      </c>
      <c r="AJ1703">
        <v>0</v>
      </c>
    </row>
    <row r="1704" spans="30:36">
      <c r="AD1704" t="s">
        <v>6</v>
      </c>
      <c r="AE1704" t="str">
        <f>VLOOKUP(Таблица1_113[[#This Row],[Марка]],Таблица13[#All],4,0)</f>
        <v>Китай</v>
      </c>
      <c r="AF1704" t="str">
        <f>VLOOKUP(Таблица1_113[[#This Row],[Марка]],Таблица13[#All],2,0)</f>
        <v>Economy</v>
      </c>
      <c r="AG1704">
        <f>VLOOKUP(Таблица1_113[[#This Row],[Марка]],Таблица13[#All],3,0)</f>
        <v>2013</v>
      </c>
      <c r="AH1704" t="str">
        <f>VLOOKUP(Таблица1_113[[#This Row],[Марка]],Таблица13[#All],5,0)</f>
        <v>Крупноузловая</v>
      </c>
      <c r="AI1704" s="12">
        <v>44958</v>
      </c>
      <c r="AJ1704">
        <v>344</v>
      </c>
    </row>
    <row r="1705" spans="30:36">
      <c r="AD1705" t="s">
        <v>132</v>
      </c>
      <c r="AE1705" t="str">
        <f>VLOOKUP(Таблица1_113[[#This Row],[Марка]],Таблица13[#All],4,0)</f>
        <v>Китай</v>
      </c>
      <c r="AF1705" t="str">
        <f>VLOOKUP(Таблица1_113[[#This Row],[Марка]],Таблица13[#All],2,0)</f>
        <v>Economy</v>
      </c>
      <c r="AG1705">
        <f>VLOOKUP(Таблица1_113[[#This Row],[Марка]],Таблица13[#All],3,0)</f>
        <v>1984</v>
      </c>
      <c r="AH1705" t="str">
        <f>VLOOKUP(Таблица1_113[[#This Row],[Марка]],Таблица13[#All],5,0)</f>
        <v>Нет</v>
      </c>
      <c r="AI1705" s="12">
        <v>44958</v>
      </c>
      <c r="AJ1705">
        <v>0</v>
      </c>
    </row>
    <row r="1706" spans="30:36">
      <c r="AD1706" t="s">
        <v>138</v>
      </c>
      <c r="AE1706" t="str">
        <f>VLOOKUP(Таблица1_113[[#This Row],[Марка]],Таблица13[#All],4,0)</f>
        <v>Корея</v>
      </c>
      <c r="AF1706" t="str">
        <f>VLOOKUP(Таблица1_113[[#This Row],[Марка]],Таблица13[#All],2,0)</f>
        <v>Luxury</v>
      </c>
      <c r="AG1706">
        <f>VLOOKUP(Таблица1_113[[#This Row],[Марка]],Таблица13[#All],3,0)</f>
        <v>2015</v>
      </c>
      <c r="AH1706" t="str">
        <f>VLOOKUP(Таблица1_113[[#This Row],[Марка]],Таблица13[#All],5,0)</f>
        <v>Нет</v>
      </c>
      <c r="AI1706" s="12">
        <v>44958</v>
      </c>
      <c r="AJ1706">
        <v>0</v>
      </c>
    </row>
    <row r="1707" spans="30:36">
      <c r="AD1707" t="s">
        <v>18</v>
      </c>
      <c r="AE1707" t="str">
        <f>VLOOKUP(Таблица1_113[[#This Row],[Марка]],Таблица13[#All],4,0)</f>
        <v>Китай</v>
      </c>
      <c r="AF1707" t="str">
        <f>VLOOKUP(Таблица1_113[[#This Row],[Марка]],Таблица13[#All],2,0)</f>
        <v>Economy</v>
      </c>
      <c r="AG1707">
        <f>VLOOKUP(Таблица1_113[[#This Row],[Марка]],Таблица13[#All],3,0)</f>
        <v>1986</v>
      </c>
      <c r="AH1707" t="str">
        <f>VLOOKUP(Таблица1_113[[#This Row],[Марка]],Таблица13[#All],5,0)</f>
        <v>Крупноузловая</v>
      </c>
      <c r="AI1707" s="12">
        <v>44958</v>
      </c>
      <c r="AJ1707">
        <v>152</v>
      </c>
    </row>
    <row r="1708" spans="30:36">
      <c r="AD1708" t="s">
        <v>127</v>
      </c>
      <c r="AE1708" t="str">
        <f>VLOOKUP(Таблица1_113[[#This Row],[Марка]],Таблица13[#All],4,0)</f>
        <v>Китай</v>
      </c>
      <c r="AF1708" t="str">
        <f>VLOOKUP(Таблица1_113[[#This Row],[Марка]],Таблица13[#All],2,0)</f>
        <v>Economy</v>
      </c>
      <c r="AG1708">
        <f>VLOOKUP(Таблица1_113[[#This Row],[Марка]],Таблица13[#All],3,0)</f>
        <v>1997</v>
      </c>
      <c r="AH1708" t="str">
        <f>VLOOKUP(Таблица1_113[[#This Row],[Марка]],Таблица13[#All],5,0)</f>
        <v>Нет</v>
      </c>
      <c r="AI1708" s="12">
        <v>44958</v>
      </c>
      <c r="AJ1708">
        <v>0</v>
      </c>
    </row>
    <row r="1709" spans="30:36">
      <c r="AD1709" t="s">
        <v>133</v>
      </c>
      <c r="AE1709" t="str">
        <f>VLOOKUP(Таблица1_113[[#This Row],[Марка]],Таблица13[#All],4,0)</f>
        <v>Китай</v>
      </c>
      <c r="AF1709" t="str">
        <f>VLOOKUP(Таблица1_113[[#This Row],[Марка]],Таблица13[#All],2,0)</f>
        <v>Economy</v>
      </c>
      <c r="AG1709">
        <f>VLOOKUP(Таблица1_113[[#This Row],[Марка]],Таблица13[#All],3,0)</f>
        <v>1996</v>
      </c>
      <c r="AH1709" t="str">
        <f>VLOOKUP(Таблица1_113[[#This Row],[Марка]],Таблица13[#All],5,0)</f>
        <v>Нет</v>
      </c>
      <c r="AI1709" s="12">
        <v>44958</v>
      </c>
      <c r="AJ1709">
        <v>0</v>
      </c>
    </row>
    <row r="1710" spans="30:36">
      <c r="AD1710" t="s">
        <v>129</v>
      </c>
      <c r="AE1710" t="str">
        <f>VLOOKUP(Таблица1_113[[#This Row],[Марка]],Таблица13[#All],4,0)</f>
        <v>Китай</v>
      </c>
      <c r="AF1710" t="str">
        <f>VLOOKUP(Таблица1_113[[#This Row],[Марка]],Таблица13[#All],2,0)</f>
        <v>Economy</v>
      </c>
      <c r="AG1710">
        <f>VLOOKUP(Таблица1_113[[#This Row],[Марка]],Таблица13[#All],3,0)</f>
        <v>1953</v>
      </c>
      <c r="AH1710" t="str">
        <f>VLOOKUP(Таблица1_113[[#This Row],[Марка]],Таблица13[#All],5,0)</f>
        <v>Нет</v>
      </c>
      <c r="AI1710" s="12">
        <v>44958</v>
      </c>
      <c r="AJ1710">
        <v>11</v>
      </c>
    </row>
    <row r="1711" spans="30:36">
      <c r="AD1711" t="s">
        <v>7</v>
      </c>
      <c r="AE1711" t="str">
        <f>VLOOKUP(Таблица1_113[[#This Row],[Марка]],Таблица13[#All],4,0)</f>
        <v>Китай</v>
      </c>
      <c r="AF1711" t="str">
        <f>VLOOKUP(Таблица1_113[[#This Row],[Марка]],Таблица13[#All],2,0)</f>
        <v>Business</v>
      </c>
      <c r="AG1711">
        <f>VLOOKUP(Таблица1_113[[#This Row],[Марка]],Таблица13[#All],3,0)</f>
        <v>2017</v>
      </c>
      <c r="AH1711" t="str">
        <f>VLOOKUP(Таблица1_113[[#This Row],[Марка]],Таблица13[#All],5,0)</f>
        <v>Нет</v>
      </c>
      <c r="AI1711" s="12">
        <v>44958</v>
      </c>
      <c r="AJ1711">
        <v>373</v>
      </c>
    </row>
    <row r="1712" spans="30:36">
      <c r="AD1712" t="s">
        <v>130</v>
      </c>
      <c r="AE1712" t="str">
        <f>VLOOKUP(Таблица1_113[[#This Row],[Марка]],Таблица13[#All],4,0)</f>
        <v>Китай</v>
      </c>
      <c r="AF1712" t="str">
        <f>VLOOKUP(Таблица1_113[[#This Row],[Марка]],Таблица13[#All],2,0)</f>
        <v>Economy</v>
      </c>
      <c r="AG1712">
        <f>VLOOKUP(Таблица1_113[[#This Row],[Марка]],Таблица13[#All],3,0)</f>
        <v>1969</v>
      </c>
      <c r="AH1712" t="str">
        <f>VLOOKUP(Таблица1_113[[#This Row],[Марка]],Таблица13[#All],5,0)</f>
        <v>Нет</v>
      </c>
      <c r="AI1712" s="12">
        <v>44958</v>
      </c>
      <c r="AJ1712">
        <v>0</v>
      </c>
    </row>
    <row r="1713" spans="30:36">
      <c r="AD1713" t="s">
        <v>137</v>
      </c>
      <c r="AE1713" t="str">
        <f>VLOOKUP(Таблица1_113[[#This Row],[Марка]],Таблица13[#All],4,0)</f>
        <v>Корея</v>
      </c>
      <c r="AF1713" t="str">
        <f>VLOOKUP(Таблица1_113[[#This Row],[Марка]],Таблица13[#All],2,0)</f>
        <v>Economy</v>
      </c>
      <c r="AG1713">
        <f>VLOOKUP(Таблица1_113[[#This Row],[Марка]],Таблица13[#All],3,0)</f>
        <v>1967</v>
      </c>
      <c r="AH1713" t="str">
        <f>VLOOKUP(Таблица1_113[[#This Row],[Марка]],Таблица13[#All],5,0)</f>
        <v>Нет</v>
      </c>
      <c r="AI1713" s="12">
        <v>44958</v>
      </c>
      <c r="AJ1713">
        <v>32</v>
      </c>
    </row>
    <row r="1714" spans="30:36">
      <c r="AD1714" t="s">
        <v>1</v>
      </c>
      <c r="AE1714" t="str">
        <f>VLOOKUP(Таблица1_113[[#This Row],[Марка]],Таблица13[#All],4,0)</f>
        <v>США</v>
      </c>
      <c r="AF1714" t="str">
        <f>VLOOKUP(Таблица1_113[[#This Row],[Марка]],Таблица13[#All],2,0)</f>
        <v>Economy</v>
      </c>
      <c r="AG1714">
        <f>VLOOKUP(Таблица1_113[[#This Row],[Марка]],Таблица13[#All],3,0)</f>
        <v>1911</v>
      </c>
      <c r="AH1714" t="str">
        <f>VLOOKUP(Таблица1_113[[#This Row],[Марка]],Таблица13[#All],5,0)</f>
        <v>Крупноузловая</v>
      </c>
      <c r="AI1714" s="12">
        <v>44958</v>
      </c>
      <c r="AJ1714">
        <v>3624</v>
      </c>
    </row>
    <row r="1715" spans="30:36">
      <c r="AD1715" t="s">
        <v>3</v>
      </c>
      <c r="AE1715" t="str">
        <f>VLOOKUP(Таблица1_113[[#This Row],[Марка]],Таблица13[#All],4,0)</f>
        <v>Китай</v>
      </c>
      <c r="AF1715" t="str">
        <f>VLOOKUP(Таблица1_113[[#This Row],[Марка]],Таблица13[#All],2,0)</f>
        <v>Economy</v>
      </c>
      <c r="AG1715">
        <f>VLOOKUP(Таблица1_113[[#This Row],[Марка]],Таблица13[#All],3,0)</f>
        <v>1997</v>
      </c>
      <c r="AH1715" t="str">
        <f>VLOOKUP(Таблица1_113[[#This Row],[Марка]],Таблица13[#All],5,0)</f>
        <v>Крупноузловая</v>
      </c>
      <c r="AI1715" s="12">
        <v>44958</v>
      </c>
      <c r="AJ1715">
        <v>650</v>
      </c>
    </row>
    <row r="1716" spans="30:36">
      <c r="AD1716" t="s">
        <v>124</v>
      </c>
      <c r="AE1716" t="str">
        <f>VLOOKUP(Таблица1_113[[#This Row],[Марка]],Таблица13[#All],4,0)</f>
        <v>Китай</v>
      </c>
      <c r="AF1716" t="str">
        <f>VLOOKUP(Таблица1_113[[#This Row],[Марка]],Таблица13[#All],2,0)</f>
        <v>Economy</v>
      </c>
      <c r="AG1716">
        <f>VLOOKUP(Таблица1_113[[#This Row],[Марка]],Таблица13[#All],3,0)</f>
        <v>1862</v>
      </c>
      <c r="AH1716" t="str">
        <f>VLOOKUP(Таблица1_113[[#This Row],[Марка]],Таблица13[#All],5,0)</f>
        <v>Нет</v>
      </c>
      <c r="AI1716" s="12">
        <v>44958</v>
      </c>
      <c r="AJ1716">
        <v>259</v>
      </c>
    </row>
    <row r="1717" spans="30:36">
      <c r="AD1717" t="s">
        <v>36</v>
      </c>
      <c r="AE1717" t="str">
        <f>VLOOKUP(Таблица1_113[[#This Row],[Марка]],Таблица13[#All],4,0)</f>
        <v>США</v>
      </c>
      <c r="AF1717" t="str">
        <f>VLOOKUP(Таблица1_113[[#This Row],[Марка]],Таблица13[#All],2,0)</f>
        <v>Luxury</v>
      </c>
      <c r="AG1717">
        <f>VLOOKUP(Таблица1_113[[#This Row],[Марка]],Таблица13[#All],3,0)</f>
        <v>1902</v>
      </c>
      <c r="AH1717" t="str">
        <f>VLOOKUP(Таблица1_113[[#This Row],[Марка]],Таблица13[#All],5,0)</f>
        <v>Нет</v>
      </c>
      <c r="AI1717" s="12">
        <v>44958</v>
      </c>
      <c r="AJ1717">
        <v>0</v>
      </c>
    </row>
    <row r="1718" spans="30:36">
      <c r="AD1718" t="s">
        <v>8</v>
      </c>
      <c r="AE1718" t="str">
        <f>VLOOKUP(Таблица1_113[[#This Row],[Марка]],Таблица13[#All],4,0)</f>
        <v>Германия</v>
      </c>
      <c r="AF1718" t="str">
        <f>VLOOKUP(Таблица1_113[[#This Row],[Марка]],Таблица13[#All],2,0)</f>
        <v>Luxury</v>
      </c>
      <c r="AG1718">
        <f>VLOOKUP(Таблица1_113[[#This Row],[Марка]],Таблица13[#All],3,0)</f>
        <v>1916</v>
      </c>
      <c r="AH1718" t="str">
        <f>VLOOKUP(Таблица1_113[[#This Row],[Марка]],Таблица13[#All],5,0)</f>
        <v>Нет</v>
      </c>
      <c r="AI1718" s="12">
        <v>44958</v>
      </c>
      <c r="AJ1718">
        <v>119</v>
      </c>
    </row>
    <row r="1719" spans="30:36">
      <c r="AD1719" t="s">
        <v>38</v>
      </c>
      <c r="AE1719" t="str">
        <f>VLOOKUP(Таблица1_113[[#This Row],[Марка]],Таблица13[#All],4,0)</f>
        <v>Германия</v>
      </c>
      <c r="AF1719" t="str">
        <f>VLOOKUP(Таблица1_113[[#This Row],[Марка]],Таблица13[#All],2,0)</f>
        <v>Luxury</v>
      </c>
      <c r="AG1719">
        <f>VLOOKUP(Таблица1_113[[#This Row],[Марка]],Таблица13[#All],3,0)</f>
        <v>1932</v>
      </c>
      <c r="AH1719" t="str">
        <f>VLOOKUP(Таблица1_113[[#This Row],[Марка]],Таблица13[#All],5,0)</f>
        <v>Нет</v>
      </c>
      <c r="AI1719" s="12">
        <v>44958</v>
      </c>
      <c r="AJ1719">
        <v>29</v>
      </c>
    </row>
    <row r="1720" spans="30:36">
      <c r="AD1720" t="s">
        <v>136</v>
      </c>
      <c r="AE1720" t="str">
        <f>VLOOKUP(Таблица1_113[[#This Row],[Марка]],Таблица13[#All],4,0)</f>
        <v>Россия</v>
      </c>
      <c r="AF1720" t="str">
        <f>VLOOKUP(Таблица1_113[[#This Row],[Марка]],Таблица13[#All],2,0)</f>
        <v>Economy</v>
      </c>
      <c r="AG1720">
        <f>VLOOKUP(Таблица1_113[[#This Row],[Марка]],Таблица13[#All],3,0)</f>
        <v>1941</v>
      </c>
      <c r="AH1720" t="str">
        <f>VLOOKUP(Таблица1_113[[#This Row],[Марка]],Таблица13[#All],5,0)</f>
        <v>Нет</v>
      </c>
      <c r="AI1720" s="12">
        <v>44986</v>
      </c>
      <c r="AJ1720">
        <v>25</v>
      </c>
    </row>
    <row r="1721" spans="30:36">
      <c r="AD1721" t="s">
        <v>21</v>
      </c>
      <c r="AE1721" t="str">
        <f>VLOOKUP(Таблица1_113[[#This Row],[Марка]],Таблица13[#All],4,0)</f>
        <v>Германия</v>
      </c>
      <c r="AF1721" t="str">
        <f>VLOOKUP(Таблица1_113[[#This Row],[Марка]],Таблица13[#All],2,0)</f>
        <v>Business</v>
      </c>
      <c r="AG1721">
        <f>VLOOKUP(Таблица1_113[[#This Row],[Марка]],Таблица13[#All],3,0)</f>
        <v>1937</v>
      </c>
      <c r="AH1721" t="str">
        <f>VLOOKUP(Таблица1_113[[#This Row],[Марка]],Таблица13[#All],5,0)</f>
        <v>Нет</v>
      </c>
      <c r="AI1721" s="12">
        <v>44986</v>
      </c>
      <c r="AJ1721">
        <v>2</v>
      </c>
    </row>
    <row r="1722" spans="30:36">
      <c r="AD1722" t="s">
        <v>2</v>
      </c>
      <c r="AE1722" t="str">
        <f>VLOOKUP(Таблица1_113[[#This Row],[Марка]],Таблица13[#All],4,0)</f>
        <v>Япония</v>
      </c>
      <c r="AF1722" t="str">
        <f>VLOOKUP(Таблица1_113[[#This Row],[Марка]],Таблица13[#All],2,0)</f>
        <v>Business</v>
      </c>
      <c r="AG1722">
        <f>VLOOKUP(Таблица1_113[[#This Row],[Марка]],Таблица13[#All],3,0)</f>
        <v>1937</v>
      </c>
      <c r="AH1722" t="str">
        <f>VLOOKUP(Таблица1_113[[#This Row],[Марка]],Таблица13[#All],5,0)</f>
        <v>Нет</v>
      </c>
      <c r="AI1722" s="12">
        <v>44986</v>
      </c>
      <c r="AJ1722">
        <v>596</v>
      </c>
    </row>
    <row r="1723" spans="30:36">
      <c r="AD1723" t="s">
        <v>20</v>
      </c>
      <c r="AE1723" t="str">
        <f>VLOOKUP(Таблица1_113[[#This Row],[Марка]],Таблица13[#All],4,0)</f>
        <v>Китай</v>
      </c>
      <c r="AF1723" t="str">
        <f>VLOOKUP(Таблица1_113[[#This Row],[Марка]],Таблица13[#All],2,0)</f>
        <v>Business</v>
      </c>
      <c r="AG1723">
        <f>VLOOKUP(Таблица1_113[[#This Row],[Марка]],Таблица13[#All],3,0)</f>
        <v>2021</v>
      </c>
      <c r="AH1723" t="str">
        <f>VLOOKUP(Таблица1_113[[#This Row],[Марка]],Таблица13[#All],5,0)</f>
        <v>Нет</v>
      </c>
      <c r="AI1723" s="12">
        <v>44986</v>
      </c>
      <c r="AJ1723">
        <v>0</v>
      </c>
    </row>
    <row r="1724" spans="30:36">
      <c r="AD1724" t="s">
        <v>125</v>
      </c>
      <c r="AE1724" t="str">
        <f>VLOOKUP(Таблица1_113[[#This Row],[Марка]],Таблица13[#All],4,0)</f>
        <v>Япония</v>
      </c>
      <c r="AF1724" t="str">
        <f>VLOOKUP(Таблица1_113[[#This Row],[Марка]],Таблица13[#All],2,0)</f>
        <v>Business</v>
      </c>
      <c r="AG1724">
        <f>VLOOKUP(Таблица1_113[[#This Row],[Марка]],Таблица13[#All],3,0)</f>
        <v>1953</v>
      </c>
      <c r="AH1724" t="str">
        <f>VLOOKUP(Таблица1_113[[#This Row],[Марка]],Таблица13[#All],5,0)</f>
        <v>Нет</v>
      </c>
      <c r="AI1724" s="12">
        <v>44986</v>
      </c>
      <c r="AJ1724">
        <v>88</v>
      </c>
    </row>
    <row r="1725" spans="30:36">
      <c r="AD1725" t="s">
        <v>37</v>
      </c>
      <c r="AE1725" t="str">
        <f>VLOOKUP(Таблица1_113[[#This Row],[Марка]],Таблица13[#All],4,0)</f>
        <v>Германия</v>
      </c>
      <c r="AF1725" t="str">
        <f>VLOOKUP(Таблица1_113[[#This Row],[Марка]],Таблица13[#All],2,0)</f>
        <v>Luxury</v>
      </c>
      <c r="AG1725">
        <f>VLOOKUP(Таблица1_113[[#This Row],[Марка]],Таблица13[#All],3,0)</f>
        <v>1931</v>
      </c>
      <c r="AH1725" t="str">
        <f>VLOOKUP(Таблица1_113[[#This Row],[Марка]],Таблица13[#All],5,0)</f>
        <v>Нет</v>
      </c>
      <c r="AI1725" s="12">
        <v>44986</v>
      </c>
      <c r="AJ1725">
        <v>22</v>
      </c>
    </row>
    <row r="1726" spans="30:36">
      <c r="AD1726" t="s">
        <v>126</v>
      </c>
      <c r="AE1726" t="str">
        <f>VLOOKUP(Таблица1_113[[#This Row],[Марка]],Таблица13[#All],4,0)</f>
        <v>Россия</v>
      </c>
      <c r="AF1726" t="str">
        <f>VLOOKUP(Таблица1_113[[#This Row],[Марка]],Таблица13[#All],2,0)</f>
        <v>Economy</v>
      </c>
      <c r="AG1726">
        <f>VLOOKUP(Таблица1_113[[#This Row],[Марка]],Таблица13[#All],3,0)</f>
        <v>2022</v>
      </c>
      <c r="AH1726" t="str">
        <f>VLOOKUP(Таблица1_113[[#This Row],[Марка]],Таблица13[#All],5,0)</f>
        <v>Нет</v>
      </c>
      <c r="AI1726" s="12">
        <v>44986</v>
      </c>
      <c r="AJ1726">
        <v>0</v>
      </c>
    </row>
    <row r="1727" spans="30:36">
      <c r="AD1727" t="s">
        <v>22</v>
      </c>
      <c r="AE1727" t="str">
        <f>VLOOKUP(Таблица1_113[[#This Row],[Марка]],Таблица13[#All],4,0)</f>
        <v>Япония</v>
      </c>
      <c r="AF1727" t="str">
        <f>VLOOKUP(Таблица1_113[[#This Row],[Марка]],Таблица13[#All],2,0)</f>
        <v>Business</v>
      </c>
      <c r="AG1727">
        <f>VLOOKUP(Таблица1_113[[#This Row],[Марка]],Таблица13[#All],3,0)</f>
        <v>1933</v>
      </c>
      <c r="AH1727" t="str">
        <f>VLOOKUP(Таблица1_113[[#This Row],[Марка]],Таблица13[#All],5,0)</f>
        <v>Нет</v>
      </c>
      <c r="AI1727" s="12">
        <v>44986</v>
      </c>
      <c r="AJ1727">
        <v>0</v>
      </c>
    </row>
    <row r="1728" spans="30:36">
      <c r="AD1728" t="s">
        <v>9</v>
      </c>
      <c r="AE1728" t="str">
        <f>VLOOKUP(Таблица1_113[[#This Row],[Марка]],Таблица13[#All],4,0)</f>
        <v>Япония</v>
      </c>
      <c r="AF1728" t="str">
        <f>VLOOKUP(Таблица1_113[[#This Row],[Марка]],Таблица13[#All],2,0)</f>
        <v>Business</v>
      </c>
      <c r="AG1728">
        <f>VLOOKUP(Таблица1_113[[#This Row],[Марка]],Таблица13[#All],3,0)</f>
        <v>1870</v>
      </c>
      <c r="AH1728" t="str">
        <f>VLOOKUP(Таблица1_113[[#This Row],[Марка]],Таблица13[#All],5,0)</f>
        <v>Нет</v>
      </c>
      <c r="AI1728" s="12">
        <v>44986</v>
      </c>
      <c r="AJ1728">
        <v>80</v>
      </c>
    </row>
    <row r="1729" spans="30:36">
      <c r="AD1729" t="s">
        <v>40</v>
      </c>
      <c r="AE1729" t="str">
        <f>VLOOKUP(Таблица1_113[[#This Row],[Марка]],Таблица13[#All],4,0)</f>
        <v>Великобритания</v>
      </c>
      <c r="AF1729" t="str">
        <f>VLOOKUP(Таблица1_113[[#This Row],[Марка]],Таблица13[#All],2,0)</f>
        <v>Luxury</v>
      </c>
      <c r="AG1729">
        <f>VLOOKUP(Таблица1_113[[#This Row],[Марка]],Таблица13[#All],3,0)</f>
        <v>1959</v>
      </c>
      <c r="AH1729" t="str">
        <f>VLOOKUP(Таблица1_113[[#This Row],[Марка]],Таблица13[#All],5,0)</f>
        <v>Нет</v>
      </c>
      <c r="AI1729" s="12">
        <v>44986</v>
      </c>
      <c r="AJ1729">
        <v>1</v>
      </c>
    </row>
    <row r="1730" spans="30:36">
      <c r="AD1730" t="s">
        <v>128</v>
      </c>
      <c r="AE1730" t="str">
        <f>VLOOKUP(Таблица1_113[[#This Row],[Марка]],Таблица13[#All],4,0)</f>
        <v>Германия</v>
      </c>
      <c r="AF1730" t="str">
        <f>VLOOKUP(Таблица1_113[[#This Row],[Марка]],Таблица13[#All],2,0)</f>
        <v>Luxury</v>
      </c>
      <c r="AG1730">
        <f>VLOOKUP(Таблица1_113[[#This Row],[Марка]],Таблица13[#All],3,0)</f>
        <v>1926</v>
      </c>
      <c r="AH1730" t="str">
        <f>VLOOKUP(Таблица1_113[[#This Row],[Марка]],Таблица13[#All],5,0)</f>
        <v>Нет</v>
      </c>
      <c r="AI1730" s="12">
        <v>44986</v>
      </c>
      <c r="AJ1730">
        <v>85</v>
      </c>
    </row>
    <row r="1731" spans="30:36">
      <c r="AD1731" t="s">
        <v>5</v>
      </c>
      <c r="AE1731" t="str">
        <f>VLOOKUP(Таблица1_113[[#This Row],[Марка]],Таблица13[#All],4,0)</f>
        <v>Япония</v>
      </c>
      <c r="AF1731" t="str">
        <f>VLOOKUP(Таблица1_113[[#This Row],[Марка]],Таблица13[#All],2,0)</f>
        <v>Luxury</v>
      </c>
      <c r="AG1731">
        <f>VLOOKUP(Таблица1_113[[#This Row],[Марка]],Таблица13[#All],3,0)</f>
        <v>1989</v>
      </c>
      <c r="AH1731" t="str">
        <f>VLOOKUP(Таблица1_113[[#This Row],[Марка]],Таблица13[#All],5,0)</f>
        <v>Нет</v>
      </c>
      <c r="AI1731" s="12">
        <v>44986</v>
      </c>
      <c r="AJ1731">
        <v>314</v>
      </c>
    </row>
    <row r="1732" spans="30:36">
      <c r="AD1732" t="s">
        <v>35</v>
      </c>
      <c r="AE1732" t="str">
        <f>VLOOKUP(Таблица1_113[[#This Row],[Марка]],Таблица13[#All],4,0)</f>
        <v>Великобритания</v>
      </c>
      <c r="AF1732" t="str">
        <f>VLOOKUP(Таблица1_113[[#This Row],[Марка]],Таблица13[#All],2,0)</f>
        <v>Luxury</v>
      </c>
      <c r="AG1732">
        <f>VLOOKUP(Таблица1_113[[#This Row],[Марка]],Таблица13[#All],3,0)</f>
        <v>1948</v>
      </c>
      <c r="AH1732" t="str">
        <f>VLOOKUP(Таблица1_113[[#This Row],[Марка]],Таблица13[#All],5,0)</f>
        <v>Нет</v>
      </c>
      <c r="AI1732" s="12">
        <v>44986</v>
      </c>
      <c r="AJ1732">
        <v>13</v>
      </c>
    </row>
    <row r="1733" spans="30:36">
      <c r="AD1733" t="s">
        <v>19</v>
      </c>
      <c r="AE1733" t="str">
        <f>VLOOKUP(Таблица1_113[[#This Row],[Марка]],Таблица13[#All],4,0)</f>
        <v>Россия</v>
      </c>
      <c r="AF1733" t="str">
        <f>VLOOKUP(Таблица1_113[[#This Row],[Марка]],Таблица13[#All],2,0)</f>
        <v>Economy</v>
      </c>
      <c r="AG1733">
        <f>VLOOKUP(Таблица1_113[[#This Row],[Марка]],Таблица13[#All],3,0)</f>
        <v>1970</v>
      </c>
      <c r="AH1733" t="str">
        <f>VLOOKUP(Таблица1_113[[#This Row],[Марка]],Таблица13[#All],5,0)</f>
        <v>Крупноузловая</v>
      </c>
      <c r="AI1733" s="12">
        <v>44986</v>
      </c>
      <c r="AJ1733">
        <v>17</v>
      </c>
    </row>
    <row r="1734" spans="30:36">
      <c r="AD1734" t="s">
        <v>15</v>
      </c>
      <c r="AE1734" t="str">
        <f>VLOOKUP(Таблица1_113[[#This Row],[Марка]],Таблица13[#All],4,0)</f>
        <v>Корея</v>
      </c>
      <c r="AF1734" t="str">
        <f>VLOOKUP(Таблица1_113[[#This Row],[Марка]],Таблица13[#All],2,0)</f>
        <v>Economy</v>
      </c>
      <c r="AG1734">
        <f>VLOOKUP(Таблица1_113[[#This Row],[Марка]],Таблица13[#All],3,0)</f>
        <v>1944</v>
      </c>
      <c r="AH1734" t="str">
        <f>VLOOKUP(Таблица1_113[[#This Row],[Марка]],Таблица13[#All],5,0)</f>
        <v>Крупноузловая</v>
      </c>
      <c r="AI1734" s="12">
        <v>44986</v>
      </c>
      <c r="AJ1734">
        <v>2083</v>
      </c>
    </row>
    <row r="1735" spans="30:36">
      <c r="AD1735" t="s">
        <v>17</v>
      </c>
      <c r="AE1735" t="str">
        <f>VLOOKUP(Таблица1_113[[#This Row],[Марка]],Таблица13[#All],4,0)</f>
        <v>Китай</v>
      </c>
      <c r="AF1735" t="str">
        <f>VLOOKUP(Таблица1_113[[#This Row],[Марка]],Таблица13[#All],2,0)</f>
        <v>Economy</v>
      </c>
      <c r="AG1735">
        <f>VLOOKUP(Таблица1_113[[#This Row],[Марка]],Таблица13[#All],3,0)</f>
        <v>2014</v>
      </c>
      <c r="AH1735" t="str">
        <f>VLOOKUP(Таблица1_113[[#This Row],[Марка]],Таблица13[#All],5,0)</f>
        <v>Нет</v>
      </c>
      <c r="AI1735" s="12">
        <v>44986</v>
      </c>
      <c r="AJ1735">
        <v>0</v>
      </c>
    </row>
    <row r="1736" spans="30:36">
      <c r="AD1736" t="s">
        <v>134</v>
      </c>
      <c r="AE1736" t="str">
        <f>VLOOKUP(Таблица1_113[[#This Row],[Марка]],Таблица13[#All],4,0)</f>
        <v>Великобритания</v>
      </c>
      <c r="AF1736" t="str">
        <f>VLOOKUP(Таблица1_113[[#This Row],[Марка]],Таблица13[#All],2,0)</f>
        <v>Luxury</v>
      </c>
      <c r="AG1736">
        <f>VLOOKUP(Таблица1_113[[#This Row],[Марка]],Таблица13[#All],3,0)</f>
        <v>1922</v>
      </c>
      <c r="AH1736" t="str">
        <f>VLOOKUP(Таблица1_113[[#This Row],[Марка]],Таблица13[#All],5,0)</f>
        <v>Нет</v>
      </c>
      <c r="AI1736" s="12">
        <v>44986</v>
      </c>
      <c r="AJ1736">
        <v>9</v>
      </c>
    </row>
    <row r="1737" spans="30:36">
      <c r="AD1737" t="s">
        <v>4</v>
      </c>
      <c r="AE1737" t="str">
        <f>VLOOKUP(Таблица1_113[[#This Row],[Марка]],Таблица13[#All],4,0)</f>
        <v>Китай</v>
      </c>
      <c r="AF1737" t="str">
        <f>VLOOKUP(Таблица1_113[[#This Row],[Марка]],Таблица13[#All],2,0)</f>
        <v>Economy</v>
      </c>
      <c r="AG1737">
        <f>VLOOKUP(Таблица1_113[[#This Row],[Марка]],Таблица13[#All],3,0)</f>
        <v>1964</v>
      </c>
      <c r="AH1737" t="str">
        <f>VLOOKUP(Таблица1_113[[#This Row],[Марка]],Таблица13[#All],5,0)</f>
        <v>Крупноузловая</v>
      </c>
      <c r="AI1737" s="12">
        <v>44986</v>
      </c>
      <c r="AJ1737">
        <v>399</v>
      </c>
    </row>
    <row r="1738" spans="30:36">
      <c r="AD1738" t="s">
        <v>34</v>
      </c>
      <c r="AE1738" t="str">
        <f>VLOOKUP(Таблица1_113[[#This Row],[Марка]],Таблица13[#All],4,0)</f>
        <v>Япония</v>
      </c>
      <c r="AF1738" t="str">
        <f>VLOOKUP(Таблица1_113[[#This Row],[Марка]],Таблица13[#All],2,0)</f>
        <v>Luxury</v>
      </c>
      <c r="AG1738">
        <f>VLOOKUP(Таблица1_113[[#This Row],[Марка]],Таблица13[#All],3,0)</f>
        <v>1989</v>
      </c>
      <c r="AH1738" t="str">
        <f>VLOOKUP(Таблица1_113[[#This Row],[Марка]],Таблица13[#All],5,0)</f>
        <v>Нет</v>
      </c>
      <c r="AI1738" s="12">
        <v>44986</v>
      </c>
      <c r="AJ1738">
        <v>0</v>
      </c>
    </row>
    <row r="1739" spans="30:36">
      <c r="AD1739" t="s">
        <v>0</v>
      </c>
      <c r="AE1739" t="str">
        <f>VLOOKUP(Таблица1_113[[#This Row],[Марка]],Таблица13[#All],4,0)</f>
        <v>Корея</v>
      </c>
      <c r="AF1739" t="str">
        <f>VLOOKUP(Таблица1_113[[#This Row],[Марка]],Таблица13[#All],2,0)</f>
        <v>Economy</v>
      </c>
      <c r="AG1739">
        <f>VLOOKUP(Таблица1_113[[#This Row],[Марка]],Таблица13[#All],3,0)</f>
        <v>1967</v>
      </c>
      <c r="AH1739" t="str">
        <f>VLOOKUP(Таблица1_113[[#This Row],[Марка]],Таблица13[#All],5,0)</f>
        <v>Крупноузловая</v>
      </c>
      <c r="AI1739" s="12">
        <v>44986</v>
      </c>
      <c r="AJ1739">
        <v>3796</v>
      </c>
    </row>
    <row r="1740" spans="30:36">
      <c r="AD1740" t="s">
        <v>131</v>
      </c>
      <c r="AE1740" t="str">
        <f>VLOOKUP(Таблица1_113[[#This Row],[Марка]],Таблица13[#All],4,0)</f>
        <v>Китай</v>
      </c>
      <c r="AF1740" t="str">
        <f>VLOOKUP(Таблица1_113[[#This Row],[Марка]],Таблица13[#All],2,0)</f>
        <v>Luxury</v>
      </c>
      <c r="AG1740">
        <f>VLOOKUP(Таблица1_113[[#This Row],[Марка]],Таблица13[#All],3,0)</f>
        <v>1958</v>
      </c>
      <c r="AH1740" t="str">
        <f>VLOOKUP(Таблица1_113[[#This Row],[Марка]],Таблица13[#All],5,0)</f>
        <v>Нет</v>
      </c>
      <c r="AI1740" s="12">
        <v>44986</v>
      </c>
      <c r="AJ1740">
        <v>0</v>
      </c>
    </row>
    <row r="1741" spans="30:36">
      <c r="AD1741" t="s">
        <v>6</v>
      </c>
      <c r="AE1741" t="str">
        <f>VLOOKUP(Таблица1_113[[#This Row],[Марка]],Таблица13[#All],4,0)</f>
        <v>Китай</v>
      </c>
      <c r="AF1741" t="str">
        <f>VLOOKUP(Таблица1_113[[#This Row],[Марка]],Таблица13[#All],2,0)</f>
        <v>Economy</v>
      </c>
      <c r="AG1741">
        <f>VLOOKUP(Таблица1_113[[#This Row],[Марка]],Таблица13[#All],3,0)</f>
        <v>2013</v>
      </c>
      <c r="AH1741" t="str">
        <f>VLOOKUP(Таблица1_113[[#This Row],[Марка]],Таблица13[#All],5,0)</f>
        <v>Крупноузловая</v>
      </c>
      <c r="AI1741" s="12">
        <v>44986</v>
      </c>
      <c r="AJ1741">
        <v>310</v>
      </c>
    </row>
    <row r="1742" spans="30:36">
      <c r="AD1742" t="s">
        <v>132</v>
      </c>
      <c r="AE1742" t="str">
        <f>VLOOKUP(Таблица1_113[[#This Row],[Марка]],Таблица13[#All],4,0)</f>
        <v>Китай</v>
      </c>
      <c r="AF1742" t="str">
        <f>VLOOKUP(Таблица1_113[[#This Row],[Марка]],Таблица13[#All],2,0)</f>
        <v>Economy</v>
      </c>
      <c r="AG1742">
        <f>VLOOKUP(Таблица1_113[[#This Row],[Марка]],Таблица13[#All],3,0)</f>
        <v>1984</v>
      </c>
      <c r="AH1742" t="str">
        <f>VLOOKUP(Таблица1_113[[#This Row],[Марка]],Таблица13[#All],5,0)</f>
        <v>Нет</v>
      </c>
      <c r="AI1742" s="12">
        <v>44986</v>
      </c>
      <c r="AJ1742">
        <v>0</v>
      </c>
    </row>
    <row r="1743" spans="30:36">
      <c r="AD1743" t="s">
        <v>138</v>
      </c>
      <c r="AE1743" t="str">
        <f>VLOOKUP(Таблица1_113[[#This Row],[Марка]],Таблица13[#All],4,0)</f>
        <v>Корея</v>
      </c>
      <c r="AF1743" t="str">
        <f>VLOOKUP(Таблица1_113[[#This Row],[Марка]],Таблица13[#All],2,0)</f>
        <v>Luxury</v>
      </c>
      <c r="AG1743">
        <f>VLOOKUP(Таблица1_113[[#This Row],[Марка]],Таблица13[#All],3,0)</f>
        <v>2015</v>
      </c>
      <c r="AH1743" t="str">
        <f>VLOOKUP(Таблица1_113[[#This Row],[Марка]],Таблица13[#All],5,0)</f>
        <v>Нет</v>
      </c>
      <c r="AI1743" s="12">
        <v>44986</v>
      </c>
      <c r="AJ1743">
        <v>0</v>
      </c>
    </row>
    <row r="1744" spans="30:36">
      <c r="AD1744" t="s">
        <v>18</v>
      </c>
      <c r="AE1744" t="str">
        <f>VLOOKUP(Таблица1_113[[#This Row],[Марка]],Таблица13[#All],4,0)</f>
        <v>Китай</v>
      </c>
      <c r="AF1744" t="str">
        <f>VLOOKUP(Таблица1_113[[#This Row],[Марка]],Таблица13[#All],2,0)</f>
        <v>Economy</v>
      </c>
      <c r="AG1744">
        <f>VLOOKUP(Таблица1_113[[#This Row],[Марка]],Таблица13[#All],3,0)</f>
        <v>1986</v>
      </c>
      <c r="AH1744" t="str">
        <f>VLOOKUP(Таблица1_113[[#This Row],[Марка]],Таблица13[#All],5,0)</f>
        <v>Крупноузловая</v>
      </c>
      <c r="AI1744" s="12">
        <v>44986</v>
      </c>
      <c r="AJ1744">
        <v>174</v>
      </c>
    </row>
    <row r="1745" spans="30:39">
      <c r="AD1745" t="s">
        <v>127</v>
      </c>
      <c r="AE1745" t="str">
        <f>VLOOKUP(Таблица1_113[[#This Row],[Марка]],Таблица13[#All],4,0)</f>
        <v>Китай</v>
      </c>
      <c r="AF1745" t="str">
        <f>VLOOKUP(Таблица1_113[[#This Row],[Марка]],Таблица13[#All],2,0)</f>
        <v>Economy</v>
      </c>
      <c r="AG1745">
        <f>VLOOKUP(Таблица1_113[[#This Row],[Марка]],Таблица13[#All],3,0)</f>
        <v>1997</v>
      </c>
      <c r="AH1745" t="str">
        <f>VLOOKUP(Таблица1_113[[#This Row],[Марка]],Таблица13[#All],5,0)</f>
        <v>Нет</v>
      </c>
      <c r="AI1745" s="12">
        <v>44986</v>
      </c>
      <c r="AJ1745">
        <v>0</v>
      </c>
    </row>
    <row r="1746" spans="30:39">
      <c r="AD1746" t="s">
        <v>133</v>
      </c>
      <c r="AE1746" t="str">
        <f>VLOOKUP(Таблица1_113[[#This Row],[Марка]],Таблица13[#All],4,0)</f>
        <v>Китай</v>
      </c>
      <c r="AF1746" t="str">
        <f>VLOOKUP(Таблица1_113[[#This Row],[Марка]],Таблица13[#All],2,0)</f>
        <v>Economy</v>
      </c>
      <c r="AG1746">
        <f>VLOOKUP(Таблица1_113[[#This Row],[Марка]],Таблица13[#All],3,0)</f>
        <v>1996</v>
      </c>
      <c r="AH1746" t="str">
        <f>VLOOKUP(Таблица1_113[[#This Row],[Марка]],Таблица13[#All],5,0)</f>
        <v>Нет</v>
      </c>
      <c r="AI1746" s="12">
        <v>44986</v>
      </c>
      <c r="AJ1746">
        <v>0</v>
      </c>
    </row>
    <row r="1747" spans="30:39">
      <c r="AD1747" t="s">
        <v>129</v>
      </c>
      <c r="AE1747" t="str">
        <f>VLOOKUP(Таблица1_113[[#This Row],[Марка]],Таблица13[#All],4,0)</f>
        <v>Китай</v>
      </c>
      <c r="AF1747" t="str">
        <f>VLOOKUP(Таблица1_113[[#This Row],[Марка]],Таблица13[#All],2,0)</f>
        <v>Economy</v>
      </c>
      <c r="AG1747">
        <f>VLOOKUP(Таблица1_113[[#This Row],[Марка]],Таблица13[#All],3,0)</f>
        <v>1953</v>
      </c>
      <c r="AH1747" t="str">
        <f>VLOOKUP(Таблица1_113[[#This Row],[Марка]],Таблица13[#All],5,0)</f>
        <v>Нет</v>
      </c>
      <c r="AI1747" s="12">
        <v>44986</v>
      </c>
      <c r="AJ1747">
        <v>7</v>
      </c>
    </row>
    <row r="1748" spans="30:39">
      <c r="AD1748" t="s">
        <v>7</v>
      </c>
      <c r="AE1748" t="str">
        <f>VLOOKUP(Таблица1_113[[#This Row],[Марка]],Таблица13[#All],4,0)</f>
        <v>Китай</v>
      </c>
      <c r="AF1748" t="str">
        <f>VLOOKUP(Таблица1_113[[#This Row],[Марка]],Таблица13[#All],2,0)</f>
        <v>Business</v>
      </c>
      <c r="AG1748">
        <f>VLOOKUP(Таблица1_113[[#This Row],[Марка]],Таблица13[#All],3,0)</f>
        <v>2017</v>
      </c>
      <c r="AH1748" t="str">
        <f>VLOOKUP(Таблица1_113[[#This Row],[Марка]],Таблица13[#All],5,0)</f>
        <v>Нет</v>
      </c>
      <c r="AI1748" s="12">
        <v>44986</v>
      </c>
      <c r="AJ1748">
        <v>497</v>
      </c>
    </row>
    <row r="1749" spans="30:39">
      <c r="AD1749" t="s">
        <v>130</v>
      </c>
      <c r="AE1749" t="str">
        <f>VLOOKUP(Таблица1_113[[#This Row],[Марка]],Таблица13[#All],4,0)</f>
        <v>Китай</v>
      </c>
      <c r="AF1749" t="str">
        <f>VLOOKUP(Таблица1_113[[#This Row],[Марка]],Таблица13[#All],2,0)</f>
        <v>Economy</v>
      </c>
      <c r="AG1749">
        <f>VLOOKUP(Таблица1_113[[#This Row],[Марка]],Таблица13[#All],3,0)</f>
        <v>1969</v>
      </c>
      <c r="AH1749" t="str">
        <f>VLOOKUP(Таблица1_113[[#This Row],[Марка]],Таблица13[#All],5,0)</f>
        <v>Нет</v>
      </c>
      <c r="AI1749" s="12">
        <v>44986</v>
      </c>
      <c r="AJ1749">
        <v>0</v>
      </c>
    </row>
    <row r="1750" spans="30:39">
      <c r="AD1750" t="s">
        <v>137</v>
      </c>
      <c r="AE1750" t="str">
        <f>VLOOKUP(Таблица1_113[[#This Row],[Марка]],Таблица13[#All],4,0)</f>
        <v>Корея</v>
      </c>
      <c r="AF1750" t="str">
        <f>VLOOKUP(Таблица1_113[[#This Row],[Марка]],Таблица13[#All],2,0)</f>
        <v>Economy</v>
      </c>
      <c r="AG1750">
        <f>VLOOKUP(Таблица1_113[[#This Row],[Марка]],Таблица13[#All],3,0)</f>
        <v>1967</v>
      </c>
      <c r="AH1750" t="str">
        <f>VLOOKUP(Таблица1_113[[#This Row],[Марка]],Таблица13[#All],5,0)</f>
        <v>Нет</v>
      </c>
      <c r="AI1750" s="12">
        <v>44986</v>
      </c>
      <c r="AJ1750">
        <v>0</v>
      </c>
    </row>
    <row r="1751" spans="30:39">
      <c r="AD1751" t="s">
        <v>1</v>
      </c>
      <c r="AE1751" t="str">
        <f>VLOOKUP(Таблица1_113[[#This Row],[Марка]],Таблица13[#All],4,0)</f>
        <v>США</v>
      </c>
      <c r="AF1751" t="str">
        <f>VLOOKUP(Таблица1_113[[#This Row],[Марка]],Таблица13[#All],2,0)</f>
        <v>Economy</v>
      </c>
      <c r="AG1751">
        <f>VLOOKUP(Таблица1_113[[#This Row],[Марка]],Таблица13[#All],3,0)</f>
        <v>1911</v>
      </c>
      <c r="AH1751" t="str">
        <f>VLOOKUP(Таблица1_113[[#This Row],[Марка]],Таблица13[#All],5,0)</f>
        <v>Крупноузловая</v>
      </c>
      <c r="AI1751" s="12">
        <v>44986</v>
      </c>
      <c r="AJ1751">
        <v>3530</v>
      </c>
    </row>
    <row r="1752" spans="30:39" customFormat="1">
      <c r="AD1752" s="27" t="s">
        <v>3</v>
      </c>
      <c r="AE1752" s="28" t="str">
        <f>VLOOKUP(Таблица1_113[[#This Row],[Марка]],Таблица13[#All],4,0)</f>
        <v>Китай</v>
      </c>
      <c r="AF1752" s="28" t="str">
        <f>VLOOKUP(Таблица1_113[[#This Row],[Марка]],Таблица13[#All],2,0)</f>
        <v>Economy</v>
      </c>
      <c r="AG1752" s="28">
        <f>VLOOKUP(Таблица1_113[[#This Row],[Марка]],Таблица13[#All],3,0)</f>
        <v>1997</v>
      </c>
      <c r="AH1752" s="28" t="str">
        <f>VLOOKUP(Таблица1_113[[#This Row],[Марка]],Таблица13[#All],5,0)</f>
        <v>Крупноузловая</v>
      </c>
      <c r="AI1752" s="30">
        <v>44986</v>
      </c>
      <c r="AJ1752" s="31">
        <v>718</v>
      </c>
      <c r="AM1752" s="12"/>
    </row>
    <row r="1753" spans="30:39" customFormat="1">
      <c r="AD1753" s="27" t="s">
        <v>124</v>
      </c>
      <c r="AE1753" s="28" t="str">
        <f>VLOOKUP(Таблица1_113[[#This Row],[Марка]],Таблица13[#All],4,0)</f>
        <v>Китай</v>
      </c>
      <c r="AF1753" s="28" t="str">
        <f>VLOOKUP(Таблица1_113[[#This Row],[Марка]],Таблица13[#All],2,0)</f>
        <v>Economy</v>
      </c>
      <c r="AG1753" s="28">
        <f>VLOOKUP(Таблица1_113[[#This Row],[Марка]],Таблица13[#All],3,0)</f>
        <v>1862</v>
      </c>
      <c r="AH1753" s="28" t="str">
        <f>VLOOKUP(Таблица1_113[[#This Row],[Марка]],Таблица13[#All],5,0)</f>
        <v>Нет</v>
      </c>
      <c r="AI1753" s="30">
        <v>44986</v>
      </c>
      <c r="AJ1753" s="31">
        <v>320</v>
      </c>
      <c r="AM1753" s="12"/>
    </row>
    <row r="1754" spans="30:39" customFormat="1">
      <c r="AD1754" s="27" t="s">
        <v>36</v>
      </c>
      <c r="AE1754" s="28" t="str">
        <f>VLOOKUP(Таблица1_113[[#This Row],[Марка]],Таблица13[#All],4,0)</f>
        <v>США</v>
      </c>
      <c r="AF1754" s="28" t="str">
        <f>VLOOKUP(Таблица1_113[[#This Row],[Марка]],Таблица13[#All],2,0)</f>
        <v>Luxury</v>
      </c>
      <c r="AG1754" s="28">
        <f>VLOOKUP(Таблица1_113[[#This Row],[Марка]],Таблица13[#All],3,0)</f>
        <v>1902</v>
      </c>
      <c r="AH1754" s="28" t="str">
        <f>VLOOKUP(Таблица1_113[[#This Row],[Марка]],Таблица13[#All],5,0)</f>
        <v>Нет</v>
      </c>
      <c r="AI1754" s="30">
        <v>44986</v>
      </c>
      <c r="AJ1754" s="31">
        <v>23</v>
      </c>
      <c r="AM1754" s="12"/>
    </row>
    <row r="1755" spans="30:39" customFormat="1">
      <c r="AD1755" s="27" t="s">
        <v>8</v>
      </c>
      <c r="AE1755" s="28" t="str">
        <f>VLOOKUP(Таблица1_113[[#This Row],[Марка]],Таблица13[#All],4,0)</f>
        <v>Германия</v>
      </c>
      <c r="AF1755" s="28" t="str">
        <f>VLOOKUP(Таблица1_113[[#This Row],[Марка]],Таблица13[#All],2,0)</f>
        <v>Luxury</v>
      </c>
      <c r="AG1755" s="28">
        <f>VLOOKUP(Таблица1_113[[#This Row],[Марка]],Таблица13[#All],3,0)</f>
        <v>1916</v>
      </c>
      <c r="AH1755" s="28" t="str">
        <f>VLOOKUP(Таблица1_113[[#This Row],[Марка]],Таблица13[#All],5,0)</f>
        <v>Нет</v>
      </c>
      <c r="AI1755" s="30">
        <v>44986</v>
      </c>
      <c r="AJ1755" s="31">
        <v>116</v>
      </c>
      <c r="AM1755" s="12"/>
    </row>
    <row r="1756" spans="30:39" customFormat="1">
      <c r="AD1756" s="27" t="s">
        <v>38</v>
      </c>
      <c r="AE1756" s="28" t="str">
        <f>VLOOKUP(Таблица1_113[[#This Row],[Марка]],Таблица13[#All],4,0)</f>
        <v>Германия</v>
      </c>
      <c r="AF1756" s="28" t="str">
        <f>VLOOKUP(Таблица1_113[[#This Row],[Марка]],Таблица13[#All],2,0)</f>
        <v>Luxury</v>
      </c>
      <c r="AG1756" s="28">
        <f>VLOOKUP(Таблица1_113[[#This Row],[Марка]],Таблица13[#All],3,0)</f>
        <v>1932</v>
      </c>
      <c r="AH1756" s="28" t="str">
        <f>VLOOKUP(Таблица1_113[[#This Row],[Марка]],Таблица13[#All],5,0)</f>
        <v>Нет</v>
      </c>
      <c r="AI1756" s="30">
        <v>44986</v>
      </c>
      <c r="AJ1756" s="31">
        <v>93</v>
      </c>
      <c r="AM1756" s="12"/>
    </row>
    <row r="1757" spans="30:39" customFormat="1">
      <c r="AD1757" s="27" t="s">
        <v>136</v>
      </c>
      <c r="AE1757" s="28" t="str">
        <f>VLOOKUP(Таблица1_113[[#This Row],[Марка]],Таблица13[#All],4,0)</f>
        <v>Россия</v>
      </c>
      <c r="AF1757" s="28" t="str">
        <f>VLOOKUP(Таблица1_113[[#This Row],[Марка]],Таблица13[#All],2,0)</f>
        <v>Economy</v>
      </c>
      <c r="AG1757" s="28">
        <f>VLOOKUP(Таблица1_113[[#This Row],[Марка]],Таблица13[#All],3,0)</f>
        <v>1941</v>
      </c>
      <c r="AH1757" s="28" t="str">
        <f>VLOOKUP(Таблица1_113[[#This Row],[Марка]],Таблица13[#All],5,0)</f>
        <v>Нет</v>
      </c>
      <c r="AI1757" s="30">
        <v>45017</v>
      </c>
      <c r="AJ1757" s="31">
        <v>26</v>
      </c>
      <c r="AM1757" s="12"/>
    </row>
    <row r="1758" spans="30:39" customFormat="1">
      <c r="AD1758" s="27" t="s">
        <v>21</v>
      </c>
      <c r="AE1758" s="28" t="str">
        <f>VLOOKUP(Таблица1_113[[#This Row],[Марка]],Таблица13[#All],4,0)</f>
        <v>Германия</v>
      </c>
      <c r="AF1758" s="28" t="str">
        <f>VLOOKUP(Таблица1_113[[#This Row],[Марка]],Таблица13[#All],2,0)</f>
        <v>Business</v>
      </c>
      <c r="AG1758" s="28">
        <f>VLOOKUP(Таблица1_113[[#This Row],[Марка]],Таблица13[#All],3,0)</f>
        <v>1937</v>
      </c>
      <c r="AH1758" s="28" t="str">
        <f>VLOOKUP(Таблица1_113[[#This Row],[Марка]],Таблица13[#All],5,0)</f>
        <v>Нет</v>
      </c>
      <c r="AI1758" s="30">
        <v>45017</v>
      </c>
      <c r="AJ1758" s="31">
        <v>4</v>
      </c>
      <c r="AM1758" s="12"/>
    </row>
    <row r="1759" spans="30:39" customFormat="1">
      <c r="AD1759" s="27" t="s">
        <v>2</v>
      </c>
      <c r="AE1759" s="28" t="str">
        <f>VLOOKUP(Таблица1_113[[#This Row],[Марка]],Таблица13[#All],4,0)</f>
        <v>Япония</v>
      </c>
      <c r="AF1759" s="28" t="str">
        <f>VLOOKUP(Таблица1_113[[#This Row],[Марка]],Таблица13[#All],2,0)</f>
        <v>Business</v>
      </c>
      <c r="AG1759" s="28">
        <f>VLOOKUP(Таблица1_113[[#This Row],[Марка]],Таблица13[#All],3,0)</f>
        <v>1937</v>
      </c>
      <c r="AH1759" s="28" t="str">
        <f>VLOOKUP(Таблица1_113[[#This Row],[Марка]],Таблица13[#All],5,0)</f>
        <v>Нет</v>
      </c>
      <c r="AI1759" s="30">
        <v>45017</v>
      </c>
      <c r="AJ1759" s="31">
        <v>613</v>
      </c>
      <c r="AM1759" s="12"/>
    </row>
    <row r="1760" spans="30:39" customFormat="1">
      <c r="AD1760" s="27" t="s">
        <v>20</v>
      </c>
      <c r="AE1760" s="28" t="str">
        <f>VLOOKUP(Таблица1_113[[#This Row],[Марка]],Таблица13[#All],4,0)</f>
        <v>Китай</v>
      </c>
      <c r="AF1760" s="28" t="str">
        <f>VLOOKUP(Таблица1_113[[#This Row],[Марка]],Таблица13[#All],2,0)</f>
        <v>Business</v>
      </c>
      <c r="AG1760" s="28">
        <f>VLOOKUP(Таблица1_113[[#This Row],[Марка]],Таблица13[#All],3,0)</f>
        <v>2021</v>
      </c>
      <c r="AH1760" s="28" t="str">
        <f>VLOOKUP(Таблица1_113[[#This Row],[Марка]],Таблица13[#All],5,0)</f>
        <v>Нет</v>
      </c>
      <c r="AI1760" s="30">
        <v>45017</v>
      </c>
      <c r="AJ1760" s="31">
        <v>0</v>
      </c>
      <c r="AM1760" s="12"/>
    </row>
    <row r="1761" spans="30:39" customFormat="1">
      <c r="AD1761" s="27" t="s">
        <v>125</v>
      </c>
      <c r="AE1761" s="28" t="str">
        <f>VLOOKUP(Таблица1_113[[#This Row],[Марка]],Таблица13[#All],4,0)</f>
        <v>Япония</v>
      </c>
      <c r="AF1761" s="28" t="str">
        <f>VLOOKUP(Таблица1_113[[#This Row],[Марка]],Таблица13[#All],2,0)</f>
        <v>Business</v>
      </c>
      <c r="AG1761" s="28">
        <f>VLOOKUP(Таблица1_113[[#This Row],[Марка]],Таблица13[#All],3,0)</f>
        <v>1953</v>
      </c>
      <c r="AH1761" s="28" t="str">
        <f>VLOOKUP(Таблица1_113[[#This Row],[Марка]],Таблица13[#All],5,0)</f>
        <v>Нет</v>
      </c>
      <c r="AI1761" s="30">
        <v>45017</v>
      </c>
      <c r="AJ1761" s="31">
        <v>93</v>
      </c>
      <c r="AM1761" s="12"/>
    </row>
    <row r="1762" spans="30:39" customFormat="1">
      <c r="AD1762" s="27" t="s">
        <v>37</v>
      </c>
      <c r="AE1762" s="28" t="str">
        <f>VLOOKUP(Таблица1_113[[#This Row],[Марка]],Таблица13[#All],4,0)</f>
        <v>Германия</v>
      </c>
      <c r="AF1762" s="28" t="str">
        <f>VLOOKUP(Таблица1_113[[#This Row],[Марка]],Таблица13[#All],2,0)</f>
        <v>Luxury</v>
      </c>
      <c r="AG1762" s="28">
        <f>VLOOKUP(Таблица1_113[[#This Row],[Марка]],Таблица13[#All],3,0)</f>
        <v>1931</v>
      </c>
      <c r="AH1762" s="28" t="str">
        <f>VLOOKUP(Таблица1_113[[#This Row],[Марка]],Таблица13[#All],5,0)</f>
        <v>Нет</v>
      </c>
      <c r="AI1762" s="30">
        <v>45017</v>
      </c>
      <c r="AJ1762" s="31">
        <v>27</v>
      </c>
      <c r="AM1762" s="12"/>
    </row>
    <row r="1763" spans="30:39" customFormat="1">
      <c r="AD1763" s="27" t="s">
        <v>126</v>
      </c>
      <c r="AE1763" s="28" t="str">
        <f>VLOOKUP(Таблица1_113[[#This Row],[Марка]],Таблица13[#All],4,0)</f>
        <v>Россия</v>
      </c>
      <c r="AF1763" s="28" t="str">
        <f>VLOOKUP(Таблица1_113[[#This Row],[Марка]],Таблица13[#All],2,0)</f>
        <v>Economy</v>
      </c>
      <c r="AG1763" s="28">
        <f>VLOOKUP(Таблица1_113[[#This Row],[Марка]],Таблица13[#All],3,0)</f>
        <v>2022</v>
      </c>
      <c r="AH1763" s="28" t="str">
        <f>VLOOKUP(Таблица1_113[[#This Row],[Марка]],Таблица13[#All],5,0)</f>
        <v>Нет</v>
      </c>
      <c r="AI1763" s="30">
        <v>45017</v>
      </c>
      <c r="AJ1763" s="31">
        <v>0</v>
      </c>
      <c r="AM1763" s="12"/>
    </row>
    <row r="1764" spans="30:39" customFormat="1">
      <c r="AD1764" s="27" t="s">
        <v>22</v>
      </c>
      <c r="AE1764" s="28" t="str">
        <f>VLOOKUP(Таблица1_113[[#This Row],[Марка]],Таблица13[#All],4,0)</f>
        <v>Япония</v>
      </c>
      <c r="AF1764" s="28" t="str">
        <f>VLOOKUP(Таблица1_113[[#This Row],[Марка]],Таблица13[#All],2,0)</f>
        <v>Business</v>
      </c>
      <c r="AG1764" s="28">
        <f>VLOOKUP(Таблица1_113[[#This Row],[Марка]],Таблица13[#All],3,0)</f>
        <v>1933</v>
      </c>
      <c r="AH1764" s="28" t="str">
        <f>VLOOKUP(Таблица1_113[[#This Row],[Марка]],Таблица13[#All],5,0)</f>
        <v>Нет</v>
      </c>
      <c r="AI1764" s="30">
        <v>45017</v>
      </c>
      <c r="AJ1764" s="31">
        <v>0</v>
      </c>
      <c r="AM1764" s="12"/>
    </row>
    <row r="1765" spans="30:39" customFormat="1">
      <c r="AD1765" s="27" t="s">
        <v>9</v>
      </c>
      <c r="AE1765" s="28" t="str">
        <f>VLOOKUP(Таблица1_113[[#This Row],[Марка]],Таблица13[#All],4,0)</f>
        <v>Япония</v>
      </c>
      <c r="AF1765" s="28" t="str">
        <f>VLOOKUP(Таблица1_113[[#This Row],[Марка]],Таблица13[#All],2,0)</f>
        <v>Business</v>
      </c>
      <c r="AG1765" s="28">
        <f>VLOOKUP(Таблица1_113[[#This Row],[Марка]],Таблица13[#All],3,0)</f>
        <v>1870</v>
      </c>
      <c r="AH1765" s="28" t="str">
        <f>VLOOKUP(Таблица1_113[[#This Row],[Марка]],Таблица13[#All],5,0)</f>
        <v>Нет</v>
      </c>
      <c r="AI1765" s="30">
        <v>45017</v>
      </c>
      <c r="AJ1765" s="31">
        <v>69</v>
      </c>
      <c r="AM1765" s="12"/>
    </row>
    <row r="1766" spans="30:39" customFormat="1">
      <c r="AD1766" s="27" t="s">
        <v>40</v>
      </c>
      <c r="AE1766" s="28" t="str">
        <f>VLOOKUP(Таблица1_113[[#This Row],[Марка]],Таблица13[#All],4,0)</f>
        <v>Великобритания</v>
      </c>
      <c r="AF1766" s="28" t="str">
        <f>VLOOKUP(Таблица1_113[[#This Row],[Марка]],Таблица13[#All],2,0)</f>
        <v>Luxury</v>
      </c>
      <c r="AG1766" s="28">
        <f>VLOOKUP(Таблица1_113[[#This Row],[Марка]],Таблица13[#All],3,0)</f>
        <v>1959</v>
      </c>
      <c r="AH1766" s="28" t="str">
        <f>VLOOKUP(Таблица1_113[[#This Row],[Марка]],Таблица13[#All],5,0)</f>
        <v>Нет</v>
      </c>
      <c r="AI1766" s="30">
        <v>45017</v>
      </c>
      <c r="AJ1766" s="31">
        <v>0</v>
      </c>
      <c r="AM1766" s="12"/>
    </row>
    <row r="1767" spans="30:39" customFormat="1">
      <c r="AD1767" s="27" t="s">
        <v>128</v>
      </c>
      <c r="AE1767" s="28" t="str">
        <f>VLOOKUP(Таблица1_113[[#This Row],[Марка]],Таблица13[#All],4,0)</f>
        <v>Германия</v>
      </c>
      <c r="AF1767" s="28" t="str">
        <f>VLOOKUP(Таблица1_113[[#This Row],[Марка]],Таблица13[#All],2,0)</f>
        <v>Luxury</v>
      </c>
      <c r="AG1767" s="28">
        <f>VLOOKUP(Таблица1_113[[#This Row],[Марка]],Таблица13[#All],3,0)</f>
        <v>1926</v>
      </c>
      <c r="AH1767" s="28" t="str">
        <f>VLOOKUP(Таблица1_113[[#This Row],[Марка]],Таблица13[#All],5,0)</f>
        <v>Нет</v>
      </c>
      <c r="AI1767" s="30">
        <v>45017</v>
      </c>
      <c r="AJ1767" s="31">
        <v>84</v>
      </c>
      <c r="AM1767" s="12"/>
    </row>
    <row r="1768" spans="30:39" customFormat="1">
      <c r="AD1768" s="27" t="s">
        <v>5</v>
      </c>
      <c r="AE1768" s="28" t="str">
        <f>VLOOKUP(Таблица1_113[[#This Row],[Марка]],Таблица13[#All],4,0)</f>
        <v>Япония</v>
      </c>
      <c r="AF1768" s="28" t="str">
        <f>VLOOKUP(Таблица1_113[[#This Row],[Марка]],Таблица13[#All],2,0)</f>
        <v>Luxury</v>
      </c>
      <c r="AG1768" s="28">
        <f>VLOOKUP(Таблица1_113[[#This Row],[Марка]],Таблица13[#All],3,0)</f>
        <v>1989</v>
      </c>
      <c r="AH1768" s="28" t="str">
        <f>VLOOKUP(Таблица1_113[[#This Row],[Марка]],Таблица13[#All],5,0)</f>
        <v>Нет</v>
      </c>
      <c r="AI1768" s="30">
        <v>45017</v>
      </c>
      <c r="AJ1768" s="31">
        <v>386</v>
      </c>
      <c r="AM1768" s="12"/>
    </row>
    <row r="1769" spans="30:39" customFormat="1">
      <c r="AD1769" s="27" t="s">
        <v>35</v>
      </c>
      <c r="AE1769" s="28" t="str">
        <f>VLOOKUP(Таблица1_113[[#This Row],[Марка]],Таблица13[#All],4,0)</f>
        <v>Великобритания</v>
      </c>
      <c r="AF1769" s="28" t="str">
        <f>VLOOKUP(Таблица1_113[[#This Row],[Марка]],Таблица13[#All],2,0)</f>
        <v>Luxury</v>
      </c>
      <c r="AG1769" s="28">
        <f>VLOOKUP(Таблица1_113[[#This Row],[Марка]],Таблица13[#All],3,0)</f>
        <v>1948</v>
      </c>
      <c r="AH1769" s="28" t="str">
        <f>VLOOKUP(Таблица1_113[[#This Row],[Марка]],Таблица13[#All],5,0)</f>
        <v>Нет</v>
      </c>
      <c r="AI1769" s="30">
        <v>45017</v>
      </c>
      <c r="AJ1769" s="31">
        <v>16</v>
      </c>
      <c r="AM1769" s="12"/>
    </row>
    <row r="1770" spans="30:39" customFormat="1">
      <c r="AD1770" s="27" t="s">
        <v>19</v>
      </c>
      <c r="AE1770" s="28" t="str">
        <f>VLOOKUP(Таблица1_113[[#This Row],[Марка]],Таблица13[#All],4,0)</f>
        <v>Россия</v>
      </c>
      <c r="AF1770" s="28" t="str">
        <f>VLOOKUP(Таблица1_113[[#This Row],[Марка]],Таблица13[#All],2,0)</f>
        <v>Economy</v>
      </c>
      <c r="AG1770" s="28">
        <f>VLOOKUP(Таблица1_113[[#This Row],[Марка]],Таблица13[#All],3,0)</f>
        <v>1970</v>
      </c>
      <c r="AH1770" s="28" t="str">
        <f>VLOOKUP(Таблица1_113[[#This Row],[Марка]],Таблица13[#All],5,0)</f>
        <v>Крупноузловая</v>
      </c>
      <c r="AI1770" s="30">
        <v>45017</v>
      </c>
      <c r="AJ1770" s="31">
        <v>54</v>
      </c>
      <c r="AM1770" s="12"/>
    </row>
    <row r="1771" spans="30:39" customFormat="1">
      <c r="AD1771" s="27" t="s">
        <v>15</v>
      </c>
      <c r="AE1771" s="28" t="str">
        <f>VLOOKUP(Таблица1_113[[#This Row],[Марка]],Таблица13[#All],4,0)</f>
        <v>Корея</v>
      </c>
      <c r="AF1771" s="28" t="str">
        <f>VLOOKUP(Таблица1_113[[#This Row],[Марка]],Таблица13[#All],2,0)</f>
        <v>Economy</v>
      </c>
      <c r="AG1771" s="28">
        <f>VLOOKUP(Таблица1_113[[#This Row],[Марка]],Таблица13[#All],3,0)</f>
        <v>1944</v>
      </c>
      <c r="AH1771" s="28" t="str">
        <f>VLOOKUP(Таблица1_113[[#This Row],[Марка]],Таблица13[#All],5,0)</f>
        <v>Крупноузловая</v>
      </c>
      <c r="AI1771" s="30">
        <v>45017</v>
      </c>
      <c r="AJ1771" s="31">
        <v>2107</v>
      </c>
      <c r="AM1771" s="12"/>
    </row>
    <row r="1772" spans="30:39" customFormat="1">
      <c r="AD1772" s="27" t="s">
        <v>17</v>
      </c>
      <c r="AE1772" s="28" t="str">
        <f>VLOOKUP(Таблица1_113[[#This Row],[Марка]],Таблица13[#All],4,0)</f>
        <v>Китай</v>
      </c>
      <c r="AF1772" s="28" t="str">
        <f>VLOOKUP(Таблица1_113[[#This Row],[Марка]],Таблица13[#All],2,0)</f>
        <v>Economy</v>
      </c>
      <c r="AG1772" s="28">
        <f>VLOOKUP(Таблица1_113[[#This Row],[Марка]],Таблица13[#All],3,0)</f>
        <v>2014</v>
      </c>
      <c r="AH1772" s="28" t="str">
        <f>VLOOKUP(Таблица1_113[[#This Row],[Марка]],Таблица13[#All],5,0)</f>
        <v>Нет</v>
      </c>
      <c r="AI1772" s="30">
        <v>45017</v>
      </c>
      <c r="AJ1772" s="31">
        <v>0</v>
      </c>
      <c r="AM1772" s="12"/>
    </row>
    <row r="1773" spans="30:39" customFormat="1">
      <c r="AD1773" s="27" t="s">
        <v>134</v>
      </c>
      <c r="AE1773" s="28" t="str">
        <f>VLOOKUP(Таблица1_113[[#This Row],[Марка]],Таблица13[#All],4,0)</f>
        <v>Великобритания</v>
      </c>
      <c r="AF1773" s="28" t="str">
        <f>VLOOKUP(Таблица1_113[[#This Row],[Марка]],Таблица13[#All],2,0)</f>
        <v>Luxury</v>
      </c>
      <c r="AG1773" s="28">
        <f>VLOOKUP(Таблица1_113[[#This Row],[Марка]],Таблица13[#All],3,0)</f>
        <v>1922</v>
      </c>
      <c r="AH1773" s="28" t="str">
        <f>VLOOKUP(Таблица1_113[[#This Row],[Марка]],Таблица13[#All],5,0)</f>
        <v>Нет</v>
      </c>
      <c r="AI1773" s="30">
        <v>45017</v>
      </c>
      <c r="AJ1773" s="31">
        <v>8</v>
      </c>
      <c r="AM1773" s="12"/>
    </row>
    <row r="1774" spans="30:39" customFormat="1">
      <c r="AD1774" s="27" t="s">
        <v>4</v>
      </c>
      <c r="AE1774" s="28" t="str">
        <f>VLOOKUP(Таблица1_113[[#This Row],[Марка]],Таблица13[#All],4,0)</f>
        <v>Китай</v>
      </c>
      <c r="AF1774" s="28" t="str">
        <f>VLOOKUP(Таблица1_113[[#This Row],[Марка]],Таблица13[#All],2,0)</f>
        <v>Economy</v>
      </c>
      <c r="AG1774" s="28">
        <f>VLOOKUP(Таблица1_113[[#This Row],[Марка]],Таблица13[#All],3,0)</f>
        <v>1964</v>
      </c>
      <c r="AH1774" s="28" t="str">
        <f>VLOOKUP(Таблица1_113[[#This Row],[Марка]],Таблица13[#All],5,0)</f>
        <v>Крупноузловая</v>
      </c>
      <c r="AI1774" s="30">
        <v>45017</v>
      </c>
      <c r="AJ1774" s="31">
        <v>515</v>
      </c>
      <c r="AM1774" s="12"/>
    </row>
    <row r="1775" spans="30:39" customFormat="1">
      <c r="AD1775" s="27" t="s">
        <v>34</v>
      </c>
      <c r="AE1775" s="28" t="str">
        <f>VLOOKUP(Таблица1_113[[#This Row],[Марка]],Таблица13[#All],4,0)</f>
        <v>Япония</v>
      </c>
      <c r="AF1775" s="28" t="str">
        <f>VLOOKUP(Таблица1_113[[#This Row],[Марка]],Таблица13[#All],2,0)</f>
        <v>Luxury</v>
      </c>
      <c r="AG1775" s="28">
        <f>VLOOKUP(Таблица1_113[[#This Row],[Марка]],Таблица13[#All],3,0)</f>
        <v>1989</v>
      </c>
      <c r="AH1775" s="28" t="str">
        <f>VLOOKUP(Таблица1_113[[#This Row],[Марка]],Таблица13[#All],5,0)</f>
        <v>Нет</v>
      </c>
      <c r="AI1775" s="30">
        <v>45017</v>
      </c>
      <c r="AJ1775" s="31">
        <v>0</v>
      </c>
      <c r="AM1775" s="12"/>
    </row>
    <row r="1776" spans="30:39" customFormat="1">
      <c r="AD1776" s="27" t="s">
        <v>0</v>
      </c>
      <c r="AE1776" s="28" t="str">
        <f>VLOOKUP(Таблица1_113[[#This Row],[Марка]],Таблица13[#All],4,0)</f>
        <v>Корея</v>
      </c>
      <c r="AF1776" s="28" t="str">
        <f>VLOOKUP(Таблица1_113[[#This Row],[Марка]],Таблица13[#All],2,0)</f>
        <v>Economy</v>
      </c>
      <c r="AG1776" s="28">
        <f>VLOOKUP(Таблица1_113[[#This Row],[Марка]],Таблица13[#All],3,0)</f>
        <v>1967</v>
      </c>
      <c r="AH1776" s="28" t="str">
        <f>VLOOKUP(Таблица1_113[[#This Row],[Марка]],Таблица13[#All],5,0)</f>
        <v>Крупноузловая</v>
      </c>
      <c r="AI1776" s="30">
        <v>45017</v>
      </c>
      <c r="AJ1776" s="31">
        <v>3640</v>
      </c>
      <c r="AM1776" s="12"/>
    </row>
    <row r="1777" spans="30:39" customFormat="1">
      <c r="AD1777" s="27" t="s">
        <v>131</v>
      </c>
      <c r="AE1777" s="28" t="str">
        <f>VLOOKUP(Таблица1_113[[#This Row],[Марка]],Таблица13[#All],4,0)</f>
        <v>Китай</v>
      </c>
      <c r="AF1777" s="28" t="str">
        <f>VLOOKUP(Таблица1_113[[#This Row],[Марка]],Таблица13[#All],2,0)</f>
        <v>Luxury</v>
      </c>
      <c r="AG1777" s="28">
        <f>VLOOKUP(Таблица1_113[[#This Row],[Марка]],Таблица13[#All],3,0)</f>
        <v>1958</v>
      </c>
      <c r="AH1777" s="28" t="str">
        <f>VLOOKUP(Таблица1_113[[#This Row],[Марка]],Таблица13[#All],5,0)</f>
        <v>Нет</v>
      </c>
      <c r="AI1777" s="30">
        <v>45017</v>
      </c>
      <c r="AJ1777" s="31">
        <v>0</v>
      </c>
      <c r="AM1777" s="12"/>
    </row>
    <row r="1778" spans="30:39" customFormat="1">
      <c r="AD1778" s="27" t="s">
        <v>6</v>
      </c>
      <c r="AE1778" s="28" t="str">
        <f>VLOOKUP(Таблица1_113[[#This Row],[Марка]],Таблица13[#All],4,0)</f>
        <v>Китай</v>
      </c>
      <c r="AF1778" s="28" t="str">
        <f>VLOOKUP(Таблица1_113[[#This Row],[Марка]],Таблица13[#All],2,0)</f>
        <v>Economy</v>
      </c>
      <c r="AG1778" s="28">
        <f>VLOOKUP(Таблица1_113[[#This Row],[Марка]],Таблица13[#All],3,0)</f>
        <v>2013</v>
      </c>
      <c r="AH1778" s="28" t="str">
        <f>VLOOKUP(Таблица1_113[[#This Row],[Марка]],Таблица13[#All],5,0)</f>
        <v>Крупноузловая</v>
      </c>
      <c r="AI1778" s="30">
        <v>45017</v>
      </c>
      <c r="AJ1778" s="31">
        <v>435</v>
      </c>
      <c r="AM1778" s="12"/>
    </row>
    <row r="1779" spans="30:39" customFormat="1">
      <c r="AD1779" s="27" t="s">
        <v>132</v>
      </c>
      <c r="AE1779" s="28" t="str">
        <f>VLOOKUP(Таблица1_113[[#This Row],[Марка]],Таблица13[#All],4,0)</f>
        <v>Китай</v>
      </c>
      <c r="AF1779" s="28" t="str">
        <f>VLOOKUP(Таблица1_113[[#This Row],[Марка]],Таблица13[#All],2,0)</f>
        <v>Economy</v>
      </c>
      <c r="AG1779" s="28">
        <f>VLOOKUP(Таблица1_113[[#This Row],[Марка]],Таблица13[#All],3,0)</f>
        <v>1984</v>
      </c>
      <c r="AH1779" s="28" t="str">
        <f>VLOOKUP(Таблица1_113[[#This Row],[Марка]],Таблица13[#All],5,0)</f>
        <v>Нет</v>
      </c>
      <c r="AI1779" s="30">
        <v>45017</v>
      </c>
      <c r="AJ1779" s="31">
        <v>0</v>
      </c>
      <c r="AM1779" s="12"/>
    </row>
    <row r="1780" spans="30:39" customFormat="1">
      <c r="AD1780" s="27" t="s">
        <v>138</v>
      </c>
      <c r="AE1780" s="28" t="str">
        <f>VLOOKUP(Таблица1_113[[#This Row],[Марка]],Таблица13[#All],4,0)</f>
        <v>Корея</v>
      </c>
      <c r="AF1780" s="28" t="str">
        <f>VLOOKUP(Таблица1_113[[#This Row],[Марка]],Таблица13[#All],2,0)</f>
        <v>Luxury</v>
      </c>
      <c r="AG1780" s="28">
        <f>VLOOKUP(Таблица1_113[[#This Row],[Марка]],Таблица13[#All],3,0)</f>
        <v>2015</v>
      </c>
      <c r="AH1780" s="28" t="str">
        <f>VLOOKUP(Таблица1_113[[#This Row],[Марка]],Таблица13[#All],5,0)</f>
        <v>Нет</v>
      </c>
      <c r="AI1780" s="30">
        <v>45017</v>
      </c>
      <c r="AJ1780" s="31">
        <v>0</v>
      </c>
      <c r="AM1780" s="12"/>
    </row>
    <row r="1781" spans="30:39" customFormat="1">
      <c r="AD1781" s="27" t="s">
        <v>18</v>
      </c>
      <c r="AE1781" s="28" t="str">
        <f>VLOOKUP(Таблица1_113[[#This Row],[Марка]],Таблица13[#All],4,0)</f>
        <v>Китай</v>
      </c>
      <c r="AF1781" s="28" t="str">
        <f>VLOOKUP(Таблица1_113[[#This Row],[Марка]],Таблица13[#All],2,0)</f>
        <v>Economy</v>
      </c>
      <c r="AG1781" s="28">
        <f>VLOOKUP(Таблица1_113[[#This Row],[Марка]],Таблица13[#All],3,0)</f>
        <v>1986</v>
      </c>
      <c r="AH1781" s="28" t="str">
        <f>VLOOKUP(Таблица1_113[[#This Row],[Марка]],Таблица13[#All],5,0)</f>
        <v>Крупноузловая</v>
      </c>
      <c r="AI1781" s="30">
        <v>45017</v>
      </c>
      <c r="AJ1781" s="31">
        <v>233</v>
      </c>
      <c r="AM1781" s="12"/>
    </row>
    <row r="1782" spans="30:39" customFormat="1">
      <c r="AD1782" s="27" t="s">
        <v>127</v>
      </c>
      <c r="AE1782" s="28" t="str">
        <f>VLOOKUP(Таблица1_113[[#This Row],[Марка]],Таблица13[#All],4,0)</f>
        <v>Китай</v>
      </c>
      <c r="AF1782" s="28" t="str">
        <f>VLOOKUP(Таблица1_113[[#This Row],[Марка]],Таблица13[#All],2,0)</f>
        <v>Economy</v>
      </c>
      <c r="AG1782" s="28">
        <f>VLOOKUP(Таблица1_113[[#This Row],[Марка]],Таблица13[#All],3,0)</f>
        <v>1997</v>
      </c>
      <c r="AH1782" s="28" t="str">
        <f>VLOOKUP(Таблица1_113[[#This Row],[Марка]],Таблица13[#All],5,0)</f>
        <v>Нет</v>
      </c>
      <c r="AI1782" s="30">
        <v>45017</v>
      </c>
      <c r="AJ1782" s="31">
        <v>0</v>
      </c>
      <c r="AM1782" s="12"/>
    </row>
    <row r="1783" spans="30:39" customFormat="1">
      <c r="AD1783" s="27" t="s">
        <v>133</v>
      </c>
      <c r="AE1783" s="28" t="str">
        <f>VLOOKUP(Таблица1_113[[#This Row],[Марка]],Таблица13[#All],4,0)</f>
        <v>Китай</v>
      </c>
      <c r="AF1783" s="28" t="str">
        <f>VLOOKUP(Таблица1_113[[#This Row],[Марка]],Таблица13[#All],2,0)</f>
        <v>Economy</v>
      </c>
      <c r="AG1783" s="28">
        <f>VLOOKUP(Таблица1_113[[#This Row],[Марка]],Таблица13[#All],3,0)</f>
        <v>1996</v>
      </c>
      <c r="AH1783" s="28" t="str">
        <f>VLOOKUP(Таблица1_113[[#This Row],[Марка]],Таблица13[#All],5,0)</f>
        <v>Нет</v>
      </c>
      <c r="AI1783" s="30">
        <v>45017</v>
      </c>
      <c r="AJ1783" s="31">
        <v>1</v>
      </c>
      <c r="AM1783" s="12"/>
    </row>
    <row r="1784" spans="30:39" customFormat="1">
      <c r="AD1784" s="27" t="s">
        <v>129</v>
      </c>
      <c r="AE1784" s="28" t="str">
        <f>VLOOKUP(Таблица1_113[[#This Row],[Марка]],Таблица13[#All],4,0)</f>
        <v>Китай</v>
      </c>
      <c r="AF1784" s="28" t="str">
        <f>VLOOKUP(Таблица1_113[[#This Row],[Марка]],Таблица13[#All],2,0)</f>
        <v>Economy</v>
      </c>
      <c r="AG1784" s="28">
        <f>VLOOKUP(Таблица1_113[[#This Row],[Марка]],Таблица13[#All],3,0)</f>
        <v>1953</v>
      </c>
      <c r="AH1784" s="28" t="str">
        <f>VLOOKUP(Таблица1_113[[#This Row],[Марка]],Таблица13[#All],5,0)</f>
        <v>Нет</v>
      </c>
      <c r="AI1784" s="30">
        <v>45017</v>
      </c>
      <c r="AJ1784" s="31">
        <v>12</v>
      </c>
      <c r="AM1784" s="12"/>
    </row>
    <row r="1785" spans="30:39" customFormat="1">
      <c r="AD1785" s="27" t="s">
        <v>7</v>
      </c>
      <c r="AE1785" s="28" t="str">
        <f>VLOOKUP(Таблица1_113[[#This Row],[Марка]],Таблица13[#All],4,0)</f>
        <v>Китай</v>
      </c>
      <c r="AF1785" s="28" t="str">
        <f>VLOOKUP(Таблица1_113[[#This Row],[Марка]],Таблица13[#All],2,0)</f>
        <v>Business</v>
      </c>
      <c r="AG1785" s="28">
        <f>VLOOKUP(Таблица1_113[[#This Row],[Марка]],Таблица13[#All],3,0)</f>
        <v>2017</v>
      </c>
      <c r="AH1785" s="28" t="str">
        <f>VLOOKUP(Таблица1_113[[#This Row],[Марка]],Таблица13[#All],5,0)</f>
        <v>Нет</v>
      </c>
      <c r="AI1785" s="30">
        <v>45017</v>
      </c>
      <c r="AJ1785" s="31">
        <v>271</v>
      </c>
      <c r="AM1785" s="12"/>
    </row>
    <row r="1786" spans="30:39" customFormat="1">
      <c r="AD1786" s="27" t="s">
        <v>130</v>
      </c>
      <c r="AE1786" s="28" t="str">
        <f>VLOOKUP(Таблица1_113[[#This Row],[Марка]],Таблица13[#All],4,0)</f>
        <v>Китай</v>
      </c>
      <c r="AF1786" s="28" t="str">
        <f>VLOOKUP(Таблица1_113[[#This Row],[Марка]],Таблица13[#All],2,0)</f>
        <v>Economy</v>
      </c>
      <c r="AG1786" s="28">
        <f>VLOOKUP(Таблица1_113[[#This Row],[Марка]],Таблица13[#All],3,0)</f>
        <v>1969</v>
      </c>
      <c r="AH1786" s="28" t="str">
        <f>VLOOKUP(Таблица1_113[[#This Row],[Марка]],Таблица13[#All],5,0)</f>
        <v>Нет</v>
      </c>
      <c r="AI1786" s="30">
        <v>45017</v>
      </c>
      <c r="AJ1786" s="31">
        <v>3</v>
      </c>
      <c r="AM1786" s="12"/>
    </row>
    <row r="1787" spans="30:39" customFormat="1">
      <c r="AD1787" s="27" t="s">
        <v>137</v>
      </c>
      <c r="AE1787" s="28" t="str">
        <f>VLOOKUP(Таблица1_113[[#This Row],[Марка]],Таблица13[#All],4,0)</f>
        <v>Корея</v>
      </c>
      <c r="AF1787" s="28" t="str">
        <f>VLOOKUP(Таблица1_113[[#This Row],[Марка]],Таблица13[#All],2,0)</f>
        <v>Economy</v>
      </c>
      <c r="AG1787" s="28">
        <f>VLOOKUP(Таблица1_113[[#This Row],[Марка]],Таблица13[#All],3,0)</f>
        <v>1967</v>
      </c>
      <c r="AH1787" s="28" t="str">
        <f>VLOOKUP(Таблица1_113[[#This Row],[Марка]],Таблица13[#All],5,0)</f>
        <v>Нет</v>
      </c>
      <c r="AI1787" s="30">
        <v>45017</v>
      </c>
      <c r="AJ1787" s="31">
        <v>0</v>
      </c>
      <c r="AM1787" s="12"/>
    </row>
    <row r="1788" spans="30:39" customFormat="1">
      <c r="AD1788" s="27" t="s">
        <v>1</v>
      </c>
      <c r="AE1788" s="28" t="str">
        <f>VLOOKUP(Таблица1_113[[#This Row],[Марка]],Таблица13[#All],4,0)</f>
        <v>США</v>
      </c>
      <c r="AF1788" s="28" t="str">
        <f>VLOOKUP(Таблица1_113[[#This Row],[Марка]],Таблица13[#All],2,0)</f>
        <v>Economy</v>
      </c>
      <c r="AG1788" s="28">
        <f>VLOOKUP(Таблица1_113[[#This Row],[Марка]],Таблица13[#All],3,0)</f>
        <v>1911</v>
      </c>
      <c r="AH1788" s="28" t="str">
        <f>VLOOKUP(Таблица1_113[[#This Row],[Марка]],Таблица13[#All],5,0)</f>
        <v>Крупноузловая</v>
      </c>
      <c r="AI1788" s="30">
        <v>45017</v>
      </c>
      <c r="AJ1788" s="31">
        <v>4004</v>
      </c>
      <c r="AM1788" s="12"/>
    </row>
    <row r="1789" spans="30:39" customFormat="1">
      <c r="AD1789" s="27" t="s">
        <v>3</v>
      </c>
      <c r="AE1789" s="28" t="str">
        <f>VLOOKUP(Таблица1_113[[#This Row],[Марка]],Таблица13[#All],4,0)</f>
        <v>Китай</v>
      </c>
      <c r="AF1789" s="28" t="str">
        <f>VLOOKUP(Таблица1_113[[#This Row],[Марка]],Таблица13[#All],2,0)</f>
        <v>Economy</v>
      </c>
      <c r="AG1789" s="28">
        <f>VLOOKUP(Таблица1_113[[#This Row],[Марка]],Таблица13[#All],3,0)</f>
        <v>1997</v>
      </c>
      <c r="AH1789" s="28" t="str">
        <f>VLOOKUP(Таблица1_113[[#This Row],[Марка]],Таблица13[#All],5,0)</f>
        <v>Крупноузловая</v>
      </c>
      <c r="AI1789" s="30">
        <v>45017</v>
      </c>
      <c r="AJ1789" s="31">
        <v>698</v>
      </c>
      <c r="AM1789" s="12"/>
    </row>
    <row r="1790" spans="30:39" customFormat="1">
      <c r="AD1790" s="27" t="s">
        <v>124</v>
      </c>
      <c r="AE1790" s="28" t="str">
        <f>VLOOKUP(Таблица1_113[[#This Row],[Марка]],Таблица13[#All],4,0)</f>
        <v>Китай</v>
      </c>
      <c r="AF1790" s="28" t="str">
        <f>VLOOKUP(Таблица1_113[[#This Row],[Марка]],Таблица13[#All],2,0)</f>
        <v>Economy</v>
      </c>
      <c r="AG1790" s="28">
        <f>VLOOKUP(Таблица1_113[[#This Row],[Марка]],Таблица13[#All],3,0)</f>
        <v>1862</v>
      </c>
      <c r="AH1790" s="28" t="str">
        <f>VLOOKUP(Таблица1_113[[#This Row],[Марка]],Таблица13[#All],5,0)</f>
        <v>Нет</v>
      </c>
      <c r="AI1790" s="30">
        <v>45017</v>
      </c>
      <c r="AJ1790" s="31">
        <v>422</v>
      </c>
      <c r="AM1790" s="12"/>
    </row>
    <row r="1791" spans="30:39" customFormat="1">
      <c r="AD1791" s="27" t="s">
        <v>36</v>
      </c>
      <c r="AE1791" s="28" t="str">
        <f>VLOOKUP(Таблица1_113[[#This Row],[Марка]],Таблица13[#All],4,0)</f>
        <v>США</v>
      </c>
      <c r="AF1791" s="28" t="str">
        <f>VLOOKUP(Таблица1_113[[#This Row],[Марка]],Таблица13[#All],2,0)</f>
        <v>Luxury</v>
      </c>
      <c r="AG1791" s="28">
        <f>VLOOKUP(Таблица1_113[[#This Row],[Марка]],Таблица13[#All],3,0)</f>
        <v>1902</v>
      </c>
      <c r="AH1791" s="28" t="str">
        <f>VLOOKUP(Таблица1_113[[#This Row],[Марка]],Таблица13[#All],5,0)</f>
        <v>Нет</v>
      </c>
      <c r="AI1791" s="30">
        <v>45017</v>
      </c>
      <c r="AJ1791" s="31">
        <v>42</v>
      </c>
      <c r="AM1791" s="12"/>
    </row>
    <row r="1792" spans="30:39" customFormat="1">
      <c r="AD1792" s="27" t="s">
        <v>8</v>
      </c>
      <c r="AE1792" s="28" t="str">
        <f>VLOOKUP(Таблица1_113[[#This Row],[Марка]],Таблица13[#All],4,0)</f>
        <v>Германия</v>
      </c>
      <c r="AF1792" s="28" t="str">
        <f>VLOOKUP(Таблица1_113[[#This Row],[Марка]],Таблица13[#All],2,0)</f>
        <v>Luxury</v>
      </c>
      <c r="AG1792" s="28">
        <f>VLOOKUP(Таблица1_113[[#This Row],[Марка]],Таблица13[#All],3,0)</f>
        <v>1916</v>
      </c>
      <c r="AH1792" s="28" t="str">
        <f>VLOOKUP(Таблица1_113[[#This Row],[Марка]],Таблица13[#All],5,0)</f>
        <v>Нет</v>
      </c>
      <c r="AI1792" s="30">
        <v>45017</v>
      </c>
      <c r="AJ1792" s="31">
        <v>189</v>
      </c>
      <c r="AM1792" s="12"/>
    </row>
    <row r="1793" spans="30:39" customFormat="1">
      <c r="AD1793" s="27" t="s">
        <v>38</v>
      </c>
      <c r="AE1793" s="28" t="str">
        <f>VLOOKUP(Таблица1_113[[#This Row],[Марка]],Таблица13[#All],4,0)</f>
        <v>Германия</v>
      </c>
      <c r="AF1793" s="28" t="str">
        <f>VLOOKUP(Таблица1_113[[#This Row],[Марка]],Таблица13[#All],2,0)</f>
        <v>Luxury</v>
      </c>
      <c r="AG1793" s="28">
        <f>VLOOKUP(Таблица1_113[[#This Row],[Марка]],Таблица13[#All],3,0)</f>
        <v>1932</v>
      </c>
      <c r="AH1793" s="28" t="str">
        <f>VLOOKUP(Таблица1_113[[#This Row],[Марка]],Таблица13[#All],5,0)</f>
        <v>Нет</v>
      </c>
      <c r="AI1793" s="30">
        <v>45017</v>
      </c>
      <c r="AJ1793" s="31">
        <v>66</v>
      </c>
      <c r="AM1793" s="12"/>
    </row>
    <row r="1794" spans="30:39" customFormat="1">
      <c r="AD1794" s="27" t="s">
        <v>136</v>
      </c>
      <c r="AE1794" s="28" t="str">
        <f>VLOOKUP(Таблица1_113[[#This Row],[Марка]],Таблица13[#All],4,0)</f>
        <v>Россия</v>
      </c>
      <c r="AF1794" s="28" t="str">
        <f>VLOOKUP(Таблица1_113[[#This Row],[Марка]],Таблица13[#All],2,0)</f>
        <v>Economy</v>
      </c>
      <c r="AG1794" s="28">
        <f>VLOOKUP(Таблица1_113[[#This Row],[Марка]],Таблица13[#All],3,0)</f>
        <v>1941</v>
      </c>
      <c r="AH1794" s="28" t="str">
        <f>VLOOKUP(Таблица1_113[[#This Row],[Марка]],Таблица13[#All],5,0)</f>
        <v>Нет</v>
      </c>
      <c r="AI1794" s="30">
        <v>45047</v>
      </c>
      <c r="AJ1794" s="31">
        <v>34</v>
      </c>
      <c r="AM1794" s="12"/>
    </row>
    <row r="1795" spans="30:39" customFormat="1">
      <c r="AD1795" s="27" t="s">
        <v>21</v>
      </c>
      <c r="AE1795" s="28" t="str">
        <f>VLOOKUP(Таблица1_113[[#This Row],[Марка]],Таблица13[#All],4,0)</f>
        <v>Германия</v>
      </c>
      <c r="AF1795" s="28" t="str">
        <f>VLOOKUP(Таблица1_113[[#This Row],[Марка]],Таблица13[#All],2,0)</f>
        <v>Business</v>
      </c>
      <c r="AG1795" s="28">
        <f>VLOOKUP(Таблица1_113[[#This Row],[Марка]],Таблица13[#All],3,0)</f>
        <v>1937</v>
      </c>
      <c r="AH1795" s="28" t="str">
        <f>VLOOKUP(Таблица1_113[[#This Row],[Марка]],Таблица13[#All],5,0)</f>
        <v>Нет</v>
      </c>
      <c r="AI1795" s="30">
        <v>45047</v>
      </c>
      <c r="AJ1795" s="31">
        <v>13</v>
      </c>
      <c r="AM1795" s="12"/>
    </row>
    <row r="1796" spans="30:39" customFormat="1">
      <c r="AD1796" s="27" t="s">
        <v>2</v>
      </c>
      <c r="AE1796" s="28" t="str">
        <f>VLOOKUP(Таблица1_113[[#This Row],[Марка]],Таблица13[#All],4,0)</f>
        <v>Япония</v>
      </c>
      <c r="AF1796" s="28" t="str">
        <f>VLOOKUP(Таблица1_113[[#This Row],[Марка]],Таблица13[#All],2,0)</f>
        <v>Business</v>
      </c>
      <c r="AG1796" s="28">
        <f>VLOOKUP(Таблица1_113[[#This Row],[Марка]],Таблица13[#All],3,0)</f>
        <v>1937</v>
      </c>
      <c r="AH1796" s="28" t="str">
        <f>VLOOKUP(Таблица1_113[[#This Row],[Марка]],Таблица13[#All],5,0)</f>
        <v>Нет</v>
      </c>
      <c r="AI1796" s="30">
        <v>45047</v>
      </c>
      <c r="AJ1796" s="31">
        <v>508</v>
      </c>
      <c r="AM1796" s="12"/>
    </row>
    <row r="1797" spans="30:39" customFormat="1">
      <c r="AD1797" s="27" t="s">
        <v>20</v>
      </c>
      <c r="AE1797" s="28" t="str">
        <f>VLOOKUP(Таблица1_113[[#This Row],[Марка]],Таблица13[#All],4,0)</f>
        <v>Китай</v>
      </c>
      <c r="AF1797" s="28" t="str">
        <f>VLOOKUP(Таблица1_113[[#This Row],[Марка]],Таблица13[#All],2,0)</f>
        <v>Business</v>
      </c>
      <c r="AG1797" s="28">
        <f>VLOOKUP(Таблица1_113[[#This Row],[Марка]],Таблица13[#All],3,0)</f>
        <v>2021</v>
      </c>
      <c r="AH1797" s="28" t="str">
        <f>VLOOKUP(Таблица1_113[[#This Row],[Марка]],Таблица13[#All],5,0)</f>
        <v>Нет</v>
      </c>
      <c r="AI1797" s="30">
        <v>45047</v>
      </c>
      <c r="AJ1797" s="31">
        <v>24</v>
      </c>
      <c r="AM1797" s="12"/>
    </row>
    <row r="1798" spans="30:39" customFormat="1">
      <c r="AD1798" s="27" t="s">
        <v>125</v>
      </c>
      <c r="AE1798" s="28" t="str">
        <f>VLOOKUP(Таблица1_113[[#This Row],[Марка]],Таблица13[#All],4,0)</f>
        <v>Япония</v>
      </c>
      <c r="AF1798" s="28" t="str">
        <f>VLOOKUP(Таблица1_113[[#This Row],[Марка]],Таблица13[#All],2,0)</f>
        <v>Business</v>
      </c>
      <c r="AG1798" s="28">
        <f>VLOOKUP(Таблица1_113[[#This Row],[Марка]],Таблица13[#All],3,0)</f>
        <v>1953</v>
      </c>
      <c r="AH1798" s="28" t="str">
        <f>VLOOKUP(Таблица1_113[[#This Row],[Марка]],Таблица13[#All],5,0)</f>
        <v>Нет</v>
      </c>
      <c r="AI1798" s="30">
        <v>45047</v>
      </c>
      <c r="AJ1798" s="31">
        <v>149</v>
      </c>
      <c r="AM1798" s="12"/>
    </row>
    <row r="1799" spans="30:39" customFormat="1">
      <c r="AD1799" s="27" t="s">
        <v>37</v>
      </c>
      <c r="AE1799" s="28" t="str">
        <f>VLOOKUP(Таблица1_113[[#This Row],[Марка]],Таблица13[#All],4,0)</f>
        <v>Германия</v>
      </c>
      <c r="AF1799" s="28" t="str">
        <f>VLOOKUP(Таблица1_113[[#This Row],[Марка]],Таблица13[#All],2,0)</f>
        <v>Luxury</v>
      </c>
      <c r="AG1799" s="28">
        <f>VLOOKUP(Таблица1_113[[#This Row],[Марка]],Таблица13[#All],3,0)</f>
        <v>1931</v>
      </c>
      <c r="AH1799" s="28" t="str">
        <f>VLOOKUP(Таблица1_113[[#This Row],[Марка]],Таблица13[#All],5,0)</f>
        <v>Нет</v>
      </c>
      <c r="AI1799" s="30">
        <v>45047</v>
      </c>
      <c r="AJ1799" s="31">
        <v>36</v>
      </c>
      <c r="AM1799" s="12"/>
    </row>
    <row r="1800" spans="30:39" customFormat="1">
      <c r="AD1800" s="27" t="s">
        <v>126</v>
      </c>
      <c r="AE1800" s="28" t="str">
        <f>VLOOKUP(Таблица1_113[[#This Row],[Марка]],Таблица13[#All],4,0)</f>
        <v>Россия</v>
      </c>
      <c r="AF1800" s="28" t="str">
        <f>VLOOKUP(Таблица1_113[[#This Row],[Марка]],Таблица13[#All],2,0)</f>
        <v>Economy</v>
      </c>
      <c r="AG1800" s="28">
        <f>VLOOKUP(Таблица1_113[[#This Row],[Марка]],Таблица13[#All],3,0)</f>
        <v>2022</v>
      </c>
      <c r="AH1800" s="28" t="str">
        <f>VLOOKUP(Таблица1_113[[#This Row],[Марка]],Таблица13[#All],5,0)</f>
        <v>Нет</v>
      </c>
      <c r="AI1800" s="30">
        <v>45047</v>
      </c>
      <c r="AJ1800" s="31">
        <v>0</v>
      </c>
      <c r="AM1800" s="12"/>
    </row>
    <row r="1801" spans="30:39" customFormat="1">
      <c r="AD1801" s="27" t="s">
        <v>22</v>
      </c>
      <c r="AE1801" s="28" t="str">
        <f>VLOOKUP(Таблица1_113[[#This Row],[Марка]],Таблица13[#All],4,0)</f>
        <v>Япония</v>
      </c>
      <c r="AF1801" s="28" t="str">
        <f>VLOOKUP(Таблица1_113[[#This Row],[Марка]],Таблица13[#All],2,0)</f>
        <v>Business</v>
      </c>
      <c r="AG1801" s="28">
        <f>VLOOKUP(Таблица1_113[[#This Row],[Марка]],Таблица13[#All],3,0)</f>
        <v>1933</v>
      </c>
      <c r="AH1801" s="28" t="str">
        <f>VLOOKUP(Таблица1_113[[#This Row],[Марка]],Таблица13[#All],5,0)</f>
        <v>Нет</v>
      </c>
      <c r="AI1801" s="30">
        <v>45047</v>
      </c>
      <c r="AJ1801" s="31">
        <v>0</v>
      </c>
      <c r="AM1801" s="12"/>
    </row>
    <row r="1802" spans="30:39" customFormat="1">
      <c r="AD1802" s="27" t="s">
        <v>9</v>
      </c>
      <c r="AE1802" s="28" t="str">
        <f>VLOOKUP(Таблица1_113[[#This Row],[Марка]],Таблица13[#All],4,0)</f>
        <v>Япония</v>
      </c>
      <c r="AF1802" s="28" t="str">
        <f>VLOOKUP(Таблица1_113[[#This Row],[Марка]],Таблица13[#All],2,0)</f>
        <v>Business</v>
      </c>
      <c r="AG1802" s="28">
        <f>VLOOKUP(Таблица1_113[[#This Row],[Марка]],Таблица13[#All],3,0)</f>
        <v>1870</v>
      </c>
      <c r="AH1802" s="28" t="str">
        <f>VLOOKUP(Таблица1_113[[#This Row],[Марка]],Таблица13[#All],5,0)</f>
        <v>Нет</v>
      </c>
      <c r="AI1802" s="30">
        <v>45047</v>
      </c>
      <c r="AJ1802" s="31">
        <v>64</v>
      </c>
      <c r="AM1802" s="12"/>
    </row>
    <row r="1803" spans="30:39" customFormat="1">
      <c r="AD1803" s="27" t="s">
        <v>40</v>
      </c>
      <c r="AE1803" s="28" t="str">
        <f>VLOOKUP(Таблица1_113[[#This Row],[Марка]],Таблица13[#All],4,0)</f>
        <v>Великобритания</v>
      </c>
      <c r="AF1803" s="28" t="str">
        <f>VLOOKUP(Таблица1_113[[#This Row],[Марка]],Таблица13[#All],2,0)</f>
        <v>Luxury</v>
      </c>
      <c r="AG1803" s="28">
        <f>VLOOKUP(Таблица1_113[[#This Row],[Марка]],Таблица13[#All],3,0)</f>
        <v>1959</v>
      </c>
      <c r="AH1803" s="28" t="str">
        <f>VLOOKUP(Таблица1_113[[#This Row],[Марка]],Таблица13[#All],5,0)</f>
        <v>Нет</v>
      </c>
      <c r="AI1803" s="30">
        <v>45047</v>
      </c>
      <c r="AJ1803" s="31">
        <v>1</v>
      </c>
      <c r="AM1803" s="12"/>
    </row>
    <row r="1804" spans="30:39" customFormat="1">
      <c r="AD1804" s="27" t="s">
        <v>128</v>
      </c>
      <c r="AE1804" s="28" t="str">
        <f>VLOOKUP(Таблица1_113[[#This Row],[Марка]],Таблица13[#All],4,0)</f>
        <v>Германия</v>
      </c>
      <c r="AF1804" s="28" t="str">
        <f>VLOOKUP(Таблица1_113[[#This Row],[Марка]],Таблица13[#All],2,0)</f>
        <v>Luxury</v>
      </c>
      <c r="AG1804" s="28">
        <f>VLOOKUP(Таблица1_113[[#This Row],[Марка]],Таблица13[#All],3,0)</f>
        <v>1926</v>
      </c>
      <c r="AH1804" s="28" t="str">
        <f>VLOOKUP(Таблица1_113[[#This Row],[Марка]],Таблица13[#All],5,0)</f>
        <v>Нет</v>
      </c>
      <c r="AI1804" s="30">
        <v>45047</v>
      </c>
      <c r="AJ1804" s="31">
        <v>77</v>
      </c>
      <c r="AM1804" s="12"/>
    </row>
    <row r="1805" spans="30:39" customFormat="1">
      <c r="AD1805" s="27" t="s">
        <v>5</v>
      </c>
      <c r="AE1805" s="28" t="str">
        <f>VLOOKUP(Таблица1_113[[#This Row],[Марка]],Таблица13[#All],4,0)</f>
        <v>Япония</v>
      </c>
      <c r="AF1805" s="28" t="str">
        <f>VLOOKUP(Таблица1_113[[#This Row],[Марка]],Таблица13[#All],2,0)</f>
        <v>Luxury</v>
      </c>
      <c r="AG1805" s="28">
        <f>VLOOKUP(Таблица1_113[[#This Row],[Марка]],Таблица13[#All],3,0)</f>
        <v>1989</v>
      </c>
      <c r="AH1805" s="28" t="str">
        <f>VLOOKUP(Таблица1_113[[#This Row],[Марка]],Таблица13[#All],5,0)</f>
        <v>Нет</v>
      </c>
      <c r="AI1805" s="30">
        <v>45047</v>
      </c>
      <c r="AJ1805" s="31">
        <v>327</v>
      </c>
      <c r="AM1805" s="12"/>
    </row>
    <row r="1806" spans="30:39" customFormat="1">
      <c r="AD1806" s="27" t="s">
        <v>35</v>
      </c>
      <c r="AE1806" s="28" t="str">
        <f>VLOOKUP(Таблица1_113[[#This Row],[Марка]],Таблица13[#All],4,0)</f>
        <v>Великобритания</v>
      </c>
      <c r="AF1806" s="28" t="str">
        <f>VLOOKUP(Таблица1_113[[#This Row],[Марка]],Таблица13[#All],2,0)</f>
        <v>Luxury</v>
      </c>
      <c r="AG1806" s="28">
        <f>VLOOKUP(Таблица1_113[[#This Row],[Марка]],Таблица13[#All],3,0)</f>
        <v>1948</v>
      </c>
      <c r="AH1806" s="28" t="str">
        <f>VLOOKUP(Таблица1_113[[#This Row],[Марка]],Таблица13[#All],5,0)</f>
        <v>Нет</v>
      </c>
      <c r="AI1806" s="30">
        <v>45047</v>
      </c>
      <c r="AJ1806" s="31">
        <v>45</v>
      </c>
      <c r="AM1806" s="12"/>
    </row>
    <row r="1807" spans="30:39" customFormat="1">
      <c r="AD1807" s="27" t="s">
        <v>19</v>
      </c>
      <c r="AE1807" s="28" t="str">
        <f>VLOOKUP(Таблица1_113[[#This Row],[Марка]],Таблица13[#All],4,0)</f>
        <v>Россия</v>
      </c>
      <c r="AF1807" s="28" t="str">
        <f>VLOOKUP(Таблица1_113[[#This Row],[Марка]],Таблица13[#All],2,0)</f>
        <v>Economy</v>
      </c>
      <c r="AG1807" s="28">
        <f>VLOOKUP(Таблица1_113[[#This Row],[Марка]],Таблица13[#All],3,0)</f>
        <v>1970</v>
      </c>
      <c r="AH1807" s="28" t="str">
        <f>VLOOKUP(Таблица1_113[[#This Row],[Марка]],Таблица13[#All],5,0)</f>
        <v>Крупноузловая</v>
      </c>
      <c r="AI1807" s="30">
        <v>45047</v>
      </c>
      <c r="AJ1807" s="31">
        <v>42</v>
      </c>
      <c r="AM1807" s="12"/>
    </row>
    <row r="1808" spans="30:39" customFormat="1">
      <c r="AD1808" s="27" t="s">
        <v>15</v>
      </c>
      <c r="AE1808" s="28" t="str">
        <f>VLOOKUP(Таблица1_113[[#This Row],[Марка]],Таблица13[#All],4,0)</f>
        <v>Корея</v>
      </c>
      <c r="AF1808" s="28" t="str">
        <f>VLOOKUP(Таблица1_113[[#This Row],[Марка]],Таблица13[#All],2,0)</f>
        <v>Economy</v>
      </c>
      <c r="AG1808" s="28">
        <f>VLOOKUP(Таблица1_113[[#This Row],[Марка]],Таблица13[#All],3,0)</f>
        <v>1944</v>
      </c>
      <c r="AH1808" s="28" t="str">
        <f>VLOOKUP(Таблица1_113[[#This Row],[Марка]],Таблица13[#All],5,0)</f>
        <v>Крупноузловая</v>
      </c>
      <c r="AI1808" s="30">
        <v>45047</v>
      </c>
      <c r="AJ1808" s="31">
        <v>2211</v>
      </c>
      <c r="AM1808" s="12"/>
    </row>
    <row r="1809" spans="30:39" customFormat="1">
      <c r="AD1809" s="27" t="s">
        <v>17</v>
      </c>
      <c r="AE1809" s="28" t="str">
        <f>VLOOKUP(Таблица1_113[[#This Row],[Марка]],Таблица13[#All],4,0)</f>
        <v>Китай</v>
      </c>
      <c r="AF1809" s="28" t="str">
        <f>VLOOKUP(Таблица1_113[[#This Row],[Марка]],Таблица13[#All],2,0)</f>
        <v>Economy</v>
      </c>
      <c r="AG1809" s="28">
        <f>VLOOKUP(Таблица1_113[[#This Row],[Марка]],Таблица13[#All],3,0)</f>
        <v>2014</v>
      </c>
      <c r="AH1809" s="28" t="str">
        <f>VLOOKUP(Таблица1_113[[#This Row],[Марка]],Таблица13[#All],5,0)</f>
        <v>Нет</v>
      </c>
      <c r="AI1809" s="30">
        <v>45047</v>
      </c>
      <c r="AJ1809" s="31">
        <v>18</v>
      </c>
      <c r="AM1809" s="12"/>
    </row>
    <row r="1810" spans="30:39" customFormat="1">
      <c r="AD1810" s="27" t="s">
        <v>134</v>
      </c>
      <c r="AE1810" s="28" t="str">
        <f>VLOOKUP(Таблица1_113[[#This Row],[Марка]],Таблица13[#All],4,0)</f>
        <v>Великобритания</v>
      </c>
      <c r="AF1810" s="28" t="str">
        <f>VLOOKUP(Таблица1_113[[#This Row],[Марка]],Таблица13[#All],2,0)</f>
        <v>Luxury</v>
      </c>
      <c r="AG1810" s="28">
        <f>VLOOKUP(Таблица1_113[[#This Row],[Марка]],Таблица13[#All],3,0)</f>
        <v>1922</v>
      </c>
      <c r="AH1810" s="28" t="str">
        <f>VLOOKUP(Таблица1_113[[#This Row],[Марка]],Таблица13[#All],5,0)</f>
        <v>Нет</v>
      </c>
      <c r="AI1810" s="30">
        <v>45047</v>
      </c>
      <c r="AJ1810" s="31">
        <v>6</v>
      </c>
      <c r="AM1810" s="12"/>
    </row>
    <row r="1811" spans="30:39" customFormat="1">
      <c r="AD1811" s="27" t="s">
        <v>4</v>
      </c>
      <c r="AE1811" s="28" t="str">
        <f>VLOOKUP(Таблица1_113[[#This Row],[Марка]],Таблица13[#All],4,0)</f>
        <v>Китай</v>
      </c>
      <c r="AF1811" s="28" t="str">
        <f>VLOOKUP(Таблица1_113[[#This Row],[Марка]],Таблица13[#All],2,0)</f>
        <v>Economy</v>
      </c>
      <c r="AG1811" s="28">
        <f>VLOOKUP(Таблица1_113[[#This Row],[Марка]],Таблица13[#All],3,0)</f>
        <v>1964</v>
      </c>
      <c r="AH1811" s="28" t="str">
        <f>VLOOKUP(Таблица1_113[[#This Row],[Марка]],Таблица13[#All],5,0)</f>
        <v>Крупноузловая</v>
      </c>
      <c r="AI1811" s="30">
        <v>45047</v>
      </c>
      <c r="AJ1811" s="31">
        <v>286</v>
      </c>
      <c r="AM1811" s="12"/>
    </row>
    <row r="1812" spans="30:39" customFormat="1">
      <c r="AD1812" s="27" t="s">
        <v>34</v>
      </c>
      <c r="AE1812" s="28" t="str">
        <f>VLOOKUP(Таблица1_113[[#This Row],[Марка]],Таблица13[#All],4,0)</f>
        <v>Япония</v>
      </c>
      <c r="AF1812" s="28" t="str">
        <f>VLOOKUP(Таблица1_113[[#This Row],[Марка]],Таблица13[#All],2,0)</f>
        <v>Luxury</v>
      </c>
      <c r="AG1812" s="28">
        <f>VLOOKUP(Таблица1_113[[#This Row],[Марка]],Таблица13[#All],3,0)</f>
        <v>1989</v>
      </c>
      <c r="AH1812" s="28" t="str">
        <f>VLOOKUP(Таблица1_113[[#This Row],[Марка]],Таблица13[#All],5,0)</f>
        <v>Нет</v>
      </c>
      <c r="AI1812" s="30">
        <v>45047</v>
      </c>
      <c r="AJ1812" s="31">
        <v>27</v>
      </c>
      <c r="AM1812" s="12"/>
    </row>
    <row r="1813" spans="30:39" customFormat="1">
      <c r="AD1813" s="27" t="s">
        <v>0</v>
      </c>
      <c r="AE1813" s="28" t="str">
        <f>VLOOKUP(Таблица1_113[[#This Row],[Марка]],Таблица13[#All],4,0)</f>
        <v>Корея</v>
      </c>
      <c r="AF1813" s="28" t="str">
        <f>VLOOKUP(Таблица1_113[[#This Row],[Марка]],Таблица13[#All],2,0)</f>
        <v>Economy</v>
      </c>
      <c r="AG1813" s="28">
        <f>VLOOKUP(Таблица1_113[[#This Row],[Марка]],Таблица13[#All],3,0)</f>
        <v>1967</v>
      </c>
      <c r="AH1813" s="28" t="str">
        <f>VLOOKUP(Таблица1_113[[#This Row],[Марка]],Таблица13[#All],5,0)</f>
        <v>Крупноузловая</v>
      </c>
      <c r="AI1813" s="30">
        <v>45047</v>
      </c>
      <c r="AJ1813" s="31">
        <v>4339</v>
      </c>
      <c r="AM1813" s="12"/>
    </row>
    <row r="1814" spans="30:39" customFormat="1">
      <c r="AD1814" s="27" t="s">
        <v>131</v>
      </c>
      <c r="AE1814" s="28" t="str">
        <f>VLOOKUP(Таблица1_113[[#This Row],[Марка]],Таблица13[#All],4,0)</f>
        <v>Китай</v>
      </c>
      <c r="AF1814" s="28" t="str">
        <f>VLOOKUP(Таблица1_113[[#This Row],[Марка]],Таблица13[#All],2,0)</f>
        <v>Luxury</v>
      </c>
      <c r="AG1814" s="28">
        <f>VLOOKUP(Таблица1_113[[#This Row],[Марка]],Таблица13[#All],3,0)</f>
        <v>1958</v>
      </c>
      <c r="AH1814" s="28" t="str">
        <f>VLOOKUP(Таблица1_113[[#This Row],[Марка]],Таблица13[#All],5,0)</f>
        <v>Нет</v>
      </c>
      <c r="AI1814" s="30">
        <v>45047</v>
      </c>
      <c r="AJ1814" s="31">
        <v>0</v>
      </c>
      <c r="AM1814" s="12"/>
    </row>
    <row r="1815" spans="30:39" customFormat="1">
      <c r="AD1815" s="27" t="s">
        <v>6</v>
      </c>
      <c r="AE1815" s="28" t="str">
        <f>VLOOKUP(Таблица1_113[[#This Row],[Марка]],Таблица13[#All],4,0)</f>
        <v>Китай</v>
      </c>
      <c r="AF1815" s="28" t="str">
        <f>VLOOKUP(Таблица1_113[[#This Row],[Марка]],Таблица13[#All],2,0)</f>
        <v>Economy</v>
      </c>
      <c r="AG1815" s="28">
        <f>VLOOKUP(Таблица1_113[[#This Row],[Марка]],Таблица13[#All],3,0)</f>
        <v>2013</v>
      </c>
      <c r="AH1815" s="28" t="str">
        <f>VLOOKUP(Таблица1_113[[#This Row],[Марка]],Таблица13[#All],5,0)</f>
        <v>Крупноузловая</v>
      </c>
      <c r="AI1815" s="30">
        <v>45047</v>
      </c>
      <c r="AJ1815" s="31">
        <v>642</v>
      </c>
      <c r="AM1815" s="12"/>
    </row>
    <row r="1816" spans="30:39" customFormat="1">
      <c r="AD1816" s="27" t="s">
        <v>132</v>
      </c>
      <c r="AE1816" s="28" t="str">
        <f>VLOOKUP(Таблица1_113[[#This Row],[Марка]],Таблица13[#All],4,0)</f>
        <v>Китай</v>
      </c>
      <c r="AF1816" s="28" t="str">
        <f>VLOOKUP(Таблица1_113[[#This Row],[Марка]],Таблица13[#All],2,0)</f>
        <v>Economy</v>
      </c>
      <c r="AG1816" s="28">
        <f>VLOOKUP(Таблица1_113[[#This Row],[Марка]],Таблица13[#All],3,0)</f>
        <v>1984</v>
      </c>
      <c r="AH1816" s="28" t="str">
        <f>VLOOKUP(Таблица1_113[[#This Row],[Марка]],Таблица13[#All],5,0)</f>
        <v>Нет</v>
      </c>
      <c r="AI1816" s="30">
        <v>45047</v>
      </c>
      <c r="AJ1816" s="31">
        <v>0</v>
      </c>
      <c r="AM1816" s="12"/>
    </row>
    <row r="1817" spans="30:39" customFormat="1">
      <c r="AD1817" s="27" t="s">
        <v>138</v>
      </c>
      <c r="AE1817" s="28" t="str">
        <f>VLOOKUP(Таблица1_113[[#This Row],[Марка]],Таблица13[#All],4,0)</f>
        <v>Корея</v>
      </c>
      <c r="AF1817" s="28" t="str">
        <f>VLOOKUP(Таблица1_113[[#This Row],[Марка]],Таблица13[#All],2,0)</f>
        <v>Luxury</v>
      </c>
      <c r="AG1817" s="28">
        <f>VLOOKUP(Таблица1_113[[#This Row],[Марка]],Таблица13[#All],3,0)</f>
        <v>2015</v>
      </c>
      <c r="AH1817" s="28" t="str">
        <f>VLOOKUP(Таблица1_113[[#This Row],[Марка]],Таблица13[#All],5,0)</f>
        <v>Нет</v>
      </c>
      <c r="AI1817" s="30">
        <v>45047</v>
      </c>
      <c r="AJ1817" s="31">
        <v>0</v>
      </c>
      <c r="AM1817" s="12"/>
    </row>
    <row r="1818" spans="30:39" customFormat="1">
      <c r="AD1818" s="27" t="s">
        <v>18</v>
      </c>
      <c r="AE1818" s="28" t="str">
        <f>VLOOKUP(Таблица1_113[[#This Row],[Марка]],Таблица13[#All],4,0)</f>
        <v>Китай</v>
      </c>
      <c r="AF1818" s="28" t="str">
        <f>VLOOKUP(Таблица1_113[[#This Row],[Марка]],Таблица13[#All],2,0)</f>
        <v>Economy</v>
      </c>
      <c r="AG1818" s="28">
        <f>VLOOKUP(Таблица1_113[[#This Row],[Марка]],Таблица13[#All],3,0)</f>
        <v>1986</v>
      </c>
      <c r="AH1818" s="28" t="str">
        <f>VLOOKUP(Таблица1_113[[#This Row],[Марка]],Таблица13[#All],5,0)</f>
        <v>Крупноузловая</v>
      </c>
      <c r="AI1818" s="30">
        <v>45047</v>
      </c>
      <c r="AJ1818" s="31">
        <v>256</v>
      </c>
      <c r="AM1818" s="12"/>
    </row>
    <row r="1819" spans="30:39" customFormat="1">
      <c r="AD1819" s="27" t="s">
        <v>127</v>
      </c>
      <c r="AE1819" s="28" t="str">
        <f>VLOOKUP(Таблица1_113[[#This Row],[Марка]],Таблица13[#All],4,0)</f>
        <v>Китай</v>
      </c>
      <c r="AF1819" s="28" t="str">
        <f>VLOOKUP(Таблица1_113[[#This Row],[Марка]],Таблица13[#All],2,0)</f>
        <v>Economy</v>
      </c>
      <c r="AG1819" s="28">
        <f>VLOOKUP(Таблица1_113[[#This Row],[Марка]],Таблица13[#All],3,0)</f>
        <v>1997</v>
      </c>
      <c r="AH1819" s="28" t="str">
        <f>VLOOKUP(Таблица1_113[[#This Row],[Марка]],Таблица13[#All],5,0)</f>
        <v>Нет</v>
      </c>
      <c r="AI1819" s="30">
        <v>45047</v>
      </c>
      <c r="AJ1819" s="31">
        <v>0</v>
      </c>
      <c r="AM1819" s="12"/>
    </row>
    <row r="1820" spans="30:39" customFormat="1">
      <c r="AD1820" s="27" t="s">
        <v>133</v>
      </c>
      <c r="AE1820" s="28" t="str">
        <f>VLOOKUP(Таблица1_113[[#This Row],[Марка]],Таблица13[#All],4,0)</f>
        <v>Китай</v>
      </c>
      <c r="AF1820" s="28" t="str">
        <f>VLOOKUP(Таблица1_113[[#This Row],[Марка]],Таблица13[#All],2,0)</f>
        <v>Economy</v>
      </c>
      <c r="AG1820" s="28">
        <f>VLOOKUP(Таблица1_113[[#This Row],[Марка]],Таблица13[#All],3,0)</f>
        <v>1996</v>
      </c>
      <c r="AH1820" s="28" t="str">
        <f>VLOOKUP(Таблица1_113[[#This Row],[Марка]],Таблица13[#All],5,0)</f>
        <v>Нет</v>
      </c>
      <c r="AI1820" s="30">
        <v>45047</v>
      </c>
      <c r="AJ1820" s="31">
        <v>0</v>
      </c>
      <c r="AM1820" s="12"/>
    </row>
    <row r="1821" spans="30:39" customFormat="1">
      <c r="AD1821" s="27" t="s">
        <v>129</v>
      </c>
      <c r="AE1821" s="28" t="str">
        <f>VLOOKUP(Таблица1_113[[#This Row],[Марка]],Таблица13[#All],4,0)</f>
        <v>Китай</v>
      </c>
      <c r="AF1821" s="28" t="str">
        <f>VLOOKUP(Таблица1_113[[#This Row],[Марка]],Таблица13[#All],2,0)</f>
        <v>Economy</v>
      </c>
      <c r="AG1821" s="28">
        <f>VLOOKUP(Таблица1_113[[#This Row],[Марка]],Таблица13[#All],3,0)</f>
        <v>1953</v>
      </c>
      <c r="AH1821" s="28" t="str">
        <f>VLOOKUP(Таблица1_113[[#This Row],[Марка]],Таблица13[#All],5,0)</f>
        <v>Нет</v>
      </c>
      <c r="AI1821" s="30">
        <v>45047</v>
      </c>
      <c r="AJ1821" s="31">
        <v>7</v>
      </c>
      <c r="AM1821" s="12"/>
    </row>
    <row r="1822" spans="30:39" customFormat="1">
      <c r="AD1822" s="27" t="s">
        <v>7</v>
      </c>
      <c r="AE1822" s="28" t="str">
        <f>VLOOKUP(Таблица1_113[[#This Row],[Марка]],Таблица13[#All],4,0)</f>
        <v>Китай</v>
      </c>
      <c r="AF1822" s="28" t="str">
        <f>VLOOKUP(Таблица1_113[[#This Row],[Марка]],Таблица13[#All],2,0)</f>
        <v>Business</v>
      </c>
      <c r="AG1822" s="28">
        <f>VLOOKUP(Таблица1_113[[#This Row],[Марка]],Таблица13[#All],3,0)</f>
        <v>2017</v>
      </c>
      <c r="AH1822" s="28" t="str">
        <f>VLOOKUP(Таблица1_113[[#This Row],[Марка]],Таблица13[#All],5,0)</f>
        <v>Нет</v>
      </c>
      <c r="AI1822" s="30">
        <v>45047</v>
      </c>
      <c r="AJ1822" s="31">
        <v>386</v>
      </c>
      <c r="AM1822" s="12"/>
    </row>
    <row r="1823" spans="30:39" customFormat="1">
      <c r="AD1823" s="27" t="s">
        <v>130</v>
      </c>
      <c r="AE1823" s="28" t="str">
        <f>VLOOKUP(Таблица1_113[[#This Row],[Марка]],Таблица13[#All],4,0)</f>
        <v>Китай</v>
      </c>
      <c r="AF1823" s="28" t="str">
        <f>VLOOKUP(Таблица1_113[[#This Row],[Марка]],Таблица13[#All],2,0)</f>
        <v>Economy</v>
      </c>
      <c r="AG1823" s="28">
        <f>VLOOKUP(Таблица1_113[[#This Row],[Марка]],Таблица13[#All],3,0)</f>
        <v>1969</v>
      </c>
      <c r="AH1823" s="28" t="str">
        <f>VLOOKUP(Таблица1_113[[#This Row],[Марка]],Таблица13[#All],5,0)</f>
        <v>Нет</v>
      </c>
      <c r="AI1823" s="30">
        <v>45047</v>
      </c>
      <c r="AJ1823" s="31">
        <v>0</v>
      </c>
      <c r="AM1823" s="12"/>
    </row>
    <row r="1824" spans="30:39" customFormat="1">
      <c r="AD1824" s="27" t="s">
        <v>137</v>
      </c>
      <c r="AE1824" s="28" t="str">
        <f>VLOOKUP(Таблица1_113[[#This Row],[Марка]],Таблица13[#All],4,0)</f>
        <v>Корея</v>
      </c>
      <c r="AF1824" s="28" t="str">
        <f>VLOOKUP(Таблица1_113[[#This Row],[Марка]],Таблица13[#All],2,0)</f>
        <v>Economy</v>
      </c>
      <c r="AG1824" s="28">
        <f>VLOOKUP(Таблица1_113[[#This Row],[Марка]],Таблица13[#All],3,0)</f>
        <v>1967</v>
      </c>
      <c r="AH1824" s="28" t="str">
        <f>VLOOKUP(Таблица1_113[[#This Row],[Марка]],Таблица13[#All],5,0)</f>
        <v>Нет</v>
      </c>
      <c r="AI1824" s="30">
        <v>45047</v>
      </c>
      <c r="AJ1824" s="31">
        <v>12</v>
      </c>
      <c r="AM1824" s="12"/>
    </row>
    <row r="1825" spans="30:39" customFormat="1">
      <c r="AD1825" s="27" t="s">
        <v>1</v>
      </c>
      <c r="AE1825" s="28" t="str">
        <f>VLOOKUP(Таблица1_113[[#This Row],[Марка]],Таблица13[#All],4,0)</f>
        <v>США</v>
      </c>
      <c r="AF1825" s="28" t="str">
        <f>VLOOKUP(Таблица1_113[[#This Row],[Марка]],Таблица13[#All],2,0)</f>
        <v>Economy</v>
      </c>
      <c r="AG1825" s="28">
        <f>VLOOKUP(Таблица1_113[[#This Row],[Марка]],Таблица13[#All],3,0)</f>
        <v>1911</v>
      </c>
      <c r="AH1825" s="28" t="str">
        <f>VLOOKUP(Таблица1_113[[#This Row],[Марка]],Таблица13[#All],5,0)</f>
        <v>Крупноузловая</v>
      </c>
      <c r="AI1825" s="30">
        <v>45047</v>
      </c>
      <c r="AJ1825" s="31">
        <v>3295</v>
      </c>
      <c r="AM1825" s="12"/>
    </row>
    <row r="1826" spans="30:39" customFormat="1">
      <c r="AD1826" s="27" t="s">
        <v>3</v>
      </c>
      <c r="AE1826" s="28" t="str">
        <f>VLOOKUP(Таблица1_113[[#This Row],[Марка]],Таблица13[#All],4,0)</f>
        <v>Китай</v>
      </c>
      <c r="AF1826" s="28" t="str">
        <f>VLOOKUP(Таблица1_113[[#This Row],[Марка]],Таблица13[#All],2,0)</f>
        <v>Economy</v>
      </c>
      <c r="AG1826" s="28">
        <f>VLOOKUP(Таблица1_113[[#This Row],[Марка]],Таблица13[#All],3,0)</f>
        <v>1997</v>
      </c>
      <c r="AH1826" s="28" t="str">
        <f>VLOOKUP(Таблица1_113[[#This Row],[Марка]],Таблица13[#All],5,0)</f>
        <v>Крупноузловая</v>
      </c>
      <c r="AI1826" s="30">
        <v>45047</v>
      </c>
      <c r="AJ1826" s="31">
        <v>680</v>
      </c>
      <c r="AM1826" s="12"/>
    </row>
    <row r="1827" spans="30:39" customFormat="1">
      <c r="AD1827" s="27" t="s">
        <v>124</v>
      </c>
      <c r="AE1827" s="28" t="str">
        <f>VLOOKUP(Таблица1_113[[#This Row],[Марка]],Таблица13[#All],4,0)</f>
        <v>Китай</v>
      </c>
      <c r="AF1827" s="28" t="str">
        <f>VLOOKUP(Таблица1_113[[#This Row],[Марка]],Таблица13[#All],2,0)</f>
        <v>Economy</v>
      </c>
      <c r="AG1827" s="28">
        <f>VLOOKUP(Таблица1_113[[#This Row],[Марка]],Таблица13[#All],3,0)</f>
        <v>1862</v>
      </c>
      <c r="AH1827" s="28" t="str">
        <f>VLOOKUP(Таблица1_113[[#This Row],[Марка]],Таблица13[#All],5,0)</f>
        <v>Нет</v>
      </c>
      <c r="AI1827" s="30">
        <v>45047</v>
      </c>
      <c r="AJ1827" s="31">
        <v>502</v>
      </c>
      <c r="AM1827" s="12"/>
    </row>
    <row r="1828" spans="30:39" customFormat="1">
      <c r="AD1828" s="27" t="s">
        <v>36</v>
      </c>
      <c r="AE1828" s="28" t="str">
        <f>VLOOKUP(Таблица1_113[[#This Row],[Марка]],Таблица13[#All],4,0)</f>
        <v>США</v>
      </c>
      <c r="AF1828" s="28" t="str">
        <f>VLOOKUP(Таблица1_113[[#This Row],[Марка]],Таблица13[#All],2,0)</f>
        <v>Luxury</v>
      </c>
      <c r="AG1828" s="28">
        <f>VLOOKUP(Таблица1_113[[#This Row],[Марка]],Таблица13[#All],3,0)</f>
        <v>1902</v>
      </c>
      <c r="AH1828" s="28" t="str">
        <f>VLOOKUP(Таблица1_113[[#This Row],[Марка]],Таблица13[#All],5,0)</f>
        <v>Нет</v>
      </c>
      <c r="AI1828" s="30">
        <v>45047</v>
      </c>
      <c r="AJ1828" s="31">
        <v>13</v>
      </c>
      <c r="AM1828" s="12"/>
    </row>
    <row r="1829" spans="30:39" customFormat="1">
      <c r="AD1829" s="27" t="s">
        <v>8</v>
      </c>
      <c r="AE1829" s="28" t="str">
        <f>VLOOKUP(Таблица1_113[[#This Row],[Марка]],Таблица13[#All],4,0)</f>
        <v>Германия</v>
      </c>
      <c r="AF1829" s="28" t="str">
        <f>VLOOKUP(Таблица1_113[[#This Row],[Марка]],Таблица13[#All],2,0)</f>
        <v>Luxury</v>
      </c>
      <c r="AG1829" s="28">
        <f>VLOOKUP(Таблица1_113[[#This Row],[Марка]],Таблица13[#All],3,0)</f>
        <v>1916</v>
      </c>
      <c r="AH1829" s="28" t="str">
        <f>VLOOKUP(Таблица1_113[[#This Row],[Марка]],Таблица13[#All],5,0)</f>
        <v>Нет</v>
      </c>
      <c r="AI1829" s="30">
        <v>45047</v>
      </c>
      <c r="AJ1829" s="31">
        <v>185</v>
      </c>
      <c r="AM1829" s="12"/>
    </row>
    <row r="1830" spans="30:39" customFormat="1">
      <c r="AD1830" s="27" t="s">
        <v>38</v>
      </c>
      <c r="AE1830" s="28" t="str">
        <f>VLOOKUP(Таблица1_113[[#This Row],[Марка]],Таблица13[#All],4,0)</f>
        <v>Германия</v>
      </c>
      <c r="AF1830" s="28" t="str">
        <f>VLOOKUP(Таблица1_113[[#This Row],[Марка]],Таблица13[#All],2,0)</f>
        <v>Luxury</v>
      </c>
      <c r="AG1830" s="28">
        <f>VLOOKUP(Таблица1_113[[#This Row],[Марка]],Таблица13[#All],3,0)</f>
        <v>1932</v>
      </c>
      <c r="AH1830" s="28" t="str">
        <f>VLOOKUP(Таблица1_113[[#This Row],[Марка]],Таблица13[#All],5,0)</f>
        <v>Нет</v>
      </c>
      <c r="AI1830" s="30">
        <v>45047</v>
      </c>
      <c r="AJ1830" s="31">
        <v>77</v>
      </c>
      <c r="AM1830" s="12"/>
    </row>
    <row r="1831" spans="30:39" customFormat="1">
      <c r="AD1831" s="27" t="s">
        <v>136</v>
      </c>
      <c r="AE1831" s="28" t="str">
        <f>VLOOKUP(Таблица1_113[[#This Row],[Марка]],Таблица13[#All],4,0)</f>
        <v>Россия</v>
      </c>
      <c r="AF1831" s="28" t="str">
        <f>VLOOKUP(Таблица1_113[[#This Row],[Марка]],Таблица13[#All],2,0)</f>
        <v>Economy</v>
      </c>
      <c r="AG1831" s="28">
        <f>VLOOKUP(Таблица1_113[[#This Row],[Марка]],Таблица13[#All],3,0)</f>
        <v>1941</v>
      </c>
      <c r="AH1831" s="28" t="str">
        <f>VLOOKUP(Таблица1_113[[#This Row],[Марка]],Таблица13[#All],5,0)</f>
        <v>Нет</v>
      </c>
      <c r="AI1831" s="30">
        <v>45078</v>
      </c>
      <c r="AJ1831" s="31">
        <v>40</v>
      </c>
      <c r="AM1831" s="12"/>
    </row>
    <row r="1832" spans="30:39" customFormat="1">
      <c r="AD1832" s="27" t="s">
        <v>21</v>
      </c>
      <c r="AE1832" s="28" t="str">
        <f>VLOOKUP(Таблица1_113[[#This Row],[Марка]],Таблица13[#All],4,0)</f>
        <v>Германия</v>
      </c>
      <c r="AF1832" s="28" t="str">
        <f>VLOOKUP(Таблица1_113[[#This Row],[Марка]],Таблица13[#All],2,0)</f>
        <v>Business</v>
      </c>
      <c r="AG1832" s="28">
        <f>VLOOKUP(Таблица1_113[[#This Row],[Марка]],Таблица13[#All],3,0)</f>
        <v>1937</v>
      </c>
      <c r="AH1832" s="28" t="str">
        <f>VLOOKUP(Таблица1_113[[#This Row],[Марка]],Таблица13[#All],5,0)</f>
        <v>Нет</v>
      </c>
      <c r="AI1832" s="30">
        <v>45078</v>
      </c>
      <c r="AJ1832" s="31">
        <v>0</v>
      </c>
      <c r="AM1832" s="12"/>
    </row>
    <row r="1833" spans="30:39" customFormat="1">
      <c r="AD1833" s="27" t="s">
        <v>2</v>
      </c>
      <c r="AE1833" s="28" t="str">
        <f>VLOOKUP(Таблица1_113[[#This Row],[Марка]],Таблица13[#All],4,0)</f>
        <v>Япония</v>
      </c>
      <c r="AF1833" s="28" t="str">
        <f>VLOOKUP(Таблица1_113[[#This Row],[Марка]],Таблица13[#All],2,0)</f>
        <v>Business</v>
      </c>
      <c r="AG1833" s="28">
        <f>VLOOKUP(Таблица1_113[[#This Row],[Марка]],Таблица13[#All],3,0)</f>
        <v>1937</v>
      </c>
      <c r="AH1833" s="28" t="str">
        <f>VLOOKUP(Таблица1_113[[#This Row],[Марка]],Таблица13[#All],5,0)</f>
        <v>Нет</v>
      </c>
      <c r="AI1833" s="30">
        <v>45078</v>
      </c>
      <c r="AJ1833" s="31">
        <v>476</v>
      </c>
      <c r="AM1833" s="12"/>
    </row>
    <row r="1834" spans="30:39" customFormat="1">
      <c r="AD1834" s="27" t="s">
        <v>20</v>
      </c>
      <c r="AE1834" s="28" t="str">
        <f>VLOOKUP(Таблица1_113[[#This Row],[Марка]],Таблица13[#All],4,0)</f>
        <v>Китай</v>
      </c>
      <c r="AF1834" s="28" t="str">
        <f>VLOOKUP(Таблица1_113[[#This Row],[Марка]],Таблица13[#All],2,0)</f>
        <v>Business</v>
      </c>
      <c r="AG1834" s="28">
        <f>VLOOKUP(Таблица1_113[[#This Row],[Марка]],Таблица13[#All],3,0)</f>
        <v>2021</v>
      </c>
      <c r="AH1834" s="28" t="str">
        <f>VLOOKUP(Таблица1_113[[#This Row],[Марка]],Таблица13[#All],5,0)</f>
        <v>Нет</v>
      </c>
      <c r="AI1834" s="30">
        <v>45078</v>
      </c>
      <c r="AJ1834" s="31">
        <v>63</v>
      </c>
      <c r="AM1834" s="12"/>
    </row>
    <row r="1835" spans="30:39" customFormat="1">
      <c r="AD1835" s="27" t="s">
        <v>125</v>
      </c>
      <c r="AE1835" s="28" t="str">
        <f>VLOOKUP(Таблица1_113[[#This Row],[Марка]],Таблица13[#All],4,0)</f>
        <v>Япония</v>
      </c>
      <c r="AF1835" s="28" t="str">
        <f>VLOOKUP(Таблица1_113[[#This Row],[Марка]],Таблица13[#All],2,0)</f>
        <v>Business</v>
      </c>
      <c r="AG1835" s="28">
        <f>VLOOKUP(Таблица1_113[[#This Row],[Марка]],Таблица13[#All],3,0)</f>
        <v>1953</v>
      </c>
      <c r="AH1835" s="28" t="str">
        <f>VLOOKUP(Таблица1_113[[#This Row],[Марка]],Таблица13[#All],5,0)</f>
        <v>Нет</v>
      </c>
      <c r="AI1835" s="30">
        <v>45078</v>
      </c>
      <c r="AJ1835" s="31">
        <v>121</v>
      </c>
      <c r="AM1835" s="12"/>
    </row>
    <row r="1836" spans="30:39" customFormat="1">
      <c r="AD1836" s="27" t="s">
        <v>37</v>
      </c>
      <c r="AE1836" s="28" t="str">
        <f>VLOOKUP(Таблица1_113[[#This Row],[Марка]],Таблица13[#All],4,0)</f>
        <v>Германия</v>
      </c>
      <c r="AF1836" s="28" t="str">
        <f>VLOOKUP(Таблица1_113[[#This Row],[Марка]],Таблица13[#All],2,0)</f>
        <v>Luxury</v>
      </c>
      <c r="AG1836" s="28">
        <f>VLOOKUP(Таблица1_113[[#This Row],[Марка]],Таблица13[#All],3,0)</f>
        <v>1931</v>
      </c>
      <c r="AH1836" s="28" t="str">
        <f>VLOOKUP(Таблица1_113[[#This Row],[Марка]],Таблица13[#All],5,0)</f>
        <v>Нет</v>
      </c>
      <c r="AI1836" s="30">
        <v>45078</v>
      </c>
      <c r="AJ1836" s="31">
        <v>24</v>
      </c>
      <c r="AM1836" s="12"/>
    </row>
    <row r="1837" spans="30:39" customFormat="1">
      <c r="AD1837" s="27" t="s">
        <v>126</v>
      </c>
      <c r="AE1837" s="28" t="str">
        <f>VLOOKUP(Таблица1_113[[#This Row],[Марка]],Таблица13[#All],4,0)</f>
        <v>Россия</v>
      </c>
      <c r="AF1837" s="28" t="str">
        <f>VLOOKUP(Таблица1_113[[#This Row],[Марка]],Таблица13[#All],2,0)</f>
        <v>Economy</v>
      </c>
      <c r="AG1837" s="28">
        <f>VLOOKUP(Таблица1_113[[#This Row],[Марка]],Таблица13[#All],3,0)</f>
        <v>2022</v>
      </c>
      <c r="AH1837" s="28" t="str">
        <f>VLOOKUP(Таблица1_113[[#This Row],[Марка]],Таблица13[#All],5,0)</f>
        <v>Нет</v>
      </c>
      <c r="AI1837" s="30">
        <v>45078</v>
      </c>
      <c r="AJ1837" s="31">
        <v>0</v>
      </c>
      <c r="AM1837" s="12"/>
    </row>
    <row r="1838" spans="30:39" customFormat="1">
      <c r="AD1838" s="27" t="s">
        <v>22</v>
      </c>
      <c r="AE1838" s="28" t="str">
        <f>VLOOKUP(Таблица1_113[[#This Row],[Марка]],Таблица13[#All],4,0)</f>
        <v>Япония</v>
      </c>
      <c r="AF1838" s="28" t="str">
        <f>VLOOKUP(Таблица1_113[[#This Row],[Марка]],Таблица13[#All],2,0)</f>
        <v>Business</v>
      </c>
      <c r="AG1838" s="28">
        <f>VLOOKUP(Таблица1_113[[#This Row],[Марка]],Таблица13[#All],3,0)</f>
        <v>1933</v>
      </c>
      <c r="AH1838" s="28" t="str">
        <f>VLOOKUP(Таблица1_113[[#This Row],[Марка]],Таблица13[#All],5,0)</f>
        <v>Нет</v>
      </c>
      <c r="AI1838" s="30">
        <v>45078</v>
      </c>
      <c r="AJ1838" s="31">
        <v>0</v>
      </c>
      <c r="AM1838" s="12"/>
    </row>
    <row r="1839" spans="30:39" customFormat="1">
      <c r="AD1839" s="27" t="s">
        <v>9</v>
      </c>
      <c r="AE1839" s="28" t="str">
        <f>VLOOKUP(Таблица1_113[[#This Row],[Марка]],Таблица13[#All],4,0)</f>
        <v>Япония</v>
      </c>
      <c r="AF1839" s="28" t="str">
        <f>VLOOKUP(Таблица1_113[[#This Row],[Марка]],Таблица13[#All],2,0)</f>
        <v>Business</v>
      </c>
      <c r="AG1839" s="28">
        <f>VLOOKUP(Таблица1_113[[#This Row],[Марка]],Таблица13[#All],3,0)</f>
        <v>1870</v>
      </c>
      <c r="AH1839" s="28" t="str">
        <f>VLOOKUP(Таблица1_113[[#This Row],[Марка]],Таблица13[#All],5,0)</f>
        <v>Нет</v>
      </c>
      <c r="AI1839" s="30">
        <v>45078</v>
      </c>
      <c r="AJ1839" s="31">
        <v>50</v>
      </c>
      <c r="AM1839" s="12"/>
    </row>
    <row r="1840" spans="30:39" customFormat="1">
      <c r="AD1840" s="27" t="s">
        <v>40</v>
      </c>
      <c r="AE1840" s="28" t="str">
        <f>VLOOKUP(Таблица1_113[[#This Row],[Марка]],Таблица13[#All],4,0)</f>
        <v>Великобритания</v>
      </c>
      <c r="AF1840" s="28" t="str">
        <f>VLOOKUP(Таблица1_113[[#This Row],[Марка]],Таблица13[#All],2,0)</f>
        <v>Luxury</v>
      </c>
      <c r="AG1840" s="28">
        <f>VLOOKUP(Таблица1_113[[#This Row],[Марка]],Таблица13[#All],3,0)</f>
        <v>1959</v>
      </c>
      <c r="AH1840" s="28" t="str">
        <f>VLOOKUP(Таблица1_113[[#This Row],[Марка]],Таблица13[#All],5,0)</f>
        <v>Нет</v>
      </c>
      <c r="AI1840" s="30">
        <v>45078</v>
      </c>
      <c r="AJ1840" s="31">
        <v>0</v>
      </c>
      <c r="AM1840" s="12"/>
    </row>
    <row r="1841" spans="30:39" customFormat="1">
      <c r="AD1841" s="27" t="s">
        <v>128</v>
      </c>
      <c r="AE1841" s="28" t="str">
        <f>VLOOKUP(Таблица1_113[[#This Row],[Марка]],Таблица13[#All],4,0)</f>
        <v>Германия</v>
      </c>
      <c r="AF1841" s="28" t="str">
        <f>VLOOKUP(Таблица1_113[[#This Row],[Марка]],Таблица13[#All],2,0)</f>
        <v>Luxury</v>
      </c>
      <c r="AG1841" s="28">
        <f>VLOOKUP(Таблица1_113[[#This Row],[Марка]],Таблица13[#All],3,0)</f>
        <v>1926</v>
      </c>
      <c r="AH1841" s="28" t="str">
        <f>VLOOKUP(Таблица1_113[[#This Row],[Марка]],Таблица13[#All],5,0)</f>
        <v>Нет</v>
      </c>
      <c r="AI1841" s="30">
        <v>45078</v>
      </c>
      <c r="AJ1841" s="31">
        <v>75</v>
      </c>
      <c r="AM1841" s="12"/>
    </row>
    <row r="1842" spans="30:39" customFormat="1">
      <c r="AD1842" s="27" t="s">
        <v>5</v>
      </c>
      <c r="AE1842" s="28" t="str">
        <f>VLOOKUP(Таблица1_113[[#This Row],[Марка]],Таблица13[#All],4,0)</f>
        <v>Япония</v>
      </c>
      <c r="AF1842" s="28" t="str">
        <f>VLOOKUP(Таблица1_113[[#This Row],[Марка]],Таблица13[#All],2,0)</f>
        <v>Luxury</v>
      </c>
      <c r="AG1842" s="28">
        <f>VLOOKUP(Таблица1_113[[#This Row],[Марка]],Таблица13[#All],3,0)</f>
        <v>1989</v>
      </c>
      <c r="AH1842" s="28" t="str">
        <f>VLOOKUP(Таблица1_113[[#This Row],[Марка]],Таблица13[#All],5,0)</f>
        <v>Нет</v>
      </c>
      <c r="AI1842" s="30">
        <v>45078</v>
      </c>
      <c r="AJ1842" s="31">
        <v>308</v>
      </c>
      <c r="AM1842" s="12"/>
    </row>
    <row r="1843" spans="30:39" customFormat="1">
      <c r="AD1843" s="27" t="s">
        <v>35</v>
      </c>
      <c r="AE1843" s="28" t="str">
        <f>VLOOKUP(Таблица1_113[[#This Row],[Марка]],Таблица13[#All],4,0)</f>
        <v>Великобритания</v>
      </c>
      <c r="AF1843" s="28" t="str">
        <f>VLOOKUP(Таблица1_113[[#This Row],[Марка]],Таблица13[#All],2,0)</f>
        <v>Luxury</v>
      </c>
      <c r="AG1843" s="28">
        <f>VLOOKUP(Таблица1_113[[#This Row],[Марка]],Таблица13[#All],3,0)</f>
        <v>1948</v>
      </c>
      <c r="AH1843" s="28" t="str">
        <f>VLOOKUP(Таблица1_113[[#This Row],[Марка]],Таблица13[#All],5,0)</f>
        <v>Нет</v>
      </c>
      <c r="AI1843" s="30">
        <v>45078</v>
      </c>
      <c r="AJ1843" s="31">
        <v>45</v>
      </c>
      <c r="AM1843" s="12"/>
    </row>
    <row r="1844" spans="30:39" customFormat="1">
      <c r="AD1844" s="27" t="s">
        <v>19</v>
      </c>
      <c r="AE1844" s="28" t="str">
        <f>VLOOKUP(Таблица1_113[[#This Row],[Марка]],Таблица13[#All],4,0)</f>
        <v>Россия</v>
      </c>
      <c r="AF1844" s="28" t="str">
        <f>VLOOKUP(Таблица1_113[[#This Row],[Марка]],Таблица13[#All],2,0)</f>
        <v>Economy</v>
      </c>
      <c r="AG1844" s="28">
        <f>VLOOKUP(Таблица1_113[[#This Row],[Марка]],Таблица13[#All],3,0)</f>
        <v>1970</v>
      </c>
      <c r="AH1844" s="28" t="str">
        <f>VLOOKUP(Таблица1_113[[#This Row],[Марка]],Таблица13[#All],5,0)</f>
        <v>Крупноузловая</v>
      </c>
      <c r="AI1844" s="30">
        <v>45078</v>
      </c>
      <c r="AJ1844" s="31">
        <v>93</v>
      </c>
      <c r="AM1844" s="12"/>
    </row>
    <row r="1845" spans="30:39" customFormat="1">
      <c r="AD1845" s="27" t="s">
        <v>15</v>
      </c>
      <c r="AE1845" s="28" t="str">
        <f>VLOOKUP(Таблица1_113[[#This Row],[Марка]],Таблица13[#All],4,0)</f>
        <v>Корея</v>
      </c>
      <c r="AF1845" s="28" t="str">
        <f>VLOOKUP(Таблица1_113[[#This Row],[Марка]],Таблица13[#All],2,0)</f>
        <v>Economy</v>
      </c>
      <c r="AG1845" s="28">
        <f>VLOOKUP(Таблица1_113[[#This Row],[Марка]],Таблица13[#All],3,0)</f>
        <v>1944</v>
      </c>
      <c r="AH1845" s="28" t="str">
        <f>VLOOKUP(Таблица1_113[[#This Row],[Марка]],Таблица13[#All],5,0)</f>
        <v>Крупноузловая</v>
      </c>
      <c r="AI1845" s="30">
        <v>45078</v>
      </c>
      <c r="AJ1845" s="31">
        <v>2480</v>
      </c>
      <c r="AM1845" s="12"/>
    </row>
    <row r="1846" spans="30:39" customFormat="1">
      <c r="AD1846" s="27" t="s">
        <v>17</v>
      </c>
      <c r="AE1846" s="28" t="str">
        <f>VLOOKUP(Таблица1_113[[#This Row],[Марка]],Таблица13[#All],4,0)</f>
        <v>Китай</v>
      </c>
      <c r="AF1846" s="28" t="str">
        <f>VLOOKUP(Таблица1_113[[#This Row],[Марка]],Таблица13[#All],2,0)</f>
        <v>Economy</v>
      </c>
      <c r="AG1846" s="28">
        <f>VLOOKUP(Таблица1_113[[#This Row],[Марка]],Таблица13[#All],3,0)</f>
        <v>2014</v>
      </c>
      <c r="AH1846" s="28" t="str">
        <f>VLOOKUP(Таблица1_113[[#This Row],[Марка]],Таблица13[#All],5,0)</f>
        <v>Нет</v>
      </c>
      <c r="AI1846" s="30">
        <v>45078</v>
      </c>
      <c r="AJ1846" s="31">
        <v>101</v>
      </c>
      <c r="AM1846" s="12"/>
    </row>
    <row r="1847" spans="30:39" customFormat="1">
      <c r="AD1847" s="27" t="s">
        <v>134</v>
      </c>
      <c r="AE1847" s="28" t="str">
        <f>VLOOKUP(Таблица1_113[[#This Row],[Марка]],Таблица13[#All],4,0)</f>
        <v>Великобритания</v>
      </c>
      <c r="AF1847" s="28" t="str">
        <f>VLOOKUP(Таблица1_113[[#This Row],[Марка]],Таблица13[#All],2,0)</f>
        <v>Luxury</v>
      </c>
      <c r="AG1847" s="28">
        <f>VLOOKUP(Таблица1_113[[#This Row],[Марка]],Таблица13[#All],3,0)</f>
        <v>1922</v>
      </c>
      <c r="AH1847" s="28" t="str">
        <f>VLOOKUP(Таблица1_113[[#This Row],[Марка]],Таблица13[#All],5,0)</f>
        <v>Нет</v>
      </c>
      <c r="AI1847" s="30">
        <v>45078</v>
      </c>
      <c r="AJ1847" s="31">
        <v>5</v>
      </c>
      <c r="AM1847" s="12"/>
    </row>
    <row r="1848" spans="30:39" customFormat="1">
      <c r="AD1848" s="27" t="s">
        <v>4</v>
      </c>
      <c r="AE1848" s="28" t="str">
        <f>VLOOKUP(Таблица1_113[[#This Row],[Марка]],Таблица13[#All],4,0)</f>
        <v>Китай</v>
      </c>
      <c r="AF1848" s="28" t="str">
        <f>VLOOKUP(Таблица1_113[[#This Row],[Марка]],Таблица13[#All],2,0)</f>
        <v>Economy</v>
      </c>
      <c r="AG1848" s="28">
        <f>VLOOKUP(Таблица1_113[[#This Row],[Марка]],Таблица13[#All],3,0)</f>
        <v>1964</v>
      </c>
      <c r="AH1848" s="28" t="str">
        <f>VLOOKUP(Таблица1_113[[#This Row],[Марка]],Таблица13[#All],5,0)</f>
        <v>Крупноузловая</v>
      </c>
      <c r="AI1848" s="30">
        <v>45078</v>
      </c>
      <c r="AJ1848" s="31">
        <v>880</v>
      </c>
      <c r="AM1848" s="12"/>
    </row>
    <row r="1849" spans="30:39" customFormat="1">
      <c r="AD1849" s="27" t="s">
        <v>34</v>
      </c>
      <c r="AE1849" s="28" t="str">
        <f>VLOOKUP(Таблица1_113[[#This Row],[Марка]],Таблица13[#All],4,0)</f>
        <v>Япония</v>
      </c>
      <c r="AF1849" s="28" t="str">
        <f>VLOOKUP(Таблица1_113[[#This Row],[Марка]],Таблица13[#All],2,0)</f>
        <v>Luxury</v>
      </c>
      <c r="AG1849" s="28">
        <f>VLOOKUP(Таблица1_113[[#This Row],[Марка]],Таблица13[#All],3,0)</f>
        <v>1989</v>
      </c>
      <c r="AH1849" s="28" t="str">
        <f>VLOOKUP(Таблица1_113[[#This Row],[Марка]],Таблица13[#All],5,0)</f>
        <v>Нет</v>
      </c>
      <c r="AI1849" s="30">
        <v>45078</v>
      </c>
      <c r="AJ1849" s="31">
        <v>38</v>
      </c>
      <c r="AM1849" s="12"/>
    </row>
    <row r="1850" spans="30:39" customFormat="1">
      <c r="AD1850" s="27" t="s">
        <v>0</v>
      </c>
      <c r="AE1850" s="28" t="str">
        <f>VLOOKUP(Таблица1_113[[#This Row],[Марка]],Таблица13[#All],4,0)</f>
        <v>Корея</v>
      </c>
      <c r="AF1850" s="28" t="str">
        <f>VLOOKUP(Таблица1_113[[#This Row],[Марка]],Таблица13[#All],2,0)</f>
        <v>Economy</v>
      </c>
      <c r="AG1850" s="28">
        <f>VLOOKUP(Таблица1_113[[#This Row],[Марка]],Таблица13[#All],3,0)</f>
        <v>1967</v>
      </c>
      <c r="AH1850" s="28" t="str">
        <f>VLOOKUP(Таблица1_113[[#This Row],[Марка]],Таблица13[#All],5,0)</f>
        <v>Крупноузловая</v>
      </c>
      <c r="AI1850" s="30">
        <v>45078</v>
      </c>
      <c r="AJ1850" s="31">
        <v>4259</v>
      </c>
      <c r="AM1850" s="12"/>
    </row>
    <row r="1851" spans="30:39" customFormat="1">
      <c r="AD1851" s="27" t="s">
        <v>131</v>
      </c>
      <c r="AE1851" s="28" t="str">
        <f>VLOOKUP(Таблица1_113[[#This Row],[Марка]],Таблица13[#All],4,0)</f>
        <v>Китай</v>
      </c>
      <c r="AF1851" s="28" t="str">
        <f>VLOOKUP(Таблица1_113[[#This Row],[Марка]],Таблица13[#All],2,0)</f>
        <v>Luxury</v>
      </c>
      <c r="AG1851" s="28">
        <f>VLOOKUP(Таблица1_113[[#This Row],[Марка]],Таблица13[#All],3,0)</f>
        <v>1958</v>
      </c>
      <c r="AH1851" s="28" t="str">
        <f>VLOOKUP(Таблица1_113[[#This Row],[Марка]],Таблица13[#All],5,0)</f>
        <v>Нет</v>
      </c>
      <c r="AI1851" s="30">
        <v>45078</v>
      </c>
      <c r="AJ1851" s="31">
        <v>0</v>
      </c>
      <c r="AM1851" s="12"/>
    </row>
    <row r="1852" spans="30:39" customFormat="1">
      <c r="AD1852" s="27" t="s">
        <v>6</v>
      </c>
      <c r="AE1852" s="28" t="str">
        <f>VLOOKUP(Таблица1_113[[#This Row],[Марка]],Таблица13[#All],4,0)</f>
        <v>Китай</v>
      </c>
      <c r="AF1852" s="28" t="str">
        <f>VLOOKUP(Таблица1_113[[#This Row],[Марка]],Таблица13[#All],2,0)</f>
        <v>Economy</v>
      </c>
      <c r="AG1852" s="28">
        <f>VLOOKUP(Таблица1_113[[#This Row],[Марка]],Таблица13[#All],3,0)</f>
        <v>2013</v>
      </c>
      <c r="AH1852" s="28" t="str">
        <f>VLOOKUP(Таблица1_113[[#This Row],[Марка]],Таблица13[#All],5,0)</f>
        <v>Крупноузловая</v>
      </c>
      <c r="AI1852" s="30">
        <v>45078</v>
      </c>
      <c r="AJ1852" s="31">
        <v>593</v>
      </c>
      <c r="AM1852" s="12"/>
    </row>
    <row r="1853" spans="30:39" customFormat="1">
      <c r="AD1853" s="27" t="s">
        <v>132</v>
      </c>
      <c r="AE1853" s="28" t="str">
        <f>VLOOKUP(Таблица1_113[[#This Row],[Марка]],Таблица13[#All],4,0)</f>
        <v>Китай</v>
      </c>
      <c r="AF1853" s="28" t="str">
        <f>VLOOKUP(Таблица1_113[[#This Row],[Марка]],Таблица13[#All],2,0)</f>
        <v>Economy</v>
      </c>
      <c r="AG1853" s="28">
        <f>VLOOKUP(Таблица1_113[[#This Row],[Марка]],Таблица13[#All],3,0)</f>
        <v>1984</v>
      </c>
      <c r="AH1853" s="28" t="str">
        <f>VLOOKUP(Таблица1_113[[#This Row],[Марка]],Таблица13[#All],5,0)</f>
        <v>Нет</v>
      </c>
      <c r="AI1853" s="30">
        <v>45078</v>
      </c>
      <c r="AJ1853" s="31">
        <v>28</v>
      </c>
      <c r="AM1853" s="12"/>
    </row>
    <row r="1854" spans="30:39" customFormat="1">
      <c r="AD1854" s="27" t="s">
        <v>138</v>
      </c>
      <c r="AE1854" s="28" t="str">
        <f>VLOOKUP(Таблица1_113[[#This Row],[Марка]],Таблица13[#All],4,0)</f>
        <v>Корея</v>
      </c>
      <c r="AF1854" s="28" t="str">
        <f>VLOOKUP(Таблица1_113[[#This Row],[Марка]],Таблица13[#All],2,0)</f>
        <v>Luxury</v>
      </c>
      <c r="AG1854" s="28">
        <f>VLOOKUP(Таблица1_113[[#This Row],[Марка]],Таблица13[#All],3,0)</f>
        <v>2015</v>
      </c>
      <c r="AH1854" s="28" t="str">
        <f>VLOOKUP(Таблица1_113[[#This Row],[Марка]],Таблица13[#All],5,0)</f>
        <v>Нет</v>
      </c>
      <c r="AI1854" s="30">
        <v>45078</v>
      </c>
      <c r="AJ1854" s="31">
        <v>0</v>
      </c>
      <c r="AM1854" s="12"/>
    </row>
    <row r="1855" spans="30:39" customFormat="1">
      <c r="AD1855" s="27" t="s">
        <v>18</v>
      </c>
      <c r="AE1855" s="28" t="str">
        <f>VLOOKUP(Таблица1_113[[#This Row],[Марка]],Таблица13[#All],4,0)</f>
        <v>Китай</v>
      </c>
      <c r="AF1855" s="28" t="str">
        <f>VLOOKUP(Таблица1_113[[#This Row],[Марка]],Таблица13[#All],2,0)</f>
        <v>Economy</v>
      </c>
      <c r="AG1855" s="28">
        <f>VLOOKUP(Таблица1_113[[#This Row],[Марка]],Таблица13[#All],3,0)</f>
        <v>1986</v>
      </c>
      <c r="AH1855" s="28" t="str">
        <f>VLOOKUP(Таблица1_113[[#This Row],[Марка]],Таблица13[#All],5,0)</f>
        <v>Крупноузловая</v>
      </c>
      <c r="AI1855" s="30">
        <v>45078</v>
      </c>
      <c r="AJ1855" s="31">
        <v>284</v>
      </c>
      <c r="AM1855" s="12"/>
    </row>
    <row r="1856" spans="30:39" customFormat="1">
      <c r="AD1856" s="27" t="s">
        <v>127</v>
      </c>
      <c r="AE1856" s="28" t="str">
        <f>VLOOKUP(Таблица1_113[[#This Row],[Марка]],Таблица13[#All],4,0)</f>
        <v>Китай</v>
      </c>
      <c r="AF1856" s="28" t="str">
        <f>VLOOKUP(Таблица1_113[[#This Row],[Марка]],Таблица13[#All],2,0)</f>
        <v>Economy</v>
      </c>
      <c r="AG1856" s="28">
        <f>VLOOKUP(Таблица1_113[[#This Row],[Марка]],Таблица13[#All],3,0)</f>
        <v>1997</v>
      </c>
      <c r="AH1856" s="28" t="str">
        <f>VLOOKUP(Таблица1_113[[#This Row],[Марка]],Таблица13[#All],5,0)</f>
        <v>Нет</v>
      </c>
      <c r="AI1856" s="30">
        <v>45078</v>
      </c>
      <c r="AJ1856" s="31">
        <v>0</v>
      </c>
      <c r="AM1856" s="12"/>
    </row>
    <row r="1857" spans="30:39" customFormat="1">
      <c r="AD1857" s="27" t="s">
        <v>133</v>
      </c>
      <c r="AE1857" s="28" t="str">
        <f>VLOOKUP(Таблица1_113[[#This Row],[Марка]],Таблица13[#All],4,0)</f>
        <v>Китай</v>
      </c>
      <c r="AF1857" s="28" t="str">
        <f>VLOOKUP(Таблица1_113[[#This Row],[Марка]],Таблица13[#All],2,0)</f>
        <v>Economy</v>
      </c>
      <c r="AG1857" s="28">
        <f>VLOOKUP(Таблица1_113[[#This Row],[Марка]],Таблица13[#All],3,0)</f>
        <v>1996</v>
      </c>
      <c r="AH1857" s="28" t="str">
        <f>VLOOKUP(Таблица1_113[[#This Row],[Марка]],Таблица13[#All],5,0)</f>
        <v>Нет</v>
      </c>
      <c r="AI1857" s="30">
        <v>45078</v>
      </c>
      <c r="AJ1857" s="31">
        <v>1</v>
      </c>
      <c r="AM1857" s="12"/>
    </row>
    <row r="1858" spans="30:39" customFormat="1">
      <c r="AD1858" s="27" t="s">
        <v>129</v>
      </c>
      <c r="AE1858" s="28" t="str">
        <f>VLOOKUP(Таблица1_113[[#This Row],[Марка]],Таблица13[#All],4,0)</f>
        <v>Китай</v>
      </c>
      <c r="AF1858" s="28" t="str">
        <f>VLOOKUP(Таблица1_113[[#This Row],[Марка]],Таблица13[#All],2,0)</f>
        <v>Economy</v>
      </c>
      <c r="AG1858" s="28">
        <f>VLOOKUP(Таблица1_113[[#This Row],[Марка]],Таблица13[#All],3,0)</f>
        <v>1953</v>
      </c>
      <c r="AH1858" s="28" t="str">
        <f>VLOOKUP(Таблица1_113[[#This Row],[Марка]],Таблица13[#All],5,0)</f>
        <v>Нет</v>
      </c>
      <c r="AI1858" s="30">
        <v>45078</v>
      </c>
      <c r="AJ1858" s="31">
        <v>35</v>
      </c>
      <c r="AM1858" s="12"/>
    </row>
    <row r="1859" spans="30:39" customFormat="1">
      <c r="AD1859" s="27" t="s">
        <v>7</v>
      </c>
      <c r="AE1859" s="28" t="str">
        <f>VLOOKUP(Таблица1_113[[#This Row],[Марка]],Таблица13[#All],4,0)</f>
        <v>Китай</v>
      </c>
      <c r="AF1859" s="28" t="str">
        <f>VLOOKUP(Таблица1_113[[#This Row],[Марка]],Таблица13[#All],2,0)</f>
        <v>Business</v>
      </c>
      <c r="AG1859" s="28">
        <f>VLOOKUP(Таблица1_113[[#This Row],[Марка]],Таблица13[#All],3,0)</f>
        <v>2017</v>
      </c>
      <c r="AH1859" s="28" t="str">
        <f>VLOOKUP(Таблица1_113[[#This Row],[Марка]],Таблица13[#All],5,0)</f>
        <v>Нет</v>
      </c>
      <c r="AI1859" s="30">
        <v>45078</v>
      </c>
      <c r="AJ1859" s="31">
        <v>270</v>
      </c>
      <c r="AM1859" s="12"/>
    </row>
    <row r="1860" spans="30:39" customFormat="1">
      <c r="AD1860" s="27" t="s">
        <v>130</v>
      </c>
      <c r="AE1860" s="28" t="str">
        <f>VLOOKUP(Таблица1_113[[#This Row],[Марка]],Таблица13[#All],4,0)</f>
        <v>Китай</v>
      </c>
      <c r="AF1860" s="28" t="str">
        <f>VLOOKUP(Таблица1_113[[#This Row],[Марка]],Таблица13[#All],2,0)</f>
        <v>Economy</v>
      </c>
      <c r="AG1860" s="28">
        <f>VLOOKUP(Таблица1_113[[#This Row],[Марка]],Таблица13[#All],3,0)</f>
        <v>1969</v>
      </c>
      <c r="AH1860" s="28" t="str">
        <f>VLOOKUP(Таблица1_113[[#This Row],[Марка]],Таблица13[#All],5,0)</f>
        <v>Нет</v>
      </c>
      <c r="AI1860" s="30">
        <v>45078</v>
      </c>
      <c r="AJ1860" s="31">
        <v>0</v>
      </c>
      <c r="AM1860" s="12"/>
    </row>
    <row r="1861" spans="30:39" customFormat="1">
      <c r="AD1861" s="27" t="s">
        <v>137</v>
      </c>
      <c r="AE1861" s="28" t="str">
        <f>VLOOKUP(Таблица1_113[[#This Row],[Марка]],Таблица13[#All],4,0)</f>
        <v>Корея</v>
      </c>
      <c r="AF1861" s="28" t="str">
        <f>VLOOKUP(Таблица1_113[[#This Row],[Марка]],Таблица13[#All],2,0)</f>
        <v>Economy</v>
      </c>
      <c r="AG1861" s="28">
        <f>VLOOKUP(Таблица1_113[[#This Row],[Марка]],Таблица13[#All],3,0)</f>
        <v>1967</v>
      </c>
      <c r="AH1861" s="28" t="str">
        <f>VLOOKUP(Таблица1_113[[#This Row],[Марка]],Таблица13[#All],5,0)</f>
        <v>Нет</v>
      </c>
      <c r="AI1861" s="30">
        <v>45078</v>
      </c>
      <c r="AJ1861" s="31">
        <v>0</v>
      </c>
      <c r="AM1861" s="12"/>
    </row>
    <row r="1862" spans="30:39" customFormat="1">
      <c r="AD1862" s="27" t="s">
        <v>1</v>
      </c>
      <c r="AE1862" s="28" t="str">
        <f>VLOOKUP(Таблица1_113[[#This Row],[Марка]],Таблица13[#All],4,0)</f>
        <v>США</v>
      </c>
      <c r="AF1862" s="28" t="str">
        <f>VLOOKUP(Таблица1_113[[#This Row],[Марка]],Таблица13[#All],2,0)</f>
        <v>Economy</v>
      </c>
      <c r="AG1862" s="28">
        <f>VLOOKUP(Таблица1_113[[#This Row],[Марка]],Таблица13[#All],3,0)</f>
        <v>1911</v>
      </c>
      <c r="AH1862" s="28" t="str">
        <f>VLOOKUP(Таблица1_113[[#This Row],[Марка]],Таблица13[#All],5,0)</f>
        <v>Крупноузловая</v>
      </c>
      <c r="AI1862" s="30">
        <v>45078</v>
      </c>
      <c r="AJ1862" s="31">
        <v>4070</v>
      </c>
      <c r="AM1862" s="12"/>
    </row>
    <row r="1863" spans="30:39" customFormat="1">
      <c r="AD1863" s="27" t="s">
        <v>3</v>
      </c>
      <c r="AE1863" s="28" t="str">
        <f>VLOOKUP(Таблица1_113[[#This Row],[Марка]],Таблица13[#All],4,0)</f>
        <v>Китай</v>
      </c>
      <c r="AF1863" s="28" t="str">
        <f>VLOOKUP(Таблица1_113[[#This Row],[Марка]],Таблица13[#All],2,0)</f>
        <v>Economy</v>
      </c>
      <c r="AG1863" s="28">
        <f>VLOOKUP(Таблица1_113[[#This Row],[Марка]],Таблица13[#All],3,0)</f>
        <v>1997</v>
      </c>
      <c r="AH1863" s="28" t="str">
        <f>VLOOKUP(Таблица1_113[[#This Row],[Марка]],Таблица13[#All],5,0)</f>
        <v>Крупноузловая</v>
      </c>
      <c r="AI1863" s="30">
        <v>45078</v>
      </c>
      <c r="AJ1863" s="31">
        <v>878</v>
      </c>
      <c r="AM1863" s="12"/>
    </row>
    <row r="1864" spans="30:39" customFormat="1">
      <c r="AD1864" s="27" t="s">
        <v>124</v>
      </c>
      <c r="AE1864" s="28" t="str">
        <f>VLOOKUP(Таблица1_113[[#This Row],[Марка]],Таблица13[#All],4,0)</f>
        <v>Китай</v>
      </c>
      <c r="AF1864" s="28" t="str">
        <f>VLOOKUP(Таблица1_113[[#This Row],[Марка]],Таблица13[#All],2,0)</f>
        <v>Economy</v>
      </c>
      <c r="AG1864" s="28">
        <f>VLOOKUP(Таблица1_113[[#This Row],[Марка]],Таблица13[#All],3,0)</f>
        <v>1862</v>
      </c>
      <c r="AH1864" s="28" t="str">
        <f>VLOOKUP(Таблица1_113[[#This Row],[Марка]],Таблица13[#All],5,0)</f>
        <v>Нет</v>
      </c>
      <c r="AI1864" s="30">
        <v>45078</v>
      </c>
      <c r="AJ1864" s="31">
        <v>741</v>
      </c>
      <c r="AM1864" s="12"/>
    </row>
    <row r="1865" spans="30:39" customFormat="1">
      <c r="AD1865" s="27" t="s">
        <v>36</v>
      </c>
      <c r="AE1865" s="28" t="str">
        <f>VLOOKUP(Таблица1_113[[#This Row],[Марка]],Таблица13[#All],4,0)</f>
        <v>США</v>
      </c>
      <c r="AF1865" s="28" t="str">
        <f>VLOOKUP(Таблица1_113[[#This Row],[Марка]],Таблица13[#All],2,0)</f>
        <v>Luxury</v>
      </c>
      <c r="AG1865" s="28">
        <f>VLOOKUP(Таблица1_113[[#This Row],[Марка]],Таблица13[#All],3,0)</f>
        <v>1902</v>
      </c>
      <c r="AH1865" s="28" t="str">
        <f>VLOOKUP(Таблица1_113[[#This Row],[Марка]],Таблица13[#All],5,0)</f>
        <v>Нет</v>
      </c>
      <c r="AI1865" s="30">
        <v>45078</v>
      </c>
      <c r="AJ1865" s="31">
        <v>20</v>
      </c>
      <c r="AM1865" s="12"/>
    </row>
    <row r="1866" spans="30:39" customFormat="1">
      <c r="AD1866" s="27" t="s">
        <v>8</v>
      </c>
      <c r="AE1866" s="28" t="str">
        <f>VLOOKUP(Таблица1_113[[#This Row],[Марка]],Таблица13[#All],4,0)</f>
        <v>Германия</v>
      </c>
      <c r="AF1866" s="28" t="str">
        <f>VLOOKUP(Таблица1_113[[#This Row],[Марка]],Таблица13[#All],2,0)</f>
        <v>Luxury</v>
      </c>
      <c r="AG1866" s="28">
        <f>VLOOKUP(Таблица1_113[[#This Row],[Марка]],Таблица13[#All],3,0)</f>
        <v>1916</v>
      </c>
      <c r="AH1866" s="28" t="str">
        <f>VLOOKUP(Таблица1_113[[#This Row],[Марка]],Таблица13[#All],5,0)</f>
        <v>Нет</v>
      </c>
      <c r="AI1866" s="30">
        <v>45078</v>
      </c>
      <c r="AJ1866" s="31">
        <v>122</v>
      </c>
      <c r="AM1866" s="12"/>
    </row>
    <row r="1867" spans="30:39" customFormat="1">
      <c r="AD1867" s="27" t="s">
        <v>38</v>
      </c>
      <c r="AE1867" s="28" t="str">
        <f>VLOOKUP(Таблица1_113[[#This Row],[Марка]],Таблица13[#All],4,0)</f>
        <v>Германия</v>
      </c>
      <c r="AF1867" s="28" t="str">
        <f>VLOOKUP(Таблица1_113[[#This Row],[Марка]],Таблица13[#All],2,0)</f>
        <v>Luxury</v>
      </c>
      <c r="AG1867" s="28">
        <f>VLOOKUP(Таблица1_113[[#This Row],[Марка]],Таблица13[#All],3,0)</f>
        <v>1932</v>
      </c>
      <c r="AH1867" s="28" t="str">
        <f>VLOOKUP(Таблица1_113[[#This Row],[Марка]],Таблица13[#All],5,0)</f>
        <v>Нет</v>
      </c>
      <c r="AI1867" s="30">
        <v>45078</v>
      </c>
      <c r="AJ1867" s="31">
        <v>15</v>
      </c>
      <c r="AM1867" s="12"/>
    </row>
    <row r="1868" spans="30:39" customFormat="1">
      <c r="AD1868" s="27" t="s">
        <v>136</v>
      </c>
      <c r="AE1868" s="28" t="str">
        <f>VLOOKUP(Таблица1_113[[#This Row],[Марка]],Таблица13[#All],4,0)</f>
        <v>Россия</v>
      </c>
      <c r="AF1868" s="28" t="str">
        <f>VLOOKUP(Таблица1_113[[#This Row],[Марка]],Таблица13[#All],2,0)</f>
        <v>Economy</v>
      </c>
      <c r="AG1868" s="28">
        <f>VLOOKUP(Таблица1_113[[#This Row],[Марка]],Таблица13[#All],3,0)</f>
        <v>1941</v>
      </c>
      <c r="AH1868" s="28" t="str">
        <f>VLOOKUP(Таблица1_113[[#This Row],[Марка]],Таблица13[#All],5,0)</f>
        <v>Нет</v>
      </c>
      <c r="AI1868" s="30">
        <v>45108</v>
      </c>
      <c r="AJ1868" s="31">
        <v>43</v>
      </c>
      <c r="AM1868" s="12"/>
    </row>
    <row r="1869" spans="30:39" customFormat="1">
      <c r="AD1869" s="27" t="s">
        <v>21</v>
      </c>
      <c r="AE1869" s="28" t="str">
        <f>VLOOKUP(Таблица1_113[[#This Row],[Марка]],Таблица13[#All],4,0)</f>
        <v>Германия</v>
      </c>
      <c r="AF1869" s="28" t="str">
        <f>VLOOKUP(Таблица1_113[[#This Row],[Марка]],Таблица13[#All],2,0)</f>
        <v>Business</v>
      </c>
      <c r="AG1869" s="28">
        <f>VLOOKUP(Таблица1_113[[#This Row],[Марка]],Таблица13[#All],3,0)</f>
        <v>1937</v>
      </c>
      <c r="AH1869" s="28" t="str">
        <f>VLOOKUP(Таблица1_113[[#This Row],[Марка]],Таблица13[#All],5,0)</f>
        <v>Нет</v>
      </c>
      <c r="AI1869" s="30">
        <v>45108</v>
      </c>
      <c r="AJ1869" s="31">
        <v>0</v>
      </c>
      <c r="AM1869" s="12"/>
    </row>
    <row r="1870" spans="30:39" customFormat="1">
      <c r="AD1870" s="27" t="s">
        <v>2</v>
      </c>
      <c r="AE1870" s="28" t="str">
        <f>VLOOKUP(Таблица1_113[[#This Row],[Марка]],Таблица13[#All],4,0)</f>
        <v>Япония</v>
      </c>
      <c r="AF1870" s="28" t="str">
        <f>VLOOKUP(Таблица1_113[[#This Row],[Марка]],Таблица13[#All],2,0)</f>
        <v>Business</v>
      </c>
      <c r="AG1870" s="28">
        <f>VLOOKUP(Таблица1_113[[#This Row],[Марка]],Таблица13[#All],3,0)</f>
        <v>1937</v>
      </c>
      <c r="AH1870" s="28" t="str">
        <f>VLOOKUP(Таблица1_113[[#This Row],[Марка]],Таблица13[#All],5,0)</f>
        <v>Нет</v>
      </c>
      <c r="AI1870" s="30">
        <v>45108</v>
      </c>
      <c r="AJ1870" s="31">
        <v>1178</v>
      </c>
      <c r="AM1870" s="12"/>
    </row>
    <row r="1871" spans="30:39" customFormat="1">
      <c r="AD1871" s="27" t="s">
        <v>20</v>
      </c>
      <c r="AE1871" s="28" t="str">
        <f>VLOOKUP(Таблица1_113[[#This Row],[Марка]],Таблица13[#All],4,0)</f>
        <v>Китай</v>
      </c>
      <c r="AF1871" s="28" t="str">
        <f>VLOOKUP(Таблица1_113[[#This Row],[Марка]],Таблица13[#All],2,0)</f>
        <v>Business</v>
      </c>
      <c r="AG1871" s="28">
        <f>VLOOKUP(Таблица1_113[[#This Row],[Марка]],Таблица13[#All],3,0)</f>
        <v>2021</v>
      </c>
      <c r="AH1871" s="28" t="str">
        <f>VLOOKUP(Таблица1_113[[#This Row],[Марка]],Таблица13[#All],5,0)</f>
        <v>Нет</v>
      </c>
      <c r="AI1871" s="30">
        <v>45108</v>
      </c>
      <c r="AJ1871" s="31">
        <v>91</v>
      </c>
      <c r="AM1871" s="12"/>
    </row>
    <row r="1872" spans="30:39" customFormat="1">
      <c r="AD1872" s="27" t="s">
        <v>125</v>
      </c>
      <c r="AE1872" s="28" t="str">
        <f>VLOOKUP(Таблица1_113[[#This Row],[Марка]],Таблица13[#All],4,0)</f>
        <v>Япония</v>
      </c>
      <c r="AF1872" s="28" t="str">
        <f>VLOOKUP(Таблица1_113[[#This Row],[Марка]],Таблица13[#All],2,0)</f>
        <v>Business</v>
      </c>
      <c r="AG1872" s="28">
        <f>VLOOKUP(Таблица1_113[[#This Row],[Марка]],Таблица13[#All],3,0)</f>
        <v>1953</v>
      </c>
      <c r="AH1872" s="28" t="str">
        <f>VLOOKUP(Таблица1_113[[#This Row],[Марка]],Таблица13[#All],5,0)</f>
        <v>Нет</v>
      </c>
      <c r="AI1872" s="30">
        <v>45108</v>
      </c>
      <c r="AJ1872" s="31">
        <v>209</v>
      </c>
      <c r="AM1872" s="12"/>
    </row>
    <row r="1873" spans="30:39" customFormat="1">
      <c r="AD1873" s="27" t="s">
        <v>37</v>
      </c>
      <c r="AE1873" s="28" t="str">
        <f>VLOOKUP(Таблица1_113[[#This Row],[Марка]],Таблица13[#All],4,0)</f>
        <v>Германия</v>
      </c>
      <c r="AF1873" s="28" t="str">
        <f>VLOOKUP(Таблица1_113[[#This Row],[Марка]],Таблица13[#All],2,0)</f>
        <v>Luxury</v>
      </c>
      <c r="AG1873" s="28">
        <f>VLOOKUP(Таблица1_113[[#This Row],[Марка]],Таблица13[#All],3,0)</f>
        <v>1931</v>
      </c>
      <c r="AH1873" s="28" t="str">
        <f>VLOOKUP(Таблица1_113[[#This Row],[Марка]],Таблица13[#All],5,0)</f>
        <v>Нет</v>
      </c>
      <c r="AI1873" s="30">
        <v>45108</v>
      </c>
      <c r="AJ1873" s="31">
        <v>41</v>
      </c>
      <c r="AM1873" s="12"/>
    </row>
    <row r="1874" spans="30:39" customFormat="1">
      <c r="AD1874" s="27" t="s">
        <v>126</v>
      </c>
      <c r="AE1874" s="28" t="str">
        <f>VLOOKUP(Таблица1_113[[#This Row],[Марка]],Таблица13[#All],4,0)</f>
        <v>Россия</v>
      </c>
      <c r="AF1874" s="28" t="str">
        <f>VLOOKUP(Таблица1_113[[#This Row],[Марка]],Таблица13[#All],2,0)</f>
        <v>Economy</v>
      </c>
      <c r="AG1874" s="28">
        <f>VLOOKUP(Таблица1_113[[#This Row],[Марка]],Таблица13[#All],3,0)</f>
        <v>2022</v>
      </c>
      <c r="AH1874" s="28" t="str">
        <f>VLOOKUP(Таблица1_113[[#This Row],[Марка]],Таблица13[#All],5,0)</f>
        <v>Нет</v>
      </c>
      <c r="AI1874" s="30">
        <v>45108</v>
      </c>
      <c r="AJ1874" s="31">
        <v>0</v>
      </c>
      <c r="AM1874" s="12"/>
    </row>
    <row r="1875" spans="30:39" customFormat="1">
      <c r="AD1875" s="27" t="s">
        <v>22</v>
      </c>
      <c r="AE1875" s="28" t="str">
        <f>VLOOKUP(Таблица1_113[[#This Row],[Марка]],Таблица13[#All],4,0)</f>
        <v>Япония</v>
      </c>
      <c r="AF1875" s="28" t="str">
        <f>VLOOKUP(Таблица1_113[[#This Row],[Марка]],Таблица13[#All],2,0)</f>
        <v>Business</v>
      </c>
      <c r="AG1875" s="28">
        <f>VLOOKUP(Таблица1_113[[#This Row],[Марка]],Таблица13[#All],3,0)</f>
        <v>1933</v>
      </c>
      <c r="AH1875" s="28" t="str">
        <f>VLOOKUP(Таблица1_113[[#This Row],[Марка]],Таблица13[#All],5,0)</f>
        <v>Нет</v>
      </c>
      <c r="AI1875" s="30">
        <v>45108</v>
      </c>
      <c r="AJ1875" s="31">
        <v>0</v>
      </c>
      <c r="AM1875" s="12"/>
    </row>
    <row r="1876" spans="30:39" customFormat="1">
      <c r="AD1876" s="27" t="s">
        <v>9</v>
      </c>
      <c r="AE1876" s="28" t="str">
        <f>VLOOKUP(Таблица1_113[[#This Row],[Марка]],Таблица13[#All],4,0)</f>
        <v>Япония</v>
      </c>
      <c r="AF1876" s="28" t="str">
        <f>VLOOKUP(Таблица1_113[[#This Row],[Марка]],Таблица13[#All],2,0)</f>
        <v>Business</v>
      </c>
      <c r="AG1876" s="28">
        <f>VLOOKUP(Таблица1_113[[#This Row],[Марка]],Таблица13[#All],3,0)</f>
        <v>1870</v>
      </c>
      <c r="AH1876" s="28" t="str">
        <f>VLOOKUP(Таблица1_113[[#This Row],[Марка]],Таблица13[#All],5,0)</f>
        <v>Нет</v>
      </c>
      <c r="AI1876" s="30">
        <v>45108</v>
      </c>
      <c r="AJ1876" s="31">
        <v>86</v>
      </c>
      <c r="AM1876" s="12"/>
    </row>
    <row r="1877" spans="30:39" customFormat="1">
      <c r="AD1877" s="27" t="s">
        <v>40</v>
      </c>
      <c r="AE1877" s="28" t="str">
        <f>VLOOKUP(Таблица1_113[[#This Row],[Марка]],Таблица13[#All],4,0)</f>
        <v>Великобритания</v>
      </c>
      <c r="AF1877" s="28" t="str">
        <f>VLOOKUP(Таблица1_113[[#This Row],[Марка]],Таблица13[#All],2,0)</f>
        <v>Luxury</v>
      </c>
      <c r="AG1877" s="28">
        <f>VLOOKUP(Таблица1_113[[#This Row],[Марка]],Таблица13[#All],3,0)</f>
        <v>1959</v>
      </c>
      <c r="AH1877" s="28" t="str">
        <f>VLOOKUP(Таблица1_113[[#This Row],[Марка]],Таблица13[#All],5,0)</f>
        <v>Нет</v>
      </c>
      <c r="AI1877" s="30">
        <v>45108</v>
      </c>
      <c r="AJ1877" s="31">
        <v>1</v>
      </c>
      <c r="AM1877" s="12"/>
    </row>
    <row r="1878" spans="30:39" customFormat="1">
      <c r="AD1878" s="27" t="s">
        <v>128</v>
      </c>
      <c r="AE1878" s="28" t="str">
        <f>VLOOKUP(Таблица1_113[[#This Row],[Марка]],Таблица13[#All],4,0)</f>
        <v>Германия</v>
      </c>
      <c r="AF1878" s="28" t="str">
        <f>VLOOKUP(Таблица1_113[[#This Row],[Марка]],Таблица13[#All],2,0)</f>
        <v>Luxury</v>
      </c>
      <c r="AG1878" s="28">
        <f>VLOOKUP(Таблица1_113[[#This Row],[Марка]],Таблица13[#All],3,0)</f>
        <v>1926</v>
      </c>
      <c r="AH1878" s="28" t="str">
        <f>VLOOKUP(Таблица1_113[[#This Row],[Марка]],Таблица13[#All],5,0)</f>
        <v>Нет</v>
      </c>
      <c r="AI1878" s="30">
        <v>45108</v>
      </c>
      <c r="AJ1878" s="31">
        <v>93</v>
      </c>
      <c r="AM1878" s="12"/>
    </row>
    <row r="1879" spans="30:39" customFormat="1">
      <c r="AD1879" s="27" t="s">
        <v>5</v>
      </c>
      <c r="AE1879" s="28" t="str">
        <f>VLOOKUP(Таблица1_113[[#This Row],[Марка]],Таблица13[#All],4,0)</f>
        <v>Япония</v>
      </c>
      <c r="AF1879" s="28" t="str">
        <f>VLOOKUP(Таблица1_113[[#This Row],[Марка]],Таблица13[#All],2,0)</f>
        <v>Luxury</v>
      </c>
      <c r="AG1879" s="28">
        <f>VLOOKUP(Таблица1_113[[#This Row],[Марка]],Таблица13[#All],3,0)</f>
        <v>1989</v>
      </c>
      <c r="AH1879" s="28" t="str">
        <f>VLOOKUP(Таблица1_113[[#This Row],[Марка]],Таблица13[#All],5,0)</f>
        <v>Нет</v>
      </c>
      <c r="AI1879" s="30">
        <v>45108</v>
      </c>
      <c r="AJ1879" s="31">
        <v>357</v>
      </c>
      <c r="AM1879" s="12"/>
    </row>
    <row r="1880" spans="30:39" customFormat="1">
      <c r="AD1880" s="27" t="s">
        <v>35</v>
      </c>
      <c r="AE1880" s="28" t="str">
        <f>VLOOKUP(Таблица1_113[[#This Row],[Марка]],Таблица13[#All],4,0)</f>
        <v>Великобритания</v>
      </c>
      <c r="AF1880" s="28" t="str">
        <f>VLOOKUP(Таблица1_113[[#This Row],[Марка]],Таблица13[#All],2,0)</f>
        <v>Luxury</v>
      </c>
      <c r="AG1880" s="28">
        <f>VLOOKUP(Таблица1_113[[#This Row],[Марка]],Таблица13[#All],3,0)</f>
        <v>1948</v>
      </c>
      <c r="AH1880" s="28" t="str">
        <f>VLOOKUP(Таблица1_113[[#This Row],[Марка]],Таблица13[#All],5,0)</f>
        <v>Нет</v>
      </c>
      <c r="AI1880" s="30">
        <v>45108</v>
      </c>
      <c r="AJ1880" s="31">
        <v>32</v>
      </c>
      <c r="AM1880" s="12"/>
    </row>
    <row r="1881" spans="30:39" customFormat="1">
      <c r="AD1881" s="27" t="s">
        <v>19</v>
      </c>
      <c r="AE1881" s="28" t="str">
        <f>VLOOKUP(Таблица1_113[[#This Row],[Марка]],Таблица13[#All],4,0)</f>
        <v>Россия</v>
      </c>
      <c r="AF1881" s="28" t="str">
        <f>VLOOKUP(Таблица1_113[[#This Row],[Марка]],Таблица13[#All],2,0)</f>
        <v>Economy</v>
      </c>
      <c r="AG1881" s="28">
        <f>VLOOKUP(Таблица1_113[[#This Row],[Марка]],Таблица13[#All],3,0)</f>
        <v>1970</v>
      </c>
      <c r="AH1881" s="28" t="str">
        <f>VLOOKUP(Таблица1_113[[#This Row],[Марка]],Таблица13[#All],5,0)</f>
        <v>Крупноузловая</v>
      </c>
      <c r="AI1881" s="30">
        <v>45108</v>
      </c>
      <c r="AJ1881" s="31">
        <v>194</v>
      </c>
      <c r="AM1881" s="12"/>
    </row>
    <row r="1882" spans="30:39" customFormat="1">
      <c r="AD1882" s="27" t="s">
        <v>15</v>
      </c>
      <c r="AE1882" s="28" t="str">
        <f>VLOOKUP(Таблица1_113[[#This Row],[Марка]],Таблица13[#All],4,0)</f>
        <v>Корея</v>
      </c>
      <c r="AF1882" s="28" t="str">
        <f>VLOOKUP(Таблица1_113[[#This Row],[Марка]],Таблица13[#All],2,0)</f>
        <v>Economy</v>
      </c>
      <c r="AG1882" s="28">
        <f>VLOOKUP(Таблица1_113[[#This Row],[Марка]],Таблица13[#All],3,0)</f>
        <v>1944</v>
      </c>
      <c r="AH1882" s="28" t="str">
        <f>VLOOKUP(Таблица1_113[[#This Row],[Марка]],Таблица13[#All],5,0)</f>
        <v>Крупноузловая</v>
      </c>
      <c r="AI1882" s="30">
        <v>45108</v>
      </c>
      <c r="AJ1882" s="31">
        <v>2331</v>
      </c>
      <c r="AM1882" s="12"/>
    </row>
    <row r="1883" spans="30:39" customFormat="1">
      <c r="AD1883" s="27" t="s">
        <v>17</v>
      </c>
      <c r="AE1883" s="28" t="str">
        <f>VLOOKUP(Таблица1_113[[#This Row],[Марка]],Таблица13[#All],4,0)</f>
        <v>Китай</v>
      </c>
      <c r="AF1883" s="28" t="str">
        <f>VLOOKUP(Таблица1_113[[#This Row],[Марка]],Таблица13[#All],2,0)</f>
        <v>Economy</v>
      </c>
      <c r="AG1883" s="28">
        <f>VLOOKUP(Таблица1_113[[#This Row],[Марка]],Таблица13[#All],3,0)</f>
        <v>2014</v>
      </c>
      <c r="AH1883" s="28" t="str">
        <f>VLOOKUP(Таблица1_113[[#This Row],[Марка]],Таблица13[#All],5,0)</f>
        <v>Нет</v>
      </c>
      <c r="AI1883" s="30">
        <v>45108</v>
      </c>
      <c r="AJ1883" s="31">
        <v>207</v>
      </c>
      <c r="AM1883" s="12"/>
    </row>
    <row r="1884" spans="30:39" customFormat="1">
      <c r="AD1884" s="27" t="s">
        <v>134</v>
      </c>
      <c r="AE1884" s="28" t="str">
        <f>VLOOKUP(Таблица1_113[[#This Row],[Марка]],Таблица13[#All],4,0)</f>
        <v>Великобритания</v>
      </c>
      <c r="AF1884" s="28" t="str">
        <f>VLOOKUP(Таблица1_113[[#This Row],[Марка]],Таблица13[#All],2,0)</f>
        <v>Luxury</v>
      </c>
      <c r="AG1884" s="28">
        <f>VLOOKUP(Таблица1_113[[#This Row],[Марка]],Таблица13[#All],3,0)</f>
        <v>1922</v>
      </c>
      <c r="AH1884" s="28" t="str">
        <f>VLOOKUP(Таблица1_113[[#This Row],[Марка]],Таблица13[#All],5,0)</f>
        <v>Нет</v>
      </c>
      <c r="AI1884" s="30">
        <v>45108</v>
      </c>
      <c r="AJ1884" s="31">
        <v>1</v>
      </c>
      <c r="AM1884" s="12"/>
    </row>
    <row r="1885" spans="30:39" customFormat="1">
      <c r="AD1885" s="27" t="s">
        <v>4</v>
      </c>
      <c r="AE1885" s="28" t="str">
        <f>VLOOKUP(Таблица1_113[[#This Row],[Марка]],Таблица13[#All],4,0)</f>
        <v>Китай</v>
      </c>
      <c r="AF1885" s="28" t="str">
        <f>VLOOKUP(Таблица1_113[[#This Row],[Марка]],Таблица13[#All],2,0)</f>
        <v>Economy</v>
      </c>
      <c r="AG1885" s="28">
        <f>VLOOKUP(Таблица1_113[[#This Row],[Марка]],Таблица13[#All],3,0)</f>
        <v>1964</v>
      </c>
      <c r="AH1885" s="28" t="str">
        <f>VLOOKUP(Таблица1_113[[#This Row],[Марка]],Таблица13[#All],5,0)</f>
        <v>Крупноузловая</v>
      </c>
      <c r="AI1885" s="30">
        <v>45108</v>
      </c>
      <c r="AJ1885" s="31">
        <v>827</v>
      </c>
      <c r="AM1885" s="12"/>
    </row>
    <row r="1886" spans="30:39" customFormat="1">
      <c r="AD1886" s="27" t="s">
        <v>34</v>
      </c>
      <c r="AE1886" s="28" t="str">
        <f>VLOOKUP(Таблица1_113[[#This Row],[Марка]],Таблица13[#All],4,0)</f>
        <v>Япония</v>
      </c>
      <c r="AF1886" s="28" t="str">
        <f>VLOOKUP(Таблица1_113[[#This Row],[Марка]],Таблица13[#All],2,0)</f>
        <v>Luxury</v>
      </c>
      <c r="AG1886" s="28">
        <f>VLOOKUP(Таблица1_113[[#This Row],[Марка]],Таблица13[#All],3,0)</f>
        <v>1989</v>
      </c>
      <c r="AH1886" s="28" t="str">
        <f>VLOOKUP(Таблица1_113[[#This Row],[Марка]],Таблица13[#All],5,0)</f>
        <v>Нет</v>
      </c>
      <c r="AI1886" s="30">
        <v>45108</v>
      </c>
      <c r="AJ1886" s="31">
        <v>60</v>
      </c>
      <c r="AM1886" s="12"/>
    </row>
    <row r="1887" spans="30:39" customFormat="1">
      <c r="AD1887" s="27" t="s">
        <v>0</v>
      </c>
      <c r="AE1887" s="28" t="str">
        <f>VLOOKUP(Таблица1_113[[#This Row],[Марка]],Таблица13[#All],4,0)</f>
        <v>Корея</v>
      </c>
      <c r="AF1887" s="28" t="str">
        <f>VLOOKUP(Таблица1_113[[#This Row],[Марка]],Таблица13[#All],2,0)</f>
        <v>Economy</v>
      </c>
      <c r="AG1887" s="28">
        <f>VLOOKUP(Таблица1_113[[#This Row],[Марка]],Таблица13[#All],3,0)</f>
        <v>1967</v>
      </c>
      <c r="AH1887" s="28" t="str">
        <f>VLOOKUP(Таблица1_113[[#This Row],[Марка]],Таблица13[#All],5,0)</f>
        <v>Крупноузловая</v>
      </c>
      <c r="AI1887" s="30">
        <v>45108</v>
      </c>
      <c r="AJ1887" s="31">
        <v>5168</v>
      </c>
      <c r="AM1887" s="12"/>
    </row>
    <row r="1888" spans="30:39" customFormat="1">
      <c r="AD1888" s="27" t="s">
        <v>131</v>
      </c>
      <c r="AE1888" s="28" t="str">
        <f>VLOOKUP(Таблица1_113[[#This Row],[Марка]],Таблица13[#All],4,0)</f>
        <v>Китай</v>
      </c>
      <c r="AF1888" s="28" t="str">
        <f>VLOOKUP(Таблица1_113[[#This Row],[Марка]],Таблица13[#All],2,0)</f>
        <v>Luxury</v>
      </c>
      <c r="AG1888" s="28">
        <f>VLOOKUP(Таблица1_113[[#This Row],[Марка]],Таблица13[#All],3,0)</f>
        <v>1958</v>
      </c>
      <c r="AH1888" s="28" t="str">
        <f>VLOOKUP(Таблица1_113[[#This Row],[Марка]],Таблица13[#All],5,0)</f>
        <v>Нет</v>
      </c>
      <c r="AI1888" s="30">
        <v>45108</v>
      </c>
      <c r="AJ1888" s="31">
        <v>0</v>
      </c>
      <c r="AM1888" s="12"/>
    </row>
    <row r="1889" spans="30:39" customFormat="1">
      <c r="AD1889" s="27" t="s">
        <v>6</v>
      </c>
      <c r="AE1889" s="28" t="str">
        <f>VLOOKUP(Таблица1_113[[#This Row],[Марка]],Таблица13[#All],4,0)</f>
        <v>Китай</v>
      </c>
      <c r="AF1889" s="28" t="str">
        <f>VLOOKUP(Таблица1_113[[#This Row],[Марка]],Таблица13[#All],2,0)</f>
        <v>Economy</v>
      </c>
      <c r="AG1889" s="28">
        <f>VLOOKUP(Таблица1_113[[#This Row],[Марка]],Таблица13[#All],3,0)</f>
        <v>2013</v>
      </c>
      <c r="AH1889" s="28" t="str">
        <f>VLOOKUP(Таблица1_113[[#This Row],[Марка]],Таблица13[#All],5,0)</f>
        <v>Крупноузловая</v>
      </c>
      <c r="AI1889" s="30">
        <v>45108</v>
      </c>
      <c r="AJ1889" s="31">
        <v>803</v>
      </c>
      <c r="AM1889" s="12"/>
    </row>
    <row r="1890" spans="30:39" customFormat="1">
      <c r="AD1890" s="27" t="s">
        <v>132</v>
      </c>
      <c r="AE1890" s="28" t="str">
        <f>VLOOKUP(Таблица1_113[[#This Row],[Марка]],Таблица13[#All],4,0)</f>
        <v>Китай</v>
      </c>
      <c r="AF1890" s="28" t="str">
        <f>VLOOKUP(Таблица1_113[[#This Row],[Марка]],Таблица13[#All],2,0)</f>
        <v>Economy</v>
      </c>
      <c r="AG1890" s="28">
        <f>VLOOKUP(Таблица1_113[[#This Row],[Марка]],Таблица13[#All],3,0)</f>
        <v>1984</v>
      </c>
      <c r="AH1890" s="28" t="str">
        <f>VLOOKUP(Таблица1_113[[#This Row],[Марка]],Таблица13[#All],5,0)</f>
        <v>Нет</v>
      </c>
      <c r="AI1890" s="30">
        <v>45108</v>
      </c>
      <c r="AJ1890" s="31">
        <v>29</v>
      </c>
      <c r="AM1890" s="12"/>
    </row>
    <row r="1891" spans="30:39" customFormat="1">
      <c r="AD1891" s="27" t="s">
        <v>138</v>
      </c>
      <c r="AE1891" s="28" t="str">
        <f>VLOOKUP(Таблица1_113[[#This Row],[Марка]],Таблица13[#All],4,0)</f>
        <v>Корея</v>
      </c>
      <c r="AF1891" s="28" t="str">
        <f>VLOOKUP(Таблица1_113[[#This Row],[Марка]],Таблица13[#All],2,0)</f>
        <v>Luxury</v>
      </c>
      <c r="AG1891" s="28">
        <f>VLOOKUP(Таблица1_113[[#This Row],[Марка]],Таблица13[#All],3,0)</f>
        <v>2015</v>
      </c>
      <c r="AH1891" s="28" t="str">
        <f>VLOOKUP(Таблица1_113[[#This Row],[Марка]],Таблица13[#All],5,0)</f>
        <v>Нет</v>
      </c>
      <c r="AI1891" s="30">
        <v>45108</v>
      </c>
      <c r="AJ1891" s="31">
        <v>0</v>
      </c>
      <c r="AM1891" s="12"/>
    </row>
    <row r="1892" spans="30:39" customFormat="1">
      <c r="AD1892" s="27" t="s">
        <v>18</v>
      </c>
      <c r="AE1892" s="28" t="str">
        <f>VLOOKUP(Таблица1_113[[#This Row],[Марка]],Таблица13[#All],4,0)</f>
        <v>Китай</v>
      </c>
      <c r="AF1892" s="28" t="str">
        <f>VLOOKUP(Таблица1_113[[#This Row],[Марка]],Таблица13[#All],2,0)</f>
        <v>Economy</v>
      </c>
      <c r="AG1892" s="28">
        <f>VLOOKUP(Таблица1_113[[#This Row],[Марка]],Таблица13[#All],3,0)</f>
        <v>1986</v>
      </c>
      <c r="AH1892" s="28" t="str">
        <f>VLOOKUP(Таблица1_113[[#This Row],[Марка]],Таблица13[#All],5,0)</f>
        <v>Крупноузловая</v>
      </c>
      <c r="AI1892" s="30">
        <v>45108</v>
      </c>
      <c r="AJ1892" s="31">
        <v>332</v>
      </c>
      <c r="AM1892" s="12"/>
    </row>
    <row r="1893" spans="30:39" customFormat="1">
      <c r="AD1893" s="27" t="s">
        <v>127</v>
      </c>
      <c r="AE1893" s="28" t="str">
        <f>VLOOKUP(Таблица1_113[[#This Row],[Марка]],Таблица13[#All],4,0)</f>
        <v>Китай</v>
      </c>
      <c r="AF1893" s="28" t="str">
        <f>VLOOKUP(Таблица1_113[[#This Row],[Марка]],Таблица13[#All],2,0)</f>
        <v>Economy</v>
      </c>
      <c r="AG1893" s="28">
        <f>VLOOKUP(Таблица1_113[[#This Row],[Марка]],Таблица13[#All],3,0)</f>
        <v>1997</v>
      </c>
      <c r="AH1893" s="28" t="str">
        <f>VLOOKUP(Таблица1_113[[#This Row],[Марка]],Таблица13[#All],5,0)</f>
        <v>Нет</v>
      </c>
      <c r="AI1893" s="30">
        <v>45108</v>
      </c>
      <c r="AJ1893" s="31">
        <v>0</v>
      </c>
      <c r="AM1893" s="12"/>
    </row>
    <row r="1894" spans="30:39" customFormat="1">
      <c r="AD1894" s="27" t="s">
        <v>133</v>
      </c>
      <c r="AE1894" s="28" t="str">
        <f>VLOOKUP(Таблица1_113[[#This Row],[Марка]],Таблица13[#All],4,0)</f>
        <v>Китай</v>
      </c>
      <c r="AF1894" s="28" t="str">
        <f>VLOOKUP(Таблица1_113[[#This Row],[Марка]],Таблица13[#All],2,0)</f>
        <v>Economy</v>
      </c>
      <c r="AG1894" s="28">
        <f>VLOOKUP(Таблица1_113[[#This Row],[Марка]],Таблица13[#All],3,0)</f>
        <v>1996</v>
      </c>
      <c r="AH1894" s="28" t="str">
        <f>VLOOKUP(Таблица1_113[[#This Row],[Марка]],Таблица13[#All],5,0)</f>
        <v>Нет</v>
      </c>
      <c r="AI1894" s="30">
        <v>45108</v>
      </c>
      <c r="AJ1894" s="31">
        <v>9</v>
      </c>
      <c r="AM1894" s="12"/>
    </row>
    <row r="1895" spans="30:39" customFormat="1">
      <c r="AD1895" s="27" t="s">
        <v>129</v>
      </c>
      <c r="AE1895" s="28" t="str">
        <f>VLOOKUP(Таблица1_113[[#This Row],[Марка]],Таблица13[#All],4,0)</f>
        <v>Китай</v>
      </c>
      <c r="AF1895" s="28" t="str">
        <f>VLOOKUP(Таблица1_113[[#This Row],[Марка]],Таблица13[#All],2,0)</f>
        <v>Economy</v>
      </c>
      <c r="AG1895" s="28">
        <f>VLOOKUP(Таблица1_113[[#This Row],[Марка]],Таблица13[#All],3,0)</f>
        <v>1953</v>
      </c>
      <c r="AH1895" s="28" t="str">
        <f>VLOOKUP(Таблица1_113[[#This Row],[Марка]],Таблица13[#All],5,0)</f>
        <v>Нет</v>
      </c>
      <c r="AI1895" s="30">
        <v>45108</v>
      </c>
      <c r="AJ1895" s="31">
        <v>28</v>
      </c>
      <c r="AM1895" s="12"/>
    </row>
    <row r="1896" spans="30:39" customFormat="1">
      <c r="AD1896" s="27" t="s">
        <v>7</v>
      </c>
      <c r="AE1896" s="28" t="str">
        <f>VLOOKUP(Таблица1_113[[#This Row],[Марка]],Таблица13[#All],4,0)</f>
        <v>Китай</v>
      </c>
      <c r="AF1896" s="28" t="str">
        <f>VLOOKUP(Таблица1_113[[#This Row],[Марка]],Таблица13[#All],2,0)</f>
        <v>Business</v>
      </c>
      <c r="AG1896" s="28">
        <f>VLOOKUP(Таблица1_113[[#This Row],[Марка]],Таблица13[#All],3,0)</f>
        <v>2017</v>
      </c>
      <c r="AH1896" s="28" t="str">
        <f>VLOOKUP(Таблица1_113[[#This Row],[Марка]],Таблица13[#All],5,0)</f>
        <v>Нет</v>
      </c>
      <c r="AI1896" s="30">
        <v>45108</v>
      </c>
      <c r="AJ1896" s="31">
        <v>322</v>
      </c>
      <c r="AM1896" s="12"/>
    </row>
    <row r="1897" spans="30:39" customFormat="1">
      <c r="AD1897" s="27" t="s">
        <v>130</v>
      </c>
      <c r="AE1897" s="28" t="str">
        <f>VLOOKUP(Таблица1_113[[#This Row],[Марка]],Таблица13[#All],4,0)</f>
        <v>Китай</v>
      </c>
      <c r="AF1897" s="28" t="str">
        <f>VLOOKUP(Таблица1_113[[#This Row],[Марка]],Таблица13[#All],2,0)</f>
        <v>Economy</v>
      </c>
      <c r="AG1897" s="28">
        <f>VLOOKUP(Таблица1_113[[#This Row],[Марка]],Таблица13[#All],3,0)</f>
        <v>1969</v>
      </c>
      <c r="AH1897" s="28" t="str">
        <f>VLOOKUP(Таблица1_113[[#This Row],[Марка]],Таблица13[#All],5,0)</f>
        <v>Нет</v>
      </c>
      <c r="AI1897" s="30">
        <v>45108</v>
      </c>
      <c r="AJ1897" s="31">
        <v>1</v>
      </c>
      <c r="AM1897" s="12"/>
    </row>
    <row r="1898" spans="30:39" customFormat="1">
      <c r="AD1898" s="27" t="s">
        <v>137</v>
      </c>
      <c r="AE1898" s="28" t="str">
        <f>VLOOKUP(Таблица1_113[[#This Row],[Марка]],Таблица13[#All],4,0)</f>
        <v>Корея</v>
      </c>
      <c r="AF1898" s="28" t="str">
        <f>VLOOKUP(Таблица1_113[[#This Row],[Марка]],Таблица13[#All],2,0)</f>
        <v>Economy</v>
      </c>
      <c r="AG1898" s="28">
        <f>VLOOKUP(Таблица1_113[[#This Row],[Марка]],Таблица13[#All],3,0)</f>
        <v>1967</v>
      </c>
      <c r="AH1898" s="28" t="str">
        <f>VLOOKUP(Таблица1_113[[#This Row],[Марка]],Таблица13[#All],5,0)</f>
        <v>Нет</v>
      </c>
      <c r="AI1898" s="30">
        <v>45108</v>
      </c>
      <c r="AJ1898" s="31">
        <v>0</v>
      </c>
      <c r="AM1898" s="12"/>
    </row>
    <row r="1899" spans="30:39" customFormat="1">
      <c r="AD1899" s="27" t="s">
        <v>1</v>
      </c>
      <c r="AE1899" s="28" t="str">
        <f>VLOOKUP(Таблица1_113[[#This Row],[Марка]],Таблица13[#All],4,0)</f>
        <v>США</v>
      </c>
      <c r="AF1899" s="28" t="str">
        <f>VLOOKUP(Таблица1_113[[#This Row],[Марка]],Таблица13[#All],2,0)</f>
        <v>Economy</v>
      </c>
      <c r="AG1899" s="28">
        <f>VLOOKUP(Таблица1_113[[#This Row],[Марка]],Таблица13[#All],3,0)</f>
        <v>1911</v>
      </c>
      <c r="AH1899" s="28" t="str">
        <f>VLOOKUP(Таблица1_113[[#This Row],[Марка]],Таблица13[#All],5,0)</f>
        <v>Крупноузловая</v>
      </c>
      <c r="AI1899" s="30">
        <v>45108</v>
      </c>
      <c r="AJ1899" s="31">
        <v>3751</v>
      </c>
      <c r="AM1899" s="12"/>
    </row>
    <row r="1900" spans="30:39" customFormat="1">
      <c r="AD1900" s="27" t="s">
        <v>3</v>
      </c>
      <c r="AE1900" s="28" t="str">
        <f>VLOOKUP(Таблица1_113[[#This Row],[Марка]],Таблица13[#All],4,0)</f>
        <v>Китай</v>
      </c>
      <c r="AF1900" s="28" t="str">
        <f>VLOOKUP(Таблица1_113[[#This Row],[Марка]],Таблица13[#All],2,0)</f>
        <v>Economy</v>
      </c>
      <c r="AG1900" s="28">
        <f>VLOOKUP(Таблица1_113[[#This Row],[Марка]],Таблица13[#All],3,0)</f>
        <v>1997</v>
      </c>
      <c r="AH1900" s="28" t="str">
        <f>VLOOKUP(Таблица1_113[[#This Row],[Марка]],Таблица13[#All],5,0)</f>
        <v>Крупноузловая</v>
      </c>
      <c r="AI1900" s="30">
        <v>45108</v>
      </c>
      <c r="AJ1900" s="31">
        <v>1015</v>
      </c>
      <c r="AM1900" s="12"/>
    </row>
    <row r="1901" spans="30:39" customFormat="1">
      <c r="AD1901" s="27" t="s">
        <v>124</v>
      </c>
      <c r="AE1901" s="28" t="str">
        <f>VLOOKUP(Таблица1_113[[#This Row],[Марка]],Таблица13[#All],4,0)</f>
        <v>Китай</v>
      </c>
      <c r="AF1901" s="28" t="str">
        <f>VLOOKUP(Таблица1_113[[#This Row],[Марка]],Таблица13[#All],2,0)</f>
        <v>Economy</v>
      </c>
      <c r="AG1901" s="28">
        <f>VLOOKUP(Таблица1_113[[#This Row],[Марка]],Таблица13[#All],3,0)</f>
        <v>1862</v>
      </c>
      <c r="AH1901" s="28" t="str">
        <f>VLOOKUP(Таблица1_113[[#This Row],[Марка]],Таблица13[#All],5,0)</f>
        <v>Нет</v>
      </c>
      <c r="AI1901" s="30">
        <v>45108</v>
      </c>
      <c r="AJ1901" s="31">
        <v>713</v>
      </c>
      <c r="AM1901" s="12"/>
    </row>
    <row r="1902" spans="30:39" customFormat="1">
      <c r="AD1902" s="27" t="s">
        <v>36</v>
      </c>
      <c r="AE1902" s="28" t="str">
        <f>VLOOKUP(Таблица1_113[[#This Row],[Марка]],Таблица13[#All],4,0)</f>
        <v>США</v>
      </c>
      <c r="AF1902" s="28" t="str">
        <f>VLOOKUP(Таблица1_113[[#This Row],[Марка]],Таблица13[#All],2,0)</f>
        <v>Luxury</v>
      </c>
      <c r="AG1902" s="28">
        <f>VLOOKUP(Таблица1_113[[#This Row],[Марка]],Таблица13[#All],3,0)</f>
        <v>1902</v>
      </c>
      <c r="AH1902" s="28" t="str">
        <f>VLOOKUP(Таблица1_113[[#This Row],[Марка]],Таблица13[#All],5,0)</f>
        <v>Нет</v>
      </c>
      <c r="AI1902" s="30">
        <v>45108</v>
      </c>
      <c r="AJ1902" s="31">
        <v>30</v>
      </c>
      <c r="AM1902" s="12"/>
    </row>
    <row r="1903" spans="30:39" customFormat="1">
      <c r="AD1903" s="27" t="s">
        <v>8</v>
      </c>
      <c r="AE1903" s="28" t="str">
        <f>VLOOKUP(Таблица1_113[[#This Row],[Марка]],Таблица13[#All],4,0)</f>
        <v>Германия</v>
      </c>
      <c r="AF1903" s="28" t="str">
        <f>VLOOKUP(Таблица1_113[[#This Row],[Марка]],Таблица13[#All],2,0)</f>
        <v>Luxury</v>
      </c>
      <c r="AG1903" s="28">
        <f>VLOOKUP(Таблица1_113[[#This Row],[Марка]],Таблица13[#All],3,0)</f>
        <v>1916</v>
      </c>
      <c r="AH1903" s="28" t="str">
        <f>VLOOKUP(Таблица1_113[[#This Row],[Марка]],Таблица13[#All],5,0)</f>
        <v>Нет</v>
      </c>
      <c r="AI1903" s="30">
        <v>45108</v>
      </c>
      <c r="AJ1903" s="31">
        <v>123</v>
      </c>
      <c r="AM1903" s="12"/>
    </row>
    <row r="1904" spans="30:39" customFormat="1">
      <c r="AD1904" s="27" t="s">
        <v>38</v>
      </c>
      <c r="AE1904" s="28" t="str">
        <f>VLOOKUP(Таблица1_113[[#This Row],[Марка]],Таблица13[#All],4,0)</f>
        <v>Германия</v>
      </c>
      <c r="AF1904" s="28" t="str">
        <f>VLOOKUP(Таблица1_113[[#This Row],[Марка]],Таблица13[#All],2,0)</f>
        <v>Luxury</v>
      </c>
      <c r="AG1904" s="28">
        <f>VLOOKUP(Таблица1_113[[#This Row],[Марка]],Таблица13[#All],3,0)</f>
        <v>1932</v>
      </c>
      <c r="AH1904" s="28" t="str">
        <f>VLOOKUP(Таблица1_113[[#This Row],[Марка]],Таблица13[#All],5,0)</f>
        <v>Нет</v>
      </c>
      <c r="AI1904" s="30">
        <v>45108</v>
      </c>
      <c r="AJ1904" s="31">
        <v>52</v>
      </c>
      <c r="AM1904" s="12"/>
    </row>
    <row r="1905" spans="30:39" customFormat="1">
      <c r="AD1905" s="27" t="s">
        <v>136</v>
      </c>
      <c r="AE1905" s="28" t="str">
        <f>VLOOKUP(Таблица1_113[[#This Row],[Марка]],Таблица13[#All],4,0)</f>
        <v>Россия</v>
      </c>
      <c r="AF1905" s="28" t="str">
        <f>VLOOKUP(Таблица1_113[[#This Row],[Марка]],Таблица13[#All],2,0)</f>
        <v>Economy</v>
      </c>
      <c r="AG1905" s="28">
        <f>VLOOKUP(Таблица1_113[[#This Row],[Марка]],Таблица13[#All],3,0)</f>
        <v>1941</v>
      </c>
      <c r="AH1905" s="28" t="str">
        <f>VLOOKUP(Таблица1_113[[#This Row],[Марка]],Таблица13[#All],5,0)</f>
        <v>Нет</v>
      </c>
      <c r="AI1905" s="30">
        <v>45139</v>
      </c>
      <c r="AJ1905" s="31">
        <v>50</v>
      </c>
      <c r="AM1905" s="12"/>
    </row>
    <row r="1906" spans="30:39" customFormat="1">
      <c r="AD1906" s="27" t="s">
        <v>21</v>
      </c>
      <c r="AE1906" s="28" t="str">
        <f>VLOOKUP(Таблица1_113[[#This Row],[Марка]],Таблица13[#All],4,0)</f>
        <v>Германия</v>
      </c>
      <c r="AF1906" s="28" t="str">
        <f>VLOOKUP(Таблица1_113[[#This Row],[Марка]],Таблица13[#All],2,0)</f>
        <v>Business</v>
      </c>
      <c r="AG1906" s="28">
        <f>VLOOKUP(Таблица1_113[[#This Row],[Марка]],Таблица13[#All],3,0)</f>
        <v>1937</v>
      </c>
      <c r="AH1906" s="28" t="str">
        <f>VLOOKUP(Таблица1_113[[#This Row],[Марка]],Таблица13[#All],5,0)</f>
        <v>Нет</v>
      </c>
      <c r="AI1906" s="30">
        <v>45139</v>
      </c>
      <c r="AJ1906" s="31">
        <v>0</v>
      </c>
      <c r="AM1906" s="12"/>
    </row>
    <row r="1907" spans="30:39" customFormat="1">
      <c r="AD1907" s="27" t="s">
        <v>2</v>
      </c>
      <c r="AE1907" s="28" t="str">
        <f>VLOOKUP(Таблица1_113[[#This Row],[Марка]],Таблица13[#All],4,0)</f>
        <v>Япония</v>
      </c>
      <c r="AF1907" s="28" t="str">
        <f>VLOOKUP(Таблица1_113[[#This Row],[Марка]],Таблица13[#All],2,0)</f>
        <v>Business</v>
      </c>
      <c r="AG1907" s="28">
        <f>VLOOKUP(Таблица1_113[[#This Row],[Марка]],Таблица13[#All],3,0)</f>
        <v>1937</v>
      </c>
      <c r="AH1907" s="28" t="str">
        <f>VLOOKUP(Таблица1_113[[#This Row],[Марка]],Таблица13[#All],5,0)</f>
        <v>Нет</v>
      </c>
      <c r="AI1907" s="30">
        <v>45139</v>
      </c>
      <c r="AJ1907" s="31">
        <v>847</v>
      </c>
      <c r="AM1907" s="12"/>
    </row>
    <row r="1908" spans="30:39" customFormat="1">
      <c r="AD1908" s="27" t="s">
        <v>20</v>
      </c>
      <c r="AE1908" s="28" t="str">
        <f>VLOOKUP(Таблица1_113[[#This Row],[Марка]],Таблица13[#All],4,0)</f>
        <v>Китай</v>
      </c>
      <c r="AF1908" s="28" t="str">
        <f>VLOOKUP(Таблица1_113[[#This Row],[Марка]],Таблица13[#All],2,0)</f>
        <v>Business</v>
      </c>
      <c r="AG1908" s="28">
        <f>VLOOKUP(Таблица1_113[[#This Row],[Марка]],Таблица13[#All],3,0)</f>
        <v>2021</v>
      </c>
      <c r="AH1908" s="28" t="str">
        <f>VLOOKUP(Таблица1_113[[#This Row],[Марка]],Таблица13[#All],5,0)</f>
        <v>Нет</v>
      </c>
      <c r="AI1908" s="30">
        <v>45139</v>
      </c>
      <c r="AJ1908" s="31">
        <v>184</v>
      </c>
      <c r="AM1908" s="12"/>
    </row>
    <row r="1909" spans="30:39" customFormat="1">
      <c r="AD1909" s="27" t="s">
        <v>125</v>
      </c>
      <c r="AE1909" s="28" t="str">
        <f>VLOOKUP(Таблица1_113[[#This Row],[Марка]],Таблица13[#All],4,0)</f>
        <v>Япония</v>
      </c>
      <c r="AF1909" s="28" t="str">
        <f>VLOOKUP(Таблица1_113[[#This Row],[Марка]],Таблица13[#All],2,0)</f>
        <v>Business</v>
      </c>
      <c r="AG1909" s="28">
        <f>VLOOKUP(Таблица1_113[[#This Row],[Марка]],Таблица13[#All],3,0)</f>
        <v>1953</v>
      </c>
      <c r="AH1909" s="28" t="str">
        <f>VLOOKUP(Таблица1_113[[#This Row],[Марка]],Таблица13[#All],5,0)</f>
        <v>Нет</v>
      </c>
      <c r="AI1909" s="30">
        <v>45139</v>
      </c>
      <c r="AJ1909" s="31">
        <v>111</v>
      </c>
      <c r="AM1909" s="12"/>
    </row>
    <row r="1910" spans="30:39" customFormat="1">
      <c r="AD1910" s="27" t="s">
        <v>37</v>
      </c>
      <c r="AE1910" s="28" t="str">
        <f>VLOOKUP(Таблица1_113[[#This Row],[Марка]],Таблица13[#All],4,0)</f>
        <v>Германия</v>
      </c>
      <c r="AF1910" s="28" t="str">
        <f>VLOOKUP(Таблица1_113[[#This Row],[Марка]],Таблица13[#All],2,0)</f>
        <v>Luxury</v>
      </c>
      <c r="AG1910" s="28">
        <f>VLOOKUP(Таблица1_113[[#This Row],[Марка]],Таблица13[#All],3,0)</f>
        <v>1931</v>
      </c>
      <c r="AH1910" s="28" t="str">
        <f>VLOOKUP(Таблица1_113[[#This Row],[Марка]],Таблица13[#All],5,0)</f>
        <v>Нет</v>
      </c>
      <c r="AI1910" s="30">
        <v>45139</v>
      </c>
      <c r="AJ1910" s="31">
        <v>56</v>
      </c>
      <c r="AM1910" s="12"/>
    </row>
    <row r="1911" spans="30:39" customFormat="1">
      <c r="AD1911" s="27" t="s">
        <v>126</v>
      </c>
      <c r="AE1911" s="28" t="str">
        <f>VLOOKUP(Таблица1_113[[#This Row],[Марка]],Таблица13[#All],4,0)</f>
        <v>Россия</v>
      </c>
      <c r="AF1911" s="28" t="str">
        <f>VLOOKUP(Таблица1_113[[#This Row],[Марка]],Таблица13[#All],2,0)</f>
        <v>Economy</v>
      </c>
      <c r="AG1911" s="28">
        <f>VLOOKUP(Таблица1_113[[#This Row],[Марка]],Таблица13[#All],3,0)</f>
        <v>2022</v>
      </c>
      <c r="AH1911" s="28" t="str">
        <f>VLOOKUP(Таблица1_113[[#This Row],[Марка]],Таблица13[#All],5,0)</f>
        <v>Нет</v>
      </c>
      <c r="AI1911" s="30">
        <v>45139</v>
      </c>
      <c r="AJ1911" s="31">
        <v>162</v>
      </c>
      <c r="AM1911" s="12"/>
    </row>
    <row r="1912" spans="30:39" customFormat="1">
      <c r="AD1912" s="27" t="s">
        <v>22</v>
      </c>
      <c r="AE1912" s="28" t="str">
        <f>VLOOKUP(Таблица1_113[[#This Row],[Марка]],Таблица13[#All],4,0)</f>
        <v>Япония</v>
      </c>
      <c r="AF1912" s="28" t="str">
        <f>VLOOKUP(Таблица1_113[[#This Row],[Марка]],Таблица13[#All],2,0)</f>
        <v>Business</v>
      </c>
      <c r="AG1912" s="28">
        <f>VLOOKUP(Таблица1_113[[#This Row],[Марка]],Таблица13[#All],3,0)</f>
        <v>1933</v>
      </c>
      <c r="AH1912" s="28" t="str">
        <f>VLOOKUP(Таблица1_113[[#This Row],[Марка]],Таблица13[#All],5,0)</f>
        <v>Нет</v>
      </c>
      <c r="AI1912" s="30">
        <v>45139</v>
      </c>
      <c r="AJ1912" s="31">
        <v>0</v>
      </c>
      <c r="AM1912" s="12"/>
    </row>
    <row r="1913" spans="30:39" customFormat="1">
      <c r="AD1913" s="27" t="s">
        <v>9</v>
      </c>
      <c r="AE1913" s="28" t="str">
        <f>VLOOKUP(Таблица1_113[[#This Row],[Марка]],Таблица13[#All],4,0)</f>
        <v>Япония</v>
      </c>
      <c r="AF1913" s="28" t="str">
        <f>VLOOKUP(Таблица1_113[[#This Row],[Марка]],Таблица13[#All],2,0)</f>
        <v>Business</v>
      </c>
      <c r="AG1913" s="28">
        <f>VLOOKUP(Таблица1_113[[#This Row],[Марка]],Таблица13[#All],3,0)</f>
        <v>1870</v>
      </c>
      <c r="AH1913" s="28" t="str">
        <f>VLOOKUP(Таблица1_113[[#This Row],[Марка]],Таблица13[#All],5,0)</f>
        <v>Нет</v>
      </c>
      <c r="AI1913" s="30">
        <v>45139</v>
      </c>
      <c r="AJ1913" s="31">
        <v>13</v>
      </c>
      <c r="AM1913" s="12"/>
    </row>
    <row r="1914" spans="30:39" customFormat="1">
      <c r="AD1914" s="27" t="s">
        <v>40</v>
      </c>
      <c r="AE1914" s="28" t="str">
        <f>VLOOKUP(Таблица1_113[[#This Row],[Марка]],Таблица13[#All],4,0)</f>
        <v>Великобритания</v>
      </c>
      <c r="AF1914" s="28" t="str">
        <f>VLOOKUP(Таблица1_113[[#This Row],[Марка]],Таблица13[#All],2,0)</f>
        <v>Luxury</v>
      </c>
      <c r="AG1914" s="28">
        <f>VLOOKUP(Таблица1_113[[#This Row],[Марка]],Таблица13[#All],3,0)</f>
        <v>1959</v>
      </c>
      <c r="AH1914" s="28" t="str">
        <f>VLOOKUP(Таблица1_113[[#This Row],[Марка]],Таблица13[#All],5,0)</f>
        <v>Нет</v>
      </c>
      <c r="AI1914" s="30">
        <v>45139</v>
      </c>
      <c r="AJ1914" s="31">
        <v>9</v>
      </c>
      <c r="AM1914" s="12"/>
    </row>
    <row r="1915" spans="30:39" customFormat="1">
      <c r="AD1915" s="27" t="s">
        <v>128</v>
      </c>
      <c r="AE1915" s="28" t="str">
        <f>VLOOKUP(Таблица1_113[[#This Row],[Марка]],Таблица13[#All],4,0)</f>
        <v>Германия</v>
      </c>
      <c r="AF1915" s="28" t="str">
        <f>VLOOKUP(Таблица1_113[[#This Row],[Марка]],Таблица13[#All],2,0)</f>
        <v>Luxury</v>
      </c>
      <c r="AG1915" s="28">
        <f>VLOOKUP(Таблица1_113[[#This Row],[Марка]],Таблица13[#All],3,0)</f>
        <v>1926</v>
      </c>
      <c r="AH1915" s="28" t="str">
        <f>VLOOKUP(Таблица1_113[[#This Row],[Марка]],Таблица13[#All],5,0)</f>
        <v>Нет</v>
      </c>
      <c r="AI1915" s="30">
        <v>45139</v>
      </c>
      <c r="AJ1915" s="31">
        <v>69</v>
      </c>
      <c r="AM1915" s="12"/>
    </row>
    <row r="1916" spans="30:39" customFormat="1">
      <c r="AD1916" s="27" t="s">
        <v>5</v>
      </c>
      <c r="AE1916" s="28" t="str">
        <f>VLOOKUP(Таблица1_113[[#This Row],[Марка]],Таблица13[#All],4,0)</f>
        <v>Япония</v>
      </c>
      <c r="AF1916" s="28" t="str">
        <f>VLOOKUP(Таблица1_113[[#This Row],[Марка]],Таблица13[#All],2,0)</f>
        <v>Luxury</v>
      </c>
      <c r="AG1916" s="28">
        <f>VLOOKUP(Таблица1_113[[#This Row],[Марка]],Таблица13[#All],3,0)</f>
        <v>1989</v>
      </c>
      <c r="AH1916" s="28" t="str">
        <f>VLOOKUP(Таблица1_113[[#This Row],[Марка]],Таблица13[#All],5,0)</f>
        <v>Нет</v>
      </c>
      <c r="AI1916" s="30">
        <v>45139</v>
      </c>
      <c r="AJ1916" s="31">
        <v>343</v>
      </c>
      <c r="AM1916" s="12"/>
    </row>
    <row r="1917" spans="30:39" customFormat="1">
      <c r="AD1917" s="27" t="s">
        <v>35</v>
      </c>
      <c r="AE1917" s="28" t="str">
        <f>VLOOKUP(Таблица1_113[[#This Row],[Марка]],Таблица13[#All],4,0)</f>
        <v>Великобритания</v>
      </c>
      <c r="AF1917" s="28" t="str">
        <f>VLOOKUP(Таблица1_113[[#This Row],[Марка]],Таблица13[#All],2,0)</f>
        <v>Luxury</v>
      </c>
      <c r="AG1917" s="28">
        <f>VLOOKUP(Таблица1_113[[#This Row],[Марка]],Таблица13[#All],3,0)</f>
        <v>1948</v>
      </c>
      <c r="AH1917" s="28" t="str">
        <f>VLOOKUP(Таблица1_113[[#This Row],[Марка]],Таблица13[#All],5,0)</f>
        <v>Нет</v>
      </c>
      <c r="AI1917" s="30">
        <v>45139</v>
      </c>
      <c r="AJ1917" s="31">
        <v>42</v>
      </c>
      <c r="AM1917" s="12"/>
    </row>
    <row r="1918" spans="30:39" customFormat="1">
      <c r="AD1918" s="27" t="s">
        <v>19</v>
      </c>
      <c r="AE1918" s="28" t="str">
        <f>VLOOKUP(Таблица1_113[[#This Row],[Марка]],Таблица13[#All],4,0)</f>
        <v>Россия</v>
      </c>
      <c r="AF1918" s="28" t="str">
        <f>VLOOKUP(Таблица1_113[[#This Row],[Марка]],Таблица13[#All],2,0)</f>
        <v>Economy</v>
      </c>
      <c r="AG1918" s="28">
        <f>VLOOKUP(Таблица1_113[[#This Row],[Марка]],Таблица13[#All],3,0)</f>
        <v>1970</v>
      </c>
      <c r="AH1918" s="28" t="str">
        <f>VLOOKUP(Таблица1_113[[#This Row],[Марка]],Таблица13[#All],5,0)</f>
        <v>Крупноузловая</v>
      </c>
      <c r="AI1918" s="30">
        <v>45139</v>
      </c>
      <c r="AJ1918" s="31">
        <v>227</v>
      </c>
      <c r="AM1918" s="12"/>
    </row>
    <row r="1919" spans="30:39" customFormat="1">
      <c r="AD1919" s="27" t="s">
        <v>15</v>
      </c>
      <c r="AE1919" s="28" t="str">
        <f>VLOOKUP(Таблица1_113[[#This Row],[Марка]],Таблица13[#All],4,0)</f>
        <v>Корея</v>
      </c>
      <c r="AF1919" s="28" t="str">
        <f>VLOOKUP(Таблица1_113[[#This Row],[Марка]],Таблица13[#All],2,0)</f>
        <v>Economy</v>
      </c>
      <c r="AG1919" s="28">
        <f>VLOOKUP(Таблица1_113[[#This Row],[Марка]],Таблица13[#All],3,0)</f>
        <v>1944</v>
      </c>
      <c r="AH1919" s="28" t="str">
        <f>VLOOKUP(Таблица1_113[[#This Row],[Марка]],Таблица13[#All],5,0)</f>
        <v>Крупноузловая</v>
      </c>
      <c r="AI1919" s="30">
        <v>45139</v>
      </c>
      <c r="AJ1919" s="31">
        <v>1710</v>
      </c>
      <c r="AM1919" s="12"/>
    </row>
    <row r="1920" spans="30:39" customFormat="1">
      <c r="AD1920" s="27" t="s">
        <v>17</v>
      </c>
      <c r="AE1920" s="28" t="str">
        <f>VLOOKUP(Таблица1_113[[#This Row],[Марка]],Таблица13[#All],4,0)</f>
        <v>Китай</v>
      </c>
      <c r="AF1920" s="28" t="str">
        <f>VLOOKUP(Таблица1_113[[#This Row],[Марка]],Таблица13[#All],2,0)</f>
        <v>Economy</v>
      </c>
      <c r="AG1920" s="28">
        <f>VLOOKUP(Таблица1_113[[#This Row],[Марка]],Таблица13[#All],3,0)</f>
        <v>2014</v>
      </c>
      <c r="AH1920" s="28" t="str">
        <f>VLOOKUP(Таблица1_113[[#This Row],[Марка]],Таблица13[#All],5,0)</f>
        <v>Нет</v>
      </c>
      <c r="AI1920" s="30">
        <v>45139</v>
      </c>
      <c r="AJ1920" s="31">
        <v>648</v>
      </c>
      <c r="AM1920" s="12"/>
    </row>
    <row r="1921" spans="30:39" customFormat="1">
      <c r="AD1921" s="27" t="s">
        <v>134</v>
      </c>
      <c r="AE1921" s="28" t="str">
        <f>VLOOKUP(Таблица1_113[[#This Row],[Марка]],Таблица13[#All],4,0)</f>
        <v>Великобритания</v>
      </c>
      <c r="AF1921" s="28" t="str">
        <f>VLOOKUP(Таблица1_113[[#This Row],[Марка]],Таблица13[#All],2,0)</f>
        <v>Luxury</v>
      </c>
      <c r="AG1921" s="28">
        <f>VLOOKUP(Таблица1_113[[#This Row],[Марка]],Таблица13[#All],3,0)</f>
        <v>1922</v>
      </c>
      <c r="AH1921" s="28" t="str">
        <f>VLOOKUP(Таблица1_113[[#This Row],[Марка]],Таблица13[#All],5,0)</f>
        <v>Нет</v>
      </c>
      <c r="AI1921" s="30">
        <v>45139</v>
      </c>
      <c r="AJ1921" s="31">
        <v>8</v>
      </c>
      <c r="AM1921" s="12"/>
    </row>
    <row r="1922" spans="30:39" customFormat="1">
      <c r="AD1922" s="27" t="s">
        <v>4</v>
      </c>
      <c r="AE1922" s="28" t="str">
        <f>VLOOKUP(Таблица1_113[[#This Row],[Марка]],Таблица13[#All],4,0)</f>
        <v>Китай</v>
      </c>
      <c r="AF1922" s="28" t="str">
        <f>VLOOKUP(Таблица1_113[[#This Row],[Марка]],Таблица13[#All],2,0)</f>
        <v>Economy</v>
      </c>
      <c r="AG1922" s="28">
        <f>VLOOKUP(Таблица1_113[[#This Row],[Марка]],Таблица13[#All],3,0)</f>
        <v>1964</v>
      </c>
      <c r="AH1922" s="28" t="str">
        <f>VLOOKUP(Таблица1_113[[#This Row],[Марка]],Таблица13[#All],5,0)</f>
        <v>Крупноузловая</v>
      </c>
      <c r="AI1922" s="30">
        <v>45139</v>
      </c>
      <c r="AJ1922" s="31">
        <v>1008</v>
      </c>
      <c r="AM1922" s="12"/>
    </row>
    <row r="1923" spans="30:39" customFormat="1">
      <c r="AD1923" s="27" t="s">
        <v>34</v>
      </c>
      <c r="AE1923" s="28" t="str">
        <f>VLOOKUP(Таблица1_113[[#This Row],[Марка]],Таблица13[#All],4,0)</f>
        <v>Япония</v>
      </c>
      <c r="AF1923" s="28" t="str">
        <f>VLOOKUP(Таблица1_113[[#This Row],[Марка]],Таблица13[#All],2,0)</f>
        <v>Luxury</v>
      </c>
      <c r="AG1923" s="28">
        <f>VLOOKUP(Таблица1_113[[#This Row],[Марка]],Таблица13[#All],3,0)</f>
        <v>1989</v>
      </c>
      <c r="AH1923" s="28" t="str">
        <f>VLOOKUP(Таблица1_113[[#This Row],[Марка]],Таблица13[#All],5,0)</f>
        <v>Нет</v>
      </c>
      <c r="AI1923" s="30">
        <v>45139</v>
      </c>
      <c r="AJ1923" s="31">
        <v>49</v>
      </c>
      <c r="AM1923" s="12"/>
    </row>
    <row r="1924" spans="30:39" customFormat="1">
      <c r="AD1924" s="27" t="s">
        <v>0</v>
      </c>
      <c r="AE1924" s="28" t="str">
        <f>VLOOKUP(Таблица1_113[[#This Row],[Марка]],Таблица13[#All],4,0)</f>
        <v>Корея</v>
      </c>
      <c r="AF1924" s="28" t="str">
        <f>VLOOKUP(Таблица1_113[[#This Row],[Марка]],Таблица13[#All],2,0)</f>
        <v>Economy</v>
      </c>
      <c r="AG1924" s="28">
        <f>VLOOKUP(Таблица1_113[[#This Row],[Марка]],Таблица13[#All],3,0)</f>
        <v>1967</v>
      </c>
      <c r="AH1924" s="28" t="str">
        <f>VLOOKUP(Таблица1_113[[#This Row],[Марка]],Таблица13[#All],5,0)</f>
        <v>Крупноузловая</v>
      </c>
      <c r="AI1924" s="30">
        <v>45139</v>
      </c>
      <c r="AJ1924" s="31">
        <v>4665</v>
      </c>
      <c r="AM1924" s="12"/>
    </row>
    <row r="1925" spans="30:39" customFormat="1">
      <c r="AD1925" s="27" t="s">
        <v>131</v>
      </c>
      <c r="AE1925" s="28" t="str">
        <f>VLOOKUP(Таблица1_113[[#This Row],[Марка]],Таблица13[#All],4,0)</f>
        <v>Китай</v>
      </c>
      <c r="AF1925" s="28" t="str">
        <f>VLOOKUP(Таблица1_113[[#This Row],[Марка]],Таблица13[#All],2,0)</f>
        <v>Luxury</v>
      </c>
      <c r="AG1925" s="28">
        <f>VLOOKUP(Таблица1_113[[#This Row],[Марка]],Таблица13[#All],3,0)</f>
        <v>1958</v>
      </c>
      <c r="AH1925" s="28" t="str">
        <f>VLOOKUP(Таблица1_113[[#This Row],[Марка]],Таблица13[#All],5,0)</f>
        <v>Нет</v>
      </c>
      <c r="AI1925" s="30">
        <v>45139</v>
      </c>
      <c r="AJ1925" s="31">
        <v>0</v>
      </c>
      <c r="AM1925" s="12"/>
    </row>
    <row r="1926" spans="30:39" customFormat="1">
      <c r="AD1926" s="27" t="s">
        <v>6</v>
      </c>
      <c r="AE1926" s="28" t="str">
        <f>VLOOKUP(Таблица1_113[[#This Row],[Марка]],Таблица13[#All],4,0)</f>
        <v>Китай</v>
      </c>
      <c r="AF1926" s="28" t="str">
        <f>VLOOKUP(Таблица1_113[[#This Row],[Марка]],Таблица13[#All],2,0)</f>
        <v>Economy</v>
      </c>
      <c r="AG1926" s="28">
        <f>VLOOKUP(Таблица1_113[[#This Row],[Марка]],Таблица13[#All],3,0)</f>
        <v>2013</v>
      </c>
      <c r="AH1926" s="28" t="str">
        <f>VLOOKUP(Таблица1_113[[#This Row],[Марка]],Таблица13[#All],5,0)</f>
        <v>Крупноузловая</v>
      </c>
      <c r="AI1926" s="30">
        <v>45139</v>
      </c>
      <c r="AJ1926" s="31">
        <v>758</v>
      </c>
      <c r="AM1926" s="12"/>
    </row>
    <row r="1927" spans="30:39" customFormat="1">
      <c r="AD1927" s="27" t="s">
        <v>132</v>
      </c>
      <c r="AE1927" s="28" t="str">
        <f>VLOOKUP(Таблица1_113[[#This Row],[Марка]],Таблица13[#All],4,0)</f>
        <v>Китай</v>
      </c>
      <c r="AF1927" s="28" t="str">
        <f>VLOOKUP(Таблица1_113[[#This Row],[Марка]],Таблица13[#All],2,0)</f>
        <v>Economy</v>
      </c>
      <c r="AG1927" s="28">
        <f>VLOOKUP(Таблица1_113[[#This Row],[Марка]],Таблица13[#All],3,0)</f>
        <v>1984</v>
      </c>
      <c r="AH1927" s="28" t="str">
        <f>VLOOKUP(Таблица1_113[[#This Row],[Марка]],Таблица13[#All],5,0)</f>
        <v>Нет</v>
      </c>
      <c r="AI1927" s="30">
        <v>45139</v>
      </c>
      <c r="AJ1927" s="31">
        <v>14</v>
      </c>
      <c r="AM1927" s="12"/>
    </row>
    <row r="1928" spans="30:39" customFormat="1">
      <c r="AD1928" s="27" t="s">
        <v>138</v>
      </c>
      <c r="AE1928" s="28" t="str">
        <f>VLOOKUP(Таблица1_113[[#This Row],[Марка]],Таблица13[#All],4,0)</f>
        <v>Корея</v>
      </c>
      <c r="AF1928" s="28" t="str">
        <f>VLOOKUP(Таблица1_113[[#This Row],[Марка]],Таблица13[#All],2,0)</f>
        <v>Luxury</v>
      </c>
      <c r="AG1928" s="28">
        <f>VLOOKUP(Таблица1_113[[#This Row],[Марка]],Таблица13[#All],3,0)</f>
        <v>2015</v>
      </c>
      <c r="AH1928" s="28" t="str">
        <f>VLOOKUP(Таблица1_113[[#This Row],[Марка]],Таблица13[#All],5,0)</f>
        <v>Нет</v>
      </c>
      <c r="AI1928" s="30">
        <v>45139</v>
      </c>
      <c r="AJ1928" s="31">
        <v>0</v>
      </c>
      <c r="AM1928" s="12"/>
    </row>
    <row r="1929" spans="30:39" customFormat="1">
      <c r="AD1929" s="27" t="s">
        <v>18</v>
      </c>
      <c r="AE1929" s="28" t="str">
        <f>VLOOKUP(Таблица1_113[[#This Row],[Марка]],Таблица13[#All],4,0)</f>
        <v>Китай</v>
      </c>
      <c r="AF1929" s="28" t="str">
        <f>VLOOKUP(Таблица1_113[[#This Row],[Марка]],Таблица13[#All],2,0)</f>
        <v>Economy</v>
      </c>
      <c r="AG1929" s="28">
        <f>VLOOKUP(Таблица1_113[[#This Row],[Марка]],Таблица13[#All],3,0)</f>
        <v>1986</v>
      </c>
      <c r="AH1929" s="28" t="str">
        <f>VLOOKUP(Таблица1_113[[#This Row],[Марка]],Таблица13[#All],5,0)</f>
        <v>Крупноузловая</v>
      </c>
      <c r="AI1929" s="30">
        <v>45139</v>
      </c>
      <c r="AJ1929" s="31">
        <v>384</v>
      </c>
      <c r="AM1929" s="12"/>
    </row>
    <row r="1930" spans="30:39" customFormat="1">
      <c r="AD1930" s="27" t="s">
        <v>127</v>
      </c>
      <c r="AE1930" s="28" t="str">
        <f>VLOOKUP(Таблица1_113[[#This Row],[Марка]],Таблица13[#All],4,0)</f>
        <v>Китай</v>
      </c>
      <c r="AF1930" s="28" t="str">
        <f>VLOOKUP(Таблица1_113[[#This Row],[Марка]],Таблица13[#All],2,0)</f>
        <v>Economy</v>
      </c>
      <c r="AG1930" s="28">
        <f>VLOOKUP(Таблица1_113[[#This Row],[Марка]],Таблица13[#All],3,0)</f>
        <v>1997</v>
      </c>
      <c r="AH1930" s="28" t="str">
        <f>VLOOKUP(Таблица1_113[[#This Row],[Марка]],Таблица13[#All],5,0)</f>
        <v>Нет</v>
      </c>
      <c r="AI1930" s="30">
        <v>45139</v>
      </c>
      <c r="AJ1930" s="31">
        <v>0</v>
      </c>
      <c r="AM1930" s="12"/>
    </row>
    <row r="1931" spans="30:39" customFormat="1">
      <c r="AD1931" s="27" t="s">
        <v>133</v>
      </c>
      <c r="AE1931" s="28" t="str">
        <f>VLOOKUP(Таблица1_113[[#This Row],[Марка]],Таблица13[#All],4,0)</f>
        <v>Китай</v>
      </c>
      <c r="AF1931" s="28" t="str">
        <f>VLOOKUP(Таблица1_113[[#This Row],[Марка]],Таблица13[#All],2,0)</f>
        <v>Economy</v>
      </c>
      <c r="AG1931" s="28">
        <f>VLOOKUP(Таблица1_113[[#This Row],[Марка]],Таблица13[#All],3,0)</f>
        <v>1996</v>
      </c>
      <c r="AH1931" s="28" t="str">
        <f>VLOOKUP(Таблица1_113[[#This Row],[Марка]],Таблица13[#All],5,0)</f>
        <v>Нет</v>
      </c>
      <c r="AI1931" s="30">
        <v>45139</v>
      </c>
      <c r="AJ1931" s="31">
        <v>10</v>
      </c>
      <c r="AM1931" s="12"/>
    </row>
    <row r="1932" spans="30:39" customFormat="1">
      <c r="AD1932" s="27" t="s">
        <v>129</v>
      </c>
      <c r="AE1932" s="28" t="str">
        <f>VLOOKUP(Таблица1_113[[#This Row],[Марка]],Таблица13[#All],4,0)</f>
        <v>Китай</v>
      </c>
      <c r="AF1932" s="28" t="str">
        <f>VLOOKUP(Таблица1_113[[#This Row],[Марка]],Таблица13[#All],2,0)</f>
        <v>Economy</v>
      </c>
      <c r="AG1932" s="28">
        <f>VLOOKUP(Таблица1_113[[#This Row],[Марка]],Таблица13[#All],3,0)</f>
        <v>1953</v>
      </c>
      <c r="AH1932" s="28" t="str">
        <f>VLOOKUP(Таблица1_113[[#This Row],[Марка]],Таблица13[#All],5,0)</f>
        <v>Нет</v>
      </c>
      <c r="AI1932" s="30">
        <v>45139</v>
      </c>
      <c r="AJ1932" s="31">
        <v>53</v>
      </c>
      <c r="AM1932" s="12"/>
    </row>
    <row r="1933" spans="30:39" customFormat="1">
      <c r="AD1933" s="27" t="s">
        <v>7</v>
      </c>
      <c r="AE1933" s="28" t="str">
        <f>VLOOKUP(Таблица1_113[[#This Row],[Марка]],Таблица13[#All],4,0)</f>
        <v>Китай</v>
      </c>
      <c r="AF1933" s="28" t="str">
        <f>VLOOKUP(Таблица1_113[[#This Row],[Марка]],Таблица13[#All],2,0)</f>
        <v>Business</v>
      </c>
      <c r="AG1933" s="28">
        <f>VLOOKUP(Таблица1_113[[#This Row],[Марка]],Таблица13[#All],3,0)</f>
        <v>2017</v>
      </c>
      <c r="AH1933" s="28" t="str">
        <f>VLOOKUP(Таблица1_113[[#This Row],[Марка]],Таблица13[#All],5,0)</f>
        <v>Нет</v>
      </c>
      <c r="AI1933" s="30">
        <v>45139</v>
      </c>
      <c r="AJ1933" s="31">
        <v>355</v>
      </c>
      <c r="AM1933" s="12"/>
    </row>
    <row r="1934" spans="30:39" customFormat="1">
      <c r="AD1934" s="27" t="s">
        <v>130</v>
      </c>
      <c r="AE1934" s="28" t="str">
        <f>VLOOKUP(Таблица1_113[[#This Row],[Марка]],Таблица13[#All],4,0)</f>
        <v>Китай</v>
      </c>
      <c r="AF1934" s="28" t="str">
        <f>VLOOKUP(Таблица1_113[[#This Row],[Марка]],Таблица13[#All],2,0)</f>
        <v>Economy</v>
      </c>
      <c r="AG1934" s="28">
        <f>VLOOKUP(Таблица1_113[[#This Row],[Марка]],Таблица13[#All],3,0)</f>
        <v>1969</v>
      </c>
      <c r="AH1934" s="28" t="str">
        <f>VLOOKUP(Таблица1_113[[#This Row],[Марка]],Таблица13[#All],5,0)</f>
        <v>Нет</v>
      </c>
      <c r="AI1934" s="30">
        <v>45139</v>
      </c>
      <c r="AJ1934" s="31">
        <v>5</v>
      </c>
      <c r="AM1934" s="12"/>
    </row>
    <row r="1935" spans="30:39" customFormat="1">
      <c r="AD1935" s="27" t="s">
        <v>137</v>
      </c>
      <c r="AE1935" s="28" t="str">
        <f>VLOOKUP(Таблица1_113[[#This Row],[Марка]],Таблица13[#All],4,0)</f>
        <v>Корея</v>
      </c>
      <c r="AF1935" s="28" t="str">
        <f>VLOOKUP(Таблица1_113[[#This Row],[Марка]],Таблица13[#All],2,0)</f>
        <v>Economy</v>
      </c>
      <c r="AG1935" s="28">
        <f>VLOOKUP(Таблица1_113[[#This Row],[Марка]],Таблица13[#All],3,0)</f>
        <v>1967</v>
      </c>
      <c r="AH1935" s="28" t="str">
        <f>VLOOKUP(Таблица1_113[[#This Row],[Марка]],Таблица13[#All],5,0)</f>
        <v>Нет</v>
      </c>
      <c r="AI1935" s="30">
        <v>45139</v>
      </c>
      <c r="AJ1935" s="31">
        <v>6</v>
      </c>
      <c r="AM1935" s="12"/>
    </row>
    <row r="1936" spans="30:39" customFormat="1">
      <c r="AD1936" s="27" t="s">
        <v>1</v>
      </c>
      <c r="AE1936" s="28" t="str">
        <f>VLOOKUP(Таблица1_113[[#This Row],[Марка]],Таблица13[#All],4,0)</f>
        <v>США</v>
      </c>
      <c r="AF1936" s="28" t="str">
        <f>VLOOKUP(Таблица1_113[[#This Row],[Марка]],Таблица13[#All],2,0)</f>
        <v>Economy</v>
      </c>
      <c r="AG1936" s="28">
        <f>VLOOKUP(Таблица1_113[[#This Row],[Марка]],Таблица13[#All],3,0)</f>
        <v>1911</v>
      </c>
      <c r="AH1936" s="28" t="str">
        <f>VLOOKUP(Таблица1_113[[#This Row],[Марка]],Таблица13[#All],5,0)</f>
        <v>Крупноузловая</v>
      </c>
      <c r="AI1936" s="30">
        <v>45139</v>
      </c>
      <c r="AJ1936" s="31">
        <v>3367</v>
      </c>
      <c r="AM1936" s="12"/>
    </row>
    <row r="1937" spans="30:39" customFormat="1">
      <c r="AD1937" s="27" t="s">
        <v>3</v>
      </c>
      <c r="AE1937" s="28" t="str">
        <f>VLOOKUP(Таблица1_113[[#This Row],[Марка]],Таблица13[#All],4,0)</f>
        <v>Китай</v>
      </c>
      <c r="AF1937" s="28" t="str">
        <f>VLOOKUP(Таблица1_113[[#This Row],[Марка]],Таблица13[#All],2,0)</f>
        <v>Economy</v>
      </c>
      <c r="AG1937" s="28">
        <f>VLOOKUP(Таблица1_113[[#This Row],[Марка]],Таблица13[#All],3,0)</f>
        <v>1997</v>
      </c>
      <c r="AH1937" s="28" t="str">
        <f>VLOOKUP(Таблица1_113[[#This Row],[Марка]],Таблица13[#All],5,0)</f>
        <v>Крупноузловая</v>
      </c>
      <c r="AI1937" s="30">
        <v>45139</v>
      </c>
      <c r="AJ1937" s="31">
        <v>1703</v>
      </c>
      <c r="AM1937" s="12"/>
    </row>
    <row r="1938" spans="30:39" customFormat="1">
      <c r="AD1938" s="27" t="s">
        <v>124</v>
      </c>
      <c r="AE1938" s="28" t="str">
        <f>VLOOKUP(Таблица1_113[[#This Row],[Марка]],Таблица13[#All],4,0)</f>
        <v>Китай</v>
      </c>
      <c r="AF1938" s="28" t="str">
        <f>VLOOKUP(Таблица1_113[[#This Row],[Марка]],Таблица13[#All],2,0)</f>
        <v>Economy</v>
      </c>
      <c r="AG1938" s="28">
        <f>VLOOKUP(Таблица1_113[[#This Row],[Марка]],Таблица13[#All],3,0)</f>
        <v>1862</v>
      </c>
      <c r="AH1938" s="28" t="str">
        <f>VLOOKUP(Таблица1_113[[#This Row],[Марка]],Таблица13[#All],5,0)</f>
        <v>Нет</v>
      </c>
      <c r="AI1938" s="30">
        <v>45139</v>
      </c>
      <c r="AJ1938" s="31">
        <v>761</v>
      </c>
      <c r="AM1938" s="12"/>
    </row>
    <row r="1939" spans="30:39" customFormat="1">
      <c r="AD1939" s="27" t="s">
        <v>36</v>
      </c>
      <c r="AE1939" s="28" t="str">
        <f>VLOOKUP(Таблица1_113[[#This Row],[Марка]],Таблица13[#All],4,0)</f>
        <v>США</v>
      </c>
      <c r="AF1939" s="28" t="str">
        <f>VLOOKUP(Таблица1_113[[#This Row],[Марка]],Таблица13[#All],2,0)</f>
        <v>Luxury</v>
      </c>
      <c r="AG1939" s="28">
        <f>VLOOKUP(Таблица1_113[[#This Row],[Марка]],Таблица13[#All],3,0)</f>
        <v>1902</v>
      </c>
      <c r="AH1939" s="28" t="str">
        <f>VLOOKUP(Таблица1_113[[#This Row],[Марка]],Таблица13[#All],5,0)</f>
        <v>Нет</v>
      </c>
      <c r="AI1939" s="30">
        <v>45139</v>
      </c>
      <c r="AJ1939" s="31">
        <v>28</v>
      </c>
      <c r="AM1939" s="12"/>
    </row>
    <row r="1940" spans="30:39" customFormat="1">
      <c r="AD1940" s="27" t="s">
        <v>8</v>
      </c>
      <c r="AE1940" s="28" t="str">
        <f>VLOOKUP(Таблица1_113[[#This Row],[Марка]],Таблица13[#All],4,0)</f>
        <v>Германия</v>
      </c>
      <c r="AF1940" s="28" t="str">
        <f>VLOOKUP(Таблица1_113[[#This Row],[Марка]],Таблица13[#All],2,0)</f>
        <v>Luxury</v>
      </c>
      <c r="AG1940" s="28">
        <f>VLOOKUP(Таблица1_113[[#This Row],[Марка]],Таблица13[#All],3,0)</f>
        <v>1916</v>
      </c>
      <c r="AH1940" s="28" t="str">
        <f>VLOOKUP(Таблица1_113[[#This Row],[Марка]],Таблица13[#All],5,0)</f>
        <v>Нет</v>
      </c>
      <c r="AI1940" s="30">
        <v>45139</v>
      </c>
      <c r="AJ1940" s="31">
        <v>77</v>
      </c>
      <c r="AM1940" s="12"/>
    </row>
    <row r="1941" spans="30:39" customFormat="1">
      <c r="AD1941" s="27" t="s">
        <v>38</v>
      </c>
      <c r="AE1941" s="28" t="str">
        <f>VLOOKUP(Таблица1_113[[#This Row],[Марка]],Таблица13[#All],4,0)</f>
        <v>Германия</v>
      </c>
      <c r="AF1941" s="28" t="str">
        <f>VLOOKUP(Таблица1_113[[#This Row],[Марка]],Таблица13[#All],2,0)</f>
        <v>Luxury</v>
      </c>
      <c r="AG1941" s="28">
        <f>VLOOKUP(Таблица1_113[[#This Row],[Марка]],Таблица13[#All],3,0)</f>
        <v>1932</v>
      </c>
      <c r="AH1941" s="28" t="str">
        <f>VLOOKUP(Таблица1_113[[#This Row],[Марка]],Таблица13[#All],5,0)</f>
        <v>Нет</v>
      </c>
      <c r="AI1941" s="30">
        <v>45139</v>
      </c>
      <c r="AJ1941" s="31">
        <v>54</v>
      </c>
      <c r="AM1941" s="12"/>
    </row>
    <row r="1942" spans="30:39" customFormat="1">
      <c r="AD1942" s="27" t="s">
        <v>136</v>
      </c>
      <c r="AE1942" s="28" t="str">
        <f>VLOOKUP(Таблица1_113[[#This Row],[Марка]],Таблица13[#All],4,0)</f>
        <v>Россия</v>
      </c>
      <c r="AF1942" s="28" t="str">
        <f>VLOOKUP(Таблица1_113[[#This Row],[Марка]],Таблица13[#All],2,0)</f>
        <v>Economy</v>
      </c>
      <c r="AG1942" s="28">
        <f>VLOOKUP(Таблица1_113[[#This Row],[Марка]],Таблица13[#All],3,0)</f>
        <v>1941</v>
      </c>
      <c r="AH1942" s="28" t="str">
        <f>VLOOKUP(Таблица1_113[[#This Row],[Марка]],Таблица13[#All],5,0)</f>
        <v>Нет</v>
      </c>
      <c r="AI1942" s="30">
        <v>45170</v>
      </c>
      <c r="AJ1942" s="31">
        <v>82</v>
      </c>
      <c r="AM1942" s="12"/>
    </row>
    <row r="1943" spans="30:39" customFormat="1">
      <c r="AD1943" s="27" t="s">
        <v>21</v>
      </c>
      <c r="AE1943" s="28" t="str">
        <f>VLOOKUP(Таблица1_113[[#This Row],[Марка]],Таблица13[#All],4,0)</f>
        <v>Германия</v>
      </c>
      <c r="AF1943" s="28" t="str">
        <f>VLOOKUP(Таблица1_113[[#This Row],[Марка]],Таблица13[#All],2,0)</f>
        <v>Business</v>
      </c>
      <c r="AG1943" s="28">
        <f>VLOOKUP(Таблица1_113[[#This Row],[Марка]],Таблица13[#All],3,0)</f>
        <v>1937</v>
      </c>
      <c r="AH1943" s="28" t="str">
        <f>VLOOKUP(Таблица1_113[[#This Row],[Марка]],Таблица13[#All],5,0)</f>
        <v>Нет</v>
      </c>
      <c r="AI1943" s="30">
        <v>45170</v>
      </c>
      <c r="AJ1943" s="31">
        <v>2</v>
      </c>
      <c r="AM1943" s="12"/>
    </row>
    <row r="1944" spans="30:39" customFormat="1">
      <c r="AD1944" s="27" t="s">
        <v>2</v>
      </c>
      <c r="AE1944" s="28" t="str">
        <f>VLOOKUP(Таблица1_113[[#This Row],[Марка]],Таблица13[#All],4,0)</f>
        <v>Япония</v>
      </c>
      <c r="AF1944" s="28" t="str">
        <f>VLOOKUP(Таблица1_113[[#This Row],[Марка]],Таблица13[#All],2,0)</f>
        <v>Business</v>
      </c>
      <c r="AG1944" s="28">
        <f>VLOOKUP(Таблица1_113[[#This Row],[Марка]],Таблица13[#All],3,0)</f>
        <v>1937</v>
      </c>
      <c r="AH1944" s="28" t="str">
        <f>VLOOKUP(Таблица1_113[[#This Row],[Марка]],Таблица13[#All],5,0)</f>
        <v>Нет</v>
      </c>
      <c r="AI1944" s="30">
        <v>45170</v>
      </c>
      <c r="AJ1944" s="31">
        <v>1208</v>
      </c>
      <c r="AM1944" s="12"/>
    </row>
    <row r="1945" spans="30:39" customFormat="1">
      <c r="AD1945" s="27" t="s">
        <v>20</v>
      </c>
      <c r="AE1945" s="28" t="str">
        <f>VLOOKUP(Таблица1_113[[#This Row],[Марка]],Таблица13[#All],4,0)</f>
        <v>Китай</v>
      </c>
      <c r="AF1945" s="28" t="str">
        <f>VLOOKUP(Таблица1_113[[#This Row],[Марка]],Таблица13[#All],2,0)</f>
        <v>Business</v>
      </c>
      <c r="AG1945" s="28">
        <f>VLOOKUP(Таблица1_113[[#This Row],[Марка]],Таблица13[#All],3,0)</f>
        <v>2021</v>
      </c>
      <c r="AH1945" s="28" t="str">
        <f>VLOOKUP(Таблица1_113[[#This Row],[Марка]],Таблица13[#All],5,0)</f>
        <v>Нет</v>
      </c>
      <c r="AI1945" s="30">
        <v>45170</v>
      </c>
      <c r="AJ1945" s="31">
        <v>159</v>
      </c>
      <c r="AM1945" s="12"/>
    </row>
    <row r="1946" spans="30:39" customFormat="1">
      <c r="AD1946" s="27" t="s">
        <v>125</v>
      </c>
      <c r="AE1946" s="28" t="str">
        <f>VLOOKUP(Таблица1_113[[#This Row],[Марка]],Таблица13[#All],4,0)</f>
        <v>Япония</v>
      </c>
      <c r="AF1946" s="28" t="str">
        <f>VLOOKUP(Таблица1_113[[#This Row],[Марка]],Таблица13[#All],2,0)</f>
        <v>Business</v>
      </c>
      <c r="AG1946" s="28">
        <f>VLOOKUP(Таблица1_113[[#This Row],[Марка]],Таблица13[#All],3,0)</f>
        <v>1953</v>
      </c>
      <c r="AH1946" s="28" t="str">
        <f>VLOOKUP(Таблица1_113[[#This Row],[Марка]],Таблица13[#All],5,0)</f>
        <v>Нет</v>
      </c>
      <c r="AI1946" s="30">
        <v>45170</v>
      </c>
      <c r="AJ1946" s="31">
        <v>165</v>
      </c>
      <c r="AM1946" s="12"/>
    </row>
    <row r="1947" spans="30:39" customFormat="1">
      <c r="AD1947" s="27" t="s">
        <v>37</v>
      </c>
      <c r="AE1947" s="28" t="str">
        <f>VLOOKUP(Таблица1_113[[#This Row],[Марка]],Таблица13[#All],4,0)</f>
        <v>Германия</v>
      </c>
      <c r="AF1947" s="28" t="str">
        <f>VLOOKUP(Таблица1_113[[#This Row],[Марка]],Таблица13[#All],2,0)</f>
        <v>Luxury</v>
      </c>
      <c r="AG1947" s="28">
        <f>VLOOKUP(Таблица1_113[[#This Row],[Марка]],Таблица13[#All],3,0)</f>
        <v>1931</v>
      </c>
      <c r="AH1947" s="28" t="str">
        <f>VLOOKUP(Таблица1_113[[#This Row],[Марка]],Таблица13[#All],5,0)</f>
        <v>Нет</v>
      </c>
      <c r="AI1947" s="30">
        <v>45170</v>
      </c>
      <c r="AJ1947" s="31">
        <v>37</v>
      </c>
      <c r="AM1947" s="12"/>
    </row>
    <row r="1948" spans="30:39" customFormat="1">
      <c r="AD1948" s="27" t="s">
        <v>126</v>
      </c>
      <c r="AE1948" s="28" t="str">
        <f>VLOOKUP(Таблица1_113[[#This Row],[Марка]],Таблица13[#All],4,0)</f>
        <v>Россия</v>
      </c>
      <c r="AF1948" s="28" t="str">
        <f>VLOOKUP(Таблица1_113[[#This Row],[Марка]],Таблица13[#All],2,0)</f>
        <v>Economy</v>
      </c>
      <c r="AG1948" s="28">
        <f>VLOOKUP(Таблица1_113[[#This Row],[Марка]],Таблица13[#All],3,0)</f>
        <v>2022</v>
      </c>
      <c r="AH1948" s="28" t="str">
        <f>VLOOKUP(Таблица1_113[[#This Row],[Марка]],Таблица13[#All],5,0)</f>
        <v>Нет</v>
      </c>
      <c r="AI1948" s="30">
        <v>45170</v>
      </c>
      <c r="AJ1948" s="31">
        <v>272</v>
      </c>
      <c r="AM1948" s="12"/>
    </row>
    <row r="1949" spans="30:39" customFormat="1">
      <c r="AD1949" s="27" t="s">
        <v>22</v>
      </c>
      <c r="AE1949" s="28" t="str">
        <f>VLOOKUP(Таблица1_113[[#This Row],[Марка]],Таблица13[#All],4,0)</f>
        <v>Япония</v>
      </c>
      <c r="AF1949" s="28" t="str">
        <f>VLOOKUP(Таблица1_113[[#This Row],[Марка]],Таблица13[#All],2,0)</f>
        <v>Business</v>
      </c>
      <c r="AG1949" s="28">
        <f>VLOOKUP(Таблица1_113[[#This Row],[Марка]],Таблица13[#All],3,0)</f>
        <v>1933</v>
      </c>
      <c r="AH1949" s="28" t="str">
        <f>VLOOKUP(Таблица1_113[[#This Row],[Марка]],Таблица13[#All],5,0)</f>
        <v>Нет</v>
      </c>
      <c r="AI1949" s="30">
        <v>45170</v>
      </c>
      <c r="AJ1949" s="31">
        <v>3</v>
      </c>
      <c r="AM1949" s="12"/>
    </row>
    <row r="1950" spans="30:39" customFormat="1">
      <c r="AD1950" s="27" t="s">
        <v>9</v>
      </c>
      <c r="AE1950" s="28" t="str">
        <f>VLOOKUP(Таблица1_113[[#This Row],[Марка]],Таблица13[#All],4,0)</f>
        <v>Япония</v>
      </c>
      <c r="AF1950" s="28" t="str">
        <f>VLOOKUP(Таблица1_113[[#This Row],[Марка]],Таблица13[#All],2,0)</f>
        <v>Business</v>
      </c>
      <c r="AG1950" s="28">
        <f>VLOOKUP(Таблица1_113[[#This Row],[Марка]],Таблица13[#All],3,0)</f>
        <v>1870</v>
      </c>
      <c r="AH1950" s="28" t="str">
        <f>VLOOKUP(Таблица1_113[[#This Row],[Марка]],Таблица13[#All],5,0)</f>
        <v>Нет</v>
      </c>
      <c r="AI1950" s="30">
        <v>45170</v>
      </c>
      <c r="AJ1950" s="31">
        <v>124</v>
      </c>
      <c r="AM1950" s="12"/>
    </row>
    <row r="1951" spans="30:39" customFormat="1">
      <c r="AD1951" s="27" t="s">
        <v>40</v>
      </c>
      <c r="AE1951" s="28" t="str">
        <f>VLOOKUP(Таблица1_113[[#This Row],[Марка]],Таблица13[#All],4,0)</f>
        <v>Великобритания</v>
      </c>
      <c r="AF1951" s="28" t="str">
        <f>VLOOKUP(Таблица1_113[[#This Row],[Марка]],Таблица13[#All],2,0)</f>
        <v>Luxury</v>
      </c>
      <c r="AG1951" s="28">
        <f>VLOOKUP(Таблица1_113[[#This Row],[Марка]],Таблица13[#All],3,0)</f>
        <v>1959</v>
      </c>
      <c r="AH1951" s="28" t="str">
        <f>VLOOKUP(Таблица1_113[[#This Row],[Марка]],Таблица13[#All],5,0)</f>
        <v>Нет</v>
      </c>
      <c r="AI1951" s="30">
        <v>45170</v>
      </c>
      <c r="AJ1951" s="31">
        <v>4</v>
      </c>
      <c r="AM1951" s="12"/>
    </row>
    <row r="1952" spans="30:39" customFormat="1">
      <c r="AD1952" s="27" t="s">
        <v>128</v>
      </c>
      <c r="AE1952" s="28" t="str">
        <f>VLOOKUP(Таблица1_113[[#This Row],[Марка]],Таблица13[#All],4,0)</f>
        <v>Германия</v>
      </c>
      <c r="AF1952" s="28" t="str">
        <f>VLOOKUP(Таблица1_113[[#This Row],[Марка]],Таблица13[#All],2,0)</f>
        <v>Luxury</v>
      </c>
      <c r="AG1952" s="28">
        <f>VLOOKUP(Таблица1_113[[#This Row],[Марка]],Таблица13[#All],3,0)</f>
        <v>1926</v>
      </c>
      <c r="AH1952" s="28" t="str">
        <f>VLOOKUP(Таблица1_113[[#This Row],[Марка]],Таблица13[#All],5,0)</f>
        <v>Нет</v>
      </c>
      <c r="AI1952" s="30">
        <v>45170</v>
      </c>
      <c r="AJ1952" s="31">
        <v>82</v>
      </c>
      <c r="AM1952" s="12"/>
    </row>
    <row r="1953" spans="30:39" customFormat="1">
      <c r="AD1953" s="27" t="s">
        <v>5</v>
      </c>
      <c r="AE1953" s="28" t="str">
        <f>VLOOKUP(Таблица1_113[[#This Row],[Марка]],Таблица13[#All],4,0)</f>
        <v>Япония</v>
      </c>
      <c r="AF1953" s="28" t="str">
        <f>VLOOKUP(Таблица1_113[[#This Row],[Марка]],Таблица13[#All],2,0)</f>
        <v>Luxury</v>
      </c>
      <c r="AG1953" s="28">
        <f>VLOOKUP(Таблица1_113[[#This Row],[Марка]],Таблица13[#All],3,0)</f>
        <v>1989</v>
      </c>
      <c r="AH1953" s="28" t="str">
        <f>VLOOKUP(Таблица1_113[[#This Row],[Марка]],Таблица13[#All],5,0)</f>
        <v>Нет</v>
      </c>
      <c r="AI1953" s="30">
        <v>45170</v>
      </c>
      <c r="AJ1953" s="31">
        <v>375</v>
      </c>
      <c r="AM1953" s="12"/>
    </row>
    <row r="1954" spans="30:39" customFormat="1">
      <c r="AD1954" s="27" t="s">
        <v>35</v>
      </c>
      <c r="AE1954" s="28" t="str">
        <f>VLOOKUP(Таблица1_113[[#This Row],[Марка]],Таблица13[#All],4,0)</f>
        <v>Великобритания</v>
      </c>
      <c r="AF1954" s="28" t="str">
        <f>VLOOKUP(Таблица1_113[[#This Row],[Марка]],Таблица13[#All],2,0)</f>
        <v>Luxury</v>
      </c>
      <c r="AG1954" s="28">
        <f>VLOOKUP(Таблица1_113[[#This Row],[Марка]],Таблица13[#All],3,0)</f>
        <v>1948</v>
      </c>
      <c r="AH1954" s="28" t="str">
        <f>VLOOKUP(Таблица1_113[[#This Row],[Марка]],Таблица13[#All],5,0)</f>
        <v>Нет</v>
      </c>
      <c r="AI1954" s="30">
        <v>45170</v>
      </c>
      <c r="AJ1954" s="31">
        <v>51</v>
      </c>
      <c r="AM1954" s="12"/>
    </row>
    <row r="1955" spans="30:39" customFormat="1">
      <c r="AD1955" s="27" t="s">
        <v>19</v>
      </c>
      <c r="AE1955" s="28" t="str">
        <f>VLOOKUP(Таблица1_113[[#This Row],[Марка]],Таблица13[#All],4,0)</f>
        <v>Россия</v>
      </c>
      <c r="AF1955" s="28" t="str">
        <f>VLOOKUP(Таблица1_113[[#This Row],[Марка]],Таблица13[#All],2,0)</f>
        <v>Economy</v>
      </c>
      <c r="AG1955" s="28">
        <f>VLOOKUP(Таблица1_113[[#This Row],[Марка]],Таблица13[#All],3,0)</f>
        <v>1970</v>
      </c>
      <c r="AH1955" s="28" t="str">
        <f>VLOOKUP(Таблица1_113[[#This Row],[Марка]],Таблица13[#All],5,0)</f>
        <v>Крупноузловая</v>
      </c>
      <c r="AI1955" s="30">
        <v>45170</v>
      </c>
      <c r="AJ1955" s="31">
        <v>260</v>
      </c>
      <c r="AM1955" s="12"/>
    </row>
    <row r="1956" spans="30:39" customFormat="1">
      <c r="AD1956" s="27" t="s">
        <v>15</v>
      </c>
      <c r="AE1956" s="28" t="str">
        <f>VLOOKUP(Таблица1_113[[#This Row],[Марка]],Таблица13[#All],4,0)</f>
        <v>Корея</v>
      </c>
      <c r="AF1956" s="28" t="str">
        <f>VLOOKUP(Таблица1_113[[#This Row],[Марка]],Таблица13[#All],2,0)</f>
        <v>Economy</v>
      </c>
      <c r="AG1956" s="28">
        <f>VLOOKUP(Таблица1_113[[#This Row],[Марка]],Таблица13[#All],3,0)</f>
        <v>1944</v>
      </c>
      <c r="AH1956" s="28" t="str">
        <f>VLOOKUP(Таблица1_113[[#This Row],[Марка]],Таблица13[#All],5,0)</f>
        <v>Крупноузловая</v>
      </c>
      <c r="AI1956" s="30">
        <v>45170</v>
      </c>
      <c r="AJ1956" s="31">
        <v>2192</v>
      </c>
      <c r="AM1956" s="12"/>
    </row>
    <row r="1957" spans="30:39" customFormat="1">
      <c r="AD1957" s="27" t="s">
        <v>17</v>
      </c>
      <c r="AE1957" s="28" t="str">
        <f>VLOOKUP(Таблица1_113[[#This Row],[Марка]],Таблица13[#All],4,0)</f>
        <v>Китай</v>
      </c>
      <c r="AF1957" s="28" t="str">
        <f>VLOOKUP(Таблица1_113[[#This Row],[Марка]],Таблица13[#All],2,0)</f>
        <v>Economy</v>
      </c>
      <c r="AG1957" s="28">
        <f>VLOOKUP(Таблица1_113[[#This Row],[Марка]],Таблица13[#All],3,0)</f>
        <v>2014</v>
      </c>
      <c r="AH1957" s="28" t="str">
        <f>VLOOKUP(Таблица1_113[[#This Row],[Марка]],Таблица13[#All],5,0)</f>
        <v>Нет</v>
      </c>
      <c r="AI1957" s="30">
        <v>45170</v>
      </c>
      <c r="AJ1957" s="31">
        <v>669</v>
      </c>
      <c r="AM1957" s="12"/>
    </row>
    <row r="1958" spans="30:39" customFormat="1">
      <c r="AD1958" s="27" t="s">
        <v>134</v>
      </c>
      <c r="AE1958" s="28" t="str">
        <f>VLOOKUP(Таблица1_113[[#This Row],[Марка]],Таблица13[#All],4,0)</f>
        <v>Великобритания</v>
      </c>
      <c r="AF1958" s="28" t="str">
        <f>VLOOKUP(Таблица1_113[[#This Row],[Марка]],Таблица13[#All],2,0)</f>
        <v>Luxury</v>
      </c>
      <c r="AG1958" s="28">
        <f>VLOOKUP(Таблица1_113[[#This Row],[Марка]],Таблица13[#All],3,0)</f>
        <v>1922</v>
      </c>
      <c r="AH1958" s="28" t="str">
        <f>VLOOKUP(Таблица1_113[[#This Row],[Марка]],Таблица13[#All],5,0)</f>
        <v>Нет</v>
      </c>
      <c r="AI1958" s="30">
        <v>45170</v>
      </c>
      <c r="AJ1958" s="31">
        <v>0</v>
      </c>
      <c r="AM1958" s="12"/>
    </row>
    <row r="1959" spans="30:39" customFormat="1">
      <c r="AD1959" s="27" t="s">
        <v>4</v>
      </c>
      <c r="AE1959" s="28" t="str">
        <f>VLOOKUP(Таблица1_113[[#This Row],[Марка]],Таблица13[#All],4,0)</f>
        <v>Китай</v>
      </c>
      <c r="AF1959" s="28" t="str">
        <f>VLOOKUP(Таблица1_113[[#This Row],[Марка]],Таблица13[#All],2,0)</f>
        <v>Economy</v>
      </c>
      <c r="AG1959" s="28">
        <f>VLOOKUP(Таблица1_113[[#This Row],[Марка]],Таблица13[#All],3,0)</f>
        <v>1964</v>
      </c>
      <c r="AH1959" s="28" t="str">
        <f>VLOOKUP(Таблица1_113[[#This Row],[Марка]],Таблица13[#All],5,0)</f>
        <v>Крупноузловая</v>
      </c>
      <c r="AI1959" s="30">
        <v>45170</v>
      </c>
      <c r="AJ1959" s="31">
        <v>746</v>
      </c>
      <c r="AM1959" s="12"/>
    </row>
    <row r="1960" spans="30:39" customFormat="1">
      <c r="AD1960" s="27" t="s">
        <v>34</v>
      </c>
      <c r="AE1960" s="28" t="str">
        <f>VLOOKUP(Таблица1_113[[#This Row],[Марка]],Таблица13[#All],4,0)</f>
        <v>Япония</v>
      </c>
      <c r="AF1960" s="28" t="str">
        <f>VLOOKUP(Таблица1_113[[#This Row],[Марка]],Таблица13[#All],2,0)</f>
        <v>Luxury</v>
      </c>
      <c r="AG1960" s="28">
        <f>VLOOKUP(Таблица1_113[[#This Row],[Марка]],Таблица13[#All],3,0)</f>
        <v>1989</v>
      </c>
      <c r="AH1960" s="28" t="str">
        <f>VLOOKUP(Таблица1_113[[#This Row],[Марка]],Таблица13[#All],5,0)</f>
        <v>Нет</v>
      </c>
      <c r="AI1960" s="30">
        <v>45170</v>
      </c>
      <c r="AJ1960" s="31">
        <v>26</v>
      </c>
      <c r="AM1960" s="12"/>
    </row>
    <row r="1961" spans="30:39" customFormat="1">
      <c r="AD1961" s="27" t="s">
        <v>0</v>
      </c>
      <c r="AE1961" s="28" t="str">
        <f>VLOOKUP(Таблица1_113[[#This Row],[Марка]],Таблица13[#All],4,0)</f>
        <v>Корея</v>
      </c>
      <c r="AF1961" s="28" t="str">
        <f>VLOOKUP(Таблица1_113[[#This Row],[Марка]],Таблица13[#All],2,0)</f>
        <v>Economy</v>
      </c>
      <c r="AG1961" s="28">
        <f>VLOOKUP(Таблица1_113[[#This Row],[Марка]],Таблица13[#All],3,0)</f>
        <v>1967</v>
      </c>
      <c r="AH1961" s="28" t="str">
        <f>VLOOKUP(Таблица1_113[[#This Row],[Марка]],Таблица13[#All],5,0)</f>
        <v>Крупноузловая</v>
      </c>
      <c r="AI1961" s="30">
        <v>45170</v>
      </c>
      <c r="AJ1961" s="31">
        <v>3657</v>
      </c>
      <c r="AM1961" s="12"/>
    </row>
    <row r="1962" spans="30:39" customFormat="1">
      <c r="AD1962" s="27" t="s">
        <v>131</v>
      </c>
      <c r="AE1962" s="28" t="str">
        <f>VLOOKUP(Таблица1_113[[#This Row],[Марка]],Таблица13[#All],4,0)</f>
        <v>Китай</v>
      </c>
      <c r="AF1962" s="28" t="str">
        <f>VLOOKUP(Таблица1_113[[#This Row],[Марка]],Таблица13[#All],2,0)</f>
        <v>Luxury</v>
      </c>
      <c r="AG1962" s="28">
        <f>VLOOKUP(Таблица1_113[[#This Row],[Марка]],Таблица13[#All],3,0)</f>
        <v>1958</v>
      </c>
      <c r="AH1962" s="28" t="str">
        <f>VLOOKUP(Таблица1_113[[#This Row],[Марка]],Таблица13[#All],5,0)</f>
        <v>Нет</v>
      </c>
      <c r="AI1962" s="30">
        <v>45170</v>
      </c>
      <c r="AJ1962" s="31">
        <v>31</v>
      </c>
      <c r="AM1962" s="12"/>
    </row>
    <row r="1963" spans="30:39" customFormat="1">
      <c r="AD1963" s="27" t="s">
        <v>6</v>
      </c>
      <c r="AE1963" s="28" t="str">
        <f>VLOOKUP(Таблица1_113[[#This Row],[Марка]],Таблица13[#All],4,0)</f>
        <v>Китай</v>
      </c>
      <c r="AF1963" s="28" t="str">
        <f>VLOOKUP(Таблица1_113[[#This Row],[Марка]],Таблица13[#All],2,0)</f>
        <v>Economy</v>
      </c>
      <c r="AG1963" s="28">
        <f>VLOOKUP(Таблица1_113[[#This Row],[Марка]],Таблица13[#All],3,0)</f>
        <v>2013</v>
      </c>
      <c r="AH1963" s="28" t="str">
        <f>VLOOKUP(Таблица1_113[[#This Row],[Марка]],Таблица13[#All],5,0)</f>
        <v>Крупноузловая</v>
      </c>
      <c r="AI1963" s="30">
        <v>45170</v>
      </c>
      <c r="AJ1963" s="31">
        <v>1009</v>
      </c>
      <c r="AM1963" s="12"/>
    </row>
    <row r="1964" spans="30:39" customFormat="1">
      <c r="AD1964" s="27" t="s">
        <v>132</v>
      </c>
      <c r="AE1964" s="28" t="str">
        <f>VLOOKUP(Таблица1_113[[#This Row],[Марка]],Таблица13[#All],4,0)</f>
        <v>Китай</v>
      </c>
      <c r="AF1964" s="28" t="str">
        <f>VLOOKUP(Таблица1_113[[#This Row],[Марка]],Таблица13[#All],2,0)</f>
        <v>Economy</v>
      </c>
      <c r="AG1964" s="28">
        <f>VLOOKUP(Таблица1_113[[#This Row],[Марка]],Таблица13[#All],3,0)</f>
        <v>1984</v>
      </c>
      <c r="AH1964" s="28" t="str">
        <f>VLOOKUP(Таблица1_113[[#This Row],[Марка]],Таблица13[#All],5,0)</f>
        <v>Нет</v>
      </c>
      <c r="AI1964" s="30">
        <v>45170</v>
      </c>
      <c r="AJ1964" s="31">
        <v>8</v>
      </c>
      <c r="AM1964" s="12"/>
    </row>
    <row r="1965" spans="30:39" customFormat="1">
      <c r="AD1965" s="27" t="s">
        <v>138</v>
      </c>
      <c r="AE1965" s="28" t="str">
        <f>VLOOKUP(Таблица1_113[[#This Row],[Марка]],Таблица13[#All],4,0)</f>
        <v>Корея</v>
      </c>
      <c r="AF1965" s="28" t="str">
        <f>VLOOKUP(Таблица1_113[[#This Row],[Марка]],Таблица13[#All],2,0)</f>
        <v>Luxury</v>
      </c>
      <c r="AG1965" s="28">
        <f>VLOOKUP(Таблица1_113[[#This Row],[Марка]],Таблица13[#All],3,0)</f>
        <v>2015</v>
      </c>
      <c r="AH1965" s="28" t="str">
        <f>VLOOKUP(Таблица1_113[[#This Row],[Марка]],Таблица13[#All],5,0)</f>
        <v>Нет</v>
      </c>
      <c r="AI1965" s="30">
        <v>45170</v>
      </c>
      <c r="AJ1965" s="31">
        <v>0</v>
      </c>
      <c r="AM1965" s="12"/>
    </row>
    <row r="1966" spans="30:39" customFormat="1">
      <c r="AD1966" s="27" t="s">
        <v>18</v>
      </c>
      <c r="AE1966" s="28" t="str">
        <f>VLOOKUP(Таблица1_113[[#This Row],[Марка]],Таблица13[#All],4,0)</f>
        <v>Китай</v>
      </c>
      <c r="AF1966" s="28" t="str">
        <f>VLOOKUP(Таблица1_113[[#This Row],[Марка]],Таблица13[#All],2,0)</f>
        <v>Economy</v>
      </c>
      <c r="AG1966" s="28">
        <f>VLOOKUP(Таблица1_113[[#This Row],[Марка]],Таблица13[#All],3,0)</f>
        <v>1986</v>
      </c>
      <c r="AH1966" s="28" t="str">
        <f>VLOOKUP(Таблица1_113[[#This Row],[Марка]],Таблица13[#All],5,0)</f>
        <v>Крупноузловая</v>
      </c>
      <c r="AI1966" s="30">
        <v>45170</v>
      </c>
      <c r="AJ1966" s="31">
        <v>329</v>
      </c>
      <c r="AM1966" s="12"/>
    </row>
    <row r="1967" spans="30:39" customFormat="1">
      <c r="AD1967" s="27" t="s">
        <v>127</v>
      </c>
      <c r="AE1967" s="28" t="str">
        <f>VLOOKUP(Таблица1_113[[#This Row],[Марка]],Таблица13[#All],4,0)</f>
        <v>Китай</v>
      </c>
      <c r="AF1967" s="28" t="str">
        <f>VLOOKUP(Таблица1_113[[#This Row],[Марка]],Таблица13[#All],2,0)</f>
        <v>Economy</v>
      </c>
      <c r="AG1967" s="28">
        <f>VLOOKUP(Таблица1_113[[#This Row],[Марка]],Таблица13[#All],3,0)</f>
        <v>1997</v>
      </c>
      <c r="AH1967" s="28" t="str">
        <f>VLOOKUP(Таблица1_113[[#This Row],[Марка]],Таблица13[#All],5,0)</f>
        <v>Нет</v>
      </c>
      <c r="AI1967" s="30">
        <v>45170</v>
      </c>
      <c r="AJ1967" s="31">
        <v>0</v>
      </c>
      <c r="AM1967" s="12"/>
    </row>
    <row r="1968" spans="30:39" customFormat="1">
      <c r="AD1968" s="27" t="s">
        <v>133</v>
      </c>
      <c r="AE1968" s="28" t="str">
        <f>VLOOKUP(Таблица1_113[[#This Row],[Марка]],Таблица13[#All],4,0)</f>
        <v>Китай</v>
      </c>
      <c r="AF1968" s="28" t="str">
        <f>VLOOKUP(Таблица1_113[[#This Row],[Марка]],Таблица13[#All],2,0)</f>
        <v>Economy</v>
      </c>
      <c r="AG1968" s="28">
        <f>VLOOKUP(Таблица1_113[[#This Row],[Марка]],Таблица13[#All],3,0)</f>
        <v>1996</v>
      </c>
      <c r="AH1968" s="28" t="str">
        <f>VLOOKUP(Таблица1_113[[#This Row],[Марка]],Таблица13[#All],5,0)</f>
        <v>Нет</v>
      </c>
      <c r="AI1968" s="30">
        <v>45170</v>
      </c>
      <c r="AJ1968" s="31">
        <v>0</v>
      </c>
      <c r="AM1968" s="12"/>
    </row>
    <row r="1969" spans="30:39" customFormat="1">
      <c r="AD1969" s="27" t="s">
        <v>129</v>
      </c>
      <c r="AE1969" s="28" t="str">
        <f>VLOOKUP(Таблица1_113[[#This Row],[Марка]],Таблица13[#All],4,0)</f>
        <v>Китай</v>
      </c>
      <c r="AF1969" s="28" t="str">
        <f>VLOOKUP(Таблица1_113[[#This Row],[Марка]],Таблица13[#All],2,0)</f>
        <v>Economy</v>
      </c>
      <c r="AG1969" s="28">
        <f>VLOOKUP(Таблица1_113[[#This Row],[Марка]],Таблица13[#All],3,0)</f>
        <v>1953</v>
      </c>
      <c r="AH1969" s="28" t="str">
        <f>VLOOKUP(Таблица1_113[[#This Row],[Марка]],Таблица13[#All],5,0)</f>
        <v>Нет</v>
      </c>
      <c r="AI1969" s="30">
        <v>45170</v>
      </c>
      <c r="AJ1969" s="31">
        <v>56</v>
      </c>
      <c r="AM1969" s="12"/>
    </row>
    <row r="1970" spans="30:39" customFormat="1">
      <c r="AD1970" s="27" t="s">
        <v>7</v>
      </c>
      <c r="AE1970" s="28" t="str">
        <f>VLOOKUP(Таблица1_113[[#This Row],[Марка]],Таблица13[#All],4,0)</f>
        <v>Китай</v>
      </c>
      <c r="AF1970" s="28" t="str">
        <f>VLOOKUP(Таблица1_113[[#This Row],[Марка]],Таблица13[#All],2,0)</f>
        <v>Business</v>
      </c>
      <c r="AG1970" s="28">
        <f>VLOOKUP(Таблица1_113[[#This Row],[Марка]],Таблица13[#All],3,0)</f>
        <v>2017</v>
      </c>
      <c r="AH1970" s="28" t="str">
        <f>VLOOKUP(Таблица1_113[[#This Row],[Марка]],Таблица13[#All],5,0)</f>
        <v>Нет</v>
      </c>
      <c r="AI1970" s="30">
        <v>45170</v>
      </c>
      <c r="AJ1970" s="31">
        <v>414</v>
      </c>
      <c r="AM1970" s="12"/>
    </row>
    <row r="1971" spans="30:39" customFormat="1">
      <c r="AD1971" s="27" t="s">
        <v>130</v>
      </c>
      <c r="AE1971" s="28" t="str">
        <f>VLOOKUP(Таблица1_113[[#This Row],[Марка]],Таблица13[#All],4,0)</f>
        <v>Китай</v>
      </c>
      <c r="AF1971" s="28" t="str">
        <f>VLOOKUP(Таблица1_113[[#This Row],[Марка]],Таблица13[#All],2,0)</f>
        <v>Economy</v>
      </c>
      <c r="AG1971" s="28">
        <f>VLOOKUP(Таблица1_113[[#This Row],[Марка]],Таблица13[#All],3,0)</f>
        <v>1969</v>
      </c>
      <c r="AH1971" s="28" t="str">
        <f>VLOOKUP(Таблица1_113[[#This Row],[Марка]],Таблица13[#All],5,0)</f>
        <v>Нет</v>
      </c>
      <c r="AI1971" s="30">
        <v>45170</v>
      </c>
      <c r="AJ1971" s="31">
        <v>13</v>
      </c>
      <c r="AM1971" s="12"/>
    </row>
    <row r="1972" spans="30:39" customFormat="1">
      <c r="AD1972" s="27" t="s">
        <v>137</v>
      </c>
      <c r="AE1972" s="28" t="str">
        <f>VLOOKUP(Таблица1_113[[#This Row],[Марка]],Таблица13[#All],4,0)</f>
        <v>Корея</v>
      </c>
      <c r="AF1972" s="28" t="str">
        <f>VLOOKUP(Таблица1_113[[#This Row],[Марка]],Таблица13[#All],2,0)</f>
        <v>Economy</v>
      </c>
      <c r="AG1972" s="28">
        <f>VLOOKUP(Таблица1_113[[#This Row],[Марка]],Таблица13[#All],3,0)</f>
        <v>1967</v>
      </c>
      <c r="AH1972" s="28" t="str">
        <f>VLOOKUP(Таблица1_113[[#This Row],[Марка]],Таблица13[#All],5,0)</f>
        <v>Нет</v>
      </c>
      <c r="AI1972" s="30">
        <v>45170</v>
      </c>
      <c r="AJ1972" s="31">
        <v>0</v>
      </c>
      <c r="AM1972" s="12"/>
    </row>
    <row r="1973" spans="30:39" customFormat="1">
      <c r="AD1973" s="27" t="s">
        <v>1</v>
      </c>
      <c r="AE1973" s="28" t="str">
        <f>VLOOKUP(Таблица1_113[[#This Row],[Марка]],Таблица13[#All],4,0)</f>
        <v>США</v>
      </c>
      <c r="AF1973" s="28" t="str">
        <f>VLOOKUP(Таблица1_113[[#This Row],[Марка]],Таблица13[#All],2,0)</f>
        <v>Economy</v>
      </c>
      <c r="AG1973" s="28">
        <f>VLOOKUP(Таблица1_113[[#This Row],[Марка]],Таблица13[#All],3,0)</f>
        <v>1911</v>
      </c>
      <c r="AH1973" s="28" t="str">
        <f>VLOOKUP(Таблица1_113[[#This Row],[Марка]],Таблица13[#All],5,0)</f>
        <v>Крупноузловая</v>
      </c>
      <c r="AI1973" s="30">
        <v>45170</v>
      </c>
      <c r="AJ1973" s="31">
        <v>3185</v>
      </c>
      <c r="AM1973" s="12"/>
    </row>
    <row r="1974" spans="30:39" customFormat="1">
      <c r="AD1974" s="27" t="s">
        <v>3</v>
      </c>
      <c r="AE1974" s="28" t="str">
        <f>VLOOKUP(Таблица1_113[[#This Row],[Марка]],Таблица13[#All],4,0)</f>
        <v>Китай</v>
      </c>
      <c r="AF1974" s="28" t="str">
        <f>VLOOKUP(Таблица1_113[[#This Row],[Марка]],Таблица13[#All],2,0)</f>
        <v>Economy</v>
      </c>
      <c r="AG1974" s="28">
        <f>VLOOKUP(Таблица1_113[[#This Row],[Марка]],Таблица13[#All],3,0)</f>
        <v>1997</v>
      </c>
      <c r="AH1974" s="28" t="str">
        <f>VLOOKUP(Таблица1_113[[#This Row],[Марка]],Таблица13[#All],5,0)</f>
        <v>Крупноузловая</v>
      </c>
      <c r="AI1974" s="30">
        <v>45170</v>
      </c>
      <c r="AJ1974" s="31">
        <v>1437</v>
      </c>
      <c r="AM1974" s="12"/>
    </row>
    <row r="1975" spans="30:39" customFormat="1">
      <c r="AD1975" s="27" t="s">
        <v>124</v>
      </c>
      <c r="AE1975" s="28" t="str">
        <f>VLOOKUP(Таблица1_113[[#This Row],[Марка]],Таблица13[#All],4,0)</f>
        <v>Китай</v>
      </c>
      <c r="AF1975" s="28" t="str">
        <f>VLOOKUP(Таблица1_113[[#This Row],[Марка]],Таблица13[#All],2,0)</f>
        <v>Economy</v>
      </c>
      <c r="AG1975" s="28">
        <f>VLOOKUP(Таблица1_113[[#This Row],[Марка]],Таблица13[#All],3,0)</f>
        <v>1862</v>
      </c>
      <c r="AH1975" s="28" t="str">
        <f>VLOOKUP(Таблица1_113[[#This Row],[Марка]],Таблица13[#All],5,0)</f>
        <v>Нет</v>
      </c>
      <c r="AI1975" s="30">
        <v>45170</v>
      </c>
      <c r="AJ1975" s="31">
        <v>628</v>
      </c>
      <c r="AM1975" s="12"/>
    </row>
    <row r="1976" spans="30:39" customFormat="1">
      <c r="AD1976" s="27" t="s">
        <v>36</v>
      </c>
      <c r="AE1976" s="28" t="str">
        <f>VLOOKUP(Таблица1_113[[#This Row],[Марка]],Таблица13[#All],4,0)</f>
        <v>США</v>
      </c>
      <c r="AF1976" s="28" t="str">
        <f>VLOOKUP(Таблица1_113[[#This Row],[Марка]],Таблица13[#All],2,0)</f>
        <v>Luxury</v>
      </c>
      <c r="AG1976" s="28">
        <f>VLOOKUP(Таблица1_113[[#This Row],[Марка]],Таблица13[#All],3,0)</f>
        <v>1902</v>
      </c>
      <c r="AH1976" s="28" t="str">
        <f>VLOOKUP(Таблица1_113[[#This Row],[Марка]],Таблица13[#All],5,0)</f>
        <v>Нет</v>
      </c>
      <c r="AI1976" s="30">
        <v>45170</v>
      </c>
      <c r="AJ1976" s="31">
        <v>23</v>
      </c>
      <c r="AM1976" s="12"/>
    </row>
    <row r="1977" spans="30:39" customFormat="1">
      <c r="AD1977" s="27" t="s">
        <v>8</v>
      </c>
      <c r="AE1977" s="28" t="str">
        <f>VLOOKUP(Таблица1_113[[#This Row],[Марка]],Таблица13[#All],4,0)</f>
        <v>Германия</v>
      </c>
      <c r="AF1977" s="28" t="str">
        <f>VLOOKUP(Таблица1_113[[#This Row],[Марка]],Таблица13[#All],2,0)</f>
        <v>Luxury</v>
      </c>
      <c r="AG1977" s="28">
        <f>VLOOKUP(Таблица1_113[[#This Row],[Марка]],Таблица13[#All],3,0)</f>
        <v>1916</v>
      </c>
      <c r="AH1977" s="28" t="str">
        <f>VLOOKUP(Таблица1_113[[#This Row],[Марка]],Таблица13[#All],5,0)</f>
        <v>Нет</v>
      </c>
      <c r="AI1977" s="30">
        <v>45170</v>
      </c>
      <c r="AJ1977" s="31">
        <v>116</v>
      </c>
      <c r="AM1977" s="12"/>
    </row>
    <row r="1978" spans="30:39" customFormat="1">
      <c r="AD1978" s="27" t="s">
        <v>38</v>
      </c>
      <c r="AE1978" s="28" t="str">
        <f>VLOOKUP(Таблица1_113[[#This Row],[Марка]],Таблица13[#All],4,0)</f>
        <v>Германия</v>
      </c>
      <c r="AF1978" s="28" t="str">
        <f>VLOOKUP(Таблица1_113[[#This Row],[Марка]],Таблица13[#All],2,0)</f>
        <v>Luxury</v>
      </c>
      <c r="AG1978" s="28">
        <f>VLOOKUP(Таблица1_113[[#This Row],[Марка]],Таблица13[#All],3,0)</f>
        <v>1932</v>
      </c>
      <c r="AH1978" s="28" t="str">
        <f>VLOOKUP(Таблица1_113[[#This Row],[Марка]],Таблица13[#All],5,0)</f>
        <v>Нет</v>
      </c>
      <c r="AI1978" s="30">
        <v>45170</v>
      </c>
      <c r="AJ1978" s="31">
        <v>62</v>
      </c>
      <c r="AM1978" s="12"/>
    </row>
    <row r="1979" spans="30:39" customFormat="1">
      <c r="AD1979" s="27" t="s">
        <v>136</v>
      </c>
      <c r="AE1979" s="28" t="str">
        <f>VLOOKUP(Таблица1_113[[#This Row],[Марка]],Таблица13[#All],4,0)</f>
        <v>Россия</v>
      </c>
      <c r="AF1979" s="28" t="str">
        <f>VLOOKUP(Таблица1_113[[#This Row],[Марка]],Таблица13[#All],2,0)</f>
        <v>Economy</v>
      </c>
      <c r="AG1979" s="28">
        <f>VLOOKUP(Таблица1_113[[#This Row],[Марка]],Таблица13[#All],3,0)</f>
        <v>1941</v>
      </c>
      <c r="AH1979" s="28" t="str">
        <f>VLOOKUP(Таблица1_113[[#This Row],[Марка]],Таблица13[#All],5,0)</f>
        <v>Нет</v>
      </c>
      <c r="AI1979" s="30">
        <v>45200</v>
      </c>
      <c r="AJ1979" s="31">
        <v>52</v>
      </c>
      <c r="AM1979" s="12"/>
    </row>
    <row r="1980" spans="30:39" customFormat="1">
      <c r="AD1980" s="27" t="s">
        <v>21</v>
      </c>
      <c r="AE1980" s="28" t="str">
        <f>VLOOKUP(Таблица1_113[[#This Row],[Марка]],Таблица13[#All],4,0)</f>
        <v>Германия</v>
      </c>
      <c r="AF1980" s="28" t="str">
        <f>VLOOKUP(Таблица1_113[[#This Row],[Марка]],Таблица13[#All],2,0)</f>
        <v>Business</v>
      </c>
      <c r="AG1980" s="28">
        <f>VLOOKUP(Таблица1_113[[#This Row],[Марка]],Таблица13[#All],3,0)</f>
        <v>1937</v>
      </c>
      <c r="AH1980" s="28" t="str">
        <f>VLOOKUP(Таблица1_113[[#This Row],[Марка]],Таблица13[#All],5,0)</f>
        <v>Нет</v>
      </c>
      <c r="AI1980" s="30">
        <v>45200</v>
      </c>
      <c r="AJ1980" s="31">
        <v>108</v>
      </c>
      <c r="AM1980" s="12"/>
    </row>
    <row r="1981" spans="30:39" customFormat="1">
      <c r="AD1981" s="27" t="s">
        <v>2</v>
      </c>
      <c r="AE1981" s="28" t="str">
        <f>VLOOKUP(Таблица1_113[[#This Row],[Марка]],Таблица13[#All],4,0)</f>
        <v>Япония</v>
      </c>
      <c r="AF1981" s="28" t="str">
        <f>VLOOKUP(Таблица1_113[[#This Row],[Марка]],Таблица13[#All],2,0)</f>
        <v>Business</v>
      </c>
      <c r="AG1981" s="28">
        <f>VLOOKUP(Таблица1_113[[#This Row],[Марка]],Таблица13[#All],3,0)</f>
        <v>1937</v>
      </c>
      <c r="AH1981" s="28" t="str">
        <f>VLOOKUP(Таблица1_113[[#This Row],[Марка]],Таблица13[#All],5,0)</f>
        <v>Нет</v>
      </c>
      <c r="AI1981" s="30">
        <v>45200</v>
      </c>
      <c r="AJ1981" s="31">
        <v>1176</v>
      </c>
      <c r="AM1981" s="12"/>
    </row>
    <row r="1982" spans="30:39" customFormat="1">
      <c r="AD1982" s="27" t="s">
        <v>20</v>
      </c>
      <c r="AE1982" s="28" t="str">
        <f>VLOOKUP(Таблица1_113[[#This Row],[Марка]],Таблица13[#All],4,0)</f>
        <v>Китай</v>
      </c>
      <c r="AF1982" s="28" t="str">
        <f>VLOOKUP(Таблица1_113[[#This Row],[Марка]],Таблица13[#All],2,0)</f>
        <v>Business</v>
      </c>
      <c r="AG1982" s="28">
        <f>VLOOKUP(Таблица1_113[[#This Row],[Марка]],Таблица13[#All],3,0)</f>
        <v>2021</v>
      </c>
      <c r="AH1982" s="28" t="str">
        <f>VLOOKUP(Таблица1_113[[#This Row],[Марка]],Таблица13[#All],5,0)</f>
        <v>Нет</v>
      </c>
      <c r="AI1982" s="30">
        <v>45200</v>
      </c>
      <c r="AJ1982" s="31">
        <v>196</v>
      </c>
      <c r="AM1982" s="12"/>
    </row>
    <row r="1983" spans="30:39" customFormat="1">
      <c r="AD1983" s="27" t="s">
        <v>125</v>
      </c>
      <c r="AE1983" s="28" t="str">
        <f>VLOOKUP(Таблица1_113[[#This Row],[Марка]],Таблица13[#All],4,0)</f>
        <v>Япония</v>
      </c>
      <c r="AF1983" s="28" t="str">
        <f>VLOOKUP(Таблица1_113[[#This Row],[Марка]],Таблица13[#All],2,0)</f>
        <v>Business</v>
      </c>
      <c r="AG1983" s="28">
        <f>VLOOKUP(Таблица1_113[[#This Row],[Марка]],Таблица13[#All],3,0)</f>
        <v>1953</v>
      </c>
      <c r="AH1983" s="28" t="str">
        <f>VLOOKUP(Таблица1_113[[#This Row],[Марка]],Таблица13[#All],5,0)</f>
        <v>Нет</v>
      </c>
      <c r="AI1983" s="30">
        <v>45200</v>
      </c>
      <c r="AJ1983" s="31">
        <v>155</v>
      </c>
      <c r="AM1983" s="12"/>
    </row>
    <row r="1984" spans="30:39" customFormat="1">
      <c r="AD1984" s="27" t="s">
        <v>37</v>
      </c>
      <c r="AE1984" s="28" t="str">
        <f>VLOOKUP(Таблица1_113[[#This Row],[Марка]],Таблица13[#All],4,0)</f>
        <v>Германия</v>
      </c>
      <c r="AF1984" s="28" t="str">
        <f>VLOOKUP(Таблица1_113[[#This Row],[Марка]],Таблица13[#All],2,0)</f>
        <v>Luxury</v>
      </c>
      <c r="AG1984" s="28">
        <f>VLOOKUP(Таблица1_113[[#This Row],[Марка]],Таблица13[#All],3,0)</f>
        <v>1931</v>
      </c>
      <c r="AH1984" s="28" t="str">
        <f>VLOOKUP(Таблица1_113[[#This Row],[Марка]],Таблица13[#All],5,0)</f>
        <v>Нет</v>
      </c>
      <c r="AI1984" s="30">
        <v>45200</v>
      </c>
      <c r="AJ1984" s="31">
        <v>35</v>
      </c>
      <c r="AM1984" s="12"/>
    </row>
    <row r="1985" spans="30:39" customFormat="1">
      <c r="AD1985" s="27" t="s">
        <v>126</v>
      </c>
      <c r="AE1985" s="28" t="str">
        <f>VLOOKUP(Таблица1_113[[#This Row],[Марка]],Таблица13[#All],4,0)</f>
        <v>Россия</v>
      </c>
      <c r="AF1985" s="28" t="str">
        <f>VLOOKUP(Таблица1_113[[#This Row],[Марка]],Таблица13[#All],2,0)</f>
        <v>Economy</v>
      </c>
      <c r="AG1985" s="28">
        <f>VLOOKUP(Таблица1_113[[#This Row],[Марка]],Таблица13[#All],3,0)</f>
        <v>2022</v>
      </c>
      <c r="AH1985" s="28" t="str">
        <f>VLOOKUP(Таблица1_113[[#This Row],[Марка]],Таблица13[#All],5,0)</f>
        <v>Нет</v>
      </c>
      <c r="AI1985" s="30">
        <v>45200</v>
      </c>
      <c r="AJ1985" s="31">
        <v>349</v>
      </c>
      <c r="AM1985" s="12"/>
    </row>
    <row r="1986" spans="30:39" customFormat="1">
      <c r="AD1986" s="27" t="s">
        <v>22</v>
      </c>
      <c r="AE1986" s="28" t="str">
        <f>VLOOKUP(Таблица1_113[[#This Row],[Марка]],Таблица13[#All],4,0)</f>
        <v>Япония</v>
      </c>
      <c r="AF1986" s="28" t="str">
        <f>VLOOKUP(Таблица1_113[[#This Row],[Марка]],Таблица13[#All],2,0)</f>
        <v>Business</v>
      </c>
      <c r="AG1986" s="28">
        <f>VLOOKUP(Таблица1_113[[#This Row],[Марка]],Таблица13[#All],3,0)</f>
        <v>1933</v>
      </c>
      <c r="AH1986" s="28" t="str">
        <f>VLOOKUP(Таблица1_113[[#This Row],[Марка]],Таблица13[#All],5,0)</f>
        <v>Нет</v>
      </c>
      <c r="AI1986" s="30">
        <v>45200</v>
      </c>
      <c r="AJ1986" s="31">
        <v>4</v>
      </c>
      <c r="AM1986" s="12"/>
    </row>
    <row r="1987" spans="30:39" customFormat="1">
      <c r="AD1987" s="27" t="s">
        <v>9</v>
      </c>
      <c r="AE1987" s="28" t="str">
        <f>VLOOKUP(Таблица1_113[[#This Row],[Марка]],Таблица13[#All],4,0)</f>
        <v>Япония</v>
      </c>
      <c r="AF1987" s="28" t="str">
        <f>VLOOKUP(Таблица1_113[[#This Row],[Марка]],Таблица13[#All],2,0)</f>
        <v>Business</v>
      </c>
      <c r="AG1987" s="28">
        <f>VLOOKUP(Таблица1_113[[#This Row],[Марка]],Таблица13[#All],3,0)</f>
        <v>1870</v>
      </c>
      <c r="AH1987" s="28" t="str">
        <f>VLOOKUP(Таблица1_113[[#This Row],[Марка]],Таблица13[#All],5,0)</f>
        <v>Нет</v>
      </c>
      <c r="AI1987" s="30">
        <v>45200</v>
      </c>
      <c r="AJ1987" s="31">
        <v>80</v>
      </c>
      <c r="AM1987" s="12"/>
    </row>
    <row r="1988" spans="30:39" customFormat="1">
      <c r="AD1988" s="27" t="s">
        <v>40</v>
      </c>
      <c r="AE1988" s="28" t="str">
        <f>VLOOKUP(Таблица1_113[[#This Row],[Марка]],Таблица13[#All],4,0)</f>
        <v>Великобритания</v>
      </c>
      <c r="AF1988" s="28" t="str">
        <f>VLOOKUP(Таблица1_113[[#This Row],[Марка]],Таблица13[#All],2,0)</f>
        <v>Luxury</v>
      </c>
      <c r="AG1988" s="28">
        <f>VLOOKUP(Таблица1_113[[#This Row],[Марка]],Таблица13[#All],3,0)</f>
        <v>1959</v>
      </c>
      <c r="AH1988" s="28" t="str">
        <f>VLOOKUP(Таблица1_113[[#This Row],[Марка]],Таблица13[#All],5,0)</f>
        <v>Нет</v>
      </c>
      <c r="AI1988" s="30">
        <v>45200</v>
      </c>
      <c r="AJ1988" s="31">
        <v>10</v>
      </c>
      <c r="AM1988" s="12"/>
    </row>
    <row r="1989" spans="30:39" customFormat="1">
      <c r="AD1989" s="27" t="s">
        <v>128</v>
      </c>
      <c r="AE1989" s="28" t="str">
        <f>VLOOKUP(Таблица1_113[[#This Row],[Марка]],Таблица13[#All],4,0)</f>
        <v>Германия</v>
      </c>
      <c r="AF1989" s="28" t="str">
        <f>VLOOKUP(Таблица1_113[[#This Row],[Марка]],Таблица13[#All],2,0)</f>
        <v>Luxury</v>
      </c>
      <c r="AG1989" s="28">
        <f>VLOOKUP(Таблица1_113[[#This Row],[Марка]],Таблица13[#All],3,0)</f>
        <v>1926</v>
      </c>
      <c r="AH1989" s="28" t="str">
        <f>VLOOKUP(Таблица1_113[[#This Row],[Марка]],Таблица13[#All],5,0)</f>
        <v>Нет</v>
      </c>
      <c r="AI1989" s="30">
        <v>45200</v>
      </c>
      <c r="AJ1989" s="31">
        <v>99</v>
      </c>
      <c r="AM1989" s="12"/>
    </row>
    <row r="1990" spans="30:39" customFormat="1">
      <c r="AD1990" s="27" t="s">
        <v>5</v>
      </c>
      <c r="AE1990" s="28" t="str">
        <f>VLOOKUP(Таблица1_113[[#This Row],[Марка]],Таблица13[#All],4,0)</f>
        <v>Япония</v>
      </c>
      <c r="AF1990" s="28" t="str">
        <f>VLOOKUP(Таблица1_113[[#This Row],[Марка]],Таблица13[#All],2,0)</f>
        <v>Luxury</v>
      </c>
      <c r="AG1990" s="28">
        <f>VLOOKUP(Таблица1_113[[#This Row],[Марка]],Таблица13[#All],3,0)</f>
        <v>1989</v>
      </c>
      <c r="AH1990" s="28" t="str">
        <f>VLOOKUP(Таблица1_113[[#This Row],[Марка]],Таблица13[#All],5,0)</f>
        <v>Нет</v>
      </c>
      <c r="AI1990" s="30">
        <v>45200</v>
      </c>
      <c r="AJ1990" s="31">
        <v>272</v>
      </c>
      <c r="AM1990" s="12"/>
    </row>
    <row r="1991" spans="30:39" customFormat="1">
      <c r="AD1991" s="27" t="s">
        <v>35</v>
      </c>
      <c r="AE1991" s="28" t="str">
        <f>VLOOKUP(Таблица1_113[[#This Row],[Марка]],Таблица13[#All],4,0)</f>
        <v>Великобритания</v>
      </c>
      <c r="AF1991" s="28" t="str">
        <f>VLOOKUP(Таблица1_113[[#This Row],[Марка]],Таблица13[#All],2,0)</f>
        <v>Luxury</v>
      </c>
      <c r="AG1991" s="28">
        <f>VLOOKUP(Таблица1_113[[#This Row],[Марка]],Таблица13[#All],3,0)</f>
        <v>1948</v>
      </c>
      <c r="AH1991" s="28" t="str">
        <f>VLOOKUP(Таблица1_113[[#This Row],[Марка]],Таблица13[#All],5,0)</f>
        <v>Нет</v>
      </c>
      <c r="AI1991" s="30">
        <v>45200</v>
      </c>
      <c r="AJ1991" s="31">
        <v>23</v>
      </c>
      <c r="AM1991" s="12"/>
    </row>
    <row r="1992" spans="30:39" customFormat="1">
      <c r="AD1992" s="27" t="s">
        <v>19</v>
      </c>
      <c r="AE1992" s="28" t="str">
        <f>VLOOKUP(Таблица1_113[[#This Row],[Марка]],Таблица13[#All],4,0)</f>
        <v>Россия</v>
      </c>
      <c r="AF1992" s="28" t="str">
        <f>VLOOKUP(Таблица1_113[[#This Row],[Марка]],Таблица13[#All],2,0)</f>
        <v>Economy</v>
      </c>
      <c r="AG1992" s="28">
        <f>VLOOKUP(Таблица1_113[[#This Row],[Марка]],Таблица13[#All],3,0)</f>
        <v>1970</v>
      </c>
      <c r="AH1992" s="28" t="str">
        <f>VLOOKUP(Таблица1_113[[#This Row],[Марка]],Таблица13[#All],5,0)</f>
        <v>Крупноузловая</v>
      </c>
      <c r="AI1992" s="30">
        <v>45200</v>
      </c>
      <c r="AJ1992" s="31">
        <v>180</v>
      </c>
      <c r="AM1992" s="12"/>
    </row>
    <row r="1993" spans="30:39" customFormat="1">
      <c r="AD1993" s="27" t="s">
        <v>15</v>
      </c>
      <c r="AE1993" s="28" t="str">
        <f>VLOOKUP(Таблица1_113[[#This Row],[Марка]],Таблица13[#All],4,0)</f>
        <v>Корея</v>
      </c>
      <c r="AF1993" s="28" t="str">
        <f>VLOOKUP(Таблица1_113[[#This Row],[Марка]],Таблица13[#All],2,0)</f>
        <v>Economy</v>
      </c>
      <c r="AG1993" s="28">
        <f>VLOOKUP(Таблица1_113[[#This Row],[Марка]],Таблица13[#All],3,0)</f>
        <v>1944</v>
      </c>
      <c r="AH1993" s="28" t="str">
        <f>VLOOKUP(Таблица1_113[[#This Row],[Марка]],Таблица13[#All],5,0)</f>
        <v>Крупноузловая</v>
      </c>
      <c r="AI1993" s="30">
        <v>45200</v>
      </c>
      <c r="AJ1993" s="31">
        <v>2418</v>
      </c>
      <c r="AM1993" s="12"/>
    </row>
    <row r="1994" spans="30:39" customFormat="1">
      <c r="AD1994" s="27" t="s">
        <v>17</v>
      </c>
      <c r="AE1994" s="28" t="str">
        <f>VLOOKUP(Таблица1_113[[#This Row],[Марка]],Таблица13[#All],4,0)</f>
        <v>Китай</v>
      </c>
      <c r="AF1994" s="28" t="str">
        <f>VLOOKUP(Таблица1_113[[#This Row],[Марка]],Таблица13[#All],2,0)</f>
        <v>Economy</v>
      </c>
      <c r="AG1994" s="28">
        <f>VLOOKUP(Таблица1_113[[#This Row],[Марка]],Таблица13[#All],3,0)</f>
        <v>2014</v>
      </c>
      <c r="AH1994" s="28" t="str">
        <f>VLOOKUP(Таблица1_113[[#This Row],[Марка]],Таблица13[#All],5,0)</f>
        <v>Нет</v>
      </c>
      <c r="AI1994" s="30">
        <v>45200</v>
      </c>
      <c r="AJ1994" s="31">
        <v>620</v>
      </c>
      <c r="AM1994" s="12"/>
    </row>
    <row r="1995" spans="30:39" customFormat="1">
      <c r="AD1995" s="27" t="s">
        <v>134</v>
      </c>
      <c r="AE1995" s="28" t="str">
        <f>VLOOKUP(Таблица1_113[[#This Row],[Марка]],Таблица13[#All],4,0)</f>
        <v>Великобритания</v>
      </c>
      <c r="AF1995" s="28" t="str">
        <f>VLOOKUP(Таблица1_113[[#This Row],[Марка]],Таблица13[#All],2,0)</f>
        <v>Luxury</v>
      </c>
      <c r="AG1995" s="28">
        <f>VLOOKUP(Таблица1_113[[#This Row],[Марка]],Таблица13[#All],3,0)</f>
        <v>1922</v>
      </c>
      <c r="AH1995" s="28" t="str">
        <f>VLOOKUP(Таблица1_113[[#This Row],[Марка]],Таблица13[#All],5,0)</f>
        <v>Нет</v>
      </c>
      <c r="AI1995" s="30">
        <v>45200</v>
      </c>
      <c r="AJ1995" s="31">
        <v>0</v>
      </c>
      <c r="AM1995" s="12"/>
    </row>
    <row r="1996" spans="30:39" customFormat="1">
      <c r="AD1996" s="27" t="s">
        <v>4</v>
      </c>
      <c r="AE1996" s="28" t="str">
        <f>VLOOKUP(Таблица1_113[[#This Row],[Марка]],Таблица13[#All],4,0)</f>
        <v>Китай</v>
      </c>
      <c r="AF1996" s="28" t="str">
        <f>VLOOKUP(Таблица1_113[[#This Row],[Марка]],Таблица13[#All],2,0)</f>
        <v>Economy</v>
      </c>
      <c r="AG1996" s="28">
        <f>VLOOKUP(Таблица1_113[[#This Row],[Марка]],Таблица13[#All],3,0)</f>
        <v>1964</v>
      </c>
      <c r="AH1996" s="28" t="str">
        <f>VLOOKUP(Таблица1_113[[#This Row],[Марка]],Таблица13[#All],5,0)</f>
        <v>Крупноузловая</v>
      </c>
      <c r="AI1996" s="30">
        <v>45200</v>
      </c>
      <c r="AJ1996" s="31">
        <v>903</v>
      </c>
      <c r="AM1996" s="12"/>
    </row>
    <row r="1997" spans="30:39" customFormat="1">
      <c r="AD1997" s="27" t="s">
        <v>34</v>
      </c>
      <c r="AE1997" s="28" t="str">
        <f>VLOOKUP(Таблица1_113[[#This Row],[Марка]],Таблица13[#All],4,0)</f>
        <v>Япония</v>
      </c>
      <c r="AF1997" s="28" t="str">
        <f>VLOOKUP(Таблица1_113[[#This Row],[Марка]],Таблица13[#All],2,0)</f>
        <v>Luxury</v>
      </c>
      <c r="AG1997" s="28">
        <f>VLOOKUP(Таблица1_113[[#This Row],[Марка]],Таблица13[#All],3,0)</f>
        <v>1989</v>
      </c>
      <c r="AH1997" s="28" t="str">
        <f>VLOOKUP(Таблица1_113[[#This Row],[Марка]],Таблица13[#All],5,0)</f>
        <v>Нет</v>
      </c>
      <c r="AI1997" s="30">
        <v>45200</v>
      </c>
      <c r="AJ1997" s="31">
        <v>23</v>
      </c>
      <c r="AM1997" s="12"/>
    </row>
    <row r="1998" spans="30:39" customFormat="1">
      <c r="AD1998" s="27" t="s">
        <v>0</v>
      </c>
      <c r="AE1998" s="28" t="str">
        <f>VLOOKUP(Таблица1_113[[#This Row],[Марка]],Таблица13[#All],4,0)</f>
        <v>Корея</v>
      </c>
      <c r="AF1998" s="28" t="str">
        <f>VLOOKUP(Таблица1_113[[#This Row],[Марка]],Таблица13[#All],2,0)</f>
        <v>Economy</v>
      </c>
      <c r="AG1998" s="28">
        <f>VLOOKUP(Таблица1_113[[#This Row],[Марка]],Таблица13[#All],3,0)</f>
        <v>1967</v>
      </c>
      <c r="AH1998" s="28" t="str">
        <f>VLOOKUP(Таблица1_113[[#This Row],[Марка]],Таблица13[#All],5,0)</f>
        <v>Крупноузловая</v>
      </c>
      <c r="AI1998" s="30">
        <v>45200</v>
      </c>
      <c r="AJ1998" s="31">
        <v>3453</v>
      </c>
      <c r="AM1998" s="12"/>
    </row>
    <row r="1999" spans="30:39" customFormat="1">
      <c r="AD1999" s="27" t="s">
        <v>131</v>
      </c>
      <c r="AE1999" s="28" t="str">
        <f>VLOOKUP(Таблица1_113[[#This Row],[Марка]],Таблица13[#All],4,0)</f>
        <v>Китай</v>
      </c>
      <c r="AF1999" s="28" t="str">
        <f>VLOOKUP(Таблица1_113[[#This Row],[Марка]],Таблица13[#All],2,0)</f>
        <v>Luxury</v>
      </c>
      <c r="AG1999" s="28">
        <f>VLOOKUP(Таблица1_113[[#This Row],[Марка]],Таблица13[#All],3,0)</f>
        <v>1958</v>
      </c>
      <c r="AH1999" s="28" t="str">
        <f>VLOOKUP(Таблица1_113[[#This Row],[Марка]],Таблица13[#All],5,0)</f>
        <v>Нет</v>
      </c>
      <c r="AI1999" s="30">
        <v>45200</v>
      </c>
      <c r="AJ1999" s="31">
        <v>9</v>
      </c>
      <c r="AM1999" s="12"/>
    </row>
    <row r="2000" spans="30:39" customFormat="1">
      <c r="AD2000" s="27" t="s">
        <v>6</v>
      </c>
      <c r="AE2000" s="28" t="str">
        <f>VLOOKUP(Таблица1_113[[#This Row],[Марка]],Таблица13[#All],4,0)</f>
        <v>Китай</v>
      </c>
      <c r="AF2000" s="28" t="str">
        <f>VLOOKUP(Таблица1_113[[#This Row],[Марка]],Таблица13[#All],2,0)</f>
        <v>Economy</v>
      </c>
      <c r="AG2000" s="28">
        <f>VLOOKUP(Таблица1_113[[#This Row],[Марка]],Таблица13[#All],3,0)</f>
        <v>2013</v>
      </c>
      <c r="AH2000" s="28" t="str">
        <f>VLOOKUP(Таблица1_113[[#This Row],[Марка]],Таблица13[#All],5,0)</f>
        <v>Крупноузловая</v>
      </c>
      <c r="AI2000" s="30">
        <v>45200</v>
      </c>
      <c r="AJ2000" s="31">
        <v>791</v>
      </c>
      <c r="AM2000" s="12"/>
    </row>
    <row r="2001" spans="30:39" customFormat="1">
      <c r="AD2001" s="27" t="s">
        <v>132</v>
      </c>
      <c r="AE2001" s="28" t="str">
        <f>VLOOKUP(Таблица1_113[[#This Row],[Марка]],Таблица13[#All],4,0)</f>
        <v>Китай</v>
      </c>
      <c r="AF2001" s="28" t="str">
        <f>VLOOKUP(Таблица1_113[[#This Row],[Марка]],Таблица13[#All],2,0)</f>
        <v>Economy</v>
      </c>
      <c r="AG2001" s="28">
        <f>VLOOKUP(Таблица1_113[[#This Row],[Марка]],Таблица13[#All],3,0)</f>
        <v>1984</v>
      </c>
      <c r="AH2001" s="28" t="str">
        <f>VLOOKUP(Таблица1_113[[#This Row],[Марка]],Таблица13[#All],5,0)</f>
        <v>Нет</v>
      </c>
      <c r="AI2001" s="30">
        <v>45200</v>
      </c>
      <c r="AJ2001" s="31">
        <v>72</v>
      </c>
      <c r="AM2001" s="12"/>
    </row>
    <row r="2002" spans="30:39" customFormat="1">
      <c r="AD2002" s="27" t="s">
        <v>138</v>
      </c>
      <c r="AE2002" s="28" t="str">
        <f>VLOOKUP(Таблица1_113[[#This Row],[Марка]],Таблица13[#All],4,0)</f>
        <v>Корея</v>
      </c>
      <c r="AF2002" s="28" t="str">
        <f>VLOOKUP(Таблица1_113[[#This Row],[Марка]],Таблица13[#All],2,0)</f>
        <v>Luxury</v>
      </c>
      <c r="AG2002" s="28">
        <f>VLOOKUP(Таблица1_113[[#This Row],[Марка]],Таблица13[#All],3,0)</f>
        <v>2015</v>
      </c>
      <c r="AH2002" s="28" t="str">
        <f>VLOOKUP(Таблица1_113[[#This Row],[Марка]],Таблица13[#All],5,0)</f>
        <v>Нет</v>
      </c>
      <c r="AI2002" s="30">
        <v>45200</v>
      </c>
      <c r="AJ2002" s="31">
        <v>0</v>
      </c>
      <c r="AM2002" s="12"/>
    </row>
    <row r="2003" spans="30:39" customFormat="1">
      <c r="AD2003" s="27" t="s">
        <v>18</v>
      </c>
      <c r="AE2003" s="28" t="str">
        <f>VLOOKUP(Таблица1_113[[#This Row],[Марка]],Таблица13[#All],4,0)</f>
        <v>Китай</v>
      </c>
      <c r="AF2003" s="28" t="str">
        <f>VLOOKUP(Таблица1_113[[#This Row],[Марка]],Таблица13[#All],2,0)</f>
        <v>Economy</v>
      </c>
      <c r="AG2003" s="28">
        <f>VLOOKUP(Таблица1_113[[#This Row],[Марка]],Таблица13[#All],3,0)</f>
        <v>1986</v>
      </c>
      <c r="AH2003" s="28" t="str">
        <f>VLOOKUP(Таблица1_113[[#This Row],[Марка]],Таблица13[#All],5,0)</f>
        <v>Крупноузловая</v>
      </c>
      <c r="AI2003" s="30">
        <v>45200</v>
      </c>
      <c r="AJ2003" s="31">
        <v>346</v>
      </c>
      <c r="AM2003" s="12"/>
    </row>
    <row r="2004" spans="30:39" customFormat="1">
      <c r="AD2004" s="27" t="s">
        <v>127</v>
      </c>
      <c r="AE2004" s="28" t="str">
        <f>VLOOKUP(Таблица1_113[[#This Row],[Марка]],Таблица13[#All],4,0)</f>
        <v>Китай</v>
      </c>
      <c r="AF2004" s="28" t="str">
        <f>VLOOKUP(Таблица1_113[[#This Row],[Марка]],Таблица13[#All],2,0)</f>
        <v>Economy</v>
      </c>
      <c r="AG2004" s="28">
        <f>VLOOKUP(Таблица1_113[[#This Row],[Марка]],Таблица13[#All],3,0)</f>
        <v>1997</v>
      </c>
      <c r="AH2004" s="28" t="str">
        <f>VLOOKUP(Таблица1_113[[#This Row],[Марка]],Таблица13[#All],5,0)</f>
        <v>Нет</v>
      </c>
      <c r="AI2004" s="30">
        <v>45200</v>
      </c>
      <c r="AJ2004" s="31">
        <v>0</v>
      </c>
      <c r="AM2004" s="12"/>
    </row>
    <row r="2005" spans="30:39" customFormat="1">
      <c r="AD2005" s="27" t="s">
        <v>133</v>
      </c>
      <c r="AE2005" s="28" t="str">
        <f>VLOOKUP(Таблица1_113[[#This Row],[Марка]],Таблица13[#All],4,0)</f>
        <v>Китай</v>
      </c>
      <c r="AF2005" s="28" t="str">
        <f>VLOOKUP(Таблица1_113[[#This Row],[Марка]],Таблица13[#All],2,0)</f>
        <v>Economy</v>
      </c>
      <c r="AG2005" s="28">
        <f>VLOOKUP(Таблица1_113[[#This Row],[Марка]],Таблица13[#All],3,0)</f>
        <v>1996</v>
      </c>
      <c r="AH2005" s="28" t="str">
        <f>VLOOKUP(Таблица1_113[[#This Row],[Марка]],Таблица13[#All],5,0)</f>
        <v>Нет</v>
      </c>
      <c r="AI2005" s="30">
        <v>45200</v>
      </c>
      <c r="AJ2005" s="31">
        <v>4</v>
      </c>
      <c r="AM2005" s="12"/>
    </row>
    <row r="2006" spans="30:39" customFormat="1">
      <c r="AD2006" s="27" t="s">
        <v>129</v>
      </c>
      <c r="AE2006" s="28" t="str">
        <f>VLOOKUP(Таблица1_113[[#This Row],[Марка]],Таблица13[#All],4,0)</f>
        <v>Китай</v>
      </c>
      <c r="AF2006" s="28" t="str">
        <f>VLOOKUP(Таблица1_113[[#This Row],[Марка]],Таблица13[#All],2,0)</f>
        <v>Economy</v>
      </c>
      <c r="AG2006" s="28">
        <f>VLOOKUP(Таблица1_113[[#This Row],[Марка]],Таблица13[#All],3,0)</f>
        <v>1953</v>
      </c>
      <c r="AH2006" s="28" t="str">
        <f>VLOOKUP(Таблица1_113[[#This Row],[Марка]],Таблица13[#All],5,0)</f>
        <v>Нет</v>
      </c>
      <c r="AI2006" s="30">
        <v>45200</v>
      </c>
      <c r="AJ2006" s="31">
        <v>38</v>
      </c>
      <c r="AM2006" s="12"/>
    </row>
    <row r="2007" spans="30:39" customFormat="1">
      <c r="AD2007" s="27" t="s">
        <v>7</v>
      </c>
      <c r="AE2007" s="28" t="str">
        <f>VLOOKUP(Таблица1_113[[#This Row],[Марка]],Таблица13[#All],4,0)</f>
        <v>Китай</v>
      </c>
      <c r="AF2007" s="28" t="str">
        <f>VLOOKUP(Таблица1_113[[#This Row],[Марка]],Таблица13[#All],2,0)</f>
        <v>Business</v>
      </c>
      <c r="AG2007" s="28">
        <f>VLOOKUP(Таблица1_113[[#This Row],[Марка]],Таблица13[#All],3,0)</f>
        <v>2017</v>
      </c>
      <c r="AH2007" s="28" t="str">
        <f>VLOOKUP(Таблица1_113[[#This Row],[Марка]],Таблица13[#All],5,0)</f>
        <v>Нет</v>
      </c>
      <c r="AI2007" s="30">
        <v>45200</v>
      </c>
      <c r="AJ2007" s="31">
        <v>329</v>
      </c>
      <c r="AM2007" s="12"/>
    </row>
    <row r="2008" spans="30:39" customFormat="1">
      <c r="AD2008" s="27" t="s">
        <v>130</v>
      </c>
      <c r="AE2008" s="28" t="str">
        <f>VLOOKUP(Таблица1_113[[#This Row],[Марка]],Таблица13[#All],4,0)</f>
        <v>Китай</v>
      </c>
      <c r="AF2008" s="28" t="str">
        <f>VLOOKUP(Таблица1_113[[#This Row],[Марка]],Таблица13[#All],2,0)</f>
        <v>Economy</v>
      </c>
      <c r="AG2008" s="28">
        <f>VLOOKUP(Таблица1_113[[#This Row],[Марка]],Таблица13[#All],3,0)</f>
        <v>1969</v>
      </c>
      <c r="AH2008" s="28" t="str">
        <f>VLOOKUP(Таблица1_113[[#This Row],[Марка]],Таблица13[#All],5,0)</f>
        <v>Нет</v>
      </c>
      <c r="AI2008" s="30">
        <v>45200</v>
      </c>
      <c r="AJ2008" s="31">
        <v>16</v>
      </c>
      <c r="AM2008" s="12"/>
    </row>
    <row r="2009" spans="30:39" customFormat="1">
      <c r="AD2009" s="27" t="s">
        <v>137</v>
      </c>
      <c r="AE2009" s="28" t="str">
        <f>VLOOKUP(Таблица1_113[[#This Row],[Марка]],Таблица13[#All],4,0)</f>
        <v>Корея</v>
      </c>
      <c r="AF2009" s="28" t="str">
        <f>VLOOKUP(Таблица1_113[[#This Row],[Марка]],Таблица13[#All],2,0)</f>
        <v>Economy</v>
      </c>
      <c r="AG2009" s="28">
        <f>VLOOKUP(Таблица1_113[[#This Row],[Марка]],Таблица13[#All],3,0)</f>
        <v>1967</v>
      </c>
      <c r="AH2009" s="28" t="str">
        <f>VLOOKUP(Таблица1_113[[#This Row],[Марка]],Таблица13[#All],5,0)</f>
        <v>Нет</v>
      </c>
      <c r="AI2009" s="30">
        <v>45200</v>
      </c>
      <c r="AJ2009" s="31">
        <v>9</v>
      </c>
      <c r="AM2009" s="12"/>
    </row>
    <row r="2010" spans="30:39" customFormat="1">
      <c r="AD2010" s="27" t="s">
        <v>1</v>
      </c>
      <c r="AE2010" s="28" t="str">
        <f>VLOOKUP(Таблица1_113[[#This Row],[Марка]],Таблица13[#All],4,0)</f>
        <v>США</v>
      </c>
      <c r="AF2010" s="28" t="str">
        <f>VLOOKUP(Таблица1_113[[#This Row],[Марка]],Таблица13[#All],2,0)</f>
        <v>Economy</v>
      </c>
      <c r="AG2010" s="28">
        <f>VLOOKUP(Таблица1_113[[#This Row],[Марка]],Таблица13[#All],3,0)</f>
        <v>1911</v>
      </c>
      <c r="AH2010" s="28" t="str">
        <f>VLOOKUP(Таблица1_113[[#This Row],[Марка]],Таблица13[#All],5,0)</f>
        <v>Крупноузловая</v>
      </c>
      <c r="AI2010" s="30">
        <v>45200</v>
      </c>
      <c r="AJ2010" s="31">
        <v>3836</v>
      </c>
      <c r="AM2010" s="12"/>
    </row>
    <row r="2011" spans="30:39" customFormat="1">
      <c r="AD2011" s="27" t="s">
        <v>3</v>
      </c>
      <c r="AE2011" s="28" t="str">
        <f>VLOOKUP(Таблица1_113[[#This Row],[Марка]],Таблица13[#All],4,0)</f>
        <v>Китай</v>
      </c>
      <c r="AF2011" s="28" t="str">
        <f>VLOOKUP(Таблица1_113[[#This Row],[Марка]],Таблица13[#All],2,0)</f>
        <v>Economy</v>
      </c>
      <c r="AG2011" s="28">
        <f>VLOOKUP(Таблица1_113[[#This Row],[Марка]],Таблица13[#All],3,0)</f>
        <v>1997</v>
      </c>
      <c r="AH2011" s="28" t="str">
        <f>VLOOKUP(Таблица1_113[[#This Row],[Марка]],Таблица13[#All],5,0)</f>
        <v>Крупноузловая</v>
      </c>
      <c r="AI2011" s="30">
        <v>45200</v>
      </c>
      <c r="AJ2011" s="31">
        <v>1187</v>
      </c>
      <c r="AM2011" s="12"/>
    </row>
    <row r="2012" spans="30:39" customFormat="1">
      <c r="AD2012" s="27" t="s">
        <v>124</v>
      </c>
      <c r="AE2012" s="28" t="str">
        <f>VLOOKUP(Таблица1_113[[#This Row],[Марка]],Таблица13[#All],4,0)</f>
        <v>Китай</v>
      </c>
      <c r="AF2012" s="28" t="str">
        <f>VLOOKUP(Таблица1_113[[#This Row],[Марка]],Таблица13[#All],2,0)</f>
        <v>Economy</v>
      </c>
      <c r="AG2012" s="28">
        <f>VLOOKUP(Таблица1_113[[#This Row],[Марка]],Таблица13[#All],3,0)</f>
        <v>1862</v>
      </c>
      <c r="AH2012" s="28" t="str">
        <f>VLOOKUP(Таблица1_113[[#This Row],[Марка]],Таблица13[#All],5,0)</f>
        <v>Нет</v>
      </c>
      <c r="AI2012" s="30">
        <v>45200</v>
      </c>
      <c r="AJ2012" s="31">
        <v>558</v>
      </c>
      <c r="AM2012" s="12"/>
    </row>
    <row r="2013" spans="30:39" customFormat="1">
      <c r="AD2013" s="27" t="s">
        <v>36</v>
      </c>
      <c r="AE2013" s="28" t="str">
        <f>VLOOKUP(Таблица1_113[[#This Row],[Марка]],Таблица13[#All],4,0)</f>
        <v>США</v>
      </c>
      <c r="AF2013" s="28" t="str">
        <f>VLOOKUP(Таблица1_113[[#This Row],[Марка]],Таблица13[#All],2,0)</f>
        <v>Luxury</v>
      </c>
      <c r="AG2013" s="28">
        <f>VLOOKUP(Таблица1_113[[#This Row],[Марка]],Таблица13[#All],3,0)</f>
        <v>1902</v>
      </c>
      <c r="AH2013" s="28" t="str">
        <f>VLOOKUP(Таблица1_113[[#This Row],[Марка]],Таблица13[#All],5,0)</f>
        <v>Нет</v>
      </c>
      <c r="AI2013" s="30">
        <v>45200</v>
      </c>
      <c r="AJ2013" s="31">
        <v>49</v>
      </c>
      <c r="AM2013" s="12"/>
    </row>
    <row r="2014" spans="30:39" customFormat="1">
      <c r="AD2014" s="27" t="s">
        <v>8</v>
      </c>
      <c r="AE2014" s="28" t="str">
        <f>VLOOKUP(Таблица1_113[[#This Row],[Марка]],Таблица13[#All],4,0)</f>
        <v>Германия</v>
      </c>
      <c r="AF2014" s="28" t="str">
        <f>VLOOKUP(Таблица1_113[[#This Row],[Марка]],Таблица13[#All],2,0)</f>
        <v>Luxury</v>
      </c>
      <c r="AG2014" s="28">
        <f>VLOOKUP(Таблица1_113[[#This Row],[Марка]],Таблица13[#All],3,0)</f>
        <v>1916</v>
      </c>
      <c r="AH2014" s="28" t="str">
        <f>VLOOKUP(Таблица1_113[[#This Row],[Марка]],Таблица13[#All],5,0)</f>
        <v>Нет</v>
      </c>
      <c r="AI2014" s="30">
        <v>45200</v>
      </c>
      <c r="AJ2014" s="31">
        <v>51</v>
      </c>
      <c r="AM2014" s="12"/>
    </row>
    <row r="2015" spans="30:39" customFormat="1">
      <c r="AD2015" s="27" t="s">
        <v>38</v>
      </c>
      <c r="AE2015" s="28" t="str">
        <f>VLOOKUP(Таблица1_113[[#This Row],[Марка]],Таблица13[#All],4,0)</f>
        <v>Германия</v>
      </c>
      <c r="AF2015" s="28" t="str">
        <f>VLOOKUP(Таблица1_113[[#This Row],[Марка]],Таблица13[#All],2,0)</f>
        <v>Luxury</v>
      </c>
      <c r="AG2015" s="28">
        <f>VLOOKUP(Таблица1_113[[#This Row],[Марка]],Таблица13[#All],3,0)</f>
        <v>1932</v>
      </c>
      <c r="AH2015" s="28" t="str">
        <f>VLOOKUP(Таблица1_113[[#This Row],[Марка]],Таблица13[#All],5,0)</f>
        <v>Нет</v>
      </c>
      <c r="AI2015" s="30">
        <v>45200</v>
      </c>
      <c r="AJ2015" s="31">
        <v>123</v>
      </c>
      <c r="AM2015" s="12"/>
    </row>
    <row r="2016" spans="30:39" customFormat="1">
      <c r="AD2016" s="27" t="s">
        <v>136</v>
      </c>
      <c r="AE2016" s="28" t="str">
        <f>VLOOKUP(Таблица1_113[[#This Row],[Марка]],Таблица13[#All],4,0)</f>
        <v>Россия</v>
      </c>
      <c r="AF2016" s="28" t="str">
        <f>VLOOKUP(Таблица1_113[[#This Row],[Марка]],Таблица13[#All],2,0)</f>
        <v>Economy</v>
      </c>
      <c r="AG2016" s="28">
        <f>VLOOKUP(Таблица1_113[[#This Row],[Марка]],Таблица13[#All],3,0)</f>
        <v>1941</v>
      </c>
      <c r="AH2016" s="28" t="str">
        <f>VLOOKUP(Таблица1_113[[#This Row],[Марка]],Таблица13[#All],5,0)</f>
        <v>Нет</v>
      </c>
      <c r="AI2016" s="30">
        <v>45231</v>
      </c>
      <c r="AJ2016" s="31">
        <v>71</v>
      </c>
      <c r="AM2016" s="12"/>
    </row>
    <row r="2017" spans="30:39" customFormat="1">
      <c r="AD2017" s="27" t="s">
        <v>21</v>
      </c>
      <c r="AE2017" s="28" t="str">
        <f>VLOOKUP(Таблица1_113[[#This Row],[Марка]],Таблица13[#All],4,0)</f>
        <v>Германия</v>
      </c>
      <c r="AF2017" s="28" t="str">
        <f>VLOOKUP(Таблица1_113[[#This Row],[Марка]],Таблица13[#All],2,0)</f>
        <v>Business</v>
      </c>
      <c r="AG2017" s="28">
        <f>VLOOKUP(Таблица1_113[[#This Row],[Марка]],Таблица13[#All],3,0)</f>
        <v>1937</v>
      </c>
      <c r="AH2017" s="28" t="str">
        <f>VLOOKUP(Таблица1_113[[#This Row],[Марка]],Таблица13[#All],5,0)</f>
        <v>Нет</v>
      </c>
      <c r="AI2017" s="30">
        <v>45231</v>
      </c>
      <c r="AJ2017" s="31">
        <v>54</v>
      </c>
      <c r="AM2017" s="12"/>
    </row>
    <row r="2018" spans="30:39" customFormat="1">
      <c r="AD2018" s="27" t="s">
        <v>2</v>
      </c>
      <c r="AE2018" s="28" t="str">
        <f>VLOOKUP(Таблица1_113[[#This Row],[Марка]],Таблица13[#All],4,0)</f>
        <v>Япония</v>
      </c>
      <c r="AF2018" s="28" t="str">
        <f>VLOOKUP(Таблица1_113[[#This Row],[Марка]],Таблица13[#All],2,0)</f>
        <v>Business</v>
      </c>
      <c r="AG2018" s="28">
        <f>VLOOKUP(Таблица1_113[[#This Row],[Марка]],Таблица13[#All],3,0)</f>
        <v>1937</v>
      </c>
      <c r="AH2018" s="28" t="str">
        <f>VLOOKUP(Таблица1_113[[#This Row],[Марка]],Таблица13[#All],5,0)</f>
        <v>Нет</v>
      </c>
      <c r="AI2018" s="30">
        <v>45231</v>
      </c>
      <c r="AJ2018" s="31">
        <v>1256</v>
      </c>
      <c r="AM2018" s="12"/>
    </row>
    <row r="2019" spans="30:39" customFormat="1">
      <c r="AD2019" s="27" t="s">
        <v>20</v>
      </c>
      <c r="AE2019" s="28" t="str">
        <f>VLOOKUP(Таблица1_113[[#This Row],[Марка]],Таблица13[#All],4,0)</f>
        <v>Китай</v>
      </c>
      <c r="AF2019" s="28" t="str">
        <f>VLOOKUP(Таблица1_113[[#This Row],[Марка]],Таблица13[#All],2,0)</f>
        <v>Business</v>
      </c>
      <c r="AG2019" s="28">
        <f>VLOOKUP(Таблица1_113[[#This Row],[Марка]],Таблица13[#All],3,0)</f>
        <v>2021</v>
      </c>
      <c r="AH2019" s="28" t="str">
        <f>VLOOKUP(Таблица1_113[[#This Row],[Марка]],Таблица13[#All],5,0)</f>
        <v>Нет</v>
      </c>
      <c r="AI2019" s="30">
        <v>45231</v>
      </c>
      <c r="AJ2019" s="31">
        <v>175</v>
      </c>
      <c r="AM2019" s="12"/>
    </row>
    <row r="2020" spans="30:39" customFormat="1">
      <c r="AD2020" s="27" t="s">
        <v>125</v>
      </c>
      <c r="AE2020" s="28" t="str">
        <f>VLOOKUP(Таблица1_113[[#This Row],[Марка]],Таблица13[#All],4,0)</f>
        <v>Япония</v>
      </c>
      <c r="AF2020" s="28" t="str">
        <f>VLOOKUP(Таблица1_113[[#This Row],[Марка]],Таблица13[#All],2,0)</f>
        <v>Business</v>
      </c>
      <c r="AG2020" s="28">
        <f>VLOOKUP(Таблица1_113[[#This Row],[Марка]],Таблица13[#All],3,0)</f>
        <v>1953</v>
      </c>
      <c r="AH2020" s="28" t="str">
        <f>VLOOKUP(Таблица1_113[[#This Row],[Марка]],Таблица13[#All],5,0)</f>
        <v>Нет</v>
      </c>
      <c r="AI2020" s="30">
        <v>45231</v>
      </c>
      <c r="AJ2020" s="31">
        <v>122</v>
      </c>
      <c r="AM2020" s="12"/>
    </row>
    <row r="2021" spans="30:39" customFormat="1">
      <c r="AD2021" s="27" t="s">
        <v>37</v>
      </c>
      <c r="AE2021" s="28" t="str">
        <f>VLOOKUP(Таблица1_113[[#This Row],[Марка]],Таблица13[#All],4,0)</f>
        <v>Германия</v>
      </c>
      <c r="AF2021" s="28" t="str">
        <f>VLOOKUP(Таблица1_113[[#This Row],[Марка]],Таблица13[#All],2,0)</f>
        <v>Luxury</v>
      </c>
      <c r="AG2021" s="28">
        <f>VLOOKUP(Таблица1_113[[#This Row],[Марка]],Таблица13[#All],3,0)</f>
        <v>1931</v>
      </c>
      <c r="AH2021" s="28" t="str">
        <f>VLOOKUP(Таблица1_113[[#This Row],[Марка]],Таблица13[#All],5,0)</f>
        <v>Нет</v>
      </c>
      <c r="AI2021" s="30">
        <v>45231</v>
      </c>
      <c r="AJ2021" s="31">
        <v>52</v>
      </c>
      <c r="AM2021" s="12"/>
    </row>
    <row r="2022" spans="30:39" customFormat="1">
      <c r="AD2022" s="27" t="s">
        <v>126</v>
      </c>
      <c r="AE2022" s="28" t="str">
        <f>VLOOKUP(Таблица1_113[[#This Row],[Марка]],Таблица13[#All],4,0)</f>
        <v>Россия</v>
      </c>
      <c r="AF2022" s="28" t="str">
        <f>VLOOKUP(Таблица1_113[[#This Row],[Марка]],Таблица13[#All],2,0)</f>
        <v>Economy</v>
      </c>
      <c r="AG2022" s="28">
        <f>VLOOKUP(Таблица1_113[[#This Row],[Марка]],Таблица13[#All],3,0)</f>
        <v>2022</v>
      </c>
      <c r="AH2022" s="28" t="str">
        <f>VLOOKUP(Таблица1_113[[#This Row],[Марка]],Таблица13[#All],5,0)</f>
        <v>Нет</v>
      </c>
      <c r="AI2022" s="30">
        <v>45231</v>
      </c>
      <c r="AJ2022" s="31">
        <v>453</v>
      </c>
      <c r="AM2022" s="12"/>
    </row>
    <row r="2023" spans="30:39" customFormat="1">
      <c r="AD2023" s="27" t="s">
        <v>22</v>
      </c>
      <c r="AE2023" s="28" t="str">
        <f>VLOOKUP(Таблица1_113[[#This Row],[Марка]],Таблица13[#All],4,0)</f>
        <v>Япония</v>
      </c>
      <c r="AF2023" s="28" t="str">
        <f>VLOOKUP(Таблица1_113[[#This Row],[Марка]],Таблица13[#All],2,0)</f>
        <v>Business</v>
      </c>
      <c r="AG2023" s="28">
        <f>VLOOKUP(Таблица1_113[[#This Row],[Марка]],Таблица13[#All],3,0)</f>
        <v>1933</v>
      </c>
      <c r="AH2023" s="28" t="str">
        <f>VLOOKUP(Таблица1_113[[#This Row],[Марка]],Таблица13[#All],5,0)</f>
        <v>Нет</v>
      </c>
      <c r="AI2023" s="30">
        <v>45231</v>
      </c>
      <c r="AJ2023" s="31">
        <v>8</v>
      </c>
      <c r="AM2023" s="12"/>
    </row>
    <row r="2024" spans="30:39" customFormat="1">
      <c r="AD2024" s="27" t="s">
        <v>9</v>
      </c>
      <c r="AE2024" s="28" t="str">
        <f>VLOOKUP(Таблица1_113[[#This Row],[Марка]],Таблица13[#All],4,0)</f>
        <v>Япония</v>
      </c>
      <c r="AF2024" s="28" t="str">
        <f>VLOOKUP(Таблица1_113[[#This Row],[Марка]],Таблица13[#All],2,0)</f>
        <v>Business</v>
      </c>
      <c r="AG2024" s="28">
        <f>VLOOKUP(Таблица1_113[[#This Row],[Марка]],Таблица13[#All],3,0)</f>
        <v>1870</v>
      </c>
      <c r="AH2024" s="28" t="str">
        <f>VLOOKUP(Таблица1_113[[#This Row],[Марка]],Таблица13[#All],5,0)</f>
        <v>Нет</v>
      </c>
      <c r="AI2024" s="30">
        <v>45231</v>
      </c>
      <c r="AJ2024" s="31">
        <v>54</v>
      </c>
      <c r="AM2024" s="12"/>
    </row>
    <row r="2025" spans="30:39" customFormat="1">
      <c r="AD2025" s="27" t="s">
        <v>40</v>
      </c>
      <c r="AE2025" s="28" t="str">
        <f>VLOOKUP(Таблица1_113[[#This Row],[Марка]],Таблица13[#All],4,0)</f>
        <v>Великобритания</v>
      </c>
      <c r="AF2025" s="28" t="str">
        <f>VLOOKUP(Таблица1_113[[#This Row],[Марка]],Таблица13[#All],2,0)</f>
        <v>Luxury</v>
      </c>
      <c r="AG2025" s="28">
        <f>VLOOKUP(Таблица1_113[[#This Row],[Марка]],Таблица13[#All],3,0)</f>
        <v>1959</v>
      </c>
      <c r="AH2025" s="28" t="str">
        <f>VLOOKUP(Таблица1_113[[#This Row],[Марка]],Таблица13[#All],5,0)</f>
        <v>Нет</v>
      </c>
      <c r="AI2025" s="30">
        <v>45231</v>
      </c>
      <c r="AJ2025" s="31">
        <v>0</v>
      </c>
      <c r="AM2025" s="12"/>
    </row>
    <row r="2026" spans="30:39" customFormat="1">
      <c r="AD2026" s="27" t="s">
        <v>128</v>
      </c>
      <c r="AE2026" s="28" t="str">
        <f>VLOOKUP(Таблица1_113[[#This Row],[Марка]],Таблица13[#All],4,0)</f>
        <v>Германия</v>
      </c>
      <c r="AF2026" s="28" t="str">
        <f>VLOOKUP(Таблица1_113[[#This Row],[Марка]],Таблица13[#All],2,0)</f>
        <v>Luxury</v>
      </c>
      <c r="AG2026" s="28">
        <f>VLOOKUP(Таблица1_113[[#This Row],[Марка]],Таблица13[#All],3,0)</f>
        <v>1926</v>
      </c>
      <c r="AH2026" s="28" t="str">
        <f>VLOOKUP(Таблица1_113[[#This Row],[Марка]],Таблица13[#All],5,0)</f>
        <v>Нет</v>
      </c>
      <c r="AI2026" s="30">
        <v>45231</v>
      </c>
      <c r="AJ2026" s="31">
        <v>55</v>
      </c>
      <c r="AM2026" s="12"/>
    </row>
    <row r="2027" spans="30:39" customFormat="1">
      <c r="AD2027" s="27" t="s">
        <v>5</v>
      </c>
      <c r="AE2027" s="28" t="str">
        <f>VLOOKUP(Таблица1_113[[#This Row],[Марка]],Таблица13[#All],4,0)</f>
        <v>Япония</v>
      </c>
      <c r="AF2027" s="28" t="str">
        <f>VLOOKUP(Таблица1_113[[#This Row],[Марка]],Таблица13[#All],2,0)</f>
        <v>Luxury</v>
      </c>
      <c r="AG2027" s="28">
        <f>VLOOKUP(Таблица1_113[[#This Row],[Марка]],Таблица13[#All],3,0)</f>
        <v>1989</v>
      </c>
      <c r="AH2027" s="28" t="str">
        <f>VLOOKUP(Таблица1_113[[#This Row],[Марка]],Таблица13[#All],5,0)</f>
        <v>Нет</v>
      </c>
      <c r="AI2027" s="30">
        <v>45231</v>
      </c>
      <c r="AJ2027" s="31">
        <v>263</v>
      </c>
      <c r="AM2027" s="12"/>
    </row>
    <row r="2028" spans="30:39" customFormat="1">
      <c r="AD2028" s="27" t="s">
        <v>35</v>
      </c>
      <c r="AE2028" s="28" t="str">
        <f>VLOOKUP(Таблица1_113[[#This Row],[Марка]],Таблица13[#All],4,0)</f>
        <v>Великобритания</v>
      </c>
      <c r="AF2028" s="28" t="str">
        <f>VLOOKUP(Таблица1_113[[#This Row],[Марка]],Таблица13[#All],2,0)</f>
        <v>Luxury</v>
      </c>
      <c r="AG2028" s="28">
        <f>VLOOKUP(Таблица1_113[[#This Row],[Марка]],Таблица13[#All],3,0)</f>
        <v>1948</v>
      </c>
      <c r="AH2028" s="28" t="str">
        <f>VLOOKUP(Таблица1_113[[#This Row],[Марка]],Таблица13[#All],5,0)</f>
        <v>Нет</v>
      </c>
      <c r="AI2028" s="30">
        <v>45231</v>
      </c>
      <c r="AJ2028" s="31">
        <v>22</v>
      </c>
      <c r="AM2028" s="12"/>
    </row>
    <row r="2029" spans="30:39" customFormat="1">
      <c r="AD2029" s="27" t="s">
        <v>19</v>
      </c>
      <c r="AE2029" s="28" t="str">
        <f>VLOOKUP(Таблица1_113[[#This Row],[Марка]],Таблица13[#All],4,0)</f>
        <v>Россия</v>
      </c>
      <c r="AF2029" s="28" t="str">
        <f>VLOOKUP(Таблица1_113[[#This Row],[Марка]],Таблица13[#All],2,0)</f>
        <v>Economy</v>
      </c>
      <c r="AG2029" s="28">
        <f>VLOOKUP(Таблица1_113[[#This Row],[Марка]],Таблица13[#All],3,0)</f>
        <v>1970</v>
      </c>
      <c r="AH2029" s="28" t="str">
        <f>VLOOKUP(Таблица1_113[[#This Row],[Марка]],Таблица13[#All],5,0)</f>
        <v>Крупноузловая</v>
      </c>
      <c r="AI2029" s="30">
        <v>45231</v>
      </c>
      <c r="AJ2029" s="31">
        <v>185</v>
      </c>
      <c r="AM2029" s="12"/>
    </row>
    <row r="2030" spans="30:39" customFormat="1">
      <c r="AD2030" s="27" t="s">
        <v>15</v>
      </c>
      <c r="AE2030" s="28" t="str">
        <f>VLOOKUP(Таблица1_113[[#This Row],[Марка]],Таблица13[#All],4,0)</f>
        <v>Корея</v>
      </c>
      <c r="AF2030" s="28" t="str">
        <f>VLOOKUP(Таблица1_113[[#This Row],[Марка]],Таблица13[#All],2,0)</f>
        <v>Economy</v>
      </c>
      <c r="AG2030" s="28">
        <f>VLOOKUP(Таблица1_113[[#This Row],[Марка]],Таблица13[#All],3,0)</f>
        <v>1944</v>
      </c>
      <c r="AH2030" s="28" t="str">
        <f>VLOOKUP(Таблица1_113[[#This Row],[Марка]],Таблица13[#All],5,0)</f>
        <v>Крупноузловая</v>
      </c>
      <c r="AI2030" s="30">
        <v>45231</v>
      </c>
      <c r="AJ2030" s="31">
        <v>2112</v>
      </c>
      <c r="AM2030" s="12"/>
    </row>
    <row r="2031" spans="30:39" customFormat="1">
      <c r="AD2031" s="27" t="s">
        <v>17</v>
      </c>
      <c r="AE2031" s="28" t="str">
        <f>VLOOKUP(Таблица1_113[[#This Row],[Марка]],Таблица13[#All],4,0)</f>
        <v>Китай</v>
      </c>
      <c r="AF2031" s="28" t="str">
        <f>VLOOKUP(Таблица1_113[[#This Row],[Марка]],Таблица13[#All],2,0)</f>
        <v>Economy</v>
      </c>
      <c r="AG2031" s="28">
        <f>VLOOKUP(Таблица1_113[[#This Row],[Марка]],Таблица13[#All],3,0)</f>
        <v>2014</v>
      </c>
      <c r="AH2031" s="28" t="str">
        <f>VLOOKUP(Таблица1_113[[#This Row],[Марка]],Таблица13[#All],5,0)</f>
        <v>Нет</v>
      </c>
      <c r="AI2031" s="30">
        <v>45231</v>
      </c>
      <c r="AJ2031" s="31">
        <v>629</v>
      </c>
      <c r="AM2031" s="12"/>
    </row>
    <row r="2032" spans="30:39" customFormat="1">
      <c r="AD2032" s="27" t="s">
        <v>134</v>
      </c>
      <c r="AE2032" s="28" t="str">
        <f>VLOOKUP(Таблица1_113[[#This Row],[Марка]],Таблица13[#All],4,0)</f>
        <v>Великобритания</v>
      </c>
      <c r="AF2032" s="28" t="str">
        <f>VLOOKUP(Таблица1_113[[#This Row],[Марка]],Таблица13[#All],2,0)</f>
        <v>Luxury</v>
      </c>
      <c r="AG2032" s="28">
        <f>VLOOKUP(Таблица1_113[[#This Row],[Марка]],Таблица13[#All],3,0)</f>
        <v>1922</v>
      </c>
      <c r="AH2032" s="28" t="str">
        <f>VLOOKUP(Таблица1_113[[#This Row],[Марка]],Таблица13[#All],5,0)</f>
        <v>Нет</v>
      </c>
      <c r="AI2032" s="30">
        <v>45231</v>
      </c>
      <c r="AJ2032" s="31">
        <v>5</v>
      </c>
      <c r="AM2032" s="12"/>
    </row>
    <row r="2033" spans="30:39" customFormat="1">
      <c r="AD2033" s="27" t="s">
        <v>4</v>
      </c>
      <c r="AE2033" s="28" t="str">
        <f>VLOOKUP(Таблица1_113[[#This Row],[Марка]],Таблица13[#All],4,0)</f>
        <v>Китай</v>
      </c>
      <c r="AF2033" s="28" t="str">
        <f>VLOOKUP(Таблица1_113[[#This Row],[Марка]],Таблица13[#All],2,0)</f>
        <v>Economy</v>
      </c>
      <c r="AG2033" s="28">
        <f>VLOOKUP(Таблица1_113[[#This Row],[Марка]],Таблица13[#All],3,0)</f>
        <v>1964</v>
      </c>
      <c r="AH2033" s="28" t="str">
        <f>VLOOKUP(Таблица1_113[[#This Row],[Марка]],Таблица13[#All],5,0)</f>
        <v>Крупноузловая</v>
      </c>
      <c r="AI2033" s="30">
        <v>45231</v>
      </c>
      <c r="AJ2033" s="31">
        <v>1046</v>
      </c>
      <c r="AM2033" s="12"/>
    </row>
    <row r="2034" spans="30:39" customFormat="1">
      <c r="AD2034" s="27" t="s">
        <v>34</v>
      </c>
      <c r="AE2034" s="28" t="str">
        <f>VLOOKUP(Таблица1_113[[#This Row],[Марка]],Таблица13[#All],4,0)</f>
        <v>Япония</v>
      </c>
      <c r="AF2034" s="28" t="str">
        <f>VLOOKUP(Таблица1_113[[#This Row],[Марка]],Таблица13[#All],2,0)</f>
        <v>Luxury</v>
      </c>
      <c r="AG2034" s="28">
        <f>VLOOKUP(Таблица1_113[[#This Row],[Марка]],Таблица13[#All],3,0)</f>
        <v>1989</v>
      </c>
      <c r="AH2034" s="28" t="str">
        <f>VLOOKUP(Таблица1_113[[#This Row],[Марка]],Таблица13[#All],5,0)</f>
        <v>Нет</v>
      </c>
      <c r="AI2034" s="30">
        <v>45231</v>
      </c>
      <c r="AJ2034" s="31">
        <v>38</v>
      </c>
      <c r="AM2034" s="12"/>
    </row>
    <row r="2035" spans="30:39" customFormat="1">
      <c r="AD2035" s="27" t="s">
        <v>0</v>
      </c>
      <c r="AE2035" s="28" t="str">
        <f>VLOOKUP(Таблица1_113[[#This Row],[Марка]],Таблица13[#All],4,0)</f>
        <v>Корея</v>
      </c>
      <c r="AF2035" s="28" t="str">
        <f>VLOOKUP(Таблица1_113[[#This Row],[Марка]],Таблица13[#All],2,0)</f>
        <v>Economy</v>
      </c>
      <c r="AG2035" s="28">
        <f>VLOOKUP(Таблица1_113[[#This Row],[Марка]],Таблица13[#All],3,0)</f>
        <v>1967</v>
      </c>
      <c r="AH2035" s="28" t="str">
        <f>VLOOKUP(Таблица1_113[[#This Row],[Марка]],Таблица13[#All],5,0)</f>
        <v>Крупноузловая</v>
      </c>
      <c r="AI2035" s="30">
        <v>45231</v>
      </c>
      <c r="AJ2035" s="31">
        <v>3607</v>
      </c>
      <c r="AM2035" s="12"/>
    </row>
    <row r="2036" spans="30:39" customFormat="1">
      <c r="AD2036" s="27" t="s">
        <v>131</v>
      </c>
      <c r="AE2036" s="28" t="str">
        <f>VLOOKUP(Таблица1_113[[#This Row],[Марка]],Таблица13[#All],4,0)</f>
        <v>Китай</v>
      </c>
      <c r="AF2036" s="28" t="str">
        <f>VLOOKUP(Таблица1_113[[#This Row],[Марка]],Таблица13[#All],2,0)</f>
        <v>Luxury</v>
      </c>
      <c r="AG2036" s="28">
        <f>VLOOKUP(Таблица1_113[[#This Row],[Марка]],Таблица13[#All],3,0)</f>
        <v>1958</v>
      </c>
      <c r="AH2036" s="28" t="str">
        <f>VLOOKUP(Таблица1_113[[#This Row],[Марка]],Таблица13[#All],5,0)</f>
        <v>Нет</v>
      </c>
      <c r="AI2036" s="30">
        <v>45231</v>
      </c>
      <c r="AJ2036" s="31">
        <v>29</v>
      </c>
      <c r="AM2036" s="12"/>
    </row>
    <row r="2037" spans="30:39" customFormat="1">
      <c r="AD2037" s="27" t="s">
        <v>6</v>
      </c>
      <c r="AE2037" s="28" t="str">
        <f>VLOOKUP(Таблица1_113[[#This Row],[Марка]],Таблица13[#All],4,0)</f>
        <v>Китай</v>
      </c>
      <c r="AF2037" s="28" t="str">
        <f>VLOOKUP(Таблица1_113[[#This Row],[Марка]],Таблица13[#All],2,0)</f>
        <v>Economy</v>
      </c>
      <c r="AG2037" s="28">
        <f>VLOOKUP(Таблица1_113[[#This Row],[Марка]],Таблица13[#All],3,0)</f>
        <v>2013</v>
      </c>
      <c r="AH2037" s="28" t="str">
        <f>VLOOKUP(Таблица1_113[[#This Row],[Марка]],Таблица13[#All],5,0)</f>
        <v>Крупноузловая</v>
      </c>
      <c r="AI2037" s="30">
        <v>45231</v>
      </c>
      <c r="AJ2037" s="31">
        <v>743</v>
      </c>
      <c r="AM2037" s="12"/>
    </row>
    <row r="2038" spans="30:39" customFormat="1">
      <c r="AD2038" s="27" t="s">
        <v>132</v>
      </c>
      <c r="AE2038" s="28" t="str">
        <f>VLOOKUP(Таблица1_113[[#This Row],[Марка]],Таблица13[#All],4,0)</f>
        <v>Китай</v>
      </c>
      <c r="AF2038" s="28" t="str">
        <f>VLOOKUP(Таблица1_113[[#This Row],[Марка]],Таблица13[#All],2,0)</f>
        <v>Economy</v>
      </c>
      <c r="AG2038" s="28">
        <f>VLOOKUP(Таблица1_113[[#This Row],[Марка]],Таблица13[#All],3,0)</f>
        <v>1984</v>
      </c>
      <c r="AH2038" s="28" t="str">
        <f>VLOOKUP(Таблица1_113[[#This Row],[Марка]],Таблица13[#All],5,0)</f>
        <v>Нет</v>
      </c>
      <c r="AI2038" s="30">
        <v>45231</v>
      </c>
      <c r="AJ2038" s="31">
        <v>75</v>
      </c>
      <c r="AM2038" s="12"/>
    </row>
    <row r="2039" spans="30:39" customFormat="1">
      <c r="AD2039" s="27" t="s">
        <v>138</v>
      </c>
      <c r="AE2039" s="28" t="str">
        <f>VLOOKUP(Таблица1_113[[#This Row],[Марка]],Таблица13[#All],4,0)</f>
        <v>Корея</v>
      </c>
      <c r="AF2039" s="28" t="str">
        <f>VLOOKUP(Таблица1_113[[#This Row],[Марка]],Таблица13[#All],2,0)</f>
        <v>Luxury</v>
      </c>
      <c r="AG2039" s="28">
        <f>VLOOKUP(Таблица1_113[[#This Row],[Марка]],Таблица13[#All],3,0)</f>
        <v>2015</v>
      </c>
      <c r="AH2039" s="28" t="str">
        <f>VLOOKUP(Таблица1_113[[#This Row],[Марка]],Таблица13[#All],5,0)</f>
        <v>Нет</v>
      </c>
      <c r="AI2039" s="30">
        <v>45231</v>
      </c>
      <c r="AJ2039" s="31">
        <v>0</v>
      </c>
      <c r="AM2039" s="12"/>
    </row>
    <row r="2040" spans="30:39" customFormat="1">
      <c r="AD2040" s="27" t="s">
        <v>18</v>
      </c>
      <c r="AE2040" s="28" t="str">
        <f>VLOOKUP(Таблица1_113[[#This Row],[Марка]],Таблица13[#All],4,0)</f>
        <v>Китай</v>
      </c>
      <c r="AF2040" s="28" t="str">
        <f>VLOOKUP(Таблица1_113[[#This Row],[Марка]],Таблица13[#All],2,0)</f>
        <v>Economy</v>
      </c>
      <c r="AG2040" s="28">
        <f>VLOOKUP(Таблица1_113[[#This Row],[Марка]],Таблица13[#All],3,0)</f>
        <v>1986</v>
      </c>
      <c r="AH2040" s="28" t="str">
        <f>VLOOKUP(Таблица1_113[[#This Row],[Марка]],Таблица13[#All],5,0)</f>
        <v>Крупноузловая</v>
      </c>
      <c r="AI2040" s="30">
        <v>45231</v>
      </c>
      <c r="AJ2040" s="31">
        <v>445</v>
      </c>
      <c r="AM2040" s="12"/>
    </row>
    <row r="2041" spans="30:39" customFormat="1">
      <c r="AD2041" s="27" t="s">
        <v>127</v>
      </c>
      <c r="AE2041" s="28" t="str">
        <f>VLOOKUP(Таблица1_113[[#This Row],[Марка]],Таблица13[#All],4,0)</f>
        <v>Китай</v>
      </c>
      <c r="AF2041" s="28" t="str">
        <f>VLOOKUP(Таблица1_113[[#This Row],[Марка]],Таблица13[#All],2,0)</f>
        <v>Economy</v>
      </c>
      <c r="AG2041" s="28">
        <f>VLOOKUP(Таблица1_113[[#This Row],[Марка]],Таблица13[#All],3,0)</f>
        <v>1997</v>
      </c>
      <c r="AH2041" s="28" t="str">
        <f>VLOOKUP(Таблица1_113[[#This Row],[Марка]],Таблица13[#All],5,0)</f>
        <v>Нет</v>
      </c>
      <c r="AI2041" s="30">
        <v>45231</v>
      </c>
      <c r="AJ2041" s="31">
        <v>56</v>
      </c>
      <c r="AM2041" s="12"/>
    </row>
    <row r="2042" spans="30:39" customFormat="1">
      <c r="AD2042" s="27" t="s">
        <v>133</v>
      </c>
      <c r="AE2042" s="28" t="str">
        <f>VLOOKUP(Таблица1_113[[#This Row],[Марка]],Таблица13[#All],4,0)</f>
        <v>Китай</v>
      </c>
      <c r="AF2042" s="28" t="str">
        <f>VLOOKUP(Таблица1_113[[#This Row],[Марка]],Таблица13[#All],2,0)</f>
        <v>Economy</v>
      </c>
      <c r="AG2042" s="28">
        <f>VLOOKUP(Таблица1_113[[#This Row],[Марка]],Таблица13[#All],3,0)</f>
        <v>1996</v>
      </c>
      <c r="AH2042" s="28" t="str">
        <f>VLOOKUP(Таблица1_113[[#This Row],[Марка]],Таблица13[#All],5,0)</f>
        <v>Нет</v>
      </c>
      <c r="AI2042" s="30">
        <v>45231</v>
      </c>
      <c r="AJ2042" s="31">
        <v>11</v>
      </c>
      <c r="AM2042" s="12"/>
    </row>
    <row r="2043" spans="30:39" customFormat="1">
      <c r="AD2043" s="27" t="s">
        <v>129</v>
      </c>
      <c r="AE2043" s="28" t="str">
        <f>VLOOKUP(Таблица1_113[[#This Row],[Марка]],Таблица13[#All],4,0)</f>
        <v>Китай</v>
      </c>
      <c r="AF2043" s="28" t="str">
        <f>VLOOKUP(Таблица1_113[[#This Row],[Марка]],Таблица13[#All],2,0)</f>
        <v>Economy</v>
      </c>
      <c r="AG2043" s="28">
        <f>VLOOKUP(Таблица1_113[[#This Row],[Марка]],Таблица13[#All],3,0)</f>
        <v>1953</v>
      </c>
      <c r="AH2043" s="28" t="str">
        <f>VLOOKUP(Таблица1_113[[#This Row],[Марка]],Таблица13[#All],5,0)</f>
        <v>Нет</v>
      </c>
      <c r="AI2043" s="30">
        <v>45231</v>
      </c>
      <c r="AJ2043" s="31">
        <v>50</v>
      </c>
      <c r="AM2043" s="12"/>
    </row>
    <row r="2044" spans="30:39" customFormat="1">
      <c r="AD2044" s="27" t="s">
        <v>7</v>
      </c>
      <c r="AE2044" s="28" t="str">
        <f>VLOOKUP(Таблица1_113[[#This Row],[Марка]],Таблица13[#All],4,0)</f>
        <v>Китай</v>
      </c>
      <c r="AF2044" s="28" t="str">
        <f>VLOOKUP(Таблица1_113[[#This Row],[Марка]],Таблица13[#All],2,0)</f>
        <v>Business</v>
      </c>
      <c r="AG2044" s="28">
        <f>VLOOKUP(Таблица1_113[[#This Row],[Марка]],Таблица13[#All],3,0)</f>
        <v>2017</v>
      </c>
      <c r="AH2044" s="28" t="str">
        <f>VLOOKUP(Таблица1_113[[#This Row],[Марка]],Таблица13[#All],5,0)</f>
        <v>Нет</v>
      </c>
      <c r="AI2044" s="30">
        <v>45231</v>
      </c>
      <c r="AJ2044" s="31">
        <v>233</v>
      </c>
      <c r="AM2044" s="12"/>
    </row>
    <row r="2045" spans="30:39" customFormat="1">
      <c r="AD2045" s="27" t="s">
        <v>130</v>
      </c>
      <c r="AE2045" s="28" t="str">
        <f>VLOOKUP(Таблица1_113[[#This Row],[Марка]],Таблица13[#All],4,0)</f>
        <v>Китай</v>
      </c>
      <c r="AF2045" s="28" t="str">
        <f>VLOOKUP(Таблица1_113[[#This Row],[Марка]],Таблица13[#All],2,0)</f>
        <v>Economy</v>
      </c>
      <c r="AG2045" s="28">
        <f>VLOOKUP(Таблица1_113[[#This Row],[Марка]],Таблица13[#All],3,0)</f>
        <v>1969</v>
      </c>
      <c r="AH2045" s="28" t="str">
        <f>VLOOKUP(Таблица1_113[[#This Row],[Марка]],Таблица13[#All],5,0)</f>
        <v>Нет</v>
      </c>
      <c r="AI2045" s="30">
        <v>45231</v>
      </c>
      <c r="AJ2045" s="31">
        <v>14</v>
      </c>
      <c r="AM2045" s="12"/>
    </row>
    <row r="2046" spans="30:39" customFormat="1">
      <c r="AD2046" s="27" t="s">
        <v>137</v>
      </c>
      <c r="AE2046" s="28" t="str">
        <f>VLOOKUP(Таблица1_113[[#This Row],[Марка]],Таблица13[#All],4,0)</f>
        <v>Корея</v>
      </c>
      <c r="AF2046" s="28" t="str">
        <f>VLOOKUP(Таблица1_113[[#This Row],[Марка]],Таблица13[#All],2,0)</f>
        <v>Economy</v>
      </c>
      <c r="AG2046" s="28">
        <f>VLOOKUP(Таблица1_113[[#This Row],[Марка]],Таблица13[#All],3,0)</f>
        <v>1967</v>
      </c>
      <c r="AH2046" s="28" t="str">
        <f>VLOOKUP(Таблица1_113[[#This Row],[Марка]],Таблица13[#All],5,0)</f>
        <v>Нет</v>
      </c>
      <c r="AI2046" s="30">
        <v>45231</v>
      </c>
      <c r="AJ2046" s="31">
        <v>3</v>
      </c>
      <c r="AM2046" s="12"/>
    </row>
    <row r="2047" spans="30:39" customFormat="1">
      <c r="AD2047" s="27" t="s">
        <v>1</v>
      </c>
      <c r="AE2047" s="28" t="str">
        <f>VLOOKUP(Таблица1_113[[#This Row],[Марка]],Таблица13[#All],4,0)</f>
        <v>США</v>
      </c>
      <c r="AF2047" s="28" t="str">
        <f>VLOOKUP(Таблица1_113[[#This Row],[Марка]],Таблица13[#All],2,0)</f>
        <v>Economy</v>
      </c>
      <c r="AG2047" s="28">
        <f>VLOOKUP(Таблица1_113[[#This Row],[Марка]],Таблица13[#All],3,0)</f>
        <v>1911</v>
      </c>
      <c r="AH2047" s="28" t="str">
        <f>VLOOKUP(Таблица1_113[[#This Row],[Марка]],Таблица13[#All],5,0)</f>
        <v>Крупноузловая</v>
      </c>
      <c r="AI2047" s="30">
        <v>45231</v>
      </c>
      <c r="AJ2047" s="31">
        <v>4284</v>
      </c>
      <c r="AM2047" s="12"/>
    </row>
    <row r="2048" spans="30:39" customFormat="1">
      <c r="AD2048" s="27" t="s">
        <v>3</v>
      </c>
      <c r="AE2048" s="28" t="str">
        <f>VLOOKUP(Таблица1_113[[#This Row],[Марка]],Таблица13[#All],4,0)</f>
        <v>Китай</v>
      </c>
      <c r="AF2048" s="28" t="str">
        <f>VLOOKUP(Таблица1_113[[#This Row],[Марка]],Таблица13[#All],2,0)</f>
        <v>Economy</v>
      </c>
      <c r="AG2048" s="28">
        <f>VLOOKUP(Таблица1_113[[#This Row],[Марка]],Таблица13[#All],3,0)</f>
        <v>1997</v>
      </c>
      <c r="AH2048" s="28" t="str">
        <f>VLOOKUP(Таблица1_113[[#This Row],[Марка]],Таблица13[#All],5,0)</f>
        <v>Крупноузловая</v>
      </c>
      <c r="AI2048" s="30">
        <v>45231</v>
      </c>
      <c r="AJ2048" s="31">
        <v>1209</v>
      </c>
      <c r="AM2048" s="12"/>
    </row>
    <row r="2049" spans="30:39" customFormat="1">
      <c r="AD2049" s="27" t="s">
        <v>124</v>
      </c>
      <c r="AE2049" s="28" t="str">
        <f>VLOOKUP(Таблица1_113[[#This Row],[Марка]],Таблица13[#All],4,0)</f>
        <v>Китай</v>
      </c>
      <c r="AF2049" s="28" t="str">
        <f>VLOOKUP(Таблица1_113[[#This Row],[Марка]],Таблица13[#All],2,0)</f>
        <v>Economy</v>
      </c>
      <c r="AG2049" s="28">
        <f>VLOOKUP(Таблица1_113[[#This Row],[Марка]],Таблица13[#All],3,0)</f>
        <v>1862</v>
      </c>
      <c r="AH2049" s="28" t="str">
        <f>VLOOKUP(Таблица1_113[[#This Row],[Марка]],Таблица13[#All],5,0)</f>
        <v>Нет</v>
      </c>
      <c r="AI2049" s="30">
        <v>45231</v>
      </c>
      <c r="AJ2049" s="31">
        <v>485</v>
      </c>
      <c r="AM2049" s="12"/>
    </row>
    <row r="2050" spans="30:39" customFormat="1">
      <c r="AD2050" s="27" t="s">
        <v>36</v>
      </c>
      <c r="AE2050" s="28" t="str">
        <f>VLOOKUP(Таблица1_113[[#This Row],[Марка]],Таблица13[#All],4,0)</f>
        <v>США</v>
      </c>
      <c r="AF2050" s="28" t="str">
        <f>VLOOKUP(Таблица1_113[[#This Row],[Марка]],Таблица13[#All],2,0)</f>
        <v>Luxury</v>
      </c>
      <c r="AG2050" s="28">
        <f>VLOOKUP(Таблица1_113[[#This Row],[Марка]],Таблица13[#All],3,0)</f>
        <v>1902</v>
      </c>
      <c r="AH2050" s="28" t="str">
        <f>VLOOKUP(Таблица1_113[[#This Row],[Марка]],Таблица13[#All],5,0)</f>
        <v>Нет</v>
      </c>
      <c r="AI2050" s="30">
        <v>45231</v>
      </c>
      <c r="AJ2050" s="31">
        <v>41</v>
      </c>
      <c r="AM2050" s="12"/>
    </row>
    <row r="2051" spans="30:39" customFormat="1">
      <c r="AD2051" s="27" t="s">
        <v>8</v>
      </c>
      <c r="AE2051" s="28" t="str">
        <f>VLOOKUP(Таблица1_113[[#This Row],[Марка]],Таблица13[#All],4,0)</f>
        <v>Германия</v>
      </c>
      <c r="AF2051" s="28" t="str">
        <f>VLOOKUP(Таблица1_113[[#This Row],[Марка]],Таблица13[#All],2,0)</f>
        <v>Luxury</v>
      </c>
      <c r="AG2051" s="28">
        <f>VLOOKUP(Таблица1_113[[#This Row],[Марка]],Таблица13[#All],3,0)</f>
        <v>1916</v>
      </c>
      <c r="AH2051" s="28" t="str">
        <f>VLOOKUP(Таблица1_113[[#This Row],[Марка]],Таблица13[#All],5,0)</f>
        <v>Нет</v>
      </c>
      <c r="AI2051" s="30">
        <v>45231</v>
      </c>
      <c r="AJ2051" s="31">
        <v>33</v>
      </c>
      <c r="AM2051" s="12"/>
    </row>
    <row r="2052" spans="30:39" customFormat="1">
      <c r="AD2052" s="27" t="s">
        <v>38</v>
      </c>
      <c r="AE2052" s="28" t="str">
        <f>VLOOKUP(Таблица1_113[[#This Row],[Марка]],Таблица13[#All],4,0)</f>
        <v>Германия</v>
      </c>
      <c r="AF2052" s="28" t="str">
        <f>VLOOKUP(Таблица1_113[[#This Row],[Марка]],Таблица13[#All],2,0)</f>
        <v>Luxury</v>
      </c>
      <c r="AG2052" s="28">
        <f>VLOOKUP(Таблица1_113[[#This Row],[Марка]],Таблица13[#All],3,0)</f>
        <v>1932</v>
      </c>
      <c r="AH2052" s="28" t="str">
        <f>VLOOKUP(Таблица1_113[[#This Row],[Марка]],Таблица13[#All],5,0)</f>
        <v>Нет</v>
      </c>
      <c r="AI2052" s="30">
        <v>45231</v>
      </c>
      <c r="AJ2052" s="31">
        <v>105</v>
      </c>
      <c r="AM2052" s="12"/>
    </row>
    <row r="2053" spans="30:39" customFormat="1">
      <c r="AD2053" s="27" t="s">
        <v>136</v>
      </c>
      <c r="AE2053" s="28" t="str">
        <f>VLOOKUP(Таблица1_113[[#This Row],[Марка]],Таблица13[#All],4,0)</f>
        <v>Россия</v>
      </c>
      <c r="AF2053" s="28" t="str">
        <f>VLOOKUP(Таблица1_113[[#This Row],[Марка]],Таблица13[#All],2,0)</f>
        <v>Economy</v>
      </c>
      <c r="AG2053" s="28">
        <f>VLOOKUP(Таблица1_113[[#This Row],[Марка]],Таблица13[#All],3,0)</f>
        <v>1941</v>
      </c>
      <c r="AH2053" s="28" t="str">
        <f>VLOOKUP(Таблица1_113[[#This Row],[Марка]],Таблица13[#All],5,0)</f>
        <v>Нет</v>
      </c>
      <c r="AI2053" s="30">
        <v>45261</v>
      </c>
      <c r="AJ2053" s="31">
        <v>162</v>
      </c>
      <c r="AM2053" s="12"/>
    </row>
    <row r="2054" spans="30:39" customFormat="1">
      <c r="AD2054" s="27" t="s">
        <v>21</v>
      </c>
      <c r="AE2054" s="28" t="str">
        <f>VLOOKUP(Таблица1_113[[#This Row],[Марка]],Таблица13[#All],4,0)</f>
        <v>Германия</v>
      </c>
      <c r="AF2054" s="28" t="str">
        <f>VLOOKUP(Таблица1_113[[#This Row],[Марка]],Таблица13[#All],2,0)</f>
        <v>Business</v>
      </c>
      <c r="AG2054" s="28">
        <f>VLOOKUP(Таблица1_113[[#This Row],[Марка]],Таблица13[#All],3,0)</f>
        <v>1937</v>
      </c>
      <c r="AH2054" s="28" t="str">
        <f>VLOOKUP(Таблица1_113[[#This Row],[Марка]],Таблица13[#All],5,0)</f>
        <v>Нет</v>
      </c>
      <c r="AI2054" s="30">
        <v>45261</v>
      </c>
      <c r="AJ2054" s="31">
        <v>48</v>
      </c>
      <c r="AM2054" s="12"/>
    </row>
    <row r="2055" spans="30:39" customFormat="1">
      <c r="AD2055" s="27" t="s">
        <v>2</v>
      </c>
      <c r="AE2055" s="28" t="str">
        <f>VLOOKUP(Таблица1_113[[#This Row],[Марка]],Таблица13[#All],4,0)</f>
        <v>Япония</v>
      </c>
      <c r="AF2055" s="28" t="str">
        <f>VLOOKUP(Таблица1_113[[#This Row],[Марка]],Таблица13[#All],2,0)</f>
        <v>Business</v>
      </c>
      <c r="AG2055" s="28">
        <f>VLOOKUP(Таблица1_113[[#This Row],[Марка]],Таблица13[#All],3,0)</f>
        <v>1937</v>
      </c>
      <c r="AH2055" s="28" t="str">
        <f>VLOOKUP(Таблица1_113[[#This Row],[Марка]],Таблица13[#All],5,0)</f>
        <v>Нет</v>
      </c>
      <c r="AI2055" s="30">
        <v>45261</v>
      </c>
      <c r="AJ2055" s="31">
        <v>1442</v>
      </c>
      <c r="AM2055" s="12"/>
    </row>
    <row r="2056" spans="30:39" customFormat="1">
      <c r="AD2056" s="27" t="s">
        <v>20</v>
      </c>
      <c r="AE2056" s="28" t="str">
        <f>VLOOKUP(Таблица1_113[[#This Row],[Марка]],Таблица13[#All],4,0)</f>
        <v>Китай</v>
      </c>
      <c r="AF2056" s="28" t="str">
        <f>VLOOKUP(Таблица1_113[[#This Row],[Марка]],Таблица13[#All],2,0)</f>
        <v>Business</v>
      </c>
      <c r="AG2056" s="28">
        <f>VLOOKUP(Таблица1_113[[#This Row],[Марка]],Таблица13[#All],3,0)</f>
        <v>2021</v>
      </c>
      <c r="AH2056" s="28" t="str">
        <f>VLOOKUP(Таблица1_113[[#This Row],[Марка]],Таблица13[#All],5,0)</f>
        <v>Нет</v>
      </c>
      <c r="AI2056" s="30">
        <v>45261</v>
      </c>
      <c r="AJ2056" s="31">
        <v>142</v>
      </c>
      <c r="AM2056" s="12"/>
    </row>
    <row r="2057" spans="30:39" customFormat="1">
      <c r="AD2057" s="27" t="s">
        <v>125</v>
      </c>
      <c r="AE2057" s="28" t="str">
        <f>VLOOKUP(Таблица1_113[[#This Row],[Марка]],Таблица13[#All],4,0)</f>
        <v>Япония</v>
      </c>
      <c r="AF2057" s="28" t="str">
        <f>VLOOKUP(Таблица1_113[[#This Row],[Марка]],Таблица13[#All],2,0)</f>
        <v>Business</v>
      </c>
      <c r="AG2057" s="28">
        <f>VLOOKUP(Таблица1_113[[#This Row],[Марка]],Таблица13[#All],3,0)</f>
        <v>1953</v>
      </c>
      <c r="AH2057" s="28" t="str">
        <f>VLOOKUP(Таблица1_113[[#This Row],[Марка]],Таблица13[#All],5,0)</f>
        <v>Нет</v>
      </c>
      <c r="AI2057" s="30">
        <v>45261</v>
      </c>
      <c r="AJ2057" s="31">
        <v>115</v>
      </c>
      <c r="AM2057" s="12"/>
    </row>
    <row r="2058" spans="30:39" customFormat="1">
      <c r="AD2058" s="27" t="s">
        <v>37</v>
      </c>
      <c r="AE2058" s="28" t="str">
        <f>VLOOKUP(Таблица1_113[[#This Row],[Марка]],Таблица13[#All],4,0)</f>
        <v>Германия</v>
      </c>
      <c r="AF2058" s="28" t="str">
        <f>VLOOKUP(Таблица1_113[[#This Row],[Марка]],Таблица13[#All],2,0)</f>
        <v>Luxury</v>
      </c>
      <c r="AG2058" s="28">
        <f>VLOOKUP(Таблица1_113[[#This Row],[Марка]],Таблица13[#All],3,0)</f>
        <v>1931</v>
      </c>
      <c r="AH2058" s="28" t="str">
        <f>VLOOKUP(Таблица1_113[[#This Row],[Марка]],Таблица13[#All],5,0)</f>
        <v>Нет</v>
      </c>
      <c r="AI2058" s="30">
        <v>45261</v>
      </c>
      <c r="AJ2058" s="31">
        <v>68</v>
      </c>
      <c r="AM2058" s="12"/>
    </row>
    <row r="2059" spans="30:39" customFormat="1">
      <c r="AD2059" s="27" t="s">
        <v>126</v>
      </c>
      <c r="AE2059" s="28" t="str">
        <f>VLOOKUP(Таблица1_113[[#This Row],[Марка]],Таблица13[#All],4,0)</f>
        <v>Россия</v>
      </c>
      <c r="AF2059" s="28" t="str">
        <f>VLOOKUP(Таблица1_113[[#This Row],[Марка]],Таблица13[#All],2,0)</f>
        <v>Economy</v>
      </c>
      <c r="AG2059" s="28">
        <f>VLOOKUP(Таблица1_113[[#This Row],[Марка]],Таблица13[#All],3,0)</f>
        <v>2022</v>
      </c>
      <c r="AH2059" s="28" t="str">
        <f>VLOOKUP(Таблица1_113[[#This Row],[Марка]],Таблица13[#All],5,0)</f>
        <v>Нет</v>
      </c>
      <c r="AI2059" s="30">
        <v>45261</v>
      </c>
      <c r="AJ2059" s="31">
        <v>145</v>
      </c>
      <c r="AM2059" s="12"/>
    </row>
    <row r="2060" spans="30:39" customFormat="1">
      <c r="AD2060" s="27" t="s">
        <v>22</v>
      </c>
      <c r="AE2060" s="28" t="str">
        <f>VLOOKUP(Таблица1_113[[#This Row],[Марка]],Таблица13[#All],4,0)</f>
        <v>Япония</v>
      </c>
      <c r="AF2060" s="28" t="str">
        <f>VLOOKUP(Таблица1_113[[#This Row],[Марка]],Таблица13[#All],2,0)</f>
        <v>Business</v>
      </c>
      <c r="AG2060" s="28">
        <f>VLOOKUP(Таблица1_113[[#This Row],[Марка]],Таблица13[#All],3,0)</f>
        <v>1933</v>
      </c>
      <c r="AH2060" s="28" t="str">
        <f>VLOOKUP(Таблица1_113[[#This Row],[Марка]],Таблица13[#All],5,0)</f>
        <v>Нет</v>
      </c>
      <c r="AI2060" s="30">
        <v>45261</v>
      </c>
      <c r="AJ2060" s="31">
        <v>2</v>
      </c>
      <c r="AM2060" s="12"/>
    </row>
    <row r="2061" spans="30:39" customFormat="1">
      <c r="AD2061" s="27" t="s">
        <v>9</v>
      </c>
      <c r="AE2061" s="28" t="str">
        <f>VLOOKUP(Таблица1_113[[#This Row],[Марка]],Таблица13[#All],4,0)</f>
        <v>Япония</v>
      </c>
      <c r="AF2061" s="28" t="str">
        <f>VLOOKUP(Таблица1_113[[#This Row],[Марка]],Таблица13[#All],2,0)</f>
        <v>Business</v>
      </c>
      <c r="AG2061" s="28">
        <f>VLOOKUP(Таблица1_113[[#This Row],[Марка]],Таблица13[#All],3,0)</f>
        <v>1870</v>
      </c>
      <c r="AH2061" s="28" t="str">
        <f>VLOOKUP(Таблица1_113[[#This Row],[Марка]],Таблица13[#All],5,0)</f>
        <v>Нет</v>
      </c>
      <c r="AI2061" s="30">
        <v>45261</v>
      </c>
      <c r="AJ2061" s="31">
        <v>77</v>
      </c>
      <c r="AM2061" s="12"/>
    </row>
    <row r="2062" spans="30:39" customFormat="1">
      <c r="AD2062" s="27" t="s">
        <v>40</v>
      </c>
      <c r="AE2062" s="28" t="str">
        <f>VLOOKUP(Таблица1_113[[#This Row],[Марка]],Таблица13[#All],4,0)</f>
        <v>Великобритания</v>
      </c>
      <c r="AF2062" s="28" t="str">
        <f>VLOOKUP(Таблица1_113[[#This Row],[Марка]],Таблица13[#All],2,0)</f>
        <v>Luxury</v>
      </c>
      <c r="AG2062" s="28">
        <f>VLOOKUP(Таблица1_113[[#This Row],[Марка]],Таблица13[#All],3,0)</f>
        <v>1959</v>
      </c>
      <c r="AH2062" s="28" t="str">
        <f>VLOOKUP(Таблица1_113[[#This Row],[Марка]],Таблица13[#All],5,0)</f>
        <v>Нет</v>
      </c>
      <c r="AI2062" s="30">
        <v>45261</v>
      </c>
      <c r="AJ2062" s="31">
        <v>9</v>
      </c>
      <c r="AM2062" s="12"/>
    </row>
    <row r="2063" spans="30:39" customFormat="1">
      <c r="AD2063" s="27" t="s">
        <v>128</v>
      </c>
      <c r="AE2063" s="28" t="str">
        <f>VLOOKUP(Таблица1_113[[#This Row],[Марка]],Таблица13[#All],4,0)</f>
        <v>Германия</v>
      </c>
      <c r="AF2063" s="28" t="str">
        <f>VLOOKUP(Таблица1_113[[#This Row],[Марка]],Таблица13[#All],2,0)</f>
        <v>Luxury</v>
      </c>
      <c r="AG2063" s="28">
        <f>VLOOKUP(Таблица1_113[[#This Row],[Марка]],Таблица13[#All],3,0)</f>
        <v>1926</v>
      </c>
      <c r="AH2063" s="28" t="str">
        <f>VLOOKUP(Таблица1_113[[#This Row],[Марка]],Таблица13[#All],5,0)</f>
        <v>Нет</v>
      </c>
      <c r="AI2063" s="30">
        <v>45261</v>
      </c>
      <c r="AJ2063" s="31">
        <v>75</v>
      </c>
      <c r="AM2063" s="12"/>
    </row>
    <row r="2064" spans="30:39" customFormat="1">
      <c r="AD2064" s="27" t="s">
        <v>5</v>
      </c>
      <c r="AE2064" s="28" t="str">
        <f>VLOOKUP(Таблица1_113[[#This Row],[Марка]],Таблица13[#All],4,0)</f>
        <v>Япония</v>
      </c>
      <c r="AF2064" s="28" t="str">
        <f>VLOOKUP(Таблица1_113[[#This Row],[Марка]],Таблица13[#All],2,0)</f>
        <v>Luxury</v>
      </c>
      <c r="AG2064" s="28">
        <f>VLOOKUP(Таблица1_113[[#This Row],[Марка]],Таблица13[#All],3,0)</f>
        <v>1989</v>
      </c>
      <c r="AH2064" s="28" t="str">
        <f>VLOOKUP(Таблица1_113[[#This Row],[Марка]],Таблица13[#All],5,0)</f>
        <v>Нет</v>
      </c>
      <c r="AI2064" s="30">
        <v>45261</v>
      </c>
      <c r="AJ2064" s="31">
        <v>250</v>
      </c>
      <c r="AM2064" s="12"/>
    </row>
    <row r="2065" spans="30:39" customFormat="1">
      <c r="AD2065" s="27" t="s">
        <v>35</v>
      </c>
      <c r="AE2065" s="28" t="str">
        <f>VLOOKUP(Таблица1_113[[#This Row],[Марка]],Таблица13[#All],4,0)</f>
        <v>Великобритания</v>
      </c>
      <c r="AF2065" s="28" t="str">
        <f>VLOOKUP(Таблица1_113[[#This Row],[Марка]],Таблица13[#All],2,0)</f>
        <v>Luxury</v>
      </c>
      <c r="AG2065" s="28">
        <f>VLOOKUP(Таблица1_113[[#This Row],[Марка]],Таблица13[#All],3,0)</f>
        <v>1948</v>
      </c>
      <c r="AH2065" s="28" t="str">
        <f>VLOOKUP(Таблица1_113[[#This Row],[Марка]],Таблица13[#All],5,0)</f>
        <v>Нет</v>
      </c>
      <c r="AI2065" s="30">
        <v>45261</v>
      </c>
      <c r="AJ2065" s="31">
        <v>29</v>
      </c>
      <c r="AM2065" s="12"/>
    </row>
    <row r="2066" spans="30:39" customFormat="1">
      <c r="AD2066" s="27" t="s">
        <v>19</v>
      </c>
      <c r="AE2066" s="28" t="str">
        <f>VLOOKUP(Таблица1_113[[#This Row],[Марка]],Таблица13[#All],4,0)</f>
        <v>Россия</v>
      </c>
      <c r="AF2066" s="28" t="str">
        <f>VLOOKUP(Таблица1_113[[#This Row],[Марка]],Таблица13[#All],2,0)</f>
        <v>Economy</v>
      </c>
      <c r="AG2066" s="28">
        <f>VLOOKUP(Таблица1_113[[#This Row],[Марка]],Таблица13[#All],3,0)</f>
        <v>1970</v>
      </c>
      <c r="AH2066" s="28" t="str">
        <f>VLOOKUP(Таблица1_113[[#This Row],[Марка]],Таблица13[#All],5,0)</f>
        <v>Крупноузловая</v>
      </c>
      <c r="AI2066" s="30">
        <v>45261</v>
      </c>
      <c r="AJ2066" s="31">
        <v>181</v>
      </c>
      <c r="AM2066" s="12"/>
    </row>
    <row r="2067" spans="30:39" customFormat="1">
      <c r="AD2067" s="27" t="s">
        <v>15</v>
      </c>
      <c r="AE2067" s="28" t="str">
        <f>VLOOKUP(Таблица1_113[[#This Row],[Марка]],Таблица13[#All],4,0)</f>
        <v>Корея</v>
      </c>
      <c r="AF2067" s="28" t="str">
        <f>VLOOKUP(Таблица1_113[[#This Row],[Марка]],Таблица13[#All],2,0)</f>
        <v>Economy</v>
      </c>
      <c r="AG2067" s="28">
        <f>VLOOKUP(Таблица1_113[[#This Row],[Марка]],Таблица13[#All],3,0)</f>
        <v>1944</v>
      </c>
      <c r="AH2067" s="28" t="str">
        <f>VLOOKUP(Таблица1_113[[#This Row],[Марка]],Таблица13[#All],5,0)</f>
        <v>Крупноузловая</v>
      </c>
      <c r="AI2067" s="30">
        <v>45261</v>
      </c>
      <c r="AJ2067" s="31">
        <v>2422</v>
      </c>
      <c r="AM2067" s="12"/>
    </row>
    <row r="2068" spans="30:39" customFormat="1">
      <c r="AD2068" s="27" t="s">
        <v>17</v>
      </c>
      <c r="AE2068" s="28" t="str">
        <f>VLOOKUP(Таблица1_113[[#This Row],[Марка]],Таблица13[#All],4,0)</f>
        <v>Китай</v>
      </c>
      <c r="AF2068" s="28" t="str">
        <f>VLOOKUP(Таблица1_113[[#This Row],[Марка]],Таблица13[#All],2,0)</f>
        <v>Economy</v>
      </c>
      <c r="AG2068" s="28">
        <f>VLOOKUP(Таблица1_113[[#This Row],[Марка]],Таблица13[#All],3,0)</f>
        <v>2014</v>
      </c>
      <c r="AH2068" s="28" t="str">
        <f>VLOOKUP(Таблица1_113[[#This Row],[Марка]],Таблица13[#All],5,0)</f>
        <v>Нет</v>
      </c>
      <c r="AI2068" s="30">
        <v>45261</v>
      </c>
      <c r="AJ2068" s="31">
        <v>1061</v>
      </c>
      <c r="AM2068" s="12"/>
    </row>
    <row r="2069" spans="30:39" customFormat="1">
      <c r="AD2069" s="27" t="s">
        <v>134</v>
      </c>
      <c r="AE2069" s="28" t="str">
        <f>VLOOKUP(Таблица1_113[[#This Row],[Марка]],Таблица13[#All],4,0)</f>
        <v>Великобритания</v>
      </c>
      <c r="AF2069" s="28" t="str">
        <f>VLOOKUP(Таблица1_113[[#This Row],[Марка]],Таблица13[#All],2,0)</f>
        <v>Luxury</v>
      </c>
      <c r="AG2069" s="28">
        <f>VLOOKUP(Таблица1_113[[#This Row],[Марка]],Таблица13[#All],3,0)</f>
        <v>1922</v>
      </c>
      <c r="AH2069" s="28" t="str">
        <f>VLOOKUP(Таблица1_113[[#This Row],[Марка]],Таблица13[#All],5,0)</f>
        <v>Нет</v>
      </c>
      <c r="AI2069" s="30">
        <v>45261</v>
      </c>
      <c r="AJ2069" s="31">
        <v>8</v>
      </c>
      <c r="AM2069" s="12"/>
    </row>
    <row r="2070" spans="30:39" customFormat="1">
      <c r="AD2070" s="27" t="s">
        <v>4</v>
      </c>
      <c r="AE2070" s="28" t="str">
        <f>VLOOKUP(Таблица1_113[[#This Row],[Марка]],Таблица13[#All],4,0)</f>
        <v>Китай</v>
      </c>
      <c r="AF2070" s="28" t="str">
        <f>VLOOKUP(Таблица1_113[[#This Row],[Марка]],Таблица13[#All],2,0)</f>
        <v>Economy</v>
      </c>
      <c r="AG2070" s="28">
        <f>VLOOKUP(Таблица1_113[[#This Row],[Марка]],Таблица13[#All],3,0)</f>
        <v>1964</v>
      </c>
      <c r="AH2070" s="28" t="str">
        <f>VLOOKUP(Таблица1_113[[#This Row],[Марка]],Таблица13[#All],5,0)</f>
        <v>Крупноузловая</v>
      </c>
      <c r="AI2070" s="30">
        <v>45261</v>
      </c>
      <c r="AJ2070" s="31">
        <v>1520</v>
      </c>
      <c r="AM2070" s="12"/>
    </row>
    <row r="2071" spans="30:39" customFormat="1">
      <c r="AD2071" s="27" t="s">
        <v>34</v>
      </c>
      <c r="AE2071" s="28" t="str">
        <f>VLOOKUP(Таблица1_113[[#This Row],[Марка]],Таблица13[#All],4,0)</f>
        <v>Япония</v>
      </c>
      <c r="AF2071" s="28" t="str">
        <f>VLOOKUP(Таблица1_113[[#This Row],[Марка]],Таблица13[#All],2,0)</f>
        <v>Luxury</v>
      </c>
      <c r="AG2071" s="28">
        <f>VLOOKUP(Таблица1_113[[#This Row],[Марка]],Таблица13[#All],3,0)</f>
        <v>1989</v>
      </c>
      <c r="AH2071" s="28" t="str">
        <f>VLOOKUP(Таблица1_113[[#This Row],[Марка]],Таблица13[#All],5,0)</f>
        <v>Нет</v>
      </c>
      <c r="AI2071" s="30">
        <v>45261</v>
      </c>
      <c r="AJ2071" s="31">
        <v>4</v>
      </c>
      <c r="AM2071" s="12"/>
    </row>
    <row r="2072" spans="30:39" customFormat="1">
      <c r="AD2072" s="27" t="s">
        <v>0</v>
      </c>
      <c r="AE2072" s="28" t="str">
        <f>VLOOKUP(Таблица1_113[[#This Row],[Марка]],Таблица13[#All],4,0)</f>
        <v>Корея</v>
      </c>
      <c r="AF2072" s="28" t="str">
        <f>VLOOKUP(Таблица1_113[[#This Row],[Марка]],Таблица13[#All],2,0)</f>
        <v>Economy</v>
      </c>
      <c r="AG2072" s="28">
        <f>VLOOKUP(Таблица1_113[[#This Row],[Марка]],Таблица13[#All],3,0)</f>
        <v>1967</v>
      </c>
      <c r="AH2072" s="28" t="str">
        <f>VLOOKUP(Таблица1_113[[#This Row],[Марка]],Таблица13[#All],5,0)</f>
        <v>Крупноузловая</v>
      </c>
      <c r="AI2072" s="30">
        <v>45261</v>
      </c>
      <c r="AJ2072" s="31">
        <v>4821</v>
      </c>
      <c r="AM2072" s="12"/>
    </row>
    <row r="2073" spans="30:39" customFormat="1">
      <c r="AD2073" s="27" t="s">
        <v>131</v>
      </c>
      <c r="AE2073" s="28" t="str">
        <f>VLOOKUP(Таблица1_113[[#This Row],[Марка]],Таблица13[#All],4,0)</f>
        <v>Китай</v>
      </c>
      <c r="AF2073" s="28" t="str">
        <f>VLOOKUP(Таблица1_113[[#This Row],[Марка]],Таблица13[#All],2,0)</f>
        <v>Luxury</v>
      </c>
      <c r="AG2073" s="28">
        <f>VLOOKUP(Таблица1_113[[#This Row],[Марка]],Таблица13[#All],3,0)</f>
        <v>1958</v>
      </c>
      <c r="AH2073" s="28" t="str">
        <f>VLOOKUP(Таблица1_113[[#This Row],[Марка]],Таблица13[#All],5,0)</f>
        <v>Нет</v>
      </c>
      <c r="AI2073" s="30">
        <v>45261</v>
      </c>
      <c r="AJ2073" s="31">
        <v>28</v>
      </c>
      <c r="AM2073" s="12"/>
    </row>
    <row r="2074" spans="30:39" customFormat="1">
      <c r="AD2074" s="27" t="s">
        <v>6</v>
      </c>
      <c r="AE2074" s="28" t="str">
        <f>VLOOKUP(Таблица1_113[[#This Row],[Марка]],Таблица13[#All],4,0)</f>
        <v>Китай</v>
      </c>
      <c r="AF2074" s="28" t="str">
        <f>VLOOKUP(Таблица1_113[[#This Row],[Марка]],Таблица13[#All],2,0)</f>
        <v>Economy</v>
      </c>
      <c r="AG2074" s="28">
        <f>VLOOKUP(Таблица1_113[[#This Row],[Марка]],Таблица13[#All],3,0)</f>
        <v>2013</v>
      </c>
      <c r="AH2074" s="28" t="str">
        <f>VLOOKUP(Таблица1_113[[#This Row],[Марка]],Таблица13[#All],5,0)</f>
        <v>Крупноузловая</v>
      </c>
      <c r="AI2074" s="30">
        <v>45261</v>
      </c>
      <c r="AJ2074" s="31">
        <v>762</v>
      </c>
      <c r="AM2074" s="12"/>
    </row>
    <row r="2075" spans="30:39" customFormat="1">
      <c r="AD2075" s="27" t="s">
        <v>132</v>
      </c>
      <c r="AE2075" s="28" t="str">
        <f>VLOOKUP(Таблица1_113[[#This Row],[Марка]],Таблица13[#All],4,0)</f>
        <v>Китай</v>
      </c>
      <c r="AF2075" s="28" t="str">
        <f>VLOOKUP(Таблица1_113[[#This Row],[Марка]],Таблица13[#All],2,0)</f>
        <v>Economy</v>
      </c>
      <c r="AG2075" s="28">
        <f>VLOOKUP(Таблица1_113[[#This Row],[Марка]],Таблица13[#All],3,0)</f>
        <v>1984</v>
      </c>
      <c r="AH2075" s="28" t="str">
        <f>VLOOKUP(Таблица1_113[[#This Row],[Марка]],Таблица13[#All],5,0)</f>
        <v>Нет</v>
      </c>
      <c r="AI2075" s="30">
        <v>45261</v>
      </c>
      <c r="AJ2075" s="31">
        <v>39</v>
      </c>
      <c r="AM2075" s="12"/>
    </row>
    <row r="2076" spans="30:39" customFormat="1">
      <c r="AD2076" s="27" t="s">
        <v>138</v>
      </c>
      <c r="AE2076" s="28" t="str">
        <f>VLOOKUP(Таблица1_113[[#This Row],[Марка]],Таблица13[#All],4,0)</f>
        <v>Корея</v>
      </c>
      <c r="AF2076" s="28" t="str">
        <f>VLOOKUP(Таблица1_113[[#This Row],[Марка]],Таблица13[#All],2,0)</f>
        <v>Luxury</v>
      </c>
      <c r="AG2076" s="28">
        <f>VLOOKUP(Таблица1_113[[#This Row],[Марка]],Таблица13[#All],3,0)</f>
        <v>2015</v>
      </c>
      <c r="AH2076" s="28" t="str">
        <f>VLOOKUP(Таблица1_113[[#This Row],[Марка]],Таблица13[#All],5,0)</f>
        <v>Нет</v>
      </c>
      <c r="AI2076" s="30">
        <v>45261</v>
      </c>
      <c r="AJ2076" s="31">
        <v>6</v>
      </c>
      <c r="AM2076" s="12"/>
    </row>
    <row r="2077" spans="30:39" customFormat="1">
      <c r="AD2077" s="27" t="s">
        <v>18</v>
      </c>
      <c r="AE2077" s="28" t="str">
        <f>VLOOKUP(Таблица1_113[[#This Row],[Марка]],Таблица13[#All],4,0)</f>
        <v>Китай</v>
      </c>
      <c r="AF2077" s="28" t="str">
        <f>VLOOKUP(Таблица1_113[[#This Row],[Марка]],Таблица13[#All],2,0)</f>
        <v>Economy</v>
      </c>
      <c r="AG2077" s="28">
        <f>VLOOKUP(Таблица1_113[[#This Row],[Марка]],Таблица13[#All],3,0)</f>
        <v>1986</v>
      </c>
      <c r="AH2077" s="28" t="str">
        <f>VLOOKUP(Таблица1_113[[#This Row],[Марка]],Таблица13[#All],5,0)</f>
        <v>Крупноузловая</v>
      </c>
      <c r="AI2077" s="30">
        <v>45261</v>
      </c>
      <c r="AJ2077" s="31">
        <v>630</v>
      </c>
      <c r="AM2077" s="12"/>
    </row>
    <row r="2078" spans="30:39" customFormat="1">
      <c r="AD2078" s="27" t="s">
        <v>127</v>
      </c>
      <c r="AE2078" s="28" t="str">
        <f>VLOOKUP(Таблица1_113[[#This Row],[Марка]],Таблица13[#All],4,0)</f>
        <v>Китай</v>
      </c>
      <c r="AF2078" s="28" t="str">
        <f>VLOOKUP(Таблица1_113[[#This Row],[Марка]],Таблица13[#All],2,0)</f>
        <v>Economy</v>
      </c>
      <c r="AG2078" s="28">
        <f>VLOOKUP(Таблица1_113[[#This Row],[Марка]],Таблица13[#All],3,0)</f>
        <v>1997</v>
      </c>
      <c r="AH2078" s="28" t="str">
        <f>VLOOKUP(Таблица1_113[[#This Row],[Марка]],Таблица13[#All],5,0)</f>
        <v>Нет</v>
      </c>
      <c r="AI2078" s="30">
        <v>45261</v>
      </c>
      <c r="AJ2078" s="31">
        <v>67</v>
      </c>
      <c r="AM2078" s="12"/>
    </row>
    <row r="2079" spans="30:39" customFormat="1">
      <c r="AD2079" s="27" t="s">
        <v>133</v>
      </c>
      <c r="AE2079" s="28" t="str">
        <f>VLOOKUP(Таблица1_113[[#This Row],[Марка]],Таблица13[#All],4,0)</f>
        <v>Китай</v>
      </c>
      <c r="AF2079" s="28" t="str">
        <f>VLOOKUP(Таблица1_113[[#This Row],[Марка]],Таблица13[#All],2,0)</f>
        <v>Economy</v>
      </c>
      <c r="AG2079" s="28">
        <f>VLOOKUP(Таблица1_113[[#This Row],[Марка]],Таблица13[#All],3,0)</f>
        <v>1996</v>
      </c>
      <c r="AH2079" s="28" t="str">
        <f>VLOOKUP(Таблица1_113[[#This Row],[Марка]],Таблица13[#All],5,0)</f>
        <v>Нет</v>
      </c>
      <c r="AI2079" s="30">
        <v>45261</v>
      </c>
      <c r="AJ2079" s="31">
        <v>7</v>
      </c>
      <c r="AM2079" s="12"/>
    </row>
    <row r="2080" spans="30:39" customFormat="1">
      <c r="AD2080" s="27" t="s">
        <v>129</v>
      </c>
      <c r="AE2080" s="28" t="str">
        <f>VLOOKUP(Таблица1_113[[#This Row],[Марка]],Таблица13[#All],4,0)</f>
        <v>Китай</v>
      </c>
      <c r="AF2080" s="28" t="str">
        <f>VLOOKUP(Таблица1_113[[#This Row],[Марка]],Таблица13[#All],2,0)</f>
        <v>Economy</v>
      </c>
      <c r="AG2080" s="28">
        <f>VLOOKUP(Таблица1_113[[#This Row],[Марка]],Таблица13[#All],3,0)</f>
        <v>1953</v>
      </c>
      <c r="AH2080" s="28" t="str">
        <f>VLOOKUP(Таблица1_113[[#This Row],[Марка]],Таблица13[#All],5,0)</f>
        <v>Нет</v>
      </c>
      <c r="AI2080" s="30">
        <v>45261</v>
      </c>
      <c r="AJ2080" s="31">
        <v>38</v>
      </c>
      <c r="AM2080" s="12"/>
    </row>
    <row r="2081" spans="30:39" customFormat="1">
      <c r="AD2081" s="27" t="s">
        <v>7</v>
      </c>
      <c r="AE2081" s="28" t="str">
        <f>VLOOKUP(Таблица1_113[[#This Row],[Марка]],Таблица13[#All],4,0)</f>
        <v>Китай</v>
      </c>
      <c r="AF2081" s="28" t="str">
        <f>VLOOKUP(Таблица1_113[[#This Row],[Марка]],Таблица13[#All],2,0)</f>
        <v>Business</v>
      </c>
      <c r="AG2081" s="28">
        <f>VLOOKUP(Таблица1_113[[#This Row],[Марка]],Таблица13[#All],3,0)</f>
        <v>2017</v>
      </c>
      <c r="AH2081" s="28" t="str">
        <f>VLOOKUP(Таблица1_113[[#This Row],[Марка]],Таблица13[#All],5,0)</f>
        <v>Нет</v>
      </c>
      <c r="AI2081" s="30">
        <v>45261</v>
      </c>
      <c r="AJ2081" s="31">
        <v>198</v>
      </c>
      <c r="AM2081" s="12"/>
    </row>
    <row r="2082" spans="30:39" customFormat="1">
      <c r="AD2082" s="27" t="s">
        <v>130</v>
      </c>
      <c r="AE2082" s="28" t="str">
        <f>VLOOKUP(Таблица1_113[[#This Row],[Марка]],Таблица13[#All],4,0)</f>
        <v>Китай</v>
      </c>
      <c r="AF2082" s="28" t="str">
        <f>VLOOKUP(Таблица1_113[[#This Row],[Марка]],Таблица13[#All],2,0)</f>
        <v>Economy</v>
      </c>
      <c r="AG2082" s="28">
        <f>VLOOKUP(Таблица1_113[[#This Row],[Марка]],Таблица13[#All],3,0)</f>
        <v>1969</v>
      </c>
      <c r="AH2082" s="28" t="str">
        <f>VLOOKUP(Таблица1_113[[#This Row],[Марка]],Таблица13[#All],5,0)</f>
        <v>Нет</v>
      </c>
      <c r="AI2082" s="30">
        <v>45261</v>
      </c>
      <c r="AJ2082" s="31">
        <v>6</v>
      </c>
      <c r="AM2082" s="12"/>
    </row>
    <row r="2083" spans="30:39" customFormat="1">
      <c r="AD2083" s="27" t="s">
        <v>137</v>
      </c>
      <c r="AE2083" s="28" t="str">
        <f>VLOOKUP(Таблица1_113[[#This Row],[Марка]],Таблица13[#All],4,0)</f>
        <v>Корея</v>
      </c>
      <c r="AF2083" s="28" t="str">
        <f>VLOOKUP(Таблица1_113[[#This Row],[Марка]],Таблица13[#All],2,0)</f>
        <v>Economy</v>
      </c>
      <c r="AG2083" s="28">
        <f>VLOOKUP(Таблица1_113[[#This Row],[Марка]],Таблица13[#All],3,0)</f>
        <v>1967</v>
      </c>
      <c r="AH2083" s="28" t="str">
        <f>VLOOKUP(Таблица1_113[[#This Row],[Марка]],Таблица13[#All],5,0)</f>
        <v>Нет</v>
      </c>
      <c r="AI2083" s="30">
        <v>45261</v>
      </c>
      <c r="AJ2083" s="31">
        <v>3</v>
      </c>
      <c r="AM2083" s="12"/>
    </row>
    <row r="2084" spans="30:39" customFormat="1">
      <c r="AD2084" s="27" t="s">
        <v>1</v>
      </c>
      <c r="AE2084" s="28" t="str">
        <f>VLOOKUP(Таблица1_113[[#This Row],[Марка]],Таблица13[#All],4,0)</f>
        <v>США</v>
      </c>
      <c r="AF2084" s="28" t="str">
        <f>VLOOKUP(Таблица1_113[[#This Row],[Марка]],Таблица13[#All],2,0)</f>
        <v>Economy</v>
      </c>
      <c r="AG2084" s="28">
        <f>VLOOKUP(Таблица1_113[[#This Row],[Марка]],Таблица13[#All],3,0)</f>
        <v>1911</v>
      </c>
      <c r="AH2084" s="28" t="str">
        <f>VLOOKUP(Таблица1_113[[#This Row],[Марка]],Таблица13[#All],5,0)</f>
        <v>Крупноузловая</v>
      </c>
      <c r="AI2084" s="30">
        <v>45261</v>
      </c>
      <c r="AJ2084" s="31">
        <v>5789</v>
      </c>
      <c r="AM2084" s="12"/>
    </row>
    <row r="2085" spans="30:39" customFormat="1">
      <c r="AD2085" s="27" t="s">
        <v>3</v>
      </c>
      <c r="AE2085" s="28" t="str">
        <f>VLOOKUP(Таблица1_113[[#This Row],[Марка]],Таблица13[#All],4,0)</f>
        <v>Китай</v>
      </c>
      <c r="AF2085" s="28" t="str">
        <f>VLOOKUP(Таблица1_113[[#This Row],[Марка]],Таблица13[#All],2,0)</f>
        <v>Economy</v>
      </c>
      <c r="AG2085" s="28">
        <f>VLOOKUP(Таблица1_113[[#This Row],[Марка]],Таблица13[#All],3,0)</f>
        <v>1997</v>
      </c>
      <c r="AH2085" s="28" t="str">
        <f>VLOOKUP(Таблица1_113[[#This Row],[Марка]],Таблица13[#All],5,0)</f>
        <v>Крупноузловая</v>
      </c>
      <c r="AI2085" s="30">
        <v>45261</v>
      </c>
      <c r="AJ2085" s="31">
        <v>1387</v>
      </c>
      <c r="AM2085" s="12"/>
    </row>
    <row r="2086" spans="30:39" customFormat="1">
      <c r="AD2086" s="27" t="s">
        <v>124</v>
      </c>
      <c r="AE2086" s="28" t="str">
        <f>VLOOKUP(Таблица1_113[[#This Row],[Марка]],Таблица13[#All],4,0)</f>
        <v>Китай</v>
      </c>
      <c r="AF2086" s="28" t="str">
        <f>VLOOKUP(Таблица1_113[[#This Row],[Марка]],Таблица13[#All],2,0)</f>
        <v>Economy</v>
      </c>
      <c r="AG2086" s="28">
        <f>VLOOKUP(Таблица1_113[[#This Row],[Марка]],Таблица13[#All],3,0)</f>
        <v>1862</v>
      </c>
      <c r="AH2086" s="28" t="str">
        <f>VLOOKUP(Таблица1_113[[#This Row],[Марка]],Таблица13[#All],5,0)</f>
        <v>Нет</v>
      </c>
      <c r="AI2086" s="30">
        <v>45261</v>
      </c>
      <c r="AJ2086" s="31">
        <v>595</v>
      </c>
      <c r="AM2086" s="12"/>
    </row>
    <row r="2087" spans="30:39" customFormat="1">
      <c r="AD2087" s="27" t="s">
        <v>36</v>
      </c>
      <c r="AE2087" s="28" t="str">
        <f>VLOOKUP(Таблица1_113[[#This Row],[Марка]],Таблица13[#All],4,0)</f>
        <v>США</v>
      </c>
      <c r="AF2087" s="28" t="str">
        <f>VLOOKUP(Таблица1_113[[#This Row],[Марка]],Таблица13[#All],2,0)</f>
        <v>Luxury</v>
      </c>
      <c r="AG2087" s="28">
        <f>VLOOKUP(Таблица1_113[[#This Row],[Марка]],Таблица13[#All],3,0)</f>
        <v>1902</v>
      </c>
      <c r="AH2087" s="28" t="str">
        <f>VLOOKUP(Таблица1_113[[#This Row],[Марка]],Таблица13[#All],5,0)</f>
        <v>Нет</v>
      </c>
      <c r="AI2087" s="30">
        <v>45261</v>
      </c>
      <c r="AJ2087" s="31">
        <v>61</v>
      </c>
      <c r="AM2087" s="12"/>
    </row>
    <row r="2088" spans="30:39" customFormat="1">
      <c r="AD2088" s="27" t="s">
        <v>8</v>
      </c>
      <c r="AE2088" s="28" t="str">
        <f>VLOOKUP(Таблица1_113[[#This Row],[Марка]],Таблица13[#All],4,0)</f>
        <v>Германия</v>
      </c>
      <c r="AF2088" s="28" t="str">
        <f>VLOOKUP(Таблица1_113[[#This Row],[Марка]],Таблица13[#All],2,0)</f>
        <v>Luxury</v>
      </c>
      <c r="AG2088" s="28">
        <f>VLOOKUP(Таблица1_113[[#This Row],[Марка]],Таблица13[#All],3,0)</f>
        <v>1916</v>
      </c>
      <c r="AH2088" s="28" t="str">
        <f>VLOOKUP(Таблица1_113[[#This Row],[Марка]],Таблица13[#All],5,0)</f>
        <v>Нет</v>
      </c>
      <c r="AI2088" s="30">
        <v>45261</v>
      </c>
      <c r="AJ2088" s="31">
        <v>15</v>
      </c>
      <c r="AM2088" s="12"/>
    </row>
    <row r="2089" spans="30:39" customFormat="1">
      <c r="AD2089" s="27" t="s">
        <v>38</v>
      </c>
      <c r="AE2089" s="28" t="str">
        <f>VLOOKUP(Таблица1_113[[#This Row],[Марка]],Таблица13[#All],4,0)</f>
        <v>Германия</v>
      </c>
      <c r="AF2089" s="28" t="str">
        <f>VLOOKUP(Таблица1_113[[#This Row],[Марка]],Таблица13[#All],2,0)</f>
        <v>Luxury</v>
      </c>
      <c r="AG2089" s="28">
        <f>VLOOKUP(Таблица1_113[[#This Row],[Марка]],Таблица13[#All],3,0)</f>
        <v>1932</v>
      </c>
      <c r="AH2089" s="28" t="str">
        <f>VLOOKUP(Таблица1_113[[#This Row],[Марка]],Таблица13[#All],5,0)</f>
        <v>Нет</v>
      </c>
      <c r="AI2089" s="30">
        <v>45261</v>
      </c>
      <c r="AJ2089" s="31">
        <v>139</v>
      </c>
      <c r="AM2089" s="12"/>
    </row>
    <row r="2090" spans="30:39" customFormat="1">
      <c r="AD2090" s="27" t="s">
        <v>21</v>
      </c>
      <c r="AE2090" s="28" t="str">
        <f>VLOOKUP(Таблица1_113[[#This Row],[Марка]],Таблица13[#All],4,0)</f>
        <v>Германия</v>
      </c>
      <c r="AF2090" s="28" t="str">
        <f>VLOOKUP(Таблица1_113[[#This Row],[Марка]],Таблица13[#All],2,0)</f>
        <v>Business</v>
      </c>
      <c r="AG2090" s="28">
        <f>VLOOKUP(Таблица1_113[[#This Row],[Марка]],Таблица13[#All],3,0)</f>
        <v>1937</v>
      </c>
      <c r="AH2090" s="28" t="str">
        <f>VLOOKUP(Таблица1_113[[#This Row],[Марка]],Таблица13[#All],5,0)</f>
        <v>Нет</v>
      </c>
      <c r="AI2090" s="30">
        <v>45292</v>
      </c>
      <c r="AJ2090" s="31">
        <v>31</v>
      </c>
      <c r="AM2090" s="12"/>
    </row>
    <row r="2091" spans="30:39" customFormat="1">
      <c r="AD2091" s="27" t="s">
        <v>2</v>
      </c>
      <c r="AE2091" s="28" t="str">
        <f>VLOOKUP(Таблица1_113[[#This Row],[Марка]],Таблица13[#All],4,0)</f>
        <v>Япония</v>
      </c>
      <c r="AF2091" s="28" t="str">
        <f>VLOOKUP(Таблица1_113[[#This Row],[Марка]],Таблица13[#All],2,0)</f>
        <v>Business</v>
      </c>
      <c r="AG2091" s="28">
        <f>VLOOKUP(Таблица1_113[[#This Row],[Марка]],Таблица13[#All],3,0)</f>
        <v>1937</v>
      </c>
      <c r="AH2091" s="28" t="str">
        <f>VLOOKUP(Таблица1_113[[#This Row],[Марка]],Таблица13[#All],5,0)</f>
        <v>Нет</v>
      </c>
      <c r="AI2091" s="30">
        <v>45292</v>
      </c>
      <c r="AJ2091" s="31">
        <v>537</v>
      </c>
      <c r="AM2091" s="12"/>
    </row>
    <row r="2092" spans="30:39" customFormat="1">
      <c r="AD2092" s="27" t="s">
        <v>20</v>
      </c>
      <c r="AE2092" s="28" t="str">
        <f>VLOOKUP(Таблица1_113[[#This Row],[Марка]],Таблица13[#All],4,0)</f>
        <v>Китай</v>
      </c>
      <c r="AF2092" s="28" t="str">
        <f>VLOOKUP(Таблица1_113[[#This Row],[Марка]],Таблица13[#All],2,0)</f>
        <v>Business</v>
      </c>
      <c r="AG2092" s="28">
        <f>VLOOKUP(Таблица1_113[[#This Row],[Марка]],Таблица13[#All],3,0)</f>
        <v>2021</v>
      </c>
      <c r="AH2092" s="28" t="str">
        <f>VLOOKUP(Таблица1_113[[#This Row],[Марка]],Таблица13[#All],5,0)</f>
        <v>Нет</v>
      </c>
      <c r="AI2092" s="30">
        <v>45292</v>
      </c>
      <c r="AJ2092" s="31">
        <v>131</v>
      </c>
      <c r="AM2092" s="12"/>
    </row>
    <row r="2093" spans="30:39" customFormat="1">
      <c r="AD2093" s="27" t="s">
        <v>125</v>
      </c>
      <c r="AE2093" s="28" t="str">
        <f>VLOOKUP(Таблица1_113[[#This Row],[Марка]],Таблица13[#All],4,0)</f>
        <v>Япония</v>
      </c>
      <c r="AF2093" s="28" t="str">
        <f>VLOOKUP(Таблица1_113[[#This Row],[Марка]],Таблица13[#All],2,0)</f>
        <v>Business</v>
      </c>
      <c r="AG2093" s="28">
        <f>VLOOKUP(Таблица1_113[[#This Row],[Марка]],Таблица13[#All],3,0)</f>
        <v>1953</v>
      </c>
      <c r="AH2093" s="28" t="str">
        <f>VLOOKUP(Таблица1_113[[#This Row],[Марка]],Таблица13[#All],5,0)</f>
        <v>Нет</v>
      </c>
      <c r="AI2093" s="30">
        <v>45292</v>
      </c>
      <c r="AJ2093" s="31">
        <v>120</v>
      </c>
      <c r="AM2093" s="12"/>
    </row>
    <row r="2094" spans="30:39" customFormat="1">
      <c r="AD2094" s="27" t="s">
        <v>23</v>
      </c>
      <c r="AE2094" s="28" t="str">
        <f>VLOOKUP(Таблица1_113[[#This Row],[Марка]],Таблица13[#All],4,0)</f>
        <v>Франция</v>
      </c>
      <c r="AF2094" s="28" t="str">
        <f>VLOOKUP(Таблица1_113[[#This Row],[Марка]],Таблица13[#All],2,0)</f>
        <v>Economy</v>
      </c>
      <c r="AG2094" s="28">
        <f>VLOOKUP(Таблица1_113[[#This Row],[Марка]],Таблица13[#All],3,0)</f>
        <v>1899</v>
      </c>
      <c r="AH2094" s="28" t="str">
        <f>VLOOKUP(Таблица1_113[[#This Row],[Марка]],Таблица13[#All],5,0)</f>
        <v>Крупноузловая</v>
      </c>
      <c r="AI2094" s="30">
        <v>45292</v>
      </c>
      <c r="AJ2094" s="31">
        <v>6</v>
      </c>
      <c r="AM2094" s="12"/>
    </row>
    <row r="2095" spans="30:39" customFormat="1">
      <c r="AD2095" s="27" t="s">
        <v>37</v>
      </c>
      <c r="AE2095" s="28" t="str">
        <f>VLOOKUP(Таблица1_113[[#This Row],[Марка]],Таблица13[#All],4,0)</f>
        <v>Германия</v>
      </c>
      <c r="AF2095" s="28" t="str">
        <f>VLOOKUP(Таблица1_113[[#This Row],[Марка]],Таблица13[#All],2,0)</f>
        <v>Luxury</v>
      </c>
      <c r="AG2095" s="28">
        <f>VLOOKUP(Таблица1_113[[#This Row],[Марка]],Таблица13[#All],3,0)</f>
        <v>1931</v>
      </c>
      <c r="AH2095" s="28" t="str">
        <f>VLOOKUP(Таблица1_113[[#This Row],[Марка]],Таблица13[#All],5,0)</f>
        <v>Нет</v>
      </c>
      <c r="AI2095" s="30">
        <v>45292</v>
      </c>
      <c r="AJ2095" s="31">
        <v>14</v>
      </c>
      <c r="AM2095" s="12"/>
    </row>
    <row r="2096" spans="30:39" customFormat="1">
      <c r="AD2096" s="27" t="s">
        <v>126</v>
      </c>
      <c r="AE2096" s="28" t="str">
        <f>VLOOKUP(Таблица1_113[[#This Row],[Марка]],Таблица13[#All],4,0)</f>
        <v>Россия</v>
      </c>
      <c r="AF2096" s="28" t="str">
        <f>VLOOKUP(Таблица1_113[[#This Row],[Марка]],Таблица13[#All],2,0)</f>
        <v>Economy</v>
      </c>
      <c r="AG2096" s="28">
        <f>VLOOKUP(Таблица1_113[[#This Row],[Марка]],Таблица13[#All],3,0)</f>
        <v>2022</v>
      </c>
      <c r="AH2096" s="28" t="str">
        <f>VLOOKUP(Таблица1_113[[#This Row],[Марка]],Таблица13[#All],5,0)</f>
        <v>Нет</v>
      </c>
      <c r="AI2096" s="30">
        <v>45292</v>
      </c>
      <c r="AJ2096" s="31">
        <v>91</v>
      </c>
      <c r="AM2096" s="12"/>
    </row>
    <row r="2097" spans="30:39" customFormat="1">
      <c r="AD2097" s="27" t="s">
        <v>22</v>
      </c>
      <c r="AE2097" s="28" t="str">
        <f>VLOOKUP(Таблица1_113[[#This Row],[Марка]],Таблица13[#All],4,0)</f>
        <v>Япония</v>
      </c>
      <c r="AF2097" s="28" t="str">
        <f>VLOOKUP(Таблица1_113[[#This Row],[Марка]],Таблица13[#All],2,0)</f>
        <v>Business</v>
      </c>
      <c r="AG2097" s="28">
        <f>VLOOKUP(Таблица1_113[[#This Row],[Марка]],Таблица13[#All],3,0)</f>
        <v>1933</v>
      </c>
      <c r="AH2097" s="28" t="str">
        <f>VLOOKUP(Таблица1_113[[#This Row],[Марка]],Таблица13[#All],5,0)</f>
        <v>Нет</v>
      </c>
      <c r="AI2097" s="30">
        <v>45292</v>
      </c>
      <c r="AJ2097" s="31">
        <v>3</v>
      </c>
      <c r="AM2097" s="12"/>
    </row>
    <row r="2098" spans="30:39" customFormat="1">
      <c r="AD2098" s="27" t="s">
        <v>9</v>
      </c>
      <c r="AE2098" s="28" t="str">
        <f>VLOOKUP(Таблица1_113[[#This Row],[Марка]],Таблица13[#All],4,0)</f>
        <v>Япония</v>
      </c>
      <c r="AF2098" s="28" t="str">
        <f>VLOOKUP(Таблица1_113[[#This Row],[Марка]],Таблица13[#All],2,0)</f>
        <v>Business</v>
      </c>
      <c r="AG2098" s="28">
        <f>VLOOKUP(Таблица1_113[[#This Row],[Марка]],Таблица13[#All],3,0)</f>
        <v>1870</v>
      </c>
      <c r="AH2098" s="28" t="str">
        <f>VLOOKUP(Таблица1_113[[#This Row],[Марка]],Таблица13[#All],5,0)</f>
        <v>Нет</v>
      </c>
      <c r="AI2098" s="30">
        <v>45292</v>
      </c>
      <c r="AJ2098" s="31">
        <v>40</v>
      </c>
      <c r="AM2098" s="12"/>
    </row>
    <row r="2099" spans="30:39" customFormat="1">
      <c r="AD2099" s="27" t="s">
        <v>40</v>
      </c>
      <c r="AE2099" s="28" t="str">
        <f>VLOOKUP(Таблица1_113[[#This Row],[Марка]],Таблица13[#All],4,0)</f>
        <v>Великобритания</v>
      </c>
      <c r="AF2099" s="28" t="str">
        <f>VLOOKUP(Таблица1_113[[#This Row],[Марка]],Таблица13[#All],2,0)</f>
        <v>Luxury</v>
      </c>
      <c r="AG2099" s="28">
        <f>VLOOKUP(Таблица1_113[[#This Row],[Марка]],Таблица13[#All],3,0)</f>
        <v>1959</v>
      </c>
      <c r="AH2099" s="28" t="str">
        <f>VLOOKUP(Таблица1_113[[#This Row],[Марка]],Таблица13[#All],5,0)</f>
        <v>Нет</v>
      </c>
      <c r="AI2099" s="30">
        <v>45292</v>
      </c>
      <c r="AJ2099" s="31">
        <v>6</v>
      </c>
      <c r="AM2099" s="12"/>
    </row>
    <row r="2100" spans="30:39" customFormat="1">
      <c r="AD2100" s="27" t="s">
        <v>128</v>
      </c>
      <c r="AE2100" s="28" t="str">
        <f>VLOOKUP(Таблица1_113[[#This Row],[Марка]],Таблица13[#All],4,0)</f>
        <v>Германия</v>
      </c>
      <c r="AF2100" s="28" t="str">
        <f>VLOOKUP(Таблица1_113[[#This Row],[Марка]],Таблица13[#All],2,0)</f>
        <v>Luxury</v>
      </c>
      <c r="AG2100" s="28">
        <f>VLOOKUP(Таблица1_113[[#This Row],[Марка]],Таблица13[#All],3,0)</f>
        <v>1926</v>
      </c>
      <c r="AH2100" s="28" t="str">
        <f>VLOOKUP(Таблица1_113[[#This Row],[Марка]],Таблица13[#All],5,0)</f>
        <v>Нет</v>
      </c>
      <c r="AI2100" s="30">
        <v>45292</v>
      </c>
      <c r="AJ2100" s="31">
        <v>47</v>
      </c>
      <c r="AM2100" s="12"/>
    </row>
    <row r="2101" spans="30:39" customFormat="1">
      <c r="AD2101" s="27" t="s">
        <v>5</v>
      </c>
      <c r="AE2101" s="28" t="str">
        <f>VLOOKUP(Таблица1_113[[#This Row],[Марка]],Таблица13[#All],4,0)</f>
        <v>Япония</v>
      </c>
      <c r="AF2101" s="28" t="str">
        <f>VLOOKUP(Таблица1_113[[#This Row],[Марка]],Таблица13[#All],2,0)</f>
        <v>Luxury</v>
      </c>
      <c r="AG2101" s="28">
        <f>VLOOKUP(Таблица1_113[[#This Row],[Марка]],Таблица13[#All],3,0)</f>
        <v>1989</v>
      </c>
      <c r="AH2101" s="28" t="str">
        <f>VLOOKUP(Таблица1_113[[#This Row],[Марка]],Таблица13[#All],5,0)</f>
        <v>Нет</v>
      </c>
      <c r="AI2101" s="30">
        <v>45292</v>
      </c>
      <c r="AJ2101" s="31">
        <v>197</v>
      </c>
      <c r="AM2101" s="12"/>
    </row>
    <row r="2102" spans="30:39" customFormat="1">
      <c r="AD2102" s="27" t="s">
        <v>35</v>
      </c>
      <c r="AE2102" s="28" t="str">
        <f>VLOOKUP(Таблица1_113[[#This Row],[Марка]],Таблица13[#All],4,0)</f>
        <v>Великобритания</v>
      </c>
      <c r="AF2102" s="28" t="str">
        <f>VLOOKUP(Таблица1_113[[#This Row],[Марка]],Таблица13[#All],2,0)</f>
        <v>Luxury</v>
      </c>
      <c r="AG2102" s="28">
        <f>VLOOKUP(Таблица1_113[[#This Row],[Марка]],Таблица13[#All],3,0)</f>
        <v>1948</v>
      </c>
      <c r="AH2102" s="28" t="str">
        <f>VLOOKUP(Таблица1_113[[#This Row],[Марка]],Таблица13[#All],5,0)</f>
        <v>Нет</v>
      </c>
      <c r="AI2102" s="30">
        <v>45292</v>
      </c>
      <c r="AJ2102" s="31">
        <v>22</v>
      </c>
      <c r="AM2102" s="12"/>
    </row>
    <row r="2103" spans="30:39" customFormat="1">
      <c r="AD2103" s="27" t="s">
        <v>19</v>
      </c>
      <c r="AE2103" s="28" t="str">
        <f>VLOOKUP(Таблица1_113[[#This Row],[Марка]],Таблица13[#All],4,0)</f>
        <v>Россия</v>
      </c>
      <c r="AF2103" s="28" t="str">
        <f>VLOOKUP(Таблица1_113[[#This Row],[Марка]],Таблица13[#All],2,0)</f>
        <v>Economy</v>
      </c>
      <c r="AG2103" s="28">
        <f>VLOOKUP(Таблица1_113[[#This Row],[Марка]],Таблица13[#All],3,0)</f>
        <v>1970</v>
      </c>
      <c r="AH2103" s="28" t="str">
        <f>VLOOKUP(Таблица1_113[[#This Row],[Марка]],Таблица13[#All],5,0)</f>
        <v>Крупноузловая</v>
      </c>
      <c r="AI2103" s="30">
        <v>45292</v>
      </c>
      <c r="AJ2103" s="31">
        <v>157</v>
      </c>
      <c r="AM2103" s="12"/>
    </row>
    <row r="2104" spans="30:39" customFormat="1">
      <c r="AD2104" s="27" t="s">
        <v>15</v>
      </c>
      <c r="AE2104" s="28" t="str">
        <f>VLOOKUP(Таблица1_113[[#This Row],[Марка]],Таблица13[#All],4,0)</f>
        <v>Корея</v>
      </c>
      <c r="AF2104" s="28" t="str">
        <f>VLOOKUP(Таблица1_113[[#This Row],[Марка]],Таблица13[#All],2,0)</f>
        <v>Economy</v>
      </c>
      <c r="AG2104" s="28">
        <f>VLOOKUP(Таблица1_113[[#This Row],[Марка]],Таблица13[#All],3,0)</f>
        <v>1944</v>
      </c>
      <c r="AH2104" s="28" t="str">
        <f>VLOOKUP(Таблица1_113[[#This Row],[Марка]],Таблица13[#All],5,0)</f>
        <v>Крупноузловая</v>
      </c>
      <c r="AI2104" s="30">
        <v>45292</v>
      </c>
      <c r="AJ2104" s="31">
        <v>1245</v>
      </c>
      <c r="AM2104" s="12"/>
    </row>
    <row r="2105" spans="30:39" customFormat="1">
      <c r="AD2105" s="27" t="s">
        <v>17</v>
      </c>
      <c r="AE2105" s="28" t="str">
        <f>VLOOKUP(Таблица1_113[[#This Row],[Марка]],Таблица13[#All],4,0)</f>
        <v>Китай</v>
      </c>
      <c r="AF2105" s="28" t="str">
        <f>VLOOKUP(Таблица1_113[[#This Row],[Марка]],Таблица13[#All],2,0)</f>
        <v>Economy</v>
      </c>
      <c r="AG2105" s="28">
        <f>VLOOKUP(Таблица1_113[[#This Row],[Марка]],Таблица13[#All],3,0)</f>
        <v>2014</v>
      </c>
      <c r="AH2105" s="28" t="str">
        <f>VLOOKUP(Таблица1_113[[#This Row],[Марка]],Таблица13[#All],5,0)</f>
        <v>Нет</v>
      </c>
      <c r="AI2105" s="30">
        <v>45292</v>
      </c>
      <c r="AJ2105" s="31">
        <v>606</v>
      </c>
      <c r="AM2105" s="12"/>
    </row>
    <row r="2106" spans="30:39" customFormat="1">
      <c r="AD2106" s="27" t="s">
        <v>134</v>
      </c>
      <c r="AE2106" s="28" t="str">
        <f>VLOOKUP(Таблица1_113[[#This Row],[Марка]],Таблица13[#All],4,0)</f>
        <v>Великобритания</v>
      </c>
      <c r="AF2106" s="28" t="str">
        <f>VLOOKUP(Таблица1_113[[#This Row],[Марка]],Таблица13[#All],2,0)</f>
        <v>Luxury</v>
      </c>
      <c r="AG2106" s="28">
        <f>VLOOKUP(Таблица1_113[[#This Row],[Марка]],Таблица13[#All],3,0)</f>
        <v>1922</v>
      </c>
      <c r="AH2106" s="28" t="str">
        <f>VLOOKUP(Таблица1_113[[#This Row],[Марка]],Таблица13[#All],5,0)</f>
        <v>Нет</v>
      </c>
      <c r="AI2106" s="30">
        <v>45292</v>
      </c>
      <c r="AJ2106" s="31">
        <v>8</v>
      </c>
      <c r="AM2106" s="12"/>
    </row>
    <row r="2107" spans="30:39" customFormat="1">
      <c r="AD2107" s="27" t="s">
        <v>4</v>
      </c>
      <c r="AE2107" s="28" t="str">
        <f>VLOOKUP(Таблица1_113[[#This Row],[Марка]],Таблица13[#All],4,0)</f>
        <v>Китай</v>
      </c>
      <c r="AF2107" s="28" t="str">
        <f>VLOOKUP(Таблица1_113[[#This Row],[Марка]],Таблица13[#All],2,0)</f>
        <v>Economy</v>
      </c>
      <c r="AG2107" s="28">
        <f>VLOOKUP(Таблица1_113[[#This Row],[Марка]],Таблица13[#All],3,0)</f>
        <v>1964</v>
      </c>
      <c r="AH2107" s="28" t="str">
        <f>VLOOKUP(Таблица1_113[[#This Row],[Марка]],Таблица13[#All],5,0)</f>
        <v>Крупноузловая</v>
      </c>
      <c r="AI2107" s="30">
        <v>45292</v>
      </c>
      <c r="AJ2107" s="31">
        <v>829</v>
      </c>
      <c r="AM2107" s="12"/>
    </row>
    <row r="2108" spans="30:39" customFormat="1">
      <c r="AD2108" s="27" t="s">
        <v>34</v>
      </c>
      <c r="AE2108" s="28" t="str">
        <f>VLOOKUP(Таблица1_113[[#This Row],[Марка]],Таблица13[#All],4,0)</f>
        <v>Япония</v>
      </c>
      <c r="AF2108" s="28" t="str">
        <f>VLOOKUP(Таблица1_113[[#This Row],[Марка]],Таблица13[#All],2,0)</f>
        <v>Luxury</v>
      </c>
      <c r="AG2108" s="28">
        <f>VLOOKUP(Таблица1_113[[#This Row],[Марка]],Таблица13[#All],3,0)</f>
        <v>1989</v>
      </c>
      <c r="AH2108" s="28" t="str">
        <f>VLOOKUP(Таблица1_113[[#This Row],[Марка]],Таблица13[#All],5,0)</f>
        <v>Нет</v>
      </c>
      <c r="AI2108" s="30">
        <v>45292</v>
      </c>
      <c r="AJ2108" s="31">
        <v>4</v>
      </c>
      <c r="AM2108" s="12"/>
    </row>
    <row r="2109" spans="30:39" customFormat="1">
      <c r="AD2109" s="27" t="s">
        <v>0</v>
      </c>
      <c r="AE2109" s="28" t="str">
        <f>VLOOKUP(Таблица1_113[[#This Row],[Марка]],Таблица13[#All],4,0)</f>
        <v>Корея</v>
      </c>
      <c r="AF2109" s="28" t="str">
        <f>VLOOKUP(Таблица1_113[[#This Row],[Марка]],Таблица13[#All],2,0)</f>
        <v>Economy</v>
      </c>
      <c r="AG2109" s="28">
        <f>VLOOKUP(Таблица1_113[[#This Row],[Марка]],Таблица13[#All],3,0)</f>
        <v>1967</v>
      </c>
      <c r="AH2109" s="28" t="str">
        <f>VLOOKUP(Таблица1_113[[#This Row],[Марка]],Таблица13[#All],5,0)</f>
        <v>Крупноузловая</v>
      </c>
      <c r="AI2109" s="30">
        <v>45292</v>
      </c>
      <c r="AJ2109" s="31">
        <v>3124</v>
      </c>
      <c r="AM2109" s="12"/>
    </row>
    <row r="2110" spans="30:39" customFormat="1">
      <c r="AD2110" s="27" t="s">
        <v>131</v>
      </c>
      <c r="AE2110" s="28" t="str">
        <f>VLOOKUP(Таблица1_113[[#This Row],[Марка]],Таблица13[#All],4,0)</f>
        <v>Китай</v>
      </c>
      <c r="AF2110" s="28" t="str">
        <f>VLOOKUP(Таблица1_113[[#This Row],[Марка]],Таблица13[#All],2,0)</f>
        <v>Luxury</v>
      </c>
      <c r="AG2110" s="28">
        <f>VLOOKUP(Таблица1_113[[#This Row],[Марка]],Таблица13[#All],3,0)</f>
        <v>1958</v>
      </c>
      <c r="AH2110" s="28" t="str">
        <f>VLOOKUP(Таблица1_113[[#This Row],[Марка]],Таблица13[#All],5,0)</f>
        <v>Нет</v>
      </c>
      <c r="AI2110" s="30">
        <v>45292</v>
      </c>
      <c r="AJ2110" s="31">
        <v>24</v>
      </c>
      <c r="AM2110" s="12"/>
    </row>
    <row r="2111" spans="30:39" customFormat="1">
      <c r="AD2111" s="27" t="s">
        <v>6</v>
      </c>
      <c r="AE2111" s="28" t="str">
        <f>VLOOKUP(Таблица1_113[[#This Row],[Марка]],Таблица13[#All],4,0)</f>
        <v>Китай</v>
      </c>
      <c r="AF2111" s="28" t="str">
        <f>VLOOKUP(Таблица1_113[[#This Row],[Марка]],Таблица13[#All],2,0)</f>
        <v>Economy</v>
      </c>
      <c r="AG2111" s="28">
        <f>VLOOKUP(Таблица1_113[[#This Row],[Марка]],Таблица13[#All],3,0)</f>
        <v>2013</v>
      </c>
      <c r="AH2111" s="28" t="str">
        <f>VLOOKUP(Таблица1_113[[#This Row],[Марка]],Таблица13[#All],5,0)</f>
        <v>Крупноузловая</v>
      </c>
      <c r="AI2111" s="30">
        <v>45292</v>
      </c>
      <c r="AJ2111" s="31">
        <v>542</v>
      </c>
      <c r="AM2111" s="12"/>
    </row>
    <row r="2112" spans="30:39" customFormat="1">
      <c r="AD2112" s="27" t="s">
        <v>132</v>
      </c>
      <c r="AE2112" s="28" t="str">
        <f>VLOOKUP(Таблица1_113[[#This Row],[Марка]],Таблица13[#All],4,0)</f>
        <v>Китай</v>
      </c>
      <c r="AF2112" s="28" t="str">
        <f>VLOOKUP(Таблица1_113[[#This Row],[Марка]],Таблица13[#All],2,0)</f>
        <v>Economy</v>
      </c>
      <c r="AG2112" s="28">
        <f>VLOOKUP(Таблица1_113[[#This Row],[Марка]],Таблица13[#All],3,0)</f>
        <v>1984</v>
      </c>
      <c r="AH2112" s="28" t="str">
        <f>VLOOKUP(Таблица1_113[[#This Row],[Марка]],Таблица13[#All],5,0)</f>
        <v>Нет</v>
      </c>
      <c r="AI2112" s="30">
        <v>45292</v>
      </c>
      <c r="AJ2112" s="31">
        <v>9</v>
      </c>
      <c r="AM2112" s="12"/>
    </row>
    <row r="2113" spans="30:39" customFormat="1">
      <c r="AD2113" s="27" t="s">
        <v>18</v>
      </c>
      <c r="AE2113" s="28" t="str">
        <f>VLOOKUP(Таблица1_113[[#This Row],[Марка]],Таблица13[#All],4,0)</f>
        <v>Китай</v>
      </c>
      <c r="AF2113" s="28" t="str">
        <f>VLOOKUP(Таблица1_113[[#This Row],[Марка]],Таблица13[#All],2,0)</f>
        <v>Economy</v>
      </c>
      <c r="AG2113" s="28">
        <f>VLOOKUP(Таблица1_113[[#This Row],[Марка]],Таблица13[#All],3,0)</f>
        <v>1986</v>
      </c>
      <c r="AH2113" s="28" t="str">
        <f>VLOOKUP(Таблица1_113[[#This Row],[Марка]],Таблица13[#All],5,0)</f>
        <v>Крупноузловая</v>
      </c>
      <c r="AI2113" s="30">
        <v>45292</v>
      </c>
      <c r="AJ2113" s="31">
        <v>323</v>
      </c>
      <c r="AM2113" s="12"/>
    </row>
    <row r="2114" spans="30:39" customFormat="1">
      <c r="AD2114" s="27" t="s">
        <v>127</v>
      </c>
      <c r="AE2114" s="28" t="str">
        <f>VLOOKUP(Таблица1_113[[#This Row],[Марка]],Таблица13[#All],4,0)</f>
        <v>Китай</v>
      </c>
      <c r="AF2114" s="28" t="str">
        <f>VLOOKUP(Таблица1_113[[#This Row],[Марка]],Таблица13[#All],2,0)</f>
        <v>Economy</v>
      </c>
      <c r="AG2114" s="28">
        <f>VLOOKUP(Таблица1_113[[#This Row],[Марка]],Таблица13[#All],3,0)</f>
        <v>1997</v>
      </c>
      <c r="AH2114" s="28" t="str">
        <f>VLOOKUP(Таблица1_113[[#This Row],[Марка]],Таблица13[#All],5,0)</f>
        <v>Нет</v>
      </c>
      <c r="AI2114" s="30">
        <v>45292</v>
      </c>
      <c r="AJ2114" s="31">
        <v>72</v>
      </c>
      <c r="AM2114" s="12"/>
    </row>
    <row r="2115" spans="30:39" customFormat="1">
      <c r="AD2115" s="27" t="s">
        <v>133</v>
      </c>
      <c r="AE2115" s="28" t="str">
        <f>VLOOKUP(Таблица1_113[[#This Row],[Марка]],Таблица13[#All],4,0)</f>
        <v>Китай</v>
      </c>
      <c r="AF2115" s="28" t="str">
        <f>VLOOKUP(Таблица1_113[[#This Row],[Марка]],Таблица13[#All],2,0)</f>
        <v>Economy</v>
      </c>
      <c r="AG2115" s="28">
        <f>VLOOKUP(Таблица1_113[[#This Row],[Марка]],Таблица13[#All],3,0)</f>
        <v>1996</v>
      </c>
      <c r="AH2115" s="28" t="str">
        <f>VLOOKUP(Таблица1_113[[#This Row],[Марка]],Таблица13[#All],5,0)</f>
        <v>Нет</v>
      </c>
      <c r="AI2115" s="30">
        <v>45292</v>
      </c>
      <c r="AJ2115" s="31">
        <v>5</v>
      </c>
      <c r="AM2115" s="12"/>
    </row>
    <row r="2116" spans="30:39" customFormat="1">
      <c r="AD2116" s="27" t="s">
        <v>129</v>
      </c>
      <c r="AE2116" s="28" t="str">
        <f>VLOOKUP(Таблица1_113[[#This Row],[Марка]],Таблица13[#All],4,0)</f>
        <v>Китай</v>
      </c>
      <c r="AF2116" s="28" t="str">
        <f>VLOOKUP(Таблица1_113[[#This Row],[Марка]],Таблица13[#All],2,0)</f>
        <v>Economy</v>
      </c>
      <c r="AG2116" s="28">
        <f>VLOOKUP(Таблица1_113[[#This Row],[Марка]],Таблица13[#All],3,0)</f>
        <v>1953</v>
      </c>
      <c r="AH2116" s="28" t="str">
        <f>VLOOKUP(Таблица1_113[[#This Row],[Марка]],Таблица13[#All],5,0)</f>
        <v>Нет</v>
      </c>
      <c r="AI2116" s="30">
        <v>45292</v>
      </c>
      <c r="AJ2116" s="31">
        <v>38</v>
      </c>
      <c r="AM2116" s="12"/>
    </row>
    <row r="2117" spans="30:39" customFormat="1">
      <c r="AD2117" s="27" t="s">
        <v>7</v>
      </c>
      <c r="AE2117" s="28" t="str">
        <f>VLOOKUP(Таблица1_113[[#This Row],[Марка]],Таблица13[#All],4,0)</f>
        <v>Китай</v>
      </c>
      <c r="AF2117" s="28" t="str">
        <f>VLOOKUP(Таблица1_113[[#This Row],[Марка]],Таблица13[#All],2,0)</f>
        <v>Business</v>
      </c>
      <c r="AG2117" s="28">
        <f>VLOOKUP(Таблица1_113[[#This Row],[Марка]],Таблица13[#All],3,0)</f>
        <v>2017</v>
      </c>
      <c r="AH2117" s="28" t="str">
        <f>VLOOKUP(Таблица1_113[[#This Row],[Марка]],Таблица13[#All],5,0)</f>
        <v>Нет</v>
      </c>
      <c r="AI2117" s="30">
        <v>45292</v>
      </c>
      <c r="AJ2117" s="31">
        <v>71</v>
      </c>
      <c r="AM2117" s="12"/>
    </row>
    <row r="2118" spans="30:39" customFormat="1">
      <c r="AD2118" s="27" t="s">
        <v>130</v>
      </c>
      <c r="AE2118" s="28" t="str">
        <f>VLOOKUP(Таблица1_113[[#This Row],[Марка]],Таблица13[#All],4,0)</f>
        <v>Китай</v>
      </c>
      <c r="AF2118" s="28" t="str">
        <f>VLOOKUP(Таблица1_113[[#This Row],[Марка]],Таблица13[#All],2,0)</f>
        <v>Economy</v>
      </c>
      <c r="AG2118" s="28">
        <f>VLOOKUP(Таблица1_113[[#This Row],[Марка]],Таблица13[#All],3,0)</f>
        <v>1969</v>
      </c>
      <c r="AH2118" s="28" t="str">
        <f>VLOOKUP(Таблица1_113[[#This Row],[Марка]],Таблица13[#All],5,0)</f>
        <v>Нет</v>
      </c>
      <c r="AI2118" s="30">
        <v>45292</v>
      </c>
      <c r="AJ2118" s="31">
        <v>63</v>
      </c>
      <c r="AM2118" s="12"/>
    </row>
    <row r="2119" spans="30:39" customFormat="1">
      <c r="AD2119" s="27" t="s">
        <v>1</v>
      </c>
      <c r="AE2119" s="28" t="str">
        <f>VLOOKUP(Таблица1_113[[#This Row],[Марка]],Таблица13[#All],4,0)</f>
        <v>США</v>
      </c>
      <c r="AF2119" s="28" t="str">
        <f>VLOOKUP(Таблица1_113[[#This Row],[Марка]],Таблица13[#All],2,0)</f>
        <v>Economy</v>
      </c>
      <c r="AG2119" s="28">
        <f>VLOOKUP(Таблица1_113[[#This Row],[Марка]],Таблица13[#All],3,0)</f>
        <v>1911</v>
      </c>
      <c r="AH2119" s="28" t="str">
        <f>VLOOKUP(Таблица1_113[[#This Row],[Марка]],Таблица13[#All],5,0)</f>
        <v>Крупноузловая</v>
      </c>
      <c r="AI2119" s="30">
        <v>45292</v>
      </c>
      <c r="AJ2119" s="31">
        <v>812</v>
      </c>
      <c r="AM2119" s="12"/>
    </row>
    <row r="2120" spans="30:39" customFormat="1">
      <c r="AD2120" s="27" t="s">
        <v>3</v>
      </c>
      <c r="AE2120" s="28" t="str">
        <f>VLOOKUP(Таблица1_113[[#This Row],[Марка]],Таблица13[#All],4,0)</f>
        <v>Китай</v>
      </c>
      <c r="AF2120" s="28" t="str">
        <f>VLOOKUP(Таблица1_113[[#This Row],[Марка]],Таблица13[#All],2,0)</f>
        <v>Economy</v>
      </c>
      <c r="AG2120" s="28">
        <f>VLOOKUP(Таблица1_113[[#This Row],[Марка]],Таблица13[#All],3,0)</f>
        <v>1997</v>
      </c>
      <c r="AH2120" s="28" t="str">
        <f>VLOOKUP(Таблица1_113[[#This Row],[Марка]],Таблица13[#All],5,0)</f>
        <v>Крупноузловая</v>
      </c>
      <c r="AI2120" s="30">
        <v>45292</v>
      </c>
      <c r="AJ2120" s="31">
        <v>1083</v>
      </c>
      <c r="AM2120" s="12"/>
    </row>
    <row r="2121" spans="30:39" customFormat="1">
      <c r="AD2121" s="27" t="s">
        <v>124</v>
      </c>
      <c r="AE2121" s="28" t="str">
        <f>VLOOKUP(Таблица1_113[[#This Row],[Марка]],Таблица13[#All],4,0)</f>
        <v>Китай</v>
      </c>
      <c r="AF2121" s="28" t="str">
        <f>VLOOKUP(Таблица1_113[[#This Row],[Марка]],Таблица13[#All],2,0)</f>
        <v>Economy</v>
      </c>
      <c r="AG2121" s="28">
        <f>VLOOKUP(Таблица1_113[[#This Row],[Марка]],Таблица13[#All],3,0)</f>
        <v>1862</v>
      </c>
      <c r="AH2121" s="28" t="str">
        <f>VLOOKUP(Таблица1_113[[#This Row],[Марка]],Таблица13[#All],5,0)</f>
        <v>Нет</v>
      </c>
      <c r="AI2121" s="30">
        <v>45292</v>
      </c>
      <c r="AJ2121" s="31">
        <v>443</v>
      </c>
      <c r="AM2121" s="12"/>
    </row>
    <row r="2122" spans="30:39" customFormat="1">
      <c r="AD2122" s="27" t="s">
        <v>36</v>
      </c>
      <c r="AE2122" s="28" t="str">
        <f>VLOOKUP(Таблица1_113[[#This Row],[Марка]],Таблица13[#All],4,0)</f>
        <v>США</v>
      </c>
      <c r="AF2122" s="28" t="str">
        <f>VLOOKUP(Таблица1_113[[#This Row],[Марка]],Таблица13[#All],2,0)</f>
        <v>Luxury</v>
      </c>
      <c r="AG2122" s="28">
        <f>VLOOKUP(Таблица1_113[[#This Row],[Марка]],Таблица13[#All],3,0)</f>
        <v>1902</v>
      </c>
      <c r="AH2122" s="28" t="str">
        <f>VLOOKUP(Таблица1_113[[#This Row],[Марка]],Таблица13[#All],5,0)</f>
        <v>Нет</v>
      </c>
      <c r="AI2122" s="30">
        <v>45292</v>
      </c>
      <c r="AJ2122" s="31">
        <v>18</v>
      </c>
      <c r="AM2122" s="12"/>
    </row>
    <row r="2123" spans="30:39" customFormat="1">
      <c r="AD2123" s="27" t="s">
        <v>8</v>
      </c>
      <c r="AE2123" s="28" t="str">
        <f>VLOOKUP(Таблица1_113[[#This Row],[Марка]],Таблица13[#All],4,0)</f>
        <v>Германия</v>
      </c>
      <c r="AF2123" s="28" t="str">
        <f>VLOOKUP(Таблица1_113[[#This Row],[Марка]],Таблица13[#All],2,0)</f>
        <v>Luxury</v>
      </c>
      <c r="AG2123" s="28">
        <f>VLOOKUP(Таблица1_113[[#This Row],[Марка]],Таблица13[#All],3,0)</f>
        <v>1916</v>
      </c>
      <c r="AH2123" s="28" t="str">
        <f>VLOOKUP(Таблица1_113[[#This Row],[Марка]],Таблица13[#All],5,0)</f>
        <v>Нет</v>
      </c>
      <c r="AI2123" s="30">
        <v>45292</v>
      </c>
      <c r="AJ2123" s="31">
        <v>18</v>
      </c>
      <c r="AM2123" s="12"/>
    </row>
    <row r="2124" spans="30:39" customFormat="1">
      <c r="AD2124" s="27" t="s">
        <v>38</v>
      </c>
      <c r="AE2124" s="28" t="str">
        <f>VLOOKUP(Таблица1_113[[#This Row],[Марка]],Таблица13[#All],4,0)</f>
        <v>Германия</v>
      </c>
      <c r="AF2124" s="28" t="str">
        <f>VLOOKUP(Таблица1_113[[#This Row],[Марка]],Таблица13[#All],2,0)</f>
        <v>Luxury</v>
      </c>
      <c r="AG2124" s="28">
        <f>VLOOKUP(Таблица1_113[[#This Row],[Марка]],Таблица13[#All],3,0)</f>
        <v>1932</v>
      </c>
      <c r="AH2124" s="28" t="str">
        <f>VLOOKUP(Таблица1_113[[#This Row],[Марка]],Таблица13[#All],5,0)</f>
        <v>Нет</v>
      </c>
      <c r="AI2124" s="30">
        <v>45292</v>
      </c>
      <c r="AJ2124" s="31">
        <v>45</v>
      </c>
      <c r="AM2124" s="12"/>
    </row>
    <row r="2125" spans="30:39" customFormat="1">
      <c r="AD2125" s="27" t="s">
        <v>21</v>
      </c>
      <c r="AE2125" s="28" t="str">
        <f>VLOOKUP(Таблица1_113[[#This Row],[Марка]],Таблица13[#All],4,0)</f>
        <v>Германия</v>
      </c>
      <c r="AF2125" s="28" t="str">
        <f>VLOOKUP(Таблица1_113[[#This Row],[Марка]],Таблица13[#All],2,0)</f>
        <v>Business</v>
      </c>
      <c r="AG2125" s="28">
        <f>VLOOKUP(Таблица1_113[[#This Row],[Марка]],Таблица13[#All],3,0)</f>
        <v>1937</v>
      </c>
      <c r="AH2125" s="28" t="str">
        <f>VLOOKUP(Таблица1_113[[#This Row],[Марка]],Таблица13[#All],5,0)</f>
        <v>Нет</v>
      </c>
      <c r="AI2125" s="30">
        <v>45323</v>
      </c>
      <c r="AJ2125" s="31">
        <v>23</v>
      </c>
      <c r="AM2125" s="12"/>
    </row>
    <row r="2126" spans="30:39" customFormat="1">
      <c r="AD2126" s="27" t="s">
        <v>2</v>
      </c>
      <c r="AE2126" s="28" t="str">
        <f>VLOOKUP(Таблица1_113[[#This Row],[Марка]],Таблица13[#All],4,0)</f>
        <v>Япония</v>
      </c>
      <c r="AF2126" s="28" t="str">
        <f>VLOOKUP(Таблица1_113[[#This Row],[Марка]],Таблица13[#All],2,0)</f>
        <v>Business</v>
      </c>
      <c r="AG2126" s="28">
        <f>VLOOKUP(Таблица1_113[[#This Row],[Марка]],Таблица13[#All],3,0)</f>
        <v>1937</v>
      </c>
      <c r="AH2126" s="28" t="str">
        <f>VLOOKUP(Таблица1_113[[#This Row],[Марка]],Таблица13[#All],5,0)</f>
        <v>Нет</v>
      </c>
      <c r="AI2126" s="30">
        <v>45323</v>
      </c>
      <c r="AJ2126" s="31">
        <v>479</v>
      </c>
      <c r="AM2126" s="12"/>
    </row>
    <row r="2127" spans="30:39" customFormat="1">
      <c r="AD2127" s="27" t="s">
        <v>20</v>
      </c>
      <c r="AE2127" s="28" t="str">
        <f>VLOOKUP(Таблица1_113[[#This Row],[Марка]],Таблица13[#All],4,0)</f>
        <v>Китай</v>
      </c>
      <c r="AF2127" s="28" t="str">
        <f>VLOOKUP(Таблица1_113[[#This Row],[Марка]],Таблица13[#All],2,0)</f>
        <v>Business</v>
      </c>
      <c r="AG2127" s="28">
        <f>VLOOKUP(Таблица1_113[[#This Row],[Марка]],Таблица13[#All],3,0)</f>
        <v>2021</v>
      </c>
      <c r="AH2127" s="28" t="str">
        <f>VLOOKUP(Таблица1_113[[#This Row],[Марка]],Таблица13[#All],5,0)</f>
        <v>Нет</v>
      </c>
      <c r="AI2127" s="30">
        <v>45323</v>
      </c>
      <c r="AJ2127" s="31">
        <v>143</v>
      </c>
      <c r="AM2127" s="12"/>
    </row>
    <row r="2128" spans="30:39" customFormat="1">
      <c r="AD2128" s="27" t="s">
        <v>125</v>
      </c>
      <c r="AE2128" s="28" t="str">
        <f>VLOOKUP(Таблица1_113[[#This Row],[Марка]],Таблица13[#All],4,0)</f>
        <v>Япония</v>
      </c>
      <c r="AF2128" s="28" t="str">
        <f>VLOOKUP(Таблица1_113[[#This Row],[Марка]],Таблица13[#All],2,0)</f>
        <v>Business</v>
      </c>
      <c r="AG2128" s="28">
        <f>VLOOKUP(Таблица1_113[[#This Row],[Марка]],Таблица13[#All],3,0)</f>
        <v>1953</v>
      </c>
      <c r="AH2128" s="28" t="str">
        <f>VLOOKUP(Таблица1_113[[#This Row],[Марка]],Таблица13[#All],5,0)</f>
        <v>Нет</v>
      </c>
      <c r="AI2128" s="30">
        <v>45323</v>
      </c>
      <c r="AJ2128" s="31">
        <v>212</v>
      </c>
      <c r="AM2128" s="12"/>
    </row>
    <row r="2129" spans="30:39" customFormat="1">
      <c r="AD2129" s="27" t="s">
        <v>23</v>
      </c>
      <c r="AE2129" s="28" t="str">
        <f>VLOOKUP(Таблица1_113[[#This Row],[Марка]],Таблица13[#All],4,0)</f>
        <v>Франция</v>
      </c>
      <c r="AF2129" s="28" t="str">
        <f>VLOOKUP(Таблица1_113[[#This Row],[Марка]],Таблица13[#All],2,0)</f>
        <v>Economy</v>
      </c>
      <c r="AG2129" s="28">
        <f>VLOOKUP(Таблица1_113[[#This Row],[Марка]],Таблица13[#All],3,0)</f>
        <v>1899</v>
      </c>
      <c r="AH2129" s="28" t="str">
        <f>VLOOKUP(Таблица1_113[[#This Row],[Марка]],Таблица13[#All],5,0)</f>
        <v>Крупноузловая</v>
      </c>
      <c r="AI2129" s="30">
        <v>45323</v>
      </c>
      <c r="AJ2129" s="31">
        <v>14</v>
      </c>
      <c r="AM2129" s="12"/>
    </row>
    <row r="2130" spans="30:39" customFormat="1">
      <c r="AD2130" s="27" t="s">
        <v>37</v>
      </c>
      <c r="AE2130" s="28" t="str">
        <f>VLOOKUP(Таблица1_113[[#This Row],[Марка]],Таблица13[#All],4,0)</f>
        <v>Германия</v>
      </c>
      <c r="AF2130" s="28" t="str">
        <f>VLOOKUP(Таблица1_113[[#This Row],[Марка]],Таблица13[#All],2,0)</f>
        <v>Luxury</v>
      </c>
      <c r="AG2130" s="28">
        <f>VLOOKUP(Таблица1_113[[#This Row],[Марка]],Таблица13[#All],3,0)</f>
        <v>1931</v>
      </c>
      <c r="AH2130" s="28" t="str">
        <f>VLOOKUP(Таблица1_113[[#This Row],[Марка]],Таблица13[#All],5,0)</f>
        <v>Нет</v>
      </c>
      <c r="AI2130" s="30">
        <v>45323</v>
      </c>
      <c r="AJ2130" s="31">
        <v>29</v>
      </c>
      <c r="AM2130" s="12"/>
    </row>
    <row r="2131" spans="30:39" customFormat="1">
      <c r="AD2131" s="27" t="s">
        <v>126</v>
      </c>
      <c r="AE2131" s="28" t="str">
        <f>VLOOKUP(Таблица1_113[[#This Row],[Марка]],Таблица13[#All],4,0)</f>
        <v>Россия</v>
      </c>
      <c r="AF2131" s="28" t="str">
        <f>VLOOKUP(Таблица1_113[[#This Row],[Марка]],Таблица13[#All],2,0)</f>
        <v>Economy</v>
      </c>
      <c r="AG2131" s="28">
        <f>VLOOKUP(Таблица1_113[[#This Row],[Марка]],Таблица13[#All],3,0)</f>
        <v>2022</v>
      </c>
      <c r="AH2131" s="28" t="str">
        <f>VLOOKUP(Таблица1_113[[#This Row],[Марка]],Таблица13[#All],5,0)</f>
        <v>Нет</v>
      </c>
      <c r="AI2131" s="30">
        <v>45323</v>
      </c>
      <c r="AJ2131" s="31">
        <v>158</v>
      </c>
      <c r="AM2131" s="12"/>
    </row>
    <row r="2132" spans="30:39" customFormat="1">
      <c r="AD2132" s="27" t="s">
        <v>22</v>
      </c>
      <c r="AE2132" s="28" t="str">
        <f>VLOOKUP(Таблица1_113[[#This Row],[Марка]],Таблица13[#All],4,0)</f>
        <v>Япония</v>
      </c>
      <c r="AF2132" s="28" t="str">
        <f>VLOOKUP(Таблица1_113[[#This Row],[Марка]],Таблица13[#All],2,0)</f>
        <v>Business</v>
      </c>
      <c r="AG2132" s="28">
        <f>VLOOKUP(Таблица1_113[[#This Row],[Марка]],Таблица13[#All],3,0)</f>
        <v>1933</v>
      </c>
      <c r="AH2132" s="28" t="str">
        <f>VLOOKUP(Таблица1_113[[#This Row],[Марка]],Таблица13[#All],5,0)</f>
        <v>Нет</v>
      </c>
      <c r="AI2132" s="30">
        <v>45323</v>
      </c>
      <c r="AJ2132" s="31">
        <v>0</v>
      </c>
      <c r="AM2132" s="12"/>
    </row>
    <row r="2133" spans="30:39" customFormat="1">
      <c r="AD2133" s="27" t="s">
        <v>9</v>
      </c>
      <c r="AE2133" s="28" t="str">
        <f>VLOOKUP(Таблица1_113[[#This Row],[Марка]],Таблица13[#All],4,0)</f>
        <v>Япония</v>
      </c>
      <c r="AF2133" s="28" t="str">
        <f>VLOOKUP(Таблица1_113[[#This Row],[Марка]],Таблица13[#All],2,0)</f>
        <v>Business</v>
      </c>
      <c r="AG2133" s="28">
        <f>VLOOKUP(Таблица1_113[[#This Row],[Марка]],Таблица13[#All],3,0)</f>
        <v>1870</v>
      </c>
      <c r="AH2133" s="28" t="str">
        <f>VLOOKUP(Таблица1_113[[#This Row],[Марка]],Таблица13[#All],5,0)</f>
        <v>Нет</v>
      </c>
      <c r="AI2133" s="30">
        <v>45323</v>
      </c>
      <c r="AJ2133" s="31">
        <v>92</v>
      </c>
      <c r="AM2133" s="12"/>
    </row>
    <row r="2134" spans="30:39" customFormat="1">
      <c r="AD2134" s="27" t="s">
        <v>40</v>
      </c>
      <c r="AE2134" s="28" t="str">
        <f>VLOOKUP(Таблица1_113[[#This Row],[Марка]],Таблица13[#All],4,0)</f>
        <v>Великобритания</v>
      </c>
      <c r="AF2134" s="28" t="str">
        <f>VLOOKUP(Таблица1_113[[#This Row],[Марка]],Таблица13[#All],2,0)</f>
        <v>Luxury</v>
      </c>
      <c r="AG2134" s="28">
        <f>VLOOKUP(Таблица1_113[[#This Row],[Марка]],Таблица13[#All],3,0)</f>
        <v>1959</v>
      </c>
      <c r="AH2134" s="28" t="str">
        <f>VLOOKUP(Таблица1_113[[#This Row],[Марка]],Таблица13[#All],5,0)</f>
        <v>Нет</v>
      </c>
      <c r="AI2134" s="30">
        <v>45323</v>
      </c>
      <c r="AJ2134" s="31">
        <v>2</v>
      </c>
      <c r="AM2134" s="12"/>
    </row>
    <row r="2135" spans="30:39" customFormat="1">
      <c r="AD2135" s="27" t="s">
        <v>128</v>
      </c>
      <c r="AE2135" s="28" t="str">
        <f>VLOOKUP(Таблица1_113[[#This Row],[Марка]],Таблица13[#All],4,0)</f>
        <v>Германия</v>
      </c>
      <c r="AF2135" s="28" t="str">
        <f>VLOOKUP(Таблица1_113[[#This Row],[Марка]],Таблица13[#All],2,0)</f>
        <v>Luxury</v>
      </c>
      <c r="AG2135" s="28">
        <f>VLOOKUP(Таблица1_113[[#This Row],[Марка]],Таблица13[#All],3,0)</f>
        <v>1926</v>
      </c>
      <c r="AH2135" s="28" t="str">
        <f>VLOOKUP(Таблица1_113[[#This Row],[Марка]],Таблица13[#All],5,0)</f>
        <v>Нет</v>
      </c>
      <c r="AI2135" s="30">
        <v>45323</v>
      </c>
      <c r="AJ2135" s="31">
        <v>59</v>
      </c>
      <c r="AM2135" s="12"/>
    </row>
    <row r="2136" spans="30:39" customFormat="1">
      <c r="AD2136" s="27" t="s">
        <v>5</v>
      </c>
      <c r="AE2136" s="28" t="str">
        <f>VLOOKUP(Таблица1_113[[#This Row],[Марка]],Таблица13[#All],4,0)</f>
        <v>Япония</v>
      </c>
      <c r="AF2136" s="28" t="str">
        <f>VLOOKUP(Таблица1_113[[#This Row],[Марка]],Таблица13[#All],2,0)</f>
        <v>Luxury</v>
      </c>
      <c r="AG2136" s="28">
        <f>VLOOKUP(Таблица1_113[[#This Row],[Марка]],Таблица13[#All],3,0)</f>
        <v>1989</v>
      </c>
      <c r="AH2136" s="28" t="str">
        <f>VLOOKUP(Таблица1_113[[#This Row],[Марка]],Таблица13[#All],5,0)</f>
        <v>Нет</v>
      </c>
      <c r="AI2136" s="30">
        <v>45323</v>
      </c>
      <c r="AJ2136" s="31">
        <v>260</v>
      </c>
      <c r="AM2136" s="12"/>
    </row>
    <row r="2137" spans="30:39" customFormat="1">
      <c r="AD2137" s="27" t="s">
        <v>35</v>
      </c>
      <c r="AE2137" s="28" t="str">
        <f>VLOOKUP(Таблица1_113[[#This Row],[Марка]],Таблица13[#All],4,0)</f>
        <v>Великобритания</v>
      </c>
      <c r="AF2137" s="28" t="str">
        <f>VLOOKUP(Таблица1_113[[#This Row],[Марка]],Таблица13[#All],2,0)</f>
        <v>Luxury</v>
      </c>
      <c r="AG2137" s="28">
        <f>VLOOKUP(Таблица1_113[[#This Row],[Марка]],Таблица13[#All],3,0)</f>
        <v>1948</v>
      </c>
      <c r="AH2137" s="28" t="str">
        <f>VLOOKUP(Таблица1_113[[#This Row],[Марка]],Таблица13[#All],5,0)</f>
        <v>Нет</v>
      </c>
      <c r="AI2137" s="30">
        <v>45323</v>
      </c>
      <c r="AJ2137" s="31">
        <v>11</v>
      </c>
      <c r="AM2137" s="12"/>
    </row>
    <row r="2138" spans="30:39" customFormat="1">
      <c r="AD2138" s="27" t="s">
        <v>19</v>
      </c>
      <c r="AE2138" s="28" t="str">
        <f>VLOOKUP(Таблица1_113[[#This Row],[Марка]],Таблица13[#All],4,0)</f>
        <v>Россия</v>
      </c>
      <c r="AF2138" s="28" t="str">
        <f>VLOOKUP(Таблица1_113[[#This Row],[Марка]],Таблица13[#All],2,0)</f>
        <v>Economy</v>
      </c>
      <c r="AG2138" s="28">
        <f>VLOOKUP(Таблица1_113[[#This Row],[Марка]],Таблица13[#All],3,0)</f>
        <v>1970</v>
      </c>
      <c r="AH2138" s="28" t="str">
        <f>VLOOKUP(Таблица1_113[[#This Row],[Марка]],Таблица13[#All],5,0)</f>
        <v>Крупноузловая</v>
      </c>
      <c r="AI2138" s="30">
        <v>45323</v>
      </c>
      <c r="AJ2138" s="31">
        <v>134</v>
      </c>
      <c r="AM2138" s="12"/>
    </row>
    <row r="2139" spans="30:39" customFormat="1">
      <c r="AD2139" s="27" t="s">
        <v>15</v>
      </c>
      <c r="AE2139" s="28" t="str">
        <f>VLOOKUP(Таблица1_113[[#This Row],[Марка]],Таблица13[#All],4,0)</f>
        <v>Корея</v>
      </c>
      <c r="AF2139" s="28" t="str">
        <f>VLOOKUP(Таблица1_113[[#This Row],[Марка]],Таблица13[#All],2,0)</f>
        <v>Economy</v>
      </c>
      <c r="AG2139" s="28">
        <f>VLOOKUP(Таблица1_113[[#This Row],[Марка]],Таблица13[#All],3,0)</f>
        <v>1944</v>
      </c>
      <c r="AH2139" s="28" t="str">
        <f>VLOOKUP(Таблица1_113[[#This Row],[Марка]],Таблица13[#All],5,0)</f>
        <v>Крупноузловая</v>
      </c>
      <c r="AI2139" s="30">
        <v>45323</v>
      </c>
      <c r="AJ2139" s="31">
        <v>1826</v>
      </c>
      <c r="AM2139" s="12"/>
    </row>
    <row r="2140" spans="30:39" customFormat="1">
      <c r="AD2140" s="27" t="s">
        <v>17</v>
      </c>
      <c r="AE2140" s="28" t="str">
        <f>VLOOKUP(Таблица1_113[[#This Row],[Марка]],Таблица13[#All],4,0)</f>
        <v>Китай</v>
      </c>
      <c r="AF2140" s="28" t="str">
        <f>VLOOKUP(Таблица1_113[[#This Row],[Марка]],Таблица13[#All],2,0)</f>
        <v>Economy</v>
      </c>
      <c r="AG2140" s="28">
        <f>VLOOKUP(Таблица1_113[[#This Row],[Марка]],Таблица13[#All],3,0)</f>
        <v>2014</v>
      </c>
      <c r="AH2140" s="28" t="str">
        <f>VLOOKUP(Таблица1_113[[#This Row],[Марка]],Таблица13[#All],5,0)</f>
        <v>Нет</v>
      </c>
      <c r="AI2140" s="30">
        <v>45323</v>
      </c>
      <c r="AJ2140" s="31">
        <v>541</v>
      </c>
      <c r="AM2140" s="12"/>
    </row>
    <row r="2141" spans="30:39" customFormat="1">
      <c r="AD2141" s="27" t="s">
        <v>134</v>
      </c>
      <c r="AE2141" s="28" t="str">
        <f>VLOOKUP(Таблица1_113[[#This Row],[Марка]],Таблица13[#All],4,0)</f>
        <v>Великобритания</v>
      </c>
      <c r="AF2141" s="28" t="str">
        <f>VLOOKUP(Таблица1_113[[#This Row],[Марка]],Таблица13[#All],2,0)</f>
        <v>Luxury</v>
      </c>
      <c r="AG2141" s="28">
        <f>VLOOKUP(Таблица1_113[[#This Row],[Марка]],Таблица13[#All],3,0)</f>
        <v>1922</v>
      </c>
      <c r="AH2141" s="28" t="str">
        <f>VLOOKUP(Таблица1_113[[#This Row],[Марка]],Таблица13[#All],5,0)</f>
        <v>Нет</v>
      </c>
      <c r="AI2141" s="30">
        <v>45323</v>
      </c>
      <c r="AJ2141" s="31">
        <v>2</v>
      </c>
      <c r="AM2141" s="12"/>
    </row>
    <row r="2142" spans="30:39" customFormat="1">
      <c r="AD2142" s="27" t="s">
        <v>4</v>
      </c>
      <c r="AE2142" s="28" t="str">
        <f>VLOOKUP(Таблица1_113[[#This Row],[Марка]],Таблица13[#All],4,0)</f>
        <v>Китай</v>
      </c>
      <c r="AF2142" s="28" t="str">
        <f>VLOOKUP(Таблица1_113[[#This Row],[Марка]],Таблица13[#All],2,0)</f>
        <v>Economy</v>
      </c>
      <c r="AG2142" s="28">
        <f>VLOOKUP(Таблица1_113[[#This Row],[Марка]],Таблица13[#All],3,0)</f>
        <v>1964</v>
      </c>
      <c r="AH2142" s="28" t="str">
        <f>VLOOKUP(Таблица1_113[[#This Row],[Марка]],Таблица13[#All],5,0)</f>
        <v>Крупноузловая</v>
      </c>
      <c r="AI2142" s="30">
        <v>45323</v>
      </c>
      <c r="AJ2142" s="31">
        <v>593</v>
      </c>
      <c r="AM2142" s="12"/>
    </row>
    <row r="2143" spans="30:39" customFormat="1">
      <c r="AD2143" s="27" t="s">
        <v>34</v>
      </c>
      <c r="AE2143" s="28" t="str">
        <f>VLOOKUP(Таблица1_113[[#This Row],[Марка]],Таблица13[#All],4,0)</f>
        <v>Япония</v>
      </c>
      <c r="AF2143" s="28" t="str">
        <f>VLOOKUP(Таблица1_113[[#This Row],[Марка]],Таблица13[#All],2,0)</f>
        <v>Luxury</v>
      </c>
      <c r="AG2143" s="28">
        <f>VLOOKUP(Таблица1_113[[#This Row],[Марка]],Таблица13[#All],3,0)</f>
        <v>1989</v>
      </c>
      <c r="AH2143" s="28" t="str">
        <f>VLOOKUP(Таблица1_113[[#This Row],[Марка]],Таблица13[#All],5,0)</f>
        <v>Нет</v>
      </c>
      <c r="AI2143" s="30">
        <v>45323</v>
      </c>
      <c r="AJ2143" s="31">
        <v>19</v>
      </c>
      <c r="AM2143" s="12"/>
    </row>
    <row r="2144" spans="30:39" customFormat="1">
      <c r="AD2144" s="27" t="s">
        <v>0</v>
      </c>
      <c r="AE2144" s="28" t="str">
        <f>VLOOKUP(Таблица1_113[[#This Row],[Марка]],Таблица13[#All],4,0)</f>
        <v>Корея</v>
      </c>
      <c r="AF2144" s="28" t="str">
        <f>VLOOKUP(Таблица1_113[[#This Row],[Марка]],Таблица13[#All],2,0)</f>
        <v>Economy</v>
      </c>
      <c r="AG2144" s="28">
        <f>VLOOKUP(Таблица1_113[[#This Row],[Марка]],Таблица13[#All],3,0)</f>
        <v>1967</v>
      </c>
      <c r="AH2144" s="28" t="str">
        <f>VLOOKUP(Таблица1_113[[#This Row],[Марка]],Таблица13[#All],5,0)</f>
        <v>Крупноузловая</v>
      </c>
      <c r="AI2144" s="30">
        <v>45323</v>
      </c>
      <c r="AJ2144" s="31">
        <v>2831</v>
      </c>
      <c r="AM2144" s="12"/>
    </row>
    <row r="2145" spans="30:39" customFormat="1">
      <c r="AD2145" s="27" t="s">
        <v>131</v>
      </c>
      <c r="AE2145" s="28" t="str">
        <f>VLOOKUP(Таблица1_113[[#This Row],[Марка]],Таблица13[#All],4,0)</f>
        <v>Китай</v>
      </c>
      <c r="AF2145" s="28" t="str">
        <f>VLOOKUP(Таблица1_113[[#This Row],[Марка]],Таблица13[#All],2,0)</f>
        <v>Luxury</v>
      </c>
      <c r="AG2145" s="28">
        <f>VLOOKUP(Таблица1_113[[#This Row],[Марка]],Таблица13[#All],3,0)</f>
        <v>1958</v>
      </c>
      <c r="AH2145" s="28" t="str">
        <f>VLOOKUP(Таблица1_113[[#This Row],[Марка]],Таблица13[#All],5,0)</f>
        <v>Нет</v>
      </c>
      <c r="AI2145" s="30">
        <v>45323</v>
      </c>
      <c r="AJ2145" s="31">
        <v>28</v>
      </c>
      <c r="AM2145" s="12"/>
    </row>
    <row r="2146" spans="30:39" customFormat="1">
      <c r="AD2146" s="27" t="s">
        <v>6</v>
      </c>
      <c r="AE2146" s="28" t="str">
        <f>VLOOKUP(Таблица1_113[[#This Row],[Марка]],Таблица13[#All],4,0)</f>
        <v>Китай</v>
      </c>
      <c r="AF2146" s="28" t="str">
        <f>VLOOKUP(Таблица1_113[[#This Row],[Марка]],Таблица13[#All],2,0)</f>
        <v>Economy</v>
      </c>
      <c r="AG2146" s="28">
        <f>VLOOKUP(Таблица1_113[[#This Row],[Марка]],Таблица13[#All],3,0)</f>
        <v>2013</v>
      </c>
      <c r="AH2146" s="28" t="str">
        <f>VLOOKUP(Таблица1_113[[#This Row],[Марка]],Таблица13[#All],5,0)</f>
        <v>Крупноузловая</v>
      </c>
      <c r="AI2146" s="30">
        <v>45323</v>
      </c>
      <c r="AJ2146" s="31">
        <v>658</v>
      </c>
      <c r="AM2146" s="12"/>
    </row>
    <row r="2147" spans="30:39" customFormat="1">
      <c r="AD2147" s="27" t="s">
        <v>132</v>
      </c>
      <c r="AE2147" s="28" t="str">
        <f>VLOOKUP(Таблица1_113[[#This Row],[Марка]],Таблица13[#All],4,0)</f>
        <v>Китай</v>
      </c>
      <c r="AF2147" s="28" t="str">
        <f>VLOOKUP(Таблица1_113[[#This Row],[Марка]],Таблица13[#All],2,0)</f>
        <v>Economy</v>
      </c>
      <c r="AG2147" s="28">
        <f>VLOOKUP(Таблица1_113[[#This Row],[Марка]],Таблица13[#All],3,0)</f>
        <v>1984</v>
      </c>
      <c r="AH2147" s="28" t="str">
        <f>VLOOKUP(Таблица1_113[[#This Row],[Марка]],Таблица13[#All],5,0)</f>
        <v>Нет</v>
      </c>
      <c r="AI2147" s="30">
        <v>45323</v>
      </c>
      <c r="AJ2147" s="31">
        <v>18</v>
      </c>
      <c r="AM2147" s="12"/>
    </row>
    <row r="2148" spans="30:39" customFormat="1">
      <c r="AD2148" s="27" t="s">
        <v>18</v>
      </c>
      <c r="AE2148" s="28" t="str">
        <f>VLOOKUP(Таблица1_113[[#This Row],[Марка]],Таблица13[#All],4,0)</f>
        <v>Китай</v>
      </c>
      <c r="AF2148" s="28" t="str">
        <f>VLOOKUP(Таблица1_113[[#This Row],[Марка]],Таблица13[#All],2,0)</f>
        <v>Economy</v>
      </c>
      <c r="AG2148" s="28">
        <f>VLOOKUP(Таблица1_113[[#This Row],[Марка]],Таблица13[#All],3,0)</f>
        <v>1986</v>
      </c>
      <c r="AH2148" s="28" t="str">
        <f>VLOOKUP(Таблица1_113[[#This Row],[Марка]],Таблица13[#All],5,0)</f>
        <v>Крупноузловая</v>
      </c>
      <c r="AI2148" s="30">
        <v>45323</v>
      </c>
      <c r="AJ2148" s="31">
        <v>434</v>
      </c>
      <c r="AM2148" s="12"/>
    </row>
    <row r="2149" spans="30:39" customFormat="1">
      <c r="AD2149" s="27" t="s">
        <v>127</v>
      </c>
      <c r="AE2149" s="28" t="str">
        <f>VLOOKUP(Таблица1_113[[#This Row],[Марка]],Таблица13[#All],4,0)</f>
        <v>Китай</v>
      </c>
      <c r="AF2149" s="28" t="str">
        <f>VLOOKUP(Таблица1_113[[#This Row],[Марка]],Таблица13[#All],2,0)</f>
        <v>Economy</v>
      </c>
      <c r="AG2149" s="28">
        <f>VLOOKUP(Таблица1_113[[#This Row],[Марка]],Таблица13[#All],3,0)</f>
        <v>1997</v>
      </c>
      <c r="AH2149" s="28" t="str">
        <f>VLOOKUP(Таблица1_113[[#This Row],[Марка]],Таблица13[#All],5,0)</f>
        <v>Нет</v>
      </c>
      <c r="AI2149" s="30">
        <v>45323</v>
      </c>
      <c r="AJ2149" s="31">
        <v>43</v>
      </c>
      <c r="AM2149" s="12"/>
    </row>
    <row r="2150" spans="30:39" customFormat="1">
      <c r="AD2150" s="27" t="s">
        <v>133</v>
      </c>
      <c r="AE2150" s="28" t="str">
        <f>VLOOKUP(Таблица1_113[[#This Row],[Марка]],Таблица13[#All],4,0)</f>
        <v>Китай</v>
      </c>
      <c r="AF2150" s="28" t="str">
        <f>VLOOKUP(Таблица1_113[[#This Row],[Марка]],Таблица13[#All],2,0)</f>
        <v>Economy</v>
      </c>
      <c r="AG2150" s="28">
        <f>VLOOKUP(Таблица1_113[[#This Row],[Марка]],Таблица13[#All],3,0)</f>
        <v>1996</v>
      </c>
      <c r="AH2150" s="28" t="str">
        <f>VLOOKUP(Таблица1_113[[#This Row],[Марка]],Таблица13[#All],5,0)</f>
        <v>Нет</v>
      </c>
      <c r="AI2150" s="30">
        <v>45323</v>
      </c>
      <c r="AJ2150" s="31">
        <v>5</v>
      </c>
      <c r="AM2150" s="12"/>
    </row>
    <row r="2151" spans="30:39" customFormat="1">
      <c r="AD2151" s="27" t="s">
        <v>129</v>
      </c>
      <c r="AE2151" s="28" t="str">
        <f>VLOOKUP(Таблица1_113[[#This Row],[Марка]],Таблица13[#All],4,0)</f>
        <v>Китай</v>
      </c>
      <c r="AF2151" s="28" t="str">
        <f>VLOOKUP(Таблица1_113[[#This Row],[Марка]],Таблица13[#All],2,0)</f>
        <v>Economy</v>
      </c>
      <c r="AG2151" s="28">
        <f>VLOOKUP(Таблица1_113[[#This Row],[Марка]],Таблица13[#All],3,0)</f>
        <v>1953</v>
      </c>
      <c r="AH2151" s="28" t="str">
        <f>VLOOKUP(Таблица1_113[[#This Row],[Марка]],Таблица13[#All],5,0)</f>
        <v>Нет</v>
      </c>
      <c r="AI2151" s="30">
        <v>45323</v>
      </c>
      <c r="AJ2151" s="31">
        <v>43</v>
      </c>
      <c r="AM2151" s="12"/>
    </row>
    <row r="2152" spans="30:39" customFormat="1">
      <c r="AD2152" s="27" t="s">
        <v>7</v>
      </c>
      <c r="AE2152" s="28" t="str">
        <f>VLOOKUP(Таблица1_113[[#This Row],[Марка]],Таблица13[#All],4,0)</f>
        <v>Китай</v>
      </c>
      <c r="AF2152" s="28" t="str">
        <f>VLOOKUP(Таблица1_113[[#This Row],[Марка]],Таблица13[#All],2,0)</f>
        <v>Business</v>
      </c>
      <c r="AG2152" s="28">
        <f>VLOOKUP(Таблица1_113[[#This Row],[Марка]],Таблица13[#All],3,0)</f>
        <v>2017</v>
      </c>
      <c r="AH2152" s="28" t="str">
        <f>VLOOKUP(Таблица1_113[[#This Row],[Марка]],Таблица13[#All],5,0)</f>
        <v>Нет</v>
      </c>
      <c r="AI2152" s="30">
        <v>45323</v>
      </c>
      <c r="AJ2152" s="31">
        <v>211</v>
      </c>
      <c r="AM2152" s="12"/>
    </row>
    <row r="2153" spans="30:39" customFormat="1">
      <c r="AD2153" s="27" t="s">
        <v>130</v>
      </c>
      <c r="AE2153" s="28" t="str">
        <f>VLOOKUP(Таблица1_113[[#This Row],[Марка]],Таблица13[#All],4,0)</f>
        <v>Китай</v>
      </c>
      <c r="AF2153" s="28" t="str">
        <f>VLOOKUP(Таблица1_113[[#This Row],[Марка]],Таблица13[#All],2,0)</f>
        <v>Economy</v>
      </c>
      <c r="AG2153" s="28">
        <f>VLOOKUP(Таблица1_113[[#This Row],[Марка]],Таблица13[#All],3,0)</f>
        <v>1969</v>
      </c>
      <c r="AH2153" s="28" t="str">
        <f>VLOOKUP(Таблица1_113[[#This Row],[Марка]],Таблица13[#All],5,0)</f>
        <v>Нет</v>
      </c>
      <c r="AI2153" s="30">
        <v>45323</v>
      </c>
      <c r="AJ2153" s="31">
        <v>9</v>
      </c>
      <c r="AM2153" s="12"/>
    </row>
    <row r="2154" spans="30:39" customFormat="1">
      <c r="AD2154" s="27" t="s">
        <v>1</v>
      </c>
      <c r="AE2154" s="28" t="str">
        <f>VLOOKUP(Таблица1_113[[#This Row],[Марка]],Таблица13[#All],4,0)</f>
        <v>США</v>
      </c>
      <c r="AF2154" s="28" t="str">
        <f>VLOOKUP(Таблица1_113[[#This Row],[Марка]],Таблица13[#All],2,0)</f>
        <v>Economy</v>
      </c>
      <c r="AG2154" s="28">
        <f>VLOOKUP(Таблица1_113[[#This Row],[Марка]],Таблица13[#All],3,0)</f>
        <v>1911</v>
      </c>
      <c r="AH2154" s="28" t="str">
        <f>VLOOKUP(Таблица1_113[[#This Row],[Марка]],Таблица13[#All],5,0)</f>
        <v>Крупноузловая</v>
      </c>
      <c r="AI2154" s="30">
        <v>45323</v>
      </c>
      <c r="AJ2154" s="31">
        <v>1162</v>
      </c>
      <c r="AM2154" s="12"/>
    </row>
    <row r="2155" spans="30:39" customFormat="1">
      <c r="AD2155" s="27" t="s">
        <v>3</v>
      </c>
      <c r="AE2155" s="28" t="str">
        <f>VLOOKUP(Таблица1_113[[#This Row],[Марка]],Таблица13[#All],4,0)</f>
        <v>Китай</v>
      </c>
      <c r="AF2155" s="28" t="str">
        <f>VLOOKUP(Таблица1_113[[#This Row],[Марка]],Таблица13[#All],2,0)</f>
        <v>Economy</v>
      </c>
      <c r="AG2155" s="28">
        <f>VLOOKUP(Таблица1_113[[#This Row],[Марка]],Таблица13[#All],3,0)</f>
        <v>1997</v>
      </c>
      <c r="AH2155" s="28" t="str">
        <f>VLOOKUP(Таблица1_113[[#This Row],[Марка]],Таблица13[#All],5,0)</f>
        <v>Крупноузловая</v>
      </c>
      <c r="AI2155" s="30">
        <v>45323</v>
      </c>
      <c r="AJ2155" s="31">
        <v>1040</v>
      </c>
      <c r="AM2155" s="12"/>
    </row>
    <row r="2156" spans="30:39" customFormat="1">
      <c r="AD2156" s="27" t="s">
        <v>124</v>
      </c>
      <c r="AE2156" s="28" t="str">
        <f>VLOOKUP(Таблица1_113[[#This Row],[Марка]],Таблица13[#All],4,0)</f>
        <v>Китай</v>
      </c>
      <c r="AF2156" s="28" t="str">
        <f>VLOOKUP(Таблица1_113[[#This Row],[Марка]],Таблица13[#All],2,0)</f>
        <v>Economy</v>
      </c>
      <c r="AG2156" s="28">
        <f>VLOOKUP(Таблица1_113[[#This Row],[Марка]],Таблица13[#All],3,0)</f>
        <v>1862</v>
      </c>
      <c r="AH2156" s="28" t="str">
        <f>VLOOKUP(Таблица1_113[[#This Row],[Марка]],Таблица13[#All],5,0)</f>
        <v>Нет</v>
      </c>
      <c r="AI2156" s="30">
        <v>45323</v>
      </c>
      <c r="AJ2156" s="31">
        <v>504</v>
      </c>
      <c r="AM2156" s="12"/>
    </row>
    <row r="2157" spans="30:39" customFormat="1">
      <c r="AD2157" s="27" t="s">
        <v>36</v>
      </c>
      <c r="AE2157" s="28" t="str">
        <f>VLOOKUP(Таблица1_113[[#This Row],[Марка]],Таблица13[#All],4,0)</f>
        <v>США</v>
      </c>
      <c r="AF2157" s="28" t="str">
        <f>VLOOKUP(Таблица1_113[[#This Row],[Марка]],Таблица13[#All],2,0)</f>
        <v>Luxury</v>
      </c>
      <c r="AG2157" s="28">
        <f>VLOOKUP(Таблица1_113[[#This Row],[Марка]],Таблица13[#All],3,0)</f>
        <v>1902</v>
      </c>
      <c r="AH2157" s="28" t="str">
        <f>VLOOKUP(Таблица1_113[[#This Row],[Марка]],Таблица13[#All],5,0)</f>
        <v>Нет</v>
      </c>
      <c r="AI2157" s="30">
        <v>45323</v>
      </c>
      <c r="AJ2157" s="31">
        <v>22</v>
      </c>
      <c r="AM2157" s="12"/>
    </row>
    <row r="2158" spans="30:39" customFormat="1">
      <c r="AD2158" s="27" t="s">
        <v>8</v>
      </c>
      <c r="AE2158" s="28" t="str">
        <f>VLOOKUP(Таблица1_113[[#This Row],[Марка]],Таблица13[#All],4,0)</f>
        <v>Германия</v>
      </c>
      <c r="AF2158" s="28" t="str">
        <f>VLOOKUP(Таблица1_113[[#This Row],[Марка]],Таблица13[#All],2,0)</f>
        <v>Luxury</v>
      </c>
      <c r="AG2158" s="28">
        <f>VLOOKUP(Таблица1_113[[#This Row],[Марка]],Таблица13[#All],3,0)</f>
        <v>1916</v>
      </c>
      <c r="AH2158" s="28" t="str">
        <f>VLOOKUP(Таблица1_113[[#This Row],[Марка]],Таблица13[#All],5,0)</f>
        <v>Нет</v>
      </c>
      <c r="AI2158" s="30">
        <v>45323</v>
      </c>
      <c r="AJ2158" s="31">
        <v>21</v>
      </c>
      <c r="AM2158" s="12"/>
    </row>
    <row r="2159" spans="30:39" customFormat="1">
      <c r="AD2159" s="32" t="s">
        <v>38</v>
      </c>
      <c r="AE2159" s="33" t="str">
        <f>VLOOKUP(Таблица1_113[[#This Row],[Марка]],Таблица13[#All],4,0)</f>
        <v>Германия</v>
      </c>
      <c r="AF2159" s="33" t="str">
        <f>VLOOKUP(Таблица1_113[[#This Row],[Марка]],Таблица13[#All],2,0)</f>
        <v>Luxury</v>
      </c>
      <c r="AG2159" s="33">
        <f>VLOOKUP(Таблица1_113[[#This Row],[Марка]],Таблица13[#All],3,0)</f>
        <v>1932</v>
      </c>
      <c r="AH2159" s="33" t="str">
        <f>VLOOKUP(Таблица1_113[[#This Row],[Марка]],Таблица13[#All],5,0)</f>
        <v>Нет</v>
      </c>
      <c r="AI2159" s="34">
        <v>45323</v>
      </c>
      <c r="AJ2159" s="35">
        <v>56</v>
      </c>
      <c r="AM2159" s="12"/>
    </row>
    <row r="2160" spans="30:39" customFormat="1">
      <c r="AI2160" s="12"/>
      <c r="AM2160" s="12"/>
    </row>
  </sheetData>
  <pageMargins left="0.75" right="0.75" top="1" bottom="1" header="0.5" footer="0.5"/>
  <tableParts count="2">
    <tablePart r:id="rId12"/>
    <tablePart r:id="rId1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8D2E5-5918-4921-B080-5646FBEB551E}">
  <dimension ref="B1:BJ451"/>
  <sheetViews>
    <sheetView showGridLines="0" zoomScaleNormal="100" workbookViewId="0">
      <selection activeCell="B153" sqref="B153"/>
    </sheetView>
  </sheetViews>
  <sheetFormatPr defaultColWidth="8.77734375" defaultRowHeight="14.4"/>
  <cols>
    <col min="2" max="2" width="45.109375" customWidth="1"/>
    <col min="3" max="7" width="9" customWidth="1"/>
    <col min="8" max="9" width="11.33203125" bestFit="1" customWidth="1"/>
    <col min="10" max="10" width="11.44140625" customWidth="1"/>
    <col min="11" max="11" width="29" customWidth="1"/>
    <col min="12" max="12" width="6.33203125" bestFit="1" customWidth="1"/>
    <col min="13" max="16" width="5.44140625" bestFit="1" customWidth="1"/>
    <col min="17" max="17" width="11.33203125" bestFit="1" customWidth="1"/>
    <col min="20" max="20" width="13.109375" customWidth="1"/>
    <col min="21" max="21" width="17.6640625" customWidth="1"/>
    <col min="22" max="22" width="13.109375" bestFit="1" customWidth="1"/>
    <col min="23" max="23" width="15" style="20" bestFit="1" customWidth="1"/>
    <col min="24" max="24" width="15.33203125" style="20" bestFit="1" customWidth="1"/>
    <col min="25" max="25" width="16" style="4" bestFit="1" customWidth="1"/>
    <col min="26" max="26" width="12.109375" customWidth="1"/>
    <col min="27" max="27" width="12.44140625" customWidth="1"/>
    <col min="28" max="28" width="10.33203125" bestFit="1" customWidth="1"/>
    <col min="29" max="29" width="12" bestFit="1" customWidth="1"/>
    <col min="30" max="30" width="10.77734375" customWidth="1"/>
    <col min="31" max="31" width="9.6640625" customWidth="1"/>
    <col min="32" max="32" width="9.44140625" customWidth="1"/>
    <col min="33" max="33" width="10.77734375" customWidth="1"/>
    <col min="34" max="34" width="12.6640625" style="22" customWidth="1"/>
    <col min="35" max="36" width="12.6640625" style="21" customWidth="1"/>
    <col min="37" max="37" width="14.77734375" style="21" customWidth="1"/>
    <col min="38" max="38" width="13.33203125" customWidth="1"/>
    <col min="39" max="39" width="16" customWidth="1"/>
    <col min="40" max="40" width="10.44140625" customWidth="1"/>
    <col min="42" max="42" width="22.77734375" style="18" bestFit="1" customWidth="1"/>
    <col min="43" max="43" width="13.109375" style="18" bestFit="1" customWidth="1"/>
    <col min="44" max="44" width="13.77734375" style="18" customWidth="1"/>
    <col min="45" max="45" width="9.77734375" style="18" customWidth="1"/>
    <col min="46" max="46" width="10" style="18" customWidth="1"/>
    <col min="47" max="47" width="16.44140625" style="18" customWidth="1"/>
    <col min="48" max="48" width="20.109375" style="18" customWidth="1"/>
    <col min="49" max="49" width="9.44140625" style="18" customWidth="1"/>
    <col min="50" max="50" width="15.109375" style="18" customWidth="1"/>
    <col min="51" max="52" width="11.44140625" style="20" customWidth="1"/>
    <col min="53" max="55" width="11.77734375" style="4" customWidth="1"/>
    <col min="56" max="56" width="12.33203125" customWidth="1"/>
    <col min="57" max="57" width="14.109375" style="2" customWidth="1"/>
    <col min="58" max="58" width="4.44140625" style="2" customWidth="1"/>
    <col min="59" max="60" width="4.44140625" customWidth="1"/>
    <col min="61" max="61" width="17.44140625" bestFit="1" customWidth="1"/>
    <col min="62" max="62" width="7.109375" customWidth="1"/>
  </cols>
  <sheetData>
    <row r="1" spans="2:62" s="6" customFormat="1" ht="57.6">
      <c r="T1" s="6" t="s">
        <v>14</v>
      </c>
      <c r="U1" s="6" t="s">
        <v>24</v>
      </c>
      <c r="V1" s="17" t="s">
        <v>189</v>
      </c>
      <c r="W1" s="19" t="s">
        <v>190</v>
      </c>
      <c r="X1" s="19" t="s">
        <v>187</v>
      </c>
      <c r="Y1" s="25" t="s">
        <v>188</v>
      </c>
      <c r="Z1" s="17" t="s">
        <v>191</v>
      </c>
      <c r="AA1" s="17" t="s">
        <v>192</v>
      </c>
      <c r="AB1" s="17" t="s">
        <v>193</v>
      </c>
      <c r="AC1" s="17" t="s">
        <v>194</v>
      </c>
      <c r="AD1" s="19" t="s">
        <v>195</v>
      </c>
      <c r="AE1" s="19" t="s">
        <v>196</v>
      </c>
      <c r="AF1" s="6" t="s">
        <v>149</v>
      </c>
      <c r="AG1" s="6" t="s">
        <v>150</v>
      </c>
      <c r="AH1" s="24" t="s">
        <v>268</v>
      </c>
      <c r="AI1" s="23" t="s">
        <v>269</v>
      </c>
      <c r="AJ1" s="23" t="s">
        <v>270</v>
      </c>
      <c r="AK1" s="23" t="s">
        <v>277</v>
      </c>
      <c r="AL1" s="6" t="s">
        <v>276</v>
      </c>
      <c r="AM1" s="6" t="s">
        <v>278</v>
      </c>
      <c r="AP1" s="17" t="s">
        <v>174</v>
      </c>
      <c r="AQ1" s="17" t="s">
        <v>189</v>
      </c>
      <c r="AR1" s="17" t="s">
        <v>190</v>
      </c>
      <c r="AS1" s="17" t="s">
        <v>187</v>
      </c>
      <c r="AT1" s="17" t="s">
        <v>188</v>
      </c>
      <c r="AU1" s="17" t="s">
        <v>191</v>
      </c>
      <c r="AV1" s="17" t="s">
        <v>192</v>
      </c>
      <c r="AW1" s="17" t="s">
        <v>193</v>
      </c>
      <c r="AX1" s="17" t="s">
        <v>194</v>
      </c>
      <c r="AY1" s="19" t="s">
        <v>195</v>
      </c>
      <c r="AZ1" s="19" t="s">
        <v>196</v>
      </c>
      <c r="BA1" s="25" t="s">
        <v>265</v>
      </c>
      <c r="BB1" s="25" t="s">
        <v>261</v>
      </c>
      <c r="BC1" s="25" t="s">
        <v>262</v>
      </c>
      <c r="BD1" s="37" t="s">
        <v>263</v>
      </c>
      <c r="BE1" s="38" t="s">
        <v>264</v>
      </c>
      <c r="BF1" s="38"/>
      <c r="BG1" s="37"/>
      <c r="BH1" s="37"/>
      <c r="BI1" s="57" t="s">
        <v>351</v>
      </c>
      <c r="BJ1" s="37"/>
    </row>
    <row r="2" spans="2:62">
      <c r="B2" s="13" t="s">
        <v>218</v>
      </c>
      <c r="C2" s="13" t="s">
        <v>151</v>
      </c>
      <c r="K2" s="13" t="s">
        <v>218</v>
      </c>
      <c r="L2" s="13" t="s">
        <v>151</v>
      </c>
      <c r="T2" t="s">
        <v>8</v>
      </c>
      <c r="U2" t="s">
        <v>43</v>
      </c>
      <c r="V2" t="str">
        <f>VLOOKUP(Таблица15[[#This Row],[Модель]],Таблица14[#All],2,0)</f>
        <v>Внедорожник</v>
      </c>
      <c r="W2" s="20">
        <f>VLOOKUP(Таблица15[[#This Row],[Модель]],Таблица14[#All],3,0)</f>
        <v>65000</v>
      </c>
      <c r="X2" s="20">
        <f>VLOOKUP(Таблица15[[#This Row],[Модель]],Таблица14[#All],4,0)</f>
        <v>55000</v>
      </c>
      <c r="Y2" s="4">
        <f>VLOOKUP(Таблица15[[#This Row],[Модель]],Таблица14[#All],5,0)</f>
        <v>85000</v>
      </c>
      <c r="Z2" t="str">
        <f>VLOOKUP(Таблица15[[#This Row],[Модель]],Таблица14[#All],6,0)</f>
        <v>АКПП</v>
      </c>
      <c r="AA2" t="str">
        <f>VLOOKUP(Таблица15[[#This Row],[Модель]],Таблица14[#All],7,0)</f>
        <v>Бензин, Дизель, Гибрид</v>
      </c>
      <c r="AB2" t="str">
        <f>VLOOKUP(Таблица15[[#This Row],[Модель]],Таблица14[#All],8,0)</f>
        <v>Люкс</v>
      </c>
      <c r="AC2" t="str">
        <f>VLOOKUP(Таблица15[[#This Row],[Модель]],Таблица14[#All],9,0)</f>
        <v>Средний</v>
      </c>
      <c r="AD2">
        <f>VLOOKUP(Таблица15[[#This Row],[Модель]],Таблица14[#All],10,0)</f>
        <v>335</v>
      </c>
      <c r="AE2">
        <f>VLOOKUP(Таблица15[[#This Row],[Модель]],Таблица14[#All],11,0)</f>
        <v>9.5</v>
      </c>
      <c r="AF2">
        <v>2023</v>
      </c>
      <c r="AG2">
        <v>0</v>
      </c>
      <c r="AH2" s="22">
        <f>VLOOKUP(Таблица15[[#This Row],[Модель]],Таблица14[#All],12,0)/1000000</f>
        <v>51.353291499999997</v>
      </c>
      <c r="AI2" s="21">
        <f>VLOOKUP(Таблица15[[#This Row],[Модель]],Таблица14[#All],13,0)/1000000</f>
        <v>45.528374999999997</v>
      </c>
      <c r="AJ2" s="21">
        <f>VLOOKUP(Таблица15[[#This Row],[Модель]],Таблица14[#All],14,0)/1000000</f>
        <v>57.178207999999998</v>
      </c>
      <c r="AK2" s="21">
        <f>Таблица15[[#This Row],[Средняя цена (USD)]]*Таблица15[[#This Row],[Кол-во проданных]]/1000000</f>
        <v>0</v>
      </c>
      <c r="AL2" s="39">
        <f>Таблица15[[#This Row],[Средняя цена млн. ₸]]/440*Таблица15[[#This Row],[Кол-во проданных]]</f>
        <v>0</v>
      </c>
      <c r="AM2" s="39">
        <f>Таблица15[[#This Row],[Средняя цена млн. ₸]]*Таблица15[[#This Row],[Кол-во проданных]]/1000</f>
        <v>0</v>
      </c>
      <c r="AP2" s="18" t="s">
        <v>112</v>
      </c>
      <c r="AQ2" s="18" t="s">
        <v>202</v>
      </c>
      <c r="AR2" s="4">
        <v>14000</v>
      </c>
      <c r="AS2" s="4">
        <v>12000</v>
      </c>
      <c r="AT2" s="4">
        <v>16000</v>
      </c>
      <c r="AU2" s="18" t="s">
        <v>205</v>
      </c>
      <c r="AV2" s="18" t="s">
        <v>208</v>
      </c>
      <c r="AW2" s="18" t="s">
        <v>213</v>
      </c>
      <c r="AX2" s="18" t="s">
        <v>217</v>
      </c>
      <c r="AY2" s="20">
        <v>135</v>
      </c>
      <c r="AZ2" s="20">
        <v>14</v>
      </c>
      <c r="BA2" s="4">
        <f>AVERAGE(Таблица14[[#This Row],[Мин. ₸]],Таблица14[[#This Row],[Макс. ₸]])</f>
        <v>9770000</v>
      </c>
      <c r="BB2" s="4">
        <v>9770000</v>
      </c>
      <c r="BC2" s="4">
        <v>9770000</v>
      </c>
      <c r="BD2" s="4">
        <f>Таблица14[[#This Row],[Средняя цена ₸]]/$BI$2</f>
        <v>22204.545454545456</v>
      </c>
      <c r="BE2" s="2">
        <f>Таблица14[[#This Row],[Перевод в USD из ₸]]/Таблица14[[#This Row],[Средняя цена (USD)]]-1</f>
        <v>0.58603896103896114</v>
      </c>
      <c r="BG2" s="4"/>
      <c r="BH2" s="4"/>
      <c r="BI2" s="45">
        <v>440</v>
      </c>
      <c r="BJ2" s="4"/>
    </row>
    <row r="3" spans="2:62">
      <c r="B3" s="13" t="s">
        <v>161</v>
      </c>
      <c r="C3">
        <v>2023</v>
      </c>
      <c r="D3">
        <v>2022</v>
      </c>
      <c r="E3">
        <v>2021</v>
      </c>
      <c r="F3">
        <v>2020</v>
      </c>
      <c r="G3">
        <v>2019</v>
      </c>
      <c r="H3" t="s">
        <v>155</v>
      </c>
      <c r="K3" s="13" t="s">
        <v>161</v>
      </c>
      <c r="L3">
        <v>2023</v>
      </c>
      <c r="M3">
        <v>2022</v>
      </c>
      <c r="N3">
        <v>2021</v>
      </c>
      <c r="O3">
        <v>2020</v>
      </c>
      <c r="P3">
        <v>2019</v>
      </c>
      <c r="Q3" t="s">
        <v>155</v>
      </c>
      <c r="T3" t="s">
        <v>8</v>
      </c>
      <c r="U3" t="s">
        <v>43</v>
      </c>
      <c r="V3" t="str">
        <f>VLOOKUP(Таблица15[[#This Row],[Модель]],Таблица14[#All],2,0)</f>
        <v>Внедорожник</v>
      </c>
      <c r="W3" s="20">
        <f>VLOOKUP(Таблица15[[#This Row],[Модель]],Таблица14[#All],3,0)</f>
        <v>65000</v>
      </c>
      <c r="X3" s="20">
        <f>VLOOKUP(Таблица15[[#This Row],[Модель]],Таблица14[#All],4,0)</f>
        <v>55000</v>
      </c>
      <c r="Y3" s="4">
        <f>VLOOKUP(Таблица15[[#This Row],[Модель]],Таблица14[#All],5,0)</f>
        <v>85000</v>
      </c>
      <c r="Z3" t="str">
        <f>VLOOKUP(Таблица15[[#This Row],[Модель]],Таблица14[#All],6,0)</f>
        <v>АКПП</v>
      </c>
      <c r="AA3" t="str">
        <f>VLOOKUP(Таблица15[[#This Row],[Модель]],Таблица14[#All],7,0)</f>
        <v>Бензин, Дизель, Гибрид</v>
      </c>
      <c r="AB3" t="str">
        <f>VLOOKUP(Таблица15[[#This Row],[Модель]],Таблица14[#All],8,0)</f>
        <v>Люкс</v>
      </c>
      <c r="AC3" t="str">
        <f>VLOOKUP(Таблица15[[#This Row],[Модель]],Таблица14[#All],9,0)</f>
        <v>Средний</v>
      </c>
      <c r="AD3">
        <f>VLOOKUP(Таблица15[[#This Row],[Модель]],Таблица14[#All],10,0)</f>
        <v>335</v>
      </c>
      <c r="AE3">
        <f>VLOOKUP(Таблица15[[#This Row],[Модель]],Таблица14[#All],11,0)</f>
        <v>9.5</v>
      </c>
      <c r="AF3">
        <v>2022</v>
      </c>
      <c r="AG3">
        <v>0</v>
      </c>
      <c r="AH3" s="22">
        <f>VLOOKUP(Таблица15[[#This Row],[Модель]],Таблица14[#All],12,0)/1000000</f>
        <v>51.353291499999997</v>
      </c>
      <c r="AI3" s="21">
        <f>VLOOKUP(Таблица15[[#This Row],[Модель]],Таблица14[#All],13,0)/1000000</f>
        <v>45.528374999999997</v>
      </c>
      <c r="AJ3" s="21">
        <f>VLOOKUP(Таблица15[[#This Row],[Модель]],Таблица14[#All],14,0)/1000000</f>
        <v>57.178207999999998</v>
      </c>
      <c r="AK3" s="21">
        <f>Таблица15[[#This Row],[Средняя цена (USD)]]*Таблица15[[#This Row],[Кол-во проданных]]/1000000</f>
        <v>0</v>
      </c>
      <c r="AL3" s="39">
        <f>Таблица15[[#This Row],[Средняя цена млн. ₸]]/440*Таблица15[[#This Row],[Кол-во проданных]]</f>
        <v>0</v>
      </c>
      <c r="AM3" s="39">
        <f>Таблица15[[#This Row],[Средняя цена млн. ₸]]*Таблица15[[#This Row],[Кол-во проданных]]/1000</f>
        <v>0</v>
      </c>
      <c r="AP3" s="18" t="s">
        <v>122</v>
      </c>
      <c r="AQ3" s="18" t="s">
        <v>202</v>
      </c>
      <c r="AR3" s="4">
        <v>12000</v>
      </c>
      <c r="AS3" s="4">
        <v>10000</v>
      </c>
      <c r="AT3" s="4">
        <v>14000</v>
      </c>
      <c r="AU3" s="18" t="s">
        <v>205</v>
      </c>
      <c r="AV3" s="18" t="s">
        <v>208</v>
      </c>
      <c r="AW3" s="18" t="s">
        <v>213</v>
      </c>
      <c r="AX3" s="18" t="s">
        <v>217</v>
      </c>
      <c r="AY3" s="20">
        <v>120</v>
      </c>
      <c r="AZ3" s="20">
        <v>15</v>
      </c>
      <c r="BA3" s="4">
        <f>AVERAGE(Таблица14[[#This Row],[Мин. ₸]],Таблица14[[#This Row],[Макс. ₸]])</f>
        <v>10000000</v>
      </c>
      <c r="BB3" s="4">
        <v>10000000</v>
      </c>
      <c r="BC3" s="4">
        <v>10000000</v>
      </c>
      <c r="BD3" s="4">
        <f>Таблица14[[#This Row],[Средняя цена ₸]]/$BI$2</f>
        <v>22727.272727272728</v>
      </c>
      <c r="BE3" s="2">
        <f>Таблица14[[#This Row],[Перевод в USD из ₸]]/Таблица14[[#This Row],[Средняя цена (USD)]]-1</f>
        <v>0.89393939393939403</v>
      </c>
      <c r="BG3" s="4"/>
      <c r="BH3" s="4"/>
      <c r="BI3" s="45" t="s">
        <v>266</v>
      </c>
      <c r="BJ3" s="4"/>
    </row>
    <row r="4" spans="2:62">
      <c r="B4" s="14" t="s">
        <v>212</v>
      </c>
      <c r="C4" s="16">
        <v>0.54454362395936651</v>
      </c>
      <c r="D4" s="16">
        <v>0.47536198706575861</v>
      </c>
      <c r="E4" s="16">
        <v>0.39586383424310884</v>
      </c>
      <c r="F4" s="16">
        <v>0.36380032365257997</v>
      </c>
      <c r="G4" s="16">
        <v>0.46252209329132404</v>
      </c>
      <c r="H4" s="16">
        <v>0.46276217527163993</v>
      </c>
      <c r="K4" s="14" t="s">
        <v>215</v>
      </c>
      <c r="L4" s="16">
        <v>2.8858233402458449E-2</v>
      </c>
      <c r="M4" s="16">
        <v>4.4716610389362636E-2</v>
      </c>
      <c r="N4" s="16">
        <v>1.2352262480729889E-2</v>
      </c>
      <c r="O4" s="16">
        <v>2.5212783041593061E-2</v>
      </c>
      <c r="P4" s="16">
        <v>2.9724122031814338E-2</v>
      </c>
      <c r="Q4" s="16">
        <v>2.8322808527974971E-2</v>
      </c>
      <c r="T4" t="s">
        <v>8</v>
      </c>
      <c r="U4" t="s">
        <v>43</v>
      </c>
      <c r="V4" t="str">
        <f>VLOOKUP(Таблица15[[#This Row],[Модель]],Таблица14[#All],2,0)</f>
        <v>Внедорожник</v>
      </c>
      <c r="W4" s="20">
        <f>VLOOKUP(Таблица15[[#This Row],[Модель]],Таблица14[#All],3,0)</f>
        <v>65000</v>
      </c>
      <c r="X4" s="20">
        <f>VLOOKUP(Таблица15[[#This Row],[Модель]],Таблица14[#All],4,0)</f>
        <v>55000</v>
      </c>
      <c r="Y4" s="4">
        <f>VLOOKUP(Таблица15[[#This Row],[Модель]],Таблица14[#All],5,0)</f>
        <v>85000</v>
      </c>
      <c r="Z4" t="str">
        <f>VLOOKUP(Таблица15[[#This Row],[Модель]],Таблица14[#All],6,0)</f>
        <v>АКПП</v>
      </c>
      <c r="AA4" t="str">
        <f>VLOOKUP(Таблица15[[#This Row],[Модель]],Таблица14[#All],7,0)</f>
        <v>Бензин, Дизель, Гибрид</v>
      </c>
      <c r="AB4" t="str">
        <f>VLOOKUP(Таблица15[[#This Row],[Модель]],Таблица14[#All],8,0)</f>
        <v>Люкс</v>
      </c>
      <c r="AC4" t="str">
        <f>VLOOKUP(Таблица15[[#This Row],[Модель]],Таблица14[#All],9,0)</f>
        <v>Средний</v>
      </c>
      <c r="AD4">
        <f>VLOOKUP(Таблица15[[#This Row],[Модель]],Таблица14[#All],10,0)</f>
        <v>335</v>
      </c>
      <c r="AE4">
        <f>VLOOKUP(Таблица15[[#This Row],[Модель]],Таблица14[#All],11,0)</f>
        <v>9.5</v>
      </c>
      <c r="AF4">
        <v>2021</v>
      </c>
      <c r="AG4">
        <v>346</v>
      </c>
      <c r="AH4" s="22">
        <f>VLOOKUP(Таблица15[[#This Row],[Модель]],Таблица14[#All],12,0)/1000000</f>
        <v>51.353291499999997</v>
      </c>
      <c r="AI4" s="21">
        <f>VLOOKUP(Таблица15[[#This Row],[Модель]],Таблица14[#All],13,0)/1000000</f>
        <v>45.528374999999997</v>
      </c>
      <c r="AJ4" s="21">
        <f>VLOOKUP(Таблица15[[#This Row],[Модель]],Таблица14[#All],14,0)/1000000</f>
        <v>57.178207999999998</v>
      </c>
      <c r="AK4" s="21">
        <f>Таблица15[[#This Row],[Средняя цена (USD)]]*Таблица15[[#This Row],[Кол-во проданных]]/1000000</f>
        <v>22.49</v>
      </c>
      <c r="AL4" s="39">
        <f>Таблица15[[#This Row],[Средняя цена млн. ₸]]/440*Таблица15[[#This Row],[Кол-во проданных]]</f>
        <v>40.382361043181817</v>
      </c>
      <c r="AM4" s="39">
        <f>Таблица15[[#This Row],[Средняя цена млн. ₸]]*Таблица15[[#This Row],[Кол-во проданных]]/1000</f>
        <v>17.768238858999997</v>
      </c>
      <c r="AP4" s="18" t="s">
        <v>95</v>
      </c>
      <c r="AQ4" s="18" t="s">
        <v>202</v>
      </c>
      <c r="AR4" s="4">
        <v>10000</v>
      </c>
      <c r="AS4" s="4">
        <v>8000</v>
      </c>
      <c r="AT4" s="4">
        <v>12000</v>
      </c>
      <c r="AU4" s="18" t="s">
        <v>205</v>
      </c>
      <c r="AV4" s="18" t="s">
        <v>208</v>
      </c>
      <c r="AW4" s="18" t="s">
        <v>213</v>
      </c>
      <c r="AX4" s="18" t="s">
        <v>217</v>
      </c>
      <c r="AY4" s="20">
        <v>105</v>
      </c>
      <c r="AZ4" s="20">
        <v>16</v>
      </c>
      <c r="BA4" s="4">
        <f>AVERAGE(Таблица14[[#This Row],[Мин. ₸]],Таблица14[[#This Row],[Макс. ₸]])</f>
        <v>12000000</v>
      </c>
      <c r="BB4" s="4">
        <v>12000000</v>
      </c>
      <c r="BC4" s="4">
        <v>12000000</v>
      </c>
      <c r="BD4" s="4">
        <f>Таблица14[[#This Row],[Средняя цена ₸]]/$BI$2</f>
        <v>27272.727272727272</v>
      </c>
      <c r="BE4" s="2">
        <f>Таблица14[[#This Row],[Перевод в USD из ₸]]/Таблица14[[#This Row],[Средняя цена (USD)]]-1</f>
        <v>1.7272727272727271</v>
      </c>
      <c r="BG4" s="4"/>
      <c r="BH4" s="4"/>
      <c r="BI4" s="58">
        <f>AVERAGE(Таблица14[Разница с  глобальными ценами])</f>
        <v>0.5609907120277734</v>
      </c>
      <c r="BJ4" s="3"/>
    </row>
    <row r="5" spans="2:62">
      <c r="B5" s="14" t="s">
        <v>214</v>
      </c>
      <c r="C5" s="16">
        <v>4.6331860667808734E-2</v>
      </c>
      <c r="D5" s="16">
        <v>7.7109445048551092E-2</v>
      </c>
      <c r="E5" s="16">
        <v>4.731478878018984E-2</v>
      </c>
      <c r="F5" s="16">
        <v>3.9394201430494991E-2</v>
      </c>
      <c r="G5" s="16">
        <v>8.2425267040651659E-2</v>
      </c>
      <c r="H5" s="16">
        <v>5.6161335080848182E-2</v>
      </c>
      <c r="K5" s="14" t="s">
        <v>216</v>
      </c>
      <c r="L5" s="16">
        <v>0.37453791362365885</v>
      </c>
      <c r="M5" s="16">
        <v>0.40819168622064517</v>
      </c>
      <c r="N5" s="16">
        <v>0.49463345582175511</v>
      </c>
      <c r="O5" s="16">
        <v>0.49322429617917013</v>
      </c>
      <c r="P5" s="16">
        <v>0.32638131099669559</v>
      </c>
      <c r="Q5" s="16">
        <v>0.41756444601601206</v>
      </c>
      <c r="T5" t="s">
        <v>8</v>
      </c>
      <c r="U5" t="s">
        <v>43</v>
      </c>
      <c r="V5" t="str">
        <f>VLOOKUP(Таблица15[[#This Row],[Модель]],Таблица14[#All],2,0)</f>
        <v>Внедорожник</v>
      </c>
      <c r="W5" s="20">
        <f>VLOOKUP(Таблица15[[#This Row],[Модель]],Таблица14[#All],3,0)</f>
        <v>65000</v>
      </c>
      <c r="X5" s="20">
        <f>VLOOKUP(Таблица15[[#This Row],[Модель]],Таблица14[#All],4,0)</f>
        <v>55000</v>
      </c>
      <c r="Y5" s="4">
        <f>VLOOKUP(Таблица15[[#This Row],[Модель]],Таблица14[#All],5,0)</f>
        <v>85000</v>
      </c>
      <c r="Z5" t="str">
        <f>VLOOKUP(Таблица15[[#This Row],[Модель]],Таблица14[#All],6,0)</f>
        <v>АКПП</v>
      </c>
      <c r="AA5" t="str">
        <f>VLOOKUP(Таблица15[[#This Row],[Модель]],Таблица14[#All],7,0)</f>
        <v>Бензин, Дизель, Гибрид</v>
      </c>
      <c r="AB5" t="str">
        <f>VLOOKUP(Таблица15[[#This Row],[Модель]],Таблица14[#All],8,0)</f>
        <v>Люкс</v>
      </c>
      <c r="AC5" t="str">
        <f>VLOOKUP(Таблица15[[#This Row],[Модель]],Таблица14[#All],9,0)</f>
        <v>Средний</v>
      </c>
      <c r="AD5">
        <f>VLOOKUP(Таблица15[[#This Row],[Модель]],Таблица14[#All],10,0)</f>
        <v>335</v>
      </c>
      <c r="AE5">
        <f>VLOOKUP(Таблица15[[#This Row],[Модель]],Таблица14[#All],11,0)</f>
        <v>9.5</v>
      </c>
      <c r="AF5">
        <v>2020</v>
      </c>
      <c r="AG5">
        <v>0</v>
      </c>
      <c r="AH5" s="22">
        <f>VLOOKUP(Таблица15[[#This Row],[Модель]],Таблица14[#All],12,0)/1000000</f>
        <v>51.353291499999997</v>
      </c>
      <c r="AI5" s="21">
        <f>VLOOKUP(Таблица15[[#This Row],[Модель]],Таблица14[#All],13,0)/1000000</f>
        <v>45.528374999999997</v>
      </c>
      <c r="AJ5" s="21">
        <f>VLOOKUP(Таблица15[[#This Row],[Модель]],Таблица14[#All],14,0)/1000000</f>
        <v>57.178207999999998</v>
      </c>
      <c r="AK5" s="21">
        <f>Таблица15[[#This Row],[Средняя цена (USD)]]*Таблица15[[#This Row],[Кол-во проданных]]/1000000</f>
        <v>0</v>
      </c>
      <c r="AL5" s="39">
        <f>Таблица15[[#This Row],[Средняя цена млн. ₸]]/440*Таблица15[[#This Row],[Кол-во проданных]]</f>
        <v>0</v>
      </c>
      <c r="AM5" s="39">
        <f>Таблица15[[#This Row],[Средняя цена млн. ₸]]*Таблица15[[#This Row],[Кол-во проданных]]/1000</f>
        <v>0</v>
      </c>
      <c r="AP5" s="18" t="s">
        <v>105</v>
      </c>
      <c r="AQ5" s="18" t="s">
        <v>202</v>
      </c>
      <c r="AR5" s="4">
        <v>25000</v>
      </c>
      <c r="AS5" s="4">
        <v>22000</v>
      </c>
      <c r="AT5" s="4">
        <v>30000</v>
      </c>
      <c r="AU5" s="18" t="s">
        <v>204</v>
      </c>
      <c r="AV5" s="18" t="s">
        <v>210</v>
      </c>
      <c r="AW5" s="18" t="s">
        <v>212</v>
      </c>
      <c r="AX5" s="18" t="s">
        <v>217</v>
      </c>
      <c r="AY5" s="20">
        <v>187</v>
      </c>
      <c r="AZ5" s="20">
        <v>12</v>
      </c>
      <c r="BA5" s="4">
        <f>AVERAGE(Таблица14[[#This Row],[Мин. ₸]],Таблица14[[#This Row],[Макс. ₸]])</f>
        <v>18869000</v>
      </c>
      <c r="BB5" s="4">
        <v>17657000</v>
      </c>
      <c r="BC5" s="4">
        <v>20081000</v>
      </c>
      <c r="BD5" s="4">
        <f>Таблица14[[#This Row],[Средняя цена ₸]]/$BI$2</f>
        <v>42884.090909090912</v>
      </c>
      <c r="BE5" s="2">
        <f>Таблица14[[#This Row],[Перевод в USD из ₸]]/Таблица14[[#This Row],[Средняя цена (USD)]]-1</f>
        <v>0.71536363636363642</v>
      </c>
      <c r="BG5" s="4"/>
      <c r="BH5" s="4"/>
      <c r="BI5" s="45" t="s">
        <v>267</v>
      </c>
      <c r="BJ5" s="4"/>
    </row>
    <row r="6" spans="2:62">
      <c r="B6" s="14" t="s">
        <v>213</v>
      </c>
      <c r="C6" s="16">
        <v>0.40912451537282479</v>
      </c>
      <c r="D6" s="16">
        <v>0.44752856788569029</v>
      </c>
      <c r="E6" s="16">
        <v>0.55682137697670131</v>
      </c>
      <c r="F6" s="16">
        <v>0.59680547491692504</v>
      </c>
      <c r="G6" s="16">
        <v>0.45505263966802428</v>
      </c>
      <c r="H6" s="16">
        <v>0.48107648964751193</v>
      </c>
      <c r="K6" s="14" t="s">
        <v>217</v>
      </c>
      <c r="L6" s="16">
        <v>0.59660385297388274</v>
      </c>
      <c r="M6" s="16">
        <v>0.54709170338999213</v>
      </c>
      <c r="N6" s="16">
        <v>0.49301428169751499</v>
      </c>
      <c r="O6" s="16">
        <v>0.48156292077923685</v>
      </c>
      <c r="P6" s="16">
        <v>0.64389456697149006</v>
      </c>
      <c r="Q6" s="16">
        <v>0.55411274545601297</v>
      </c>
      <c r="T6" t="s">
        <v>8</v>
      </c>
      <c r="U6" t="s">
        <v>43</v>
      </c>
      <c r="V6" t="str">
        <f>VLOOKUP(Таблица15[[#This Row],[Модель]],Таблица14[#All],2,0)</f>
        <v>Внедорожник</v>
      </c>
      <c r="W6" s="20">
        <f>VLOOKUP(Таблица15[[#This Row],[Модель]],Таблица14[#All],3,0)</f>
        <v>65000</v>
      </c>
      <c r="X6" s="20">
        <f>VLOOKUP(Таблица15[[#This Row],[Модель]],Таблица14[#All],4,0)</f>
        <v>55000</v>
      </c>
      <c r="Y6" s="4">
        <f>VLOOKUP(Таблица15[[#This Row],[Модель]],Таблица14[#All],5,0)</f>
        <v>85000</v>
      </c>
      <c r="Z6" t="str">
        <f>VLOOKUP(Таблица15[[#This Row],[Модель]],Таблица14[#All],6,0)</f>
        <v>АКПП</v>
      </c>
      <c r="AA6" t="str">
        <f>VLOOKUP(Таблица15[[#This Row],[Модель]],Таблица14[#All],7,0)</f>
        <v>Бензин, Дизель, Гибрид</v>
      </c>
      <c r="AB6" t="str">
        <f>VLOOKUP(Таблица15[[#This Row],[Модель]],Таблица14[#All],8,0)</f>
        <v>Люкс</v>
      </c>
      <c r="AC6" t="str">
        <f>VLOOKUP(Таблица15[[#This Row],[Модель]],Таблица14[#All],9,0)</f>
        <v>Средний</v>
      </c>
      <c r="AD6">
        <f>VLOOKUP(Таблица15[[#This Row],[Модель]],Таблица14[#All],10,0)</f>
        <v>335</v>
      </c>
      <c r="AE6">
        <f>VLOOKUP(Таблица15[[#This Row],[Модель]],Таблица14[#All],11,0)</f>
        <v>9.5</v>
      </c>
      <c r="AF6">
        <v>2019</v>
      </c>
      <c r="AG6">
        <v>254</v>
      </c>
      <c r="AH6" s="22">
        <f>VLOOKUP(Таблица15[[#This Row],[Модель]],Таблица14[#All],12,0)/1000000</f>
        <v>51.353291499999997</v>
      </c>
      <c r="AI6" s="21">
        <f>VLOOKUP(Таблица15[[#This Row],[Модель]],Таблица14[#All],13,0)/1000000</f>
        <v>45.528374999999997</v>
      </c>
      <c r="AJ6" s="21">
        <f>VLOOKUP(Таблица15[[#This Row],[Модель]],Таблица14[#All],14,0)/1000000</f>
        <v>57.178207999999998</v>
      </c>
      <c r="AK6" s="21">
        <f>Таблица15[[#This Row],[Средняя цена (USD)]]*Таблица15[[#This Row],[Кол-во проданных]]/1000000</f>
        <v>16.510000000000002</v>
      </c>
      <c r="AL6" s="39">
        <f>Таблица15[[#This Row],[Средняя цена млн. ₸]]/440*Таблица15[[#This Row],[Кол-во проданных]]</f>
        <v>29.64485463863636</v>
      </c>
      <c r="AM6" s="39">
        <f>Таблица15[[#This Row],[Средняя цена млн. ₸]]*Таблица15[[#This Row],[Кол-во проданных]]/1000</f>
        <v>13.043736041000001</v>
      </c>
      <c r="AP6" s="18" t="s">
        <v>33</v>
      </c>
      <c r="AQ6" s="18" t="s">
        <v>197</v>
      </c>
      <c r="AR6" s="4">
        <v>14000</v>
      </c>
      <c r="AS6" s="4">
        <v>12000</v>
      </c>
      <c r="AT6" s="4">
        <v>16000</v>
      </c>
      <c r="AU6" s="18" t="s">
        <v>206</v>
      </c>
      <c r="AV6" s="18" t="s">
        <v>208</v>
      </c>
      <c r="AW6" s="18" t="s">
        <v>213</v>
      </c>
      <c r="AX6" s="18" t="s">
        <v>216</v>
      </c>
      <c r="AY6" s="20">
        <v>115</v>
      </c>
      <c r="AZ6" s="20">
        <v>15.5</v>
      </c>
      <c r="BA6" s="4">
        <f>AVERAGE(Таблица14[[#This Row],[Мин. ₸]],Таблица14[[#This Row],[Макс. ₸]])</f>
        <v>7907500</v>
      </c>
      <c r="BB6" s="4">
        <v>7446000</v>
      </c>
      <c r="BC6" s="4">
        <v>8369000</v>
      </c>
      <c r="BD6" s="4">
        <f>Таблица14[[#This Row],[Средняя цена ₸]]/$BI$2</f>
        <v>17971.590909090908</v>
      </c>
      <c r="BE6" s="2">
        <f>Таблица14[[#This Row],[Перевод в USD из ₸]]/Таблица14[[#This Row],[Средняя цена (USD)]]-1</f>
        <v>0.28368506493506485</v>
      </c>
      <c r="BG6" s="4"/>
      <c r="BH6" s="4"/>
      <c r="BI6" s="53">
        <f>MEDIAN(Таблица14[Разница с  глобальными ценами])</f>
        <v>0.5371900826446282</v>
      </c>
      <c r="BJ6" s="2"/>
    </row>
    <row r="7" spans="2:62">
      <c r="B7" s="14" t="s">
        <v>155</v>
      </c>
      <c r="C7" s="16">
        <v>1</v>
      </c>
      <c r="D7" s="16">
        <v>1</v>
      </c>
      <c r="E7" s="16">
        <v>1</v>
      </c>
      <c r="F7" s="16">
        <v>1</v>
      </c>
      <c r="G7" s="16">
        <v>1</v>
      </c>
      <c r="H7" s="16">
        <v>1</v>
      </c>
      <c r="K7" s="14" t="s">
        <v>155</v>
      </c>
      <c r="L7" s="16">
        <v>1</v>
      </c>
      <c r="M7" s="16">
        <v>1</v>
      </c>
      <c r="N7" s="16">
        <v>1</v>
      </c>
      <c r="O7" s="16">
        <v>1</v>
      </c>
      <c r="P7" s="16">
        <v>1</v>
      </c>
      <c r="Q7" s="16">
        <v>1</v>
      </c>
      <c r="T7" t="s">
        <v>8</v>
      </c>
      <c r="U7" t="s">
        <v>42</v>
      </c>
      <c r="V7" t="str">
        <f>VLOOKUP(Таблица15[[#This Row],[Модель]],Таблица14[#All],2,0)</f>
        <v>Внедорожник</v>
      </c>
      <c r="W7" s="20">
        <f>VLOOKUP(Таблица15[[#This Row],[Модель]],Таблица14[#All],3,0)</f>
        <v>77000</v>
      </c>
      <c r="X7" s="20">
        <f>VLOOKUP(Таблица15[[#This Row],[Модель]],Таблица14[#All],4,0)</f>
        <v>65000</v>
      </c>
      <c r="Y7" s="4">
        <f>VLOOKUP(Таблица15[[#This Row],[Модель]],Таблица14[#All],5,0)</f>
        <v>100000</v>
      </c>
      <c r="Z7" t="str">
        <f>VLOOKUP(Таблица15[[#This Row],[Модель]],Таблица14[#All],6,0)</f>
        <v>АКПП</v>
      </c>
      <c r="AA7" t="str">
        <f>VLOOKUP(Таблица15[[#This Row],[Модель]],Таблица14[#All],7,0)</f>
        <v>Бензин, Дизель, Гибрид</v>
      </c>
      <c r="AB7" t="str">
        <f>VLOOKUP(Таблица15[[#This Row],[Модель]],Таблица14[#All],8,0)</f>
        <v>Люкс</v>
      </c>
      <c r="AC7" t="str">
        <f>VLOOKUP(Таблица15[[#This Row],[Модель]],Таблица14[#All],9,0)</f>
        <v>Большой</v>
      </c>
      <c r="AD7">
        <f>VLOOKUP(Таблица15[[#This Row],[Модель]],Таблица14[#All],10,0)</f>
        <v>375</v>
      </c>
      <c r="AE7">
        <f>VLOOKUP(Таблица15[[#This Row],[Модель]],Таблица14[#All],11,0)</f>
        <v>8.5</v>
      </c>
      <c r="AF7">
        <v>2023</v>
      </c>
      <c r="AG7">
        <v>0</v>
      </c>
      <c r="AH7" s="22">
        <f>VLOOKUP(Таблица15[[#This Row],[Модель]],Таблица14[#All],12,0)/1000000</f>
        <v>77.650000000000006</v>
      </c>
      <c r="AI7" s="21">
        <f>VLOOKUP(Таблица15[[#This Row],[Модель]],Таблица14[#All],13,0)/1000000</f>
        <v>69.7</v>
      </c>
      <c r="AJ7" s="21">
        <f>VLOOKUP(Таблица15[[#This Row],[Модель]],Таблица14[#All],14,0)/1000000</f>
        <v>85.6</v>
      </c>
      <c r="AK7" s="21">
        <f>Таблица15[[#This Row],[Средняя цена (USD)]]*Таблица15[[#This Row],[Кол-во проданных]]/1000000</f>
        <v>0</v>
      </c>
      <c r="AL7" s="39">
        <f>Таблица15[[#This Row],[Средняя цена млн. ₸]]/440*Таблица15[[#This Row],[Кол-во проданных]]</f>
        <v>0</v>
      </c>
      <c r="AM7" s="39">
        <f>Таблица15[[#This Row],[Средняя цена млн. ₸]]*Таблица15[[#This Row],[Кол-во проданных]]/1000</f>
        <v>0</v>
      </c>
      <c r="AP7" s="18" t="s">
        <v>31</v>
      </c>
      <c r="AQ7" s="18" t="s">
        <v>202</v>
      </c>
      <c r="AR7" s="4">
        <v>23000</v>
      </c>
      <c r="AS7" s="4">
        <v>20000</v>
      </c>
      <c r="AT7" s="4">
        <v>28000</v>
      </c>
      <c r="AU7" s="18" t="s">
        <v>204</v>
      </c>
      <c r="AV7" s="18" t="s">
        <v>210</v>
      </c>
      <c r="AW7" s="18" t="s">
        <v>212</v>
      </c>
      <c r="AX7" s="18" t="s">
        <v>217</v>
      </c>
      <c r="AY7" s="20">
        <v>190</v>
      </c>
      <c r="AZ7" s="20">
        <v>11.5</v>
      </c>
      <c r="BA7" s="4">
        <f>AVERAGE(Таблица14[[#This Row],[Мин. ₸]],Таблица14[[#This Row],[Макс. ₸]])</f>
        <v>21845000</v>
      </c>
      <c r="BB7" s="4">
        <v>20240000</v>
      </c>
      <c r="BC7" s="4">
        <v>23450000</v>
      </c>
      <c r="BD7" s="4">
        <f>Таблица14[[#This Row],[Средняя цена ₸]]/$BI$2</f>
        <v>49647.727272727272</v>
      </c>
      <c r="BE7" s="2">
        <f>Таблица14[[#This Row],[Перевод в USD из ₸]]/Таблица14[[#This Row],[Средняя цена (USD)]]-1</f>
        <v>1.1585968379446641</v>
      </c>
      <c r="BG7" s="4"/>
      <c r="BH7" s="4"/>
      <c r="BI7" s="4"/>
      <c r="BJ7" s="4"/>
    </row>
    <row r="8" spans="2:62">
      <c r="T8" t="s">
        <v>8</v>
      </c>
      <c r="U8" t="s">
        <v>42</v>
      </c>
      <c r="V8" t="str">
        <f>VLOOKUP(Таблица15[[#This Row],[Модель]],Таблица14[#All],2,0)</f>
        <v>Внедорожник</v>
      </c>
      <c r="W8" s="20">
        <f>VLOOKUP(Таблица15[[#This Row],[Модель]],Таблица14[#All],3,0)</f>
        <v>77000</v>
      </c>
      <c r="X8" s="20">
        <f>VLOOKUP(Таблица15[[#This Row],[Модель]],Таблица14[#All],4,0)</f>
        <v>65000</v>
      </c>
      <c r="Y8" s="4">
        <f>VLOOKUP(Таблица15[[#This Row],[Модель]],Таблица14[#All],5,0)</f>
        <v>100000</v>
      </c>
      <c r="Z8" t="str">
        <f>VLOOKUP(Таблица15[[#This Row],[Модель]],Таблица14[#All],6,0)</f>
        <v>АКПП</v>
      </c>
      <c r="AA8" t="str">
        <f>VLOOKUP(Таблица15[[#This Row],[Модель]],Таблица14[#All],7,0)</f>
        <v>Бензин, Дизель, Гибрид</v>
      </c>
      <c r="AB8" t="str">
        <f>VLOOKUP(Таблица15[[#This Row],[Модель]],Таблица14[#All],8,0)</f>
        <v>Люкс</v>
      </c>
      <c r="AC8" t="str">
        <f>VLOOKUP(Таблица15[[#This Row],[Модель]],Таблица14[#All],9,0)</f>
        <v>Большой</v>
      </c>
      <c r="AD8">
        <f>VLOOKUP(Таблица15[[#This Row],[Модель]],Таблица14[#All],10,0)</f>
        <v>375</v>
      </c>
      <c r="AE8">
        <f>VLOOKUP(Таблица15[[#This Row],[Модель]],Таблица14[#All],11,0)</f>
        <v>8.5</v>
      </c>
      <c r="AF8">
        <v>2022</v>
      </c>
      <c r="AG8">
        <v>0</v>
      </c>
      <c r="AH8" s="22">
        <f>VLOOKUP(Таблица15[[#This Row],[Модель]],Таблица14[#All],12,0)/1000000</f>
        <v>77.650000000000006</v>
      </c>
      <c r="AI8" s="21">
        <f>VLOOKUP(Таблица15[[#This Row],[Модель]],Таблица14[#All],13,0)/1000000</f>
        <v>69.7</v>
      </c>
      <c r="AJ8" s="21">
        <f>VLOOKUP(Таблица15[[#This Row],[Модель]],Таблица14[#All],14,0)/1000000</f>
        <v>85.6</v>
      </c>
      <c r="AK8" s="21">
        <f>Таблица15[[#This Row],[Средняя цена (USD)]]*Таблица15[[#This Row],[Кол-во проданных]]/1000000</f>
        <v>0</v>
      </c>
      <c r="AL8" s="39">
        <f>Таблица15[[#This Row],[Средняя цена млн. ₸]]/440*Таблица15[[#This Row],[Кол-во проданных]]</f>
        <v>0</v>
      </c>
      <c r="AM8" s="39">
        <f>Таблица15[[#This Row],[Средняя цена млн. ₸]]*Таблица15[[#This Row],[Кол-во проданных]]/1000</f>
        <v>0</v>
      </c>
      <c r="AP8" s="18" t="s">
        <v>74</v>
      </c>
      <c r="AQ8" s="18" t="s">
        <v>202</v>
      </c>
      <c r="AR8" s="4">
        <v>50000</v>
      </c>
      <c r="AS8" s="4">
        <v>45000</v>
      </c>
      <c r="AT8" s="4">
        <v>60000</v>
      </c>
      <c r="AU8" s="18" t="s">
        <v>204</v>
      </c>
      <c r="AV8" s="18" t="s">
        <v>211</v>
      </c>
      <c r="AW8" s="18" t="s">
        <v>214</v>
      </c>
      <c r="AX8" s="18" t="s">
        <v>217</v>
      </c>
      <c r="AY8" s="20">
        <v>350</v>
      </c>
      <c r="AZ8" s="20">
        <v>9.5</v>
      </c>
      <c r="BA8" s="4">
        <f>AVERAGE(Таблица14[[#This Row],[Мин. ₸]],Таблица14[[#This Row],[Макс. ₸]])</f>
        <v>25720000</v>
      </c>
      <c r="BB8" s="4">
        <v>24110000</v>
      </c>
      <c r="BC8" s="4">
        <v>27330000</v>
      </c>
      <c r="BD8" s="4">
        <f>Таблица14[[#This Row],[Средняя цена ₸]]/$BI$2</f>
        <v>58454.545454545456</v>
      </c>
      <c r="BE8" s="2">
        <f>Таблица14[[#This Row],[Перевод в USD из ₸]]/Таблица14[[#This Row],[Средняя цена (USD)]]-1</f>
        <v>0.16909090909090918</v>
      </c>
      <c r="BG8" s="4"/>
      <c r="BH8" s="4"/>
      <c r="BI8" s="4"/>
      <c r="BJ8" s="4"/>
    </row>
    <row r="9" spans="2:62">
      <c r="T9" t="s">
        <v>8</v>
      </c>
      <c r="U9" t="s">
        <v>42</v>
      </c>
      <c r="V9" t="str">
        <f>VLOOKUP(Таблица15[[#This Row],[Модель]],Таблица14[#All],2,0)</f>
        <v>Внедорожник</v>
      </c>
      <c r="W9" s="20">
        <f>VLOOKUP(Таблица15[[#This Row],[Модель]],Таблица14[#All],3,0)</f>
        <v>77000</v>
      </c>
      <c r="X9" s="20">
        <f>VLOOKUP(Таблица15[[#This Row],[Модель]],Таблица14[#All],4,0)</f>
        <v>65000</v>
      </c>
      <c r="Y9" s="4">
        <f>VLOOKUP(Таблица15[[#This Row],[Модель]],Таблица14[#All],5,0)</f>
        <v>100000</v>
      </c>
      <c r="Z9" t="str">
        <f>VLOOKUP(Таблица15[[#This Row],[Модель]],Таблица14[#All],6,0)</f>
        <v>АКПП</v>
      </c>
      <c r="AA9" t="str">
        <f>VLOOKUP(Таблица15[[#This Row],[Модель]],Таблица14[#All],7,0)</f>
        <v>Бензин, Дизель, Гибрид</v>
      </c>
      <c r="AB9" t="str">
        <f>VLOOKUP(Таблица15[[#This Row],[Модель]],Таблица14[#All],8,0)</f>
        <v>Люкс</v>
      </c>
      <c r="AC9" t="str">
        <f>VLOOKUP(Таблица15[[#This Row],[Модель]],Таблица14[#All],9,0)</f>
        <v>Большой</v>
      </c>
      <c r="AD9">
        <f>VLOOKUP(Таблица15[[#This Row],[Модель]],Таблица14[#All],10,0)</f>
        <v>375</v>
      </c>
      <c r="AE9">
        <f>VLOOKUP(Таблица15[[#This Row],[Модель]],Таблица14[#All],11,0)</f>
        <v>8.5</v>
      </c>
      <c r="AF9">
        <v>2021</v>
      </c>
      <c r="AG9">
        <v>407</v>
      </c>
      <c r="AH9" s="22">
        <f>VLOOKUP(Таблица15[[#This Row],[Модель]],Таблица14[#All],12,0)/1000000</f>
        <v>77.650000000000006</v>
      </c>
      <c r="AI9" s="21">
        <f>VLOOKUP(Таблица15[[#This Row],[Модель]],Таблица14[#All],13,0)/1000000</f>
        <v>69.7</v>
      </c>
      <c r="AJ9" s="21">
        <f>VLOOKUP(Таблица15[[#This Row],[Модель]],Таблица14[#All],14,0)/1000000</f>
        <v>85.6</v>
      </c>
      <c r="AK9" s="21">
        <f>Таблица15[[#This Row],[Средняя цена (USD)]]*Таблица15[[#This Row],[Кол-во проданных]]/1000000</f>
        <v>31.338999999999999</v>
      </c>
      <c r="AL9" s="39">
        <f>Таблица15[[#This Row],[Средняя цена млн. ₸]]/440*Таблица15[[#This Row],[Кол-во проданных]]</f>
        <v>71.826250000000002</v>
      </c>
      <c r="AM9" s="39">
        <f>Таблица15[[#This Row],[Средняя цена млн. ₸]]*Таблица15[[#This Row],[Кол-во проданных]]/1000</f>
        <v>31.603550000000002</v>
      </c>
      <c r="AP9" s="18" t="s">
        <v>75</v>
      </c>
      <c r="AQ9" s="18" t="s">
        <v>202</v>
      </c>
      <c r="AR9" s="4">
        <v>90000</v>
      </c>
      <c r="AS9" s="4">
        <v>80000</v>
      </c>
      <c r="AT9" s="4">
        <v>110000</v>
      </c>
      <c r="AU9" s="18" t="s">
        <v>204</v>
      </c>
      <c r="AV9" s="18" t="s">
        <v>211</v>
      </c>
      <c r="AW9" s="18" t="s">
        <v>214</v>
      </c>
      <c r="AX9" s="18" t="s">
        <v>215</v>
      </c>
      <c r="AY9" s="20">
        <v>409</v>
      </c>
      <c r="AZ9" s="20">
        <v>8</v>
      </c>
      <c r="BA9" s="4">
        <f>AVERAGE(Таблица14[[#This Row],[Мин. ₸]],Таблица14[[#This Row],[Макс. ₸]])</f>
        <v>55130000</v>
      </c>
      <c r="BB9" s="4">
        <v>43990000</v>
      </c>
      <c r="BC9" s="4">
        <v>66270000</v>
      </c>
      <c r="BD9" s="4">
        <f>Таблица14[[#This Row],[Средняя цена ₸]]/$BI$2</f>
        <v>125295.45454545454</v>
      </c>
      <c r="BE9" s="2">
        <f>Таблица14[[#This Row],[Перевод в USD из ₸]]/Таблица14[[#This Row],[Средняя цена (USD)]]-1</f>
        <v>0.39217171717171717</v>
      </c>
      <c r="BG9" s="4"/>
      <c r="BH9" s="4"/>
      <c r="BI9" s="4"/>
      <c r="BJ9" s="4"/>
    </row>
    <row r="10" spans="2:62">
      <c r="B10" s="13" t="s">
        <v>218</v>
      </c>
      <c r="C10" s="13" t="s">
        <v>151</v>
      </c>
      <c r="K10" s="13" t="s">
        <v>218</v>
      </c>
      <c r="L10" s="13" t="s">
        <v>151</v>
      </c>
      <c r="T10" t="s">
        <v>8</v>
      </c>
      <c r="U10" t="s">
        <v>42</v>
      </c>
      <c r="V10" t="str">
        <f>VLOOKUP(Таблица15[[#This Row],[Модель]],Таблица14[#All],2,0)</f>
        <v>Внедорожник</v>
      </c>
      <c r="W10" s="20">
        <f>VLOOKUP(Таблица15[[#This Row],[Модель]],Таблица14[#All],3,0)</f>
        <v>77000</v>
      </c>
      <c r="X10" s="20">
        <f>VLOOKUP(Таблица15[[#This Row],[Модель]],Таблица14[#All],4,0)</f>
        <v>65000</v>
      </c>
      <c r="Y10" s="4">
        <f>VLOOKUP(Таблица15[[#This Row],[Модель]],Таблица14[#All],5,0)</f>
        <v>100000</v>
      </c>
      <c r="Z10" t="str">
        <f>VLOOKUP(Таблица15[[#This Row],[Модель]],Таблица14[#All],6,0)</f>
        <v>АКПП</v>
      </c>
      <c r="AA10" t="str">
        <f>VLOOKUP(Таблица15[[#This Row],[Модель]],Таблица14[#All],7,0)</f>
        <v>Бензин, Дизель, Гибрид</v>
      </c>
      <c r="AB10" t="str">
        <f>VLOOKUP(Таблица15[[#This Row],[Модель]],Таблица14[#All],8,0)</f>
        <v>Люкс</v>
      </c>
      <c r="AC10" t="str">
        <f>VLOOKUP(Таблица15[[#This Row],[Модель]],Таблица14[#All],9,0)</f>
        <v>Большой</v>
      </c>
      <c r="AD10">
        <f>VLOOKUP(Таблица15[[#This Row],[Модель]],Таблица14[#All],10,0)</f>
        <v>375</v>
      </c>
      <c r="AE10">
        <f>VLOOKUP(Таблица15[[#This Row],[Модель]],Таблица14[#All],11,0)</f>
        <v>8.5</v>
      </c>
      <c r="AF10">
        <v>2020</v>
      </c>
      <c r="AG10">
        <v>0</v>
      </c>
      <c r="AH10" s="22">
        <f>VLOOKUP(Таблица15[[#This Row],[Модель]],Таблица14[#All],12,0)/1000000</f>
        <v>77.650000000000006</v>
      </c>
      <c r="AI10" s="21">
        <f>VLOOKUP(Таблица15[[#This Row],[Модель]],Таблица14[#All],13,0)/1000000</f>
        <v>69.7</v>
      </c>
      <c r="AJ10" s="21">
        <f>VLOOKUP(Таблица15[[#This Row],[Модель]],Таблица14[#All],14,0)/1000000</f>
        <v>85.6</v>
      </c>
      <c r="AK10" s="21">
        <f>Таблица15[[#This Row],[Средняя цена (USD)]]*Таблица15[[#This Row],[Кол-во проданных]]/1000000</f>
        <v>0</v>
      </c>
      <c r="AL10" s="39">
        <f>Таблица15[[#This Row],[Средняя цена млн. ₸]]/440*Таблица15[[#This Row],[Кол-во проданных]]</f>
        <v>0</v>
      </c>
      <c r="AM10" s="39">
        <f>Таблица15[[#This Row],[Средняя цена млн. ₸]]*Таблица15[[#This Row],[Кол-во проданных]]/1000</f>
        <v>0</v>
      </c>
      <c r="AP10" s="18" t="s">
        <v>91</v>
      </c>
      <c r="AQ10" s="18" t="s">
        <v>198</v>
      </c>
      <c r="AR10" s="4">
        <v>25000</v>
      </c>
      <c r="AS10" s="4">
        <v>22000</v>
      </c>
      <c r="AT10" s="4">
        <v>30000</v>
      </c>
      <c r="AU10" s="18" t="s">
        <v>206</v>
      </c>
      <c r="AV10" s="18" t="s">
        <v>209</v>
      </c>
      <c r="AW10" s="18" t="s">
        <v>212</v>
      </c>
      <c r="AX10" s="18" t="s">
        <v>217</v>
      </c>
      <c r="AY10" s="20">
        <v>190</v>
      </c>
      <c r="AZ10" s="20">
        <v>11.5</v>
      </c>
      <c r="BA10" s="4">
        <f>AVERAGE(Таблица14[[#This Row],[Мин. ₸]],Таблица14[[#This Row],[Макс. ₸]])</f>
        <v>25400000</v>
      </c>
      <c r="BB10" s="4">
        <v>23380000</v>
      </c>
      <c r="BC10" s="4">
        <v>27420000</v>
      </c>
      <c r="BD10" s="4">
        <f>Таблица14[[#This Row],[Средняя цена ₸]]/$BI$2</f>
        <v>57727.272727272728</v>
      </c>
      <c r="BE10" s="2">
        <f>Таблица14[[#This Row],[Перевод в USD из ₸]]/Таблица14[[#This Row],[Средняя цена (USD)]]-1</f>
        <v>1.3090909090909091</v>
      </c>
      <c r="BG10" s="4"/>
      <c r="BH10" s="4"/>
      <c r="BI10" s="4"/>
      <c r="BJ10" s="4"/>
    </row>
    <row r="11" spans="2:62">
      <c r="B11" s="13" t="s">
        <v>161</v>
      </c>
      <c r="C11">
        <v>2023</v>
      </c>
      <c r="D11">
        <v>2022</v>
      </c>
      <c r="E11">
        <v>2021</v>
      </c>
      <c r="F11">
        <v>2020</v>
      </c>
      <c r="G11">
        <v>2019</v>
      </c>
      <c r="H11" t="s">
        <v>155</v>
      </c>
      <c r="K11" s="13" t="s">
        <v>161</v>
      </c>
      <c r="L11">
        <v>2023</v>
      </c>
      <c r="M11">
        <v>2022</v>
      </c>
      <c r="N11">
        <v>2021</v>
      </c>
      <c r="O11">
        <v>2020</v>
      </c>
      <c r="P11">
        <v>2019</v>
      </c>
      <c r="Q11" t="s">
        <v>155</v>
      </c>
      <c r="T11" t="s">
        <v>8</v>
      </c>
      <c r="U11" t="s">
        <v>42</v>
      </c>
      <c r="V11" t="str">
        <f>VLOOKUP(Таблица15[[#This Row],[Модель]],Таблица14[#All],2,0)</f>
        <v>Внедорожник</v>
      </c>
      <c r="W11" s="20">
        <f>VLOOKUP(Таблица15[[#This Row],[Модель]],Таблица14[#All],3,0)</f>
        <v>77000</v>
      </c>
      <c r="X11" s="20">
        <f>VLOOKUP(Таблица15[[#This Row],[Модель]],Таблица14[#All],4,0)</f>
        <v>65000</v>
      </c>
      <c r="Y11" s="4">
        <f>VLOOKUP(Таблица15[[#This Row],[Модель]],Таблица14[#All],5,0)</f>
        <v>100000</v>
      </c>
      <c r="Z11" t="str">
        <f>VLOOKUP(Таблица15[[#This Row],[Модель]],Таблица14[#All],6,0)</f>
        <v>АКПП</v>
      </c>
      <c r="AA11" t="str">
        <f>VLOOKUP(Таблица15[[#This Row],[Модель]],Таблица14[#All],7,0)</f>
        <v>Бензин, Дизель, Гибрид</v>
      </c>
      <c r="AB11" t="str">
        <f>VLOOKUP(Таблица15[[#This Row],[Модель]],Таблица14[#All],8,0)</f>
        <v>Люкс</v>
      </c>
      <c r="AC11" t="str">
        <f>VLOOKUP(Таблица15[[#This Row],[Модель]],Таблица14[#All],9,0)</f>
        <v>Большой</v>
      </c>
      <c r="AD11">
        <f>VLOOKUP(Таблица15[[#This Row],[Модель]],Таблица14[#All],10,0)</f>
        <v>375</v>
      </c>
      <c r="AE11">
        <f>VLOOKUP(Таблица15[[#This Row],[Модель]],Таблица14[#All],11,0)</f>
        <v>8.5</v>
      </c>
      <c r="AF11">
        <v>2019</v>
      </c>
      <c r="AG11">
        <v>0</v>
      </c>
      <c r="AH11" s="22">
        <f>VLOOKUP(Таблица15[[#This Row],[Модель]],Таблица14[#All],12,0)/1000000</f>
        <v>77.650000000000006</v>
      </c>
      <c r="AI11" s="21">
        <f>VLOOKUP(Таблица15[[#This Row],[Модель]],Таблица14[#All],13,0)/1000000</f>
        <v>69.7</v>
      </c>
      <c r="AJ11" s="21">
        <f>VLOOKUP(Таблица15[[#This Row],[Модель]],Таблица14[#All],14,0)/1000000</f>
        <v>85.6</v>
      </c>
      <c r="AK11" s="21">
        <f>Таблица15[[#This Row],[Средняя цена (USD)]]*Таблица15[[#This Row],[Кол-во проданных]]/1000000</f>
        <v>0</v>
      </c>
      <c r="AL11" s="39">
        <f>Таблица15[[#This Row],[Средняя цена млн. ₸]]/440*Таблица15[[#This Row],[Кол-во проданных]]</f>
        <v>0</v>
      </c>
      <c r="AM11" s="39">
        <f>Таблица15[[#This Row],[Средняя цена млн. ₸]]*Таблица15[[#This Row],[Кол-во проданных]]/1000</f>
        <v>0</v>
      </c>
      <c r="AP11" s="18" t="s">
        <v>120</v>
      </c>
      <c r="AQ11" s="18" t="s">
        <v>202</v>
      </c>
      <c r="AR11" s="4">
        <v>35000</v>
      </c>
      <c r="AS11" s="4">
        <v>30000</v>
      </c>
      <c r="AT11" s="4">
        <v>45000</v>
      </c>
      <c r="AU11" s="18" t="s">
        <v>204</v>
      </c>
      <c r="AV11" s="18" t="s">
        <v>211</v>
      </c>
      <c r="AW11" s="18" t="s">
        <v>214</v>
      </c>
      <c r="AX11" s="18" t="s">
        <v>215</v>
      </c>
      <c r="AY11" s="20">
        <v>290</v>
      </c>
      <c r="AZ11" s="20">
        <v>10</v>
      </c>
      <c r="BA11" s="4">
        <f>AVERAGE(Таблица14[[#This Row],[Мин. ₸]],Таблица14[[#This Row],[Макс. ₸]])</f>
        <v>35845000</v>
      </c>
      <c r="BB11" s="4">
        <v>32640000</v>
      </c>
      <c r="BC11" s="4">
        <v>39050000</v>
      </c>
      <c r="BD11" s="4">
        <f>Таблица14[[#This Row],[Средняя цена ₸]]/$BI$2</f>
        <v>81465.909090909088</v>
      </c>
      <c r="BE11" s="2">
        <f>Таблица14[[#This Row],[Перевод в USD из ₸]]/Таблица14[[#This Row],[Средняя цена (USD)]]-1</f>
        <v>1.3275974025974024</v>
      </c>
      <c r="BG11" s="4"/>
      <c r="BH11" s="4"/>
      <c r="BI11" s="4"/>
      <c r="BJ11" s="4"/>
    </row>
    <row r="12" spans="2:62">
      <c r="B12" s="14" t="s">
        <v>223</v>
      </c>
      <c r="C12" s="16">
        <v>4.2581071739849125E-2</v>
      </c>
      <c r="D12" s="16">
        <v>0.14628283637612316</v>
      </c>
      <c r="E12" s="16">
        <v>0.20383172223892029</v>
      </c>
      <c r="F12" s="16">
        <v>0.32254079628417193</v>
      </c>
      <c r="G12" s="16">
        <v>0.24795204795204795</v>
      </c>
      <c r="H12" s="16">
        <v>0.16466740205781405</v>
      </c>
      <c r="K12" s="14" t="s">
        <v>219</v>
      </c>
      <c r="L12" s="16">
        <v>0.10076037628106874</v>
      </c>
      <c r="M12" s="16">
        <v>0.12993380262881779</v>
      </c>
      <c r="N12" s="16">
        <v>0.18306363257351729</v>
      </c>
      <c r="O12" s="16">
        <v>0.29794567083791429</v>
      </c>
      <c r="P12" s="16">
        <v>0.2169061707523246</v>
      </c>
      <c r="Q12" s="16">
        <v>0.16814962006926001</v>
      </c>
      <c r="T12" t="s">
        <v>124</v>
      </c>
      <c r="U12" t="s">
        <v>89</v>
      </c>
      <c r="V12" t="str">
        <f>VLOOKUP(Таблица15[[#This Row],[Модель]],Таблица14[#All],2,0)</f>
        <v>Внедорожник</v>
      </c>
      <c r="W12" s="20">
        <f>VLOOKUP(Таблица15[[#This Row],[Модель]],Таблица14[#All],3,0)</f>
        <v>15000</v>
      </c>
      <c r="X12" s="20">
        <f>VLOOKUP(Таблица15[[#This Row],[Модель]],Таблица14[#All],4,0)</f>
        <v>13000</v>
      </c>
      <c r="Y12" s="4">
        <f>VLOOKUP(Таблица15[[#This Row],[Модель]],Таблица14[#All],5,0)</f>
        <v>18000</v>
      </c>
      <c r="Z12" t="str">
        <f>VLOOKUP(Таблица15[[#This Row],[Модель]],Таблица14[#All],6,0)</f>
        <v>МКПП, АКПП</v>
      </c>
      <c r="AA12" t="str">
        <f>VLOOKUP(Таблица15[[#This Row],[Модель]],Таблица14[#All],7,0)</f>
        <v>Бензин</v>
      </c>
      <c r="AB12" t="str">
        <f>VLOOKUP(Таблица15[[#This Row],[Модель]],Таблица14[#All],8,0)</f>
        <v>Эконом</v>
      </c>
      <c r="AC12" t="str">
        <f>VLOOKUP(Таблица15[[#This Row],[Модель]],Таблица14[#All],9,0)</f>
        <v>Маленький</v>
      </c>
      <c r="AD12">
        <f>VLOOKUP(Таблица15[[#This Row],[Модель]],Таблица14[#All],10,0)</f>
        <v>120</v>
      </c>
      <c r="AE12">
        <f>VLOOKUP(Таблица15[[#This Row],[Модель]],Таблица14[#All],11,0)</f>
        <v>15</v>
      </c>
      <c r="AF12">
        <v>2023</v>
      </c>
      <c r="AG12">
        <v>743</v>
      </c>
      <c r="AH12" s="22">
        <f>VLOOKUP(Таблица15[[#This Row],[Модель]],Таблица14[#All],12,0)/1000000</f>
        <v>9.49</v>
      </c>
      <c r="AI12" s="21">
        <f>VLOOKUP(Таблица15[[#This Row],[Модель]],Таблица14[#All],13,0)/1000000</f>
        <v>8.99</v>
      </c>
      <c r="AJ12" s="21">
        <f>VLOOKUP(Таблица15[[#This Row],[Модель]],Таблица14[#All],14,0)/1000000</f>
        <v>9.99</v>
      </c>
      <c r="AK12" s="21">
        <f>Таблица15[[#This Row],[Средняя цена (USD)]]*Таблица15[[#This Row],[Кол-во проданных]]/1000000</f>
        <v>11.145</v>
      </c>
      <c r="AL12" s="39">
        <f>Таблица15[[#This Row],[Средняя цена млн. ₸]]/440*Таблица15[[#This Row],[Кол-во проданных]]</f>
        <v>16.025159090909092</v>
      </c>
      <c r="AM12" s="39">
        <f>Таблица15[[#This Row],[Средняя цена млн. ₸]]*Таблица15[[#This Row],[Кол-во проданных]]/1000</f>
        <v>7.0510699999999993</v>
      </c>
      <c r="AP12" s="18" t="s">
        <v>80</v>
      </c>
      <c r="AQ12" s="18" t="s">
        <v>199</v>
      </c>
      <c r="AR12" s="4">
        <v>18000</v>
      </c>
      <c r="AS12" s="4">
        <v>16000</v>
      </c>
      <c r="AT12" s="4">
        <v>22000</v>
      </c>
      <c r="AU12" s="18" t="s">
        <v>206</v>
      </c>
      <c r="AV12" s="18" t="s">
        <v>208</v>
      </c>
      <c r="AW12" s="18" t="s">
        <v>212</v>
      </c>
      <c r="AX12" s="18" t="s">
        <v>217</v>
      </c>
      <c r="AY12" s="20">
        <v>150</v>
      </c>
      <c r="AZ12" s="20">
        <v>13.5</v>
      </c>
      <c r="BA12" s="4">
        <f>AVERAGE(Таблица14[[#This Row],[Мин. ₸]],Таблица14[[#This Row],[Макс. ₸]])</f>
        <v>13325200</v>
      </c>
      <c r="BB12" s="4">
        <v>11930000</v>
      </c>
      <c r="BC12" s="4">
        <v>14720400</v>
      </c>
      <c r="BD12" s="4">
        <f>Таблица14[[#This Row],[Средняя цена ₸]]/$BI$2</f>
        <v>30284.545454545456</v>
      </c>
      <c r="BE12" s="2">
        <f>Таблица14[[#This Row],[Перевод в USD из ₸]]/Таблица14[[#This Row],[Средняя цена (USD)]]-1</f>
        <v>0.68247474747474746</v>
      </c>
      <c r="BG12" s="4"/>
      <c r="BH12" s="4"/>
      <c r="BI12" s="4"/>
      <c r="BJ12" s="4"/>
    </row>
    <row r="13" spans="2:62">
      <c r="B13" s="14" t="s">
        <v>224</v>
      </c>
      <c r="C13" s="16">
        <v>0.30346527214257807</v>
      </c>
      <c r="D13" s="16">
        <v>0.28417176977813391</v>
      </c>
      <c r="E13" s="16">
        <v>0.33945452253754643</v>
      </c>
      <c r="F13" s="16">
        <v>0.26826104680609258</v>
      </c>
      <c r="G13" s="16">
        <v>0.2123722431414739</v>
      </c>
      <c r="H13" s="16">
        <v>0.28984468385227091</v>
      </c>
      <c r="K13" s="14" t="s">
        <v>220</v>
      </c>
      <c r="L13" s="16">
        <v>0.47639227000871576</v>
      </c>
      <c r="M13" s="16">
        <v>0.47845246952440906</v>
      </c>
      <c r="N13" s="16">
        <v>0.49177323805737888</v>
      </c>
      <c r="O13" s="16">
        <v>0.40811107954194514</v>
      </c>
      <c r="P13" s="16">
        <v>0.38942595865672791</v>
      </c>
      <c r="Q13" s="16">
        <v>0.45835943715672672</v>
      </c>
      <c r="T13" t="s">
        <v>124</v>
      </c>
      <c r="U13" t="s">
        <v>89</v>
      </c>
      <c r="V13" t="str">
        <f>VLOOKUP(Таблица15[[#This Row],[Модель]],Таблица14[#All],2,0)</f>
        <v>Внедорожник</v>
      </c>
      <c r="W13" s="20">
        <f>VLOOKUP(Таблица15[[#This Row],[Модель]],Таблица14[#All],3,0)</f>
        <v>15000</v>
      </c>
      <c r="X13" s="20">
        <f>VLOOKUP(Таблица15[[#This Row],[Модель]],Таблица14[#All],4,0)</f>
        <v>13000</v>
      </c>
      <c r="Y13" s="4">
        <f>VLOOKUP(Таблица15[[#This Row],[Модель]],Таблица14[#All],5,0)</f>
        <v>18000</v>
      </c>
      <c r="Z13" t="str">
        <f>VLOOKUP(Таблица15[[#This Row],[Модель]],Таблица14[#All],6,0)</f>
        <v>МКПП, АКПП</v>
      </c>
      <c r="AA13" t="str">
        <f>VLOOKUP(Таблица15[[#This Row],[Модель]],Таблица14[#All],7,0)</f>
        <v>Бензин</v>
      </c>
      <c r="AB13" t="str">
        <f>VLOOKUP(Таблица15[[#This Row],[Модель]],Таблица14[#All],8,0)</f>
        <v>Эконом</v>
      </c>
      <c r="AC13" t="str">
        <f>VLOOKUP(Таблица15[[#This Row],[Модель]],Таблица14[#All],9,0)</f>
        <v>Маленький</v>
      </c>
      <c r="AD13">
        <f>VLOOKUP(Таблица15[[#This Row],[Модель]],Таблица14[#All],10,0)</f>
        <v>120</v>
      </c>
      <c r="AE13">
        <f>VLOOKUP(Таблица15[[#This Row],[Модель]],Таблица14[#All],11,0)</f>
        <v>15</v>
      </c>
      <c r="AF13">
        <v>2022</v>
      </c>
      <c r="AG13">
        <v>0</v>
      </c>
      <c r="AH13" s="22">
        <f>VLOOKUP(Таблица15[[#This Row],[Модель]],Таблица14[#All],12,0)/1000000</f>
        <v>9.49</v>
      </c>
      <c r="AI13" s="21">
        <f>VLOOKUP(Таблица15[[#This Row],[Модель]],Таблица14[#All],13,0)/1000000</f>
        <v>8.99</v>
      </c>
      <c r="AJ13" s="21">
        <f>VLOOKUP(Таблица15[[#This Row],[Модель]],Таблица14[#All],14,0)/1000000</f>
        <v>9.99</v>
      </c>
      <c r="AK13" s="21">
        <f>Таблица15[[#This Row],[Средняя цена (USD)]]*Таблица15[[#This Row],[Кол-во проданных]]/1000000</f>
        <v>0</v>
      </c>
      <c r="AL13" s="39">
        <f>Таблица15[[#This Row],[Средняя цена млн. ₸]]/440*Таблица15[[#This Row],[Кол-во проданных]]</f>
        <v>0</v>
      </c>
      <c r="AM13" s="39">
        <f>Таблица15[[#This Row],[Средняя цена млн. ₸]]*Таблица15[[#This Row],[Кол-во проданных]]/1000</f>
        <v>0</v>
      </c>
      <c r="AP13" s="18" t="s">
        <v>28</v>
      </c>
      <c r="AQ13" s="18" t="s">
        <v>199</v>
      </c>
      <c r="AR13" s="4">
        <v>22000</v>
      </c>
      <c r="AS13" s="4">
        <v>19000</v>
      </c>
      <c r="AT13" s="4">
        <v>25000</v>
      </c>
      <c r="AU13" s="18" t="s">
        <v>204</v>
      </c>
      <c r="AV13" s="18" t="s">
        <v>211</v>
      </c>
      <c r="AW13" s="18" t="s">
        <v>212</v>
      </c>
      <c r="AX13" s="18" t="s">
        <v>217</v>
      </c>
      <c r="AY13" s="20">
        <v>180</v>
      </c>
      <c r="AZ13" s="20">
        <v>12</v>
      </c>
      <c r="BA13" s="4">
        <f>AVERAGE(Таблица14[[#This Row],[Мин. ₸]],Таблица14[[#This Row],[Макс. ₸]])</f>
        <v>17745000</v>
      </c>
      <c r="BB13" s="4">
        <v>15000000</v>
      </c>
      <c r="BC13" s="4">
        <v>20490000</v>
      </c>
      <c r="BD13" s="4">
        <f>Таблица14[[#This Row],[Средняя цена ₸]]/$BI$2</f>
        <v>40329.545454545456</v>
      </c>
      <c r="BE13" s="2">
        <f>Таблица14[[#This Row],[Перевод в USD из ₸]]/Таблица14[[#This Row],[Средняя цена (USD)]]-1</f>
        <v>0.83316115702479343</v>
      </c>
      <c r="BG13" s="4"/>
      <c r="BH13" s="4"/>
      <c r="BI13" s="4"/>
      <c r="BJ13" s="4"/>
    </row>
    <row r="14" spans="2:62">
      <c r="B14" s="14" t="s">
        <v>225</v>
      </c>
      <c r="C14" s="16">
        <v>0.28304631382802875</v>
      </c>
      <c r="D14" s="16">
        <v>0.19863026765104255</v>
      </c>
      <c r="E14" s="16">
        <v>0.15766102056448095</v>
      </c>
      <c r="F14" s="16">
        <v>0.13674939160726859</v>
      </c>
      <c r="G14" s="16">
        <v>0.16694075155613616</v>
      </c>
      <c r="H14" s="16">
        <v>0.20390961607201197</v>
      </c>
      <c r="K14" s="14" t="s">
        <v>221</v>
      </c>
      <c r="L14" s="16">
        <v>0.37170678928861239</v>
      </c>
      <c r="M14" s="16">
        <v>0.31450428279822201</v>
      </c>
      <c r="N14" s="16">
        <v>0.277848340588914</v>
      </c>
      <c r="O14" s="16">
        <v>0.25454904818964558</v>
      </c>
      <c r="P14" s="16">
        <v>0.31124260355029587</v>
      </c>
      <c r="Q14" s="16">
        <v>0.31579220459760393</v>
      </c>
      <c r="T14" t="s">
        <v>124</v>
      </c>
      <c r="U14" t="s">
        <v>89</v>
      </c>
      <c r="V14" t="str">
        <f>VLOOKUP(Таблица15[[#This Row],[Модель]],Таблица14[#All],2,0)</f>
        <v>Внедорожник</v>
      </c>
      <c r="W14" s="20">
        <f>VLOOKUP(Таблица15[[#This Row],[Модель]],Таблица14[#All],3,0)</f>
        <v>15000</v>
      </c>
      <c r="X14" s="20">
        <f>VLOOKUP(Таблица15[[#This Row],[Модель]],Таблица14[#All],4,0)</f>
        <v>13000</v>
      </c>
      <c r="Y14" s="4">
        <f>VLOOKUP(Таблица15[[#This Row],[Модель]],Таблица14[#All],5,0)</f>
        <v>18000</v>
      </c>
      <c r="Z14" t="str">
        <f>VLOOKUP(Таблица15[[#This Row],[Модель]],Таблица14[#All],6,0)</f>
        <v>МКПП, АКПП</v>
      </c>
      <c r="AA14" t="str">
        <f>VLOOKUP(Таблица15[[#This Row],[Модель]],Таблица14[#All],7,0)</f>
        <v>Бензин</v>
      </c>
      <c r="AB14" t="str">
        <f>VLOOKUP(Таблица15[[#This Row],[Модель]],Таблица14[#All],8,0)</f>
        <v>Эконом</v>
      </c>
      <c r="AC14" t="str">
        <f>VLOOKUP(Таблица15[[#This Row],[Модель]],Таблица14[#All],9,0)</f>
        <v>Маленький</v>
      </c>
      <c r="AD14">
        <f>VLOOKUP(Таблица15[[#This Row],[Модель]],Таблица14[#All],10,0)</f>
        <v>120</v>
      </c>
      <c r="AE14">
        <f>VLOOKUP(Таблица15[[#This Row],[Модель]],Таблица14[#All],11,0)</f>
        <v>15</v>
      </c>
      <c r="AF14">
        <v>2021</v>
      </c>
      <c r="AG14">
        <v>0</v>
      </c>
      <c r="AH14" s="22">
        <f>VLOOKUP(Таблица15[[#This Row],[Модель]],Таблица14[#All],12,0)/1000000</f>
        <v>9.49</v>
      </c>
      <c r="AI14" s="21">
        <f>VLOOKUP(Таблица15[[#This Row],[Модель]],Таблица14[#All],13,0)/1000000</f>
        <v>8.99</v>
      </c>
      <c r="AJ14" s="21">
        <f>VLOOKUP(Таблица15[[#This Row],[Модель]],Таблица14[#All],14,0)/1000000</f>
        <v>9.99</v>
      </c>
      <c r="AK14" s="21">
        <f>Таблица15[[#This Row],[Средняя цена (USD)]]*Таблица15[[#This Row],[Кол-во проданных]]/1000000</f>
        <v>0</v>
      </c>
      <c r="AL14" s="39">
        <f>Таблица15[[#This Row],[Средняя цена млн. ₸]]/440*Таблица15[[#This Row],[Кол-во проданных]]</f>
        <v>0</v>
      </c>
      <c r="AM14" s="39">
        <f>Таблица15[[#This Row],[Средняя цена млн. ₸]]*Таблица15[[#This Row],[Кол-во проданных]]/1000</f>
        <v>0</v>
      </c>
      <c r="AP14" s="18" t="s">
        <v>79</v>
      </c>
      <c r="AQ14" s="18" t="s">
        <v>202</v>
      </c>
      <c r="AR14" s="4">
        <v>25000</v>
      </c>
      <c r="AS14" s="4">
        <v>22000</v>
      </c>
      <c r="AT14" s="4">
        <v>30000</v>
      </c>
      <c r="AU14" s="18" t="s">
        <v>204</v>
      </c>
      <c r="AV14" s="18" t="s">
        <v>211</v>
      </c>
      <c r="AW14" s="18" t="s">
        <v>212</v>
      </c>
      <c r="AX14" s="18" t="s">
        <v>217</v>
      </c>
      <c r="AY14" s="20">
        <v>190</v>
      </c>
      <c r="AZ14" s="20">
        <v>11.5</v>
      </c>
      <c r="BA14" s="4">
        <f>AVERAGE(Таблица14[[#This Row],[Мин. ₸]],Таблица14[[#This Row],[Макс. ₸]])</f>
        <v>20845000</v>
      </c>
      <c r="BB14" s="4">
        <v>19350000</v>
      </c>
      <c r="BC14" s="4">
        <v>22340000</v>
      </c>
      <c r="BD14" s="4">
        <f>Таблица14[[#This Row],[Средняя цена ₸]]/$BI$2</f>
        <v>47375</v>
      </c>
      <c r="BE14" s="2">
        <f>Таблица14[[#This Row],[Перевод в USD из ₸]]/Таблица14[[#This Row],[Средняя цена (USD)]]-1</f>
        <v>0.89500000000000002</v>
      </c>
      <c r="BG14" s="4"/>
      <c r="BH14" s="4"/>
      <c r="BI14" s="4"/>
      <c r="BJ14" s="4"/>
    </row>
    <row r="15" spans="2:62">
      <c r="B15" s="14" t="s">
        <v>226</v>
      </c>
      <c r="C15" s="16">
        <v>0.25661046494154421</v>
      </c>
      <c r="D15" s="16">
        <v>0.23997023979854634</v>
      </c>
      <c r="E15" s="16">
        <v>0.2216232462986843</v>
      </c>
      <c r="F15" s="16">
        <v>0.212251856061074</v>
      </c>
      <c r="G15" s="16">
        <v>0.26504264965803426</v>
      </c>
      <c r="H15" s="16">
        <v>0.24047674869993352</v>
      </c>
      <c r="K15" s="14" t="s">
        <v>222</v>
      </c>
      <c r="L15" s="16">
        <v>5.1140564421603099E-2</v>
      </c>
      <c r="M15" s="16">
        <v>7.7109445048551092E-2</v>
      </c>
      <c r="N15" s="16">
        <v>4.731478878018984E-2</v>
      </c>
      <c r="O15" s="16">
        <v>3.9394201430494991E-2</v>
      </c>
      <c r="P15" s="16">
        <v>8.2425267040651659E-2</v>
      </c>
      <c r="Q15" s="16">
        <v>5.7698738176409317E-2</v>
      </c>
      <c r="T15" t="s">
        <v>124</v>
      </c>
      <c r="U15" t="s">
        <v>89</v>
      </c>
      <c r="V15" t="str">
        <f>VLOOKUP(Таблица15[[#This Row],[Модель]],Таблица14[#All],2,0)</f>
        <v>Внедорожник</v>
      </c>
      <c r="W15" s="20">
        <f>VLOOKUP(Таблица15[[#This Row],[Модель]],Таблица14[#All],3,0)</f>
        <v>15000</v>
      </c>
      <c r="X15" s="20">
        <f>VLOOKUP(Таблица15[[#This Row],[Модель]],Таблица14[#All],4,0)</f>
        <v>13000</v>
      </c>
      <c r="Y15" s="4">
        <f>VLOOKUP(Таблица15[[#This Row],[Модель]],Таблица14[#All],5,0)</f>
        <v>18000</v>
      </c>
      <c r="Z15" t="str">
        <f>VLOOKUP(Таблица15[[#This Row],[Модель]],Таблица14[#All],6,0)</f>
        <v>МКПП, АКПП</v>
      </c>
      <c r="AA15" t="str">
        <f>VLOOKUP(Таблица15[[#This Row],[Модель]],Таблица14[#All],7,0)</f>
        <v>Бензин</v>
      </c>
      <c r="AB15" t="str">
        <f>VLOOKUP(Таблица15[[#This Row],[Модель]],Таблица14[#All],8,0)</f>
        <v>Эконом</v>
      </c>
      <c r="AC15" t="str">
        <f>VLOOKUP(Таблица15[[#This Row],[Модель]],Таблица14[#All],9,0)</f>
        <v>Маленький</v>
      </c>
      <c r="AD15">
        <f>VLOOKUP(Таблица15[[#This Row],[Модель]],Таблица14[#All],10,0)</f>
        <v>120</v>
      </c>
      <c r="AE15">
        <f>VLOOKUP(Таблица15[[#This Row],[Модель]],Таблица14[#All],11,0)</f>
        <v>15</v>
      </c>
      <c r="AF15">
        <v>2020</v>
      </c>
      <c r="AG15">
        <v>0</v>
      </c>
      <c r="AH15" s="22">
        <f>VLOOKUP(Таблица15[[#This Row],[Модель]],Таблица14[#All],12,0)/1000000</f>
        <v>9.49</v>
      </c>
      <c r="AI15" s="21">
        <f>VLOOKUP(Таблица15[[#This Row],[Модель]],Таблица14[#All],13,0)/1000000</f>
        <v>8.99</v>
      </c>
      <c r="AJ15" s="21">
        <f>VLOOKUP(Таблица15[[#This Row],[Модель]],Таблица14[#All],14,0)/1000000</f>
        <v>9.99</v>
      </c>
      <c r="AK15" s="21">
        <f>Таблица15[[#This Row],[Средняя цена (USD)]]*Таблица15[[#This Row],[Кол-во проданных]]/1000000</f>
        <v>0</v>
      </c>
      <c r="AL15" s="39">
        <f>Таблица15[[#This Row],[Средняя цена млн. ₸]]/440*Таблица15[[#This Row],[Кол-во проданных]]</f>
        <v>0</v>
      </c>
      <c r="AM15" s="39">
        <f>Таблица15[[#This Row],[Средняя цена млн. ₸]]*Таблица15[[#This Row],[Кол-во проданных]]/1000</f>
        <v>0</v>
      </c>
      <c r="AP15" s="18" t="s">
        <v>119</v>
      </c>
      <c r="AQ15" s="18" t="s">
        <v>199</v>
      </c>
      <c r="AR15" s="4">
        <v>22000</v>
      </c>
      <c r="AS15" s="4">
        <v>19000</v>
      </c>
      <c r="AT15" s="4">
        <v>25000</v>
      </c>
      <c r="AU15" s="18" t="s">
        <v>206</v>
      </c>
      <c r="AV15" s="18" t="s">
        <v>209</v>
      </c>
      <c r="AW15" s="18" t="s">
        <v>212</v>
      </c>
      <c r="AX15" s="18" t="s">
        <v>217</v>
      </c>
      <c r="AY15" s="20">
        <v>180</v>
      </c>
      <c r="AZ15" s="20">
        <v>12</v>
      </c>
      <c r="BA15" s="4">
        <f>AVERAGE(Таблица14[[#This Row],[Мин. ₸]],Таблица14[[#This Row],[Макс. ₸]])</f>
        <v>14800000</v>
      </c>
      <c r="BB15" s="4">
        <v>14800000</v>
      </c>
      <c r="BC15" s="4">
        <v>14800000</v>
      </c>
      <c r="BD15" s="4">
        <f>Таблица14[[#This Row],[Средняя цена ₸]]/$BI$2</f>
        <v>33636.36363636364</v>
      </c>
      <c r="BE15" s="2">
        <f>Таблица14[[#This Row],[Перевод в USD из ₸]]/Таблица14[[#This Row],[Средняя цена (USD)]]-1</f>
        <v>0.52892561983471098</v>
      </c>
      <c r="BG15" s="4"/>
      <c r="BH15" s="4"/>
      <c r="BI15" s="4"/>
      <c r="BJ15" s="4"/>
    </row>
    <row r="16" spans="2:62">
      <c r="B16" s="14" t="s">
        <v>227</v>
      </c>
      <c r="C16" s="16">
        <v>0.11429687734799988</v>
      </c>
      <c r="D16" s="16">
        <v>0.13094488639615406</v>
      </c>
      <c r="E16" s="16">
        <v>7.7429488360368046E-2</v>
      </c>
      <c r="F16" s="16">
        <v>6.019690924139294E-2</v>
      </c>
      <c r="G16" s="16">
        <v>0.1076923076923077</v>
      </c>
      <c r="H16" s="16">
        <v>0.10110154931796955</v>
      </c>
      <c r="K16" s="14" t="s">
        <v>155</v>
      </c>
      <c r="L16" s="16">
        <v>1</v>
      </c>
      <c r="M16" s="16">
        <v>1</v>
      </c>
      <c r="N16" s="16">
        <v>1</v>
      </c>
      <c r="O16" s="16">
        <v>1</v>
      </c>
      <c r="P16" s="16">
        <v>1</v>
      </c>
      <c r="Q16" s="16">
        <v>1</v>
      </c>
      <c r="T16" t="s">
        <v>124</v>
      </c>
      <c r="U16" t="s">
        <v>89</v>
      </c>
      <c r="V16" t="str">
        <f>VLOOKUP(Таблица15[[#This Row],[Модель]],Таблица14[#All],2,0)</f>
        <v>Внедорожник</v>
      </c>
      <c r="W16" s="20">
        <f>VLOOKUP(Таблица15[[#This Row],[Модель]],Таблица14[#All],3,0)</f>
        <v>15000</v>
      </c>
      <c r="X16" s="20">
        <f>VLOOKUP(Таблица15[[#This Row],[Модель]],Таблица14[#All],4,0)</f>
        <v>13000</v>
      </c>
      <c r="Y16" s="4">
        <f>VLOOKUP(Таблица15[[#This Row],[Модель]],Таблица14[#All],5,0)</f>
        <v>18000</v>
      </c>
      <c r="Z16" t="str">
        <f>VLOOKUP(Таблица15[[#This Row],[Модель]],Таблица14[#All],6,0)</f>
        <v>МКПП, АКПП</v>
      </c>
      <c r="AA16" t="str">
        <f>VLOOKUP(Таблица15[[#This Row],[Модель]],Таблица14[#All],7,0)</f>
        <v>Бензин</v>
      </c>
      <c r="AB16" t="str">
        <f>VLOOKUP(Таблица15[[#This Row],[Модель]],Таблица14[#All],8,0)</f>
        <v>Эконом</v>
      </c>
      <c r="AC16" t="str">
        <f>VLOOKUP(Таблица15[[#This Row],[Модель]],Таблица14[#All],9,0)</f>
        <v>Маленький</v>
      </c>
      <c r="AD16">
        <f>VLOOKUP(Таблица15[[#This Row],[Модель]],Таблица14[#All],10,0)</f>
        <v>120</v>
      </c>
      <c r="AE16">
        <f>VLOOKUP(Таблица15[[#This Row],[Модель]],Таблица14[#All],11,0)</f>
        <v>15</v>
      </c>
      <c r="AF16">
        <v>2019</v>
      </c>
      <c r="AG16">
        <v>0</v>
      </c>
      <c r="AH16" s="22">
        <f>VLOOKUP(Таблица15[[#This Row],[Модель]],Таблица14[#All],12,0)/1000000</f>
        <v>9.49</v>
      </c>
      <c r="AI16" s="21">
        <f>VLOOKUP(Таблица15[[#This Row],[Модель]],Таблица14[#All],13,0)/1000000</f>
        <v>8.99</v>
      </c>
      <c r="AJ16" s="21">
        <f>VLOOKUP(Таблица15[[#This Row],[Модель]],Таблица14[#All],14,0)/1000000</f>
        <v>9.99</v>
      </c>
      <c r="AK16" s="21">
        <f>Таблица15[[#This Row],[Средняя цена (USD)]]*Таблица15[[#This Row],[Кол-во проданных]]/1000000</f>
        <v>0</v>
      </c>
      <c r="AL16" s="39">
        <f>Таблица15[[#This Row],[Средняя цена млн. ₸]]/440*Таблица15[[#This Row],[Кол-во проданных]]</f>
        <v>0</v>
      </c>
      <c r="AM16" s="39">
        <f>Таблица15[[#This Row],[Средняя цена млн. ₸]]*Таблица15[[#This Row],[Кол-во проданных]]/1000</f>
        <v>0</v>
      </c>
      <c r="AP16" s="18" t="s">
        <v>110</v>
      </c>
      <c r="AQ16" s="18" t="s">
        <v>197</v>
      </c>
      <c r="AR16" s="4">
        <v>12000</v>
      </c>
      <c r="AS16" s="4">
        <v>10000</v>
      </c>
      <c r="AT16" s="4">
        <v>14000</v>
      </c>
      <c r="AU16" s="18" t="s">
        <v>206</v>
      </c>
      <c r="AV16" s="18" t="s">
        <v>208</v>
      </c>
      <c r="AW16" s="18" t="s">
        <v>213</v>
      </c>
      <c r="AX16" s="18" t="s">
        <v>216</v>
      </c>
      <c r="AY16" s="20">
        <v>100</v>
      </c>
      <c r="AZ16" s="20">
        <v>16.5</v>
      </c>
      <c r="BA16" s="4">
        <f>AVERAGE(Таблица14[[#This Row],[Мин. ₸]],Таблица14[[#This Row],[Макс. ₸]])</f>
        <v>8500000</v>
      </c>
      <c r="BB16" s="4">
        <v>8500000</v>
      </c>
      <c r="BC16" s="4">
        <v>8500000</v>
      </c>
      <c r="BD16" s="4">
        <f>Таблица14[[#This Row],[Средняя цена ₸]]/$BI$2</f>
        <v>19318.18181818182</v>
      </c>
      <c r="BE16" s="2">
        <f>Таблица14[[#This Row],[Перевод в USD из ₸]]/Таблица14[[#This Row],[Средняя цена (USD)]]-1</f>
        <v>0.60984848484848508</v>
      </c>
      <c r="BG16" s="4"/>
      <c r="BH16" s="4"/>
      <c r="BI16" s="4"/>
      <c r="BJ16" s="4"/>
    </row>
    <row r="17" spans="2:62">
      <c r="B17" s="14" t="s">
        <v>155</v>
      </c>
      <c r="C17" s="16">
        <v>1</v>
      </c>
      <c r="D17" s="16">
        <v>1</v>
      </c>
      <c r="E17" s="16">
        <v>1</v>
      </c>
      <c r="F17" s="16">
        <v>1</v>
      </c>
      <c r="G17" s="16">
        <v>1</v>
      </c>
      <c r="H17" s="16">
        <v>1</v>
      </c>
      <c r="T17" t="s">
        <v>124</v>
      </c>
      <c r="U17" t="s">
        <v>58</v>
      </c>
      <c r="V17" t="str">
        <f>VLOOKUP(Таблица15[[#This Row],[Модель]],Таблица14[#All],2,0)</f>
        <v>Седан</v>
      </c>
      <c r="W17" s="20">
        <f>VLOOKUP(Таблица15[[#This Row],[Модель]],Таблица14[#All],3,0)</f>
        <v>18000</v>
      </c>
      <c r="X17" s="20">
        <f>VLOOKUP(Таблица15[[#This Row],[Модель]],Таблица14[#All],4,0)</f>
        <v>16000</v>
      </c>
      <c r="Y17" s="4">
        <f>VLOOKUP(Таблица15[[#This Row],[Модель]],Таблица14[#All],5,0)</f>
        <v>22000</v>
      </c>
      <c r="Z17" t="str">
        <f>VLOOKUP(Таблица15[[#This Row],[Модель]],Таблица14[#All],6,0)</f>
        <v>МКПП, АКПП</v>
      </c>
      <c r="AA17" t="str">
        <f>VLOOKUP(Таблица15[[#This Row],[Модель]],Таблица14[#All],7,0)</f>
        <v>Бензин</v>
      </c>
      <c r="AB17" t="str">
        <f>VLOOKUP(Таблица15[[#This Row],[Модель]],Таблица14[#All],8,0)</f>
        <v>Комфорт</v>
      </c>
      <c r="AC17" t="str">
        <f>VLOOKUP(Таблица15[[#This Row],[Модель]],Таблица14[#All],9,0)</f>
        <v>Средний</v>
      </c>
      <c r="AD17">
        <f>VLOOKUP(Таблица15[[#This Row],[Модель]],Таблица14[#All],10,0)</f>
        <v>150</v>
      </c>
      <c r="AE17">
        <f>VLOOKUP(Таблица15[[#This Row],[Модель]],Таблица14[#All],11,0)</f>
        <v>13.5</v>
      </c>
      <c r="AF17">
        <v>2023</v>
      </c>
      <c r="AG17">
        <v>3250</v>
      </c>
      <c r="AH17" s="22">
        <f>VLOOKUP(Таблица15[[#This Row],[Модель]],Таблица14[#All],12,0)/1000000</f>
        <v>10.59</v>
      </c>
      <c r="AI17" s="21">
        <f>VLOOKUP(Таблица15[[#This Row],[Модель]],Таблица14[#All],13,0)/1000000</f>
        <v>9.99</v>
      </c>
      <c r="AJ17" s="21">
        <f>VLOOKUP(Таблица15[[#This Row],[Модель]],Таблица14[#All],14,0)/1000000</f>
        <v>11.19</v>
      </c>
      <c r="AK17" s="21">
        <f>Таблица15[[#This Row],[Средняя цена (USD)]]*Таблица15[[#This Row],[Кол-во проданных]]/1000000</f>
        <v>58.5</v>
      </c>
      <c r="AL17" s="39">
        <f>Таблица15[[#This Row],[Средняя цена млн. ₸]]/440*Таблица15[[#This Row],[Кол-во проданных]]</f>
        <v>78.221590909090907</v>
      </c>
      <c r="AM17" s="39">
        <f>Таблица15[[#This Row],[Средняя цена млн. ₸]]*Таблица15[[#This Row],[Кол-во проданных]]/1000</f>
        <v>34.417499999999997</v>
      </c>
      <c r="AP17" s="18" t="s">
        <v>109</v>
      </c>
      <c r="AQ17" s="18" t="s">
        <v>199</v>
      </c>
      <c r="AR17" s="4">
        <v>10000</v>
      </c>
      <c r="AS17" s="4">
        <v>8000</v>
      </c>
      <c r="AT17" s="4">
        <v>12000</v>
      </c>
      <c r="AU17" s="18" t="s">
        <v>205</v>
      </c>
      <c r="AV17" s="18" t="s">
        <v>208</v>
      </c>
      <c r="AW17" s="18" t="s">
        <v>213</v>
      </c>
      <c r="AX17" s="18" t="s">
        <v>216</v>
      </c>
      <c r="AY17" s="20">
        <v>100</v>
      </c>
      <c r="AZ17" s="20">
        <v>16.5</v>
      </c>
      <c r="BA17" s="4">
        <f>AVERAGE(Таблица14[[#This Row],[Мин. ₸]],Таблица14[[#This Row],[Макс. ₸]])</f>
        <v>9193500</v>
      </c>
      <c r="BB17" s="4">
        <v>8389000</v>
      </c>
      <c r="BC17" s="4">
        <v>9998000</v>
      </c>
      <c r="BD17" s="4">
        <f>Таблица14[[#This Row],[Средняя цена ₸]]/$BI$2</f>
        <v>20894.31818181818</v>
      </c>
      <c r="BE17" s="2">
        <f>Таблица14[[#This Row],[Перевод в USD из ₸]]/Таблица14[[#This Row],[Средняя цена (USD)]]-1</f>
        <v>1.0894318181818181</v>
      </c>
      <c r="BG17" s="4"/>
      <c r="BH17" s="4"/>
      <c r="BI17" s="4"/>
      <c r="BJ17" s="4"/>
    </row>
    <row r="18" spans="2:62">
      <c r="T18" t="s">
        <v>124</v>
      </c>
      <c r="U18" t="s">
        <v>58</v>
      </c>
      <c r="V18" t="str">
        <f>VLOOKUP(Таблица15[[#This Row],[Модель]],Таблица14[#All],2,0)</f>
        <v>Седан</v>
      </c>
      <c r="W18" s="20">
        <f>VLOOKUP(Таблица15[[#This Row],[Модель]],Таблица14[#All],3,0)</f>
        <v>18000</v>
      </c>
      <c r="X18" s="20">
        <f>VLOOKUP(Таблица15[[#This Row],[Модель]],Таблица14[#All],4,0)</f>
        <v>16000</v>
      </c>
      <c r="Y18" s="4">
        <f>VLOOKUP(Таблица15[[#This Row],[Модель]],Таблица14[#All],5,0)</f>
        <v>22000</v>
      </c>
      <c r="Z18" t="str">
        <f>VLOOKUP(Таблица15[[#This Row],[Модель]],Таблица14[#All],6,0)</f>
        <v>МКПП, АКПП</v>
      </c>
      <c r="AA18" t="str">
        <f>VLOOKUP(Таблица15[[#This Row],[Модель]],Таблица14[#All],7,0)</f>
        <v>Бензин</v>
      </c>
      <c r="AB18" t="str">
        <f>VLOOKUP(Таблица15[[#This Row],[Модель]],Таблица14[#All],8,0)</f>
        <v>Комфорт</v>
      </c>
      <c r="AC18" t="str">
        <f>VLOOKUP(Таблица15[[#This Row],[Модель]],Таблица14[#All],9,0)</f>
        <v>Средний</v>
      </c>
      <c r="AD18">
        <f>VLOOKUP(Таблица15[[#This Row],[Модель]],Таблица14[#All],10,0)</f>
        <v>150</v>
      </c>
      <c r="AE18">
        <f>VLOOKUP(Таблица15[[#This Row],[Модель]],Таблица14[#All],11,0)</f>
        <v>13.5</v>
      </c>
      <c r="AF18">
        <v>2022</v>
      </c>
      <c r="AG18">
        <v>0</v>
      </c>
      <c r="AH18" s="22">
        <f>VLOOKUP(Таблица15[[#This Row],[Модель]],Таблица14[#All],12,0)/1000000</f>
        <v>10.59</v>
      </c>
      <c r="AI18" s="21">
        <f>VLOOKUP(Таблица15[[#This Row],[Модель]],Таблица14[#All],13,0)/1000000</f>
        <v>9.99</v>
      </c>
      <c r="AJ18" s="21">
        <f>VLOOKUP(Таблица15[[#This Row],[Модель]],Таблица14[#All],14,0)/1000000</f>
        <v>11.19</v>
      </c>
      <c r="AK18" s="21">
        <f>Таблица15[[#This Row],[Средняя цена (USD)]]*Таблица15[[#This Row],[Кол-во проданных]]/1000000</f>
        <v>0</v>
      </c>
      <c r="AL18" s="39">
        <f>Таблица15[[#This Row],[Средняя цена млн. ₸]]/440*Таблица15[[#This Row],[Кол-во проданных]]</f>
        <v>0</v>
      </c>
      <c r="AM18" s="39">
        <f>Таблица15[[#This Row],[Средняя цена млн. ₸]]*Таблица15[[#This Row],[Кол-во проданных]]/1000</f>
        <v>0</v>
      </c>
      <c r="AP18" s="18" t="s">
        <v>101</v>
      </c>
      <c r="AQ18" s="18" t="s">
        <v>202</v>
      </c>
      <c r="AR18" s="4">
        <v>18000</v>
      </c>
      <c r="AS18" s="4">
        <v>16000</v>
      </c>
      <c r="AT18" s="4">
        <v>22000</v>
      </c>
      <c r="AU18" s="18" t="s">
        <v>206</v>
      </c>
      <c r="AV18" s="18" t="s">
        <v>209</v>
      </c>
      <c r="AW18" s="18" t="s">
        <v>212</v>
      </c>
      <c r="AX18" s="18" t="s">
        <v>217</v>
      </c>
      <c r="AY18" s="20">
        <v>150</v>
      </c>
      <c r="AZ18" s="20">
        <v>13.5</v>
      </c>
      <c r="BA18" s="4">
        <f>AVERAGE(Таблица14[[#This Row],[Мин. ₸]],Таблица14[[#This Row],[Макс. ₸]])</f>
        <v>9990000</v>
      </c>
      <c r="BB18" s="4">
        <v>9990000</v>
      </c>
      <c r="BC18" s="4">
        <v>9990000</v>
      </c>
      <c r="BD18" s="4">
        <f>Таблица14[[#This Row],[Средняя цена ₸]]/$BI$2</f>
        <v>22704.545454545456</v>
      </c>
      <c r="BE18" s="2">
        <f>Таблица14[[#This Row],[Перевод в USD из ₸]]/Таблица14[[#This Row],[Средняя цена (USD)]]-1</f>
        <v>0.26136363636363646</v>
      </c>
      <c r="BG18" s="4"/>
      <c r="BH18" s="4"/>
      <c r="BI18" s="4"/>
      <c r="BJ18" s="4"/>
    </row>
    <row r="19" spans="2:62">
      <c r="B19" s="13" t="s">
        <v>218</v>
      </c>
      <c r="D19" s="13" t="s">
        <v>151</v>
      </c>
      <c r="T19" t="s">
        <v>124</v>
      </c>
      <c r="U19" t="s">
        <v>58</v>
      </c>
      <c r="V19" t="str">
        <f>VLOOKUP(Таблица15[[#This Row],[Модель]],Таблица14[#All],2,0)</f>
        <v>Седан</v>
      </c>
      <c r="W19" s="20">
        <f>VLOOKUP(Таблица15[[#This Row],[Модель]],Таблица14[#All],3,0)</f>
        <v>18000</v>
      </c>
      <c r="X19" s="20">
        <f>VLOOKUP(Таблица15[[#This Row],[Модель]],Таблица14[#All],4,0)</f>
        <v>16000</v>
      </c>
      <c r="Y19" s="4">
        <f>VLOOKUP(Таблица15[[#This Row],[Модель]],Таблица14[#All],5,0)</f>
        <v>22000</v>
      </c>
      <c r="Z19" t="str">
        <f>VLOOKUP(Таблица15[[#This Row],[Модель]],Таблица14[#All],6,0)</f>
        <v>МКПП, АКПП</v>
      </c>
      <c r="AA19" t="str">
        <f>VLOOKUP(Таблица15[[#This Row],[Модель]],Таблица14[#All],7,0)</f>
        <v>Бензин</v>
      </c>
      <c r="AB19" t="str">
        <f>VLOOKUP(Таблица15[[#This Row],[Модель]],Таблица14[#All],8,0)</f>
        <v>Комфорт</v>
      </c>
      <c r="AC19" t="str">
        <f>VLOOKUP(Таблица15[[#This Row],[Модель]],Таблица14[#All],9,0)</f>
        <v>Средний</v>
      </c>
      <c r="AD19">
        <f>VLOOKUP(Таблица15[[#This Row],[Модель]],Таблица14[#All],10,0)</f>
        <v>150</v>
      </c>
      <c r="AE19">
        <f>VLOOKUP(Таблица15[[#This Row],[Модель]],Таблица14[#All],11,0)</f>
        <v>13.5</v>
      </c>
      <c r="AF19">
        <v>2021</v>
      </c>
      <c r="AG19">
        <v>0</v>
      </c>
      <c r="AH19" s="22">
        <f>VLOOKUP(Таблица15[[#This Row],[Модель]],Таблица14[#All],12,0)/1000000</f>
        <v>10.59</v>
      </c>
      <c r="AI19" s="21">
        <f>VLOOKUP(Таблица15[[#This Row],[Модель]],Таблица14[#All],13,0)/1000000</f>
        <v>9.99</v>
      </c>
      <c r="AJ19" s="21">
        <f>VLOOKUP(Таблица15[[#This Row],[Модель]],Таблица14[#All],14,0)/1000000</f>
        <v>11.19</v>
      </c>
      <c r="AK19" s="21">
        <f>Таблица15[[#This Row],[Средняя цена (USD)]]*Таблица15[[#This Row],[Кол-во проданных]]/1000000</f>
        <v>0</v>
      </c>
      <c r="AL19" s="39">
        <f>Таблица15[[#This Row],[Средняя цена млн. ₸]]/440*Таблица15[[#This Row],[Кол-во проданных]]</f>
        <v>0</v>
      </c>
      <c r="AM19" s="39">
        <f>Таблица15[[#This Row],[Средняя цена млн. ₸]]*Таблица15[[#This Row],[Кол-во проданных]]/1000</f>
        <v>0</v>
      </c>
      <c r="AP19" s="18" t="s">
        <v>111</v>
      </c>
      <c r="AQ19" s="18" t="s">
        <v>203</v>
      </c>
      <c r="AR19" s="4">
        <v>20000</v>
      </c>
      <c r="AS19" s="4">
        <v>18000</v>
      </c>
      <c r="AT19" s="4">
        <v>24000</v>
      </c>
      <c r="AU19" s="18" t="s">
        <v>204</v>
      </c>
      <c r="AV19" s="18" t="s">
        <v>208</v>
      </c>
      <c r="AW19" s="18" t="s">
        <v>212</v>
      </c>
      <c r="AX19" s="18" t="s">
        <v>217</v>
      </c>
      <c r="AY19" s="20">
        <v>160</v>
      </c>
      <c r="AZ19" s="20">
        <v>12.5</v>
      </c>
      <c r="BA19" s="4">
        <f>AVERAGE(Таблица14[[#This Row],[Мин. ₸]],Таблица14[[#This Row],[Макс. ₸]])</f>
        <v>9000000</v>
      </c>
      <c r="BB19" s="4">
        <v>9000000</v>
      </c>
      <c r="BC19" s="4">
        <v>9000000</v>
      </c>
      <c r="BD19" s="4">
        <f>Таблица14[[#This Row],[Средняя цена ₸]]/$BI$2</f>
        <v>20454.545454545456</v>
      </c>
      <c r="BE19" s="2">
        <f>Таблица14[[#This Row],[Перевод в USD из ₸]]/Таблица14[[#This Row],[Средняя цена (USD)]]-1</f>
        <v>2.2727272727272707E-2</v>
      </c>
      <c r="BG19" s="4"/>
      <c r="BH19" s="4"/>
      <c r="BI19" s="4"/>
      <c r="BJ19" s="4"/>
    </row>
    <row r="20" spans="2:62">
      <c r="B20" s="13" t="s">
        <v>24</v>
      </c>
      <c r="C20" s="13" t="s">
        <v>228</v>
      </c>
      <c r="D20">
        <v>2023</v>
      </c>
      <c r="E20">
        <v>2022</v>
      </c>
      <c r="F20">
        <v>2021</v>
      </c>
      <c r="G20">
        <v>2020</v>
      </c>
      <c r="H20">
        <v>2019</v>
      </c>
      <c r="I20" t="s">
        <v>155</v>
      </c>
      <c r="T20" t="s">
        <v>124</v>
      </c>
      <c r="U20" t="s">
        <v>58</v>
      </c>
      <c r="V20" t="str">
        <f>VLOOKUP(Таблица15[[#This Row],[Модель]],Таблица14[#All],2,0)</f>
        <v>Седан</v>
      </c>
      <c r="W20" s="20">
        <f>VLOOKUP(Таблица15[[#This Row],[Модель]],Таблица14[#All],3,0)</f>
        <v>18000</v>
      </c>
      <c r="X20" s="20">
        <f>VLOOKUP(Таблица15[[#This Row],[Модель]],Таблица14[#All],4,0)</f>
        <v>16000</v>
      </c>
      <c r="Y20" s="4">
        <f>VLOOKUP(Таблица15[[#This Row],[Модель]],Таблица14[#All],5,0)</f>
        <v>22000</v>
      </c>
      <c r="Z20" t="str">
        <f>VLOOKUP(Таблица15[[#This Row],[Модель]],Таблица14[#All],6,0)</f>
        <v>МКПП, АКПП</v>
      </c>
      <c r="AA20" t="str">
        <f>VLOOKUP(Таблица15[[#This Row],[Модель]],Таблица14[#All],7,0)</f>
        <v>Бензин</v>
      </c>
      <c r="AB20" t="str">
        <f>VLOOKUP(Таблица15[[#This Row],[Модель]],Таблица14[#All],8,0)</f>
        <v>Комфорт</v>
      </c>
      <c r="AC20" t="str">
        <f>VLOOKUP(Таблица15[[#This Row],[Модель]],Таблица14[#All],9,0)</f>
        <v>Средний</v>
      </c>
      <c r="AD20">
        <f>VLOOKUP(Таблица15[[#This Row],[Модель]],Таблица14[#All],10,0)</f>
        <v>150</v>
      </c>
      <c r="AE20">
        <f>VLOOKUP(Таблица15[[#This Row],[Модель]],Таблица14[#All],11,0)</f>
        <v>13.5</v>
      </c>
      <c r="AF20">
        <v>2020</v>
      </c>
      <c r="AG20">
        <v>0</v>
      </c>
      <c r="AH20" s="22">
        <f>VLOOKUP(Таблица15[[#This Row],[Модель]],Таблица14[#All],12,0)/1000000</f>
        <v>10.59</v>
      </c>
      <c r="AI20" s="21">
        <f>VLOOKUP(Таблица15[[#This Row],[Модель]],Таблица14[#All],13,0)/1000000</f>
        <v>9.99</v>
      </c>
      <c r="AJ20" s="21">
        <f>VLOOKUP(Таблица15[[#This Row],[Модель]],Таблица14[#All],14,0)/1000000</f>
        <v>11.19</v>
      </c>
      <c r="AK20" s="21">
        <f>Таблица15[[#This Row],[Средняя цена (USD)]]*Таблица15[[#This Row],[Кол-во проданных]]/1000000</f>
        <v>0</v>
      </c>
      <c r="AL20" s="39">
        <f>Таблица15[[#This Row],[Средняя цена млн. ₸]]/440*Таблица15[[#This Row],[Кол-во проданных]]</f>
        <v>0</v>
      </c>
      <c r="AM20" s="39">
        <f>Таблица15[[#This Row],[Средняя цена млн. ₸]]*Таблица15[[#This Row],[Кол-во проданных]]/1000</f>
        <v>0</v>
      </c>
      <c r="AP20" s="18" t="s">
        <v>107</v>
      </c>
      <c r="AQ20" s="18" t="s">
        <v>203</v>
      </c>
      <c r="AR20" s="4">
        <v>20000</v>
      </c>
      <c r="AS20" s="4">
        <v>18000</v>
      </c>
      <c r="AT20" s="4">
        <v>24000</v>
      </c>
      <c r="AU20" s="18" t="s">
        <v>204</v>
      </c>
      <c r="AV20" s="18" t="s">
        <v>211</v>
      </c>
      <c r="AW20" s="18" t="s">
        <v>212</v>
      </c>
      <c r="AX20" s="18" t="s">
        <v>217</v>
      </c>
      <c r="AY20" s="20">
        <v>160</v>
      </c>
      <c r="AZ20" s="20">
        <v>12.5</v>
      </c>
      <c r="BA20" s="4">
        <f>AVERAGE(Таблица14[[#This Row],[Мин. ₸]],Таблица14[[#This Row],[Макс. ₸]])</f>
        <v>10990000</v>
      </c>
      <c r="BB20" s="4">
        <v>10990000</v>
      </c>
      <c r="BC20" s="4">
        <v>10990000</v>
      </c>
      <c r="BD20" s="4">
        <f>Таблица14[[#This Row],[Средняя цена ₸]]/$BI$2</f>
        <v>24977.272727272728</v>
      </c>
      <c r="BE20" s="2">
        <f>Таблица14[[#This Row],[Перевод в USD из ₸]]/Таблица14[[#This Row],[Средняя цена (USD)]]-1</f>
        <v>0.24886363636363629</v>
      </c>
      <c r="BG20" s="4"/>
      <c r="BH20" s="4"/>
      <c r="BI20" s="4"/>
      <c r="BJ20" s="4"/>
    </row>
    <row r="21" spans="2:62">
      <c r="B21" t="s">
        <v>25</v>
      </c>
      <c r="C21" s="20">
        <v>12000</v>
      </c>
      <c r="D21" s="16">
        <v>0.18296516695218346</v>
      </c>
      <c r="E21" s="16">
        <v>0.22109349663290029</v>
      </c>
      <c r="F21" s="16">
        <v>0.14878949766819535</v>
      </c>
      <c r="G21" s="16">
        <v>6.0159849785672813E-2</v>
      </c>
      <c r="H21" s="16">
        <v>0</v>
      </c>
      <c r="I21" s="16">
        <v>0.14189077519707585</v>
      </c>
      <c r="T21" t="s">
        <v>124</v>
      </c>
      <c r="U21" t="s">
        <v>58</v>
      </c>
      <c r="V21" t="str">
        <f>VLOOKUP(Таблица15[[#This Row],[Модель]],Таблица14[#All],2,0)</f>
        <v>Седан</v>
      </c>
      <c r="W21" s="20">
        <f>VLOOKUP(Таблица15[[#This Row],[Модель]],Таблица14[#All],3,0)</f>
        <v>18000</v>
      </c>
      <c r="X21" s="20">
        <f>VLOOKUP(Таблица15[[#This Row],[Модель]],Таблица14[#All],4,0)</f>
        <v>16000</v>
      </c>
      <c r="Y21" s="4">
        <f>VLOOKUP(Таблица15[[#This Row],[Модель]],Таблица14[#All],5,0)</f>
        <v>22000</v>
      </c>
      <c r="Z21" t="str">
        <f>VLOOKUP(Таблица15[[#This Row],[Модель]],Таблица14[#All],6,0)</f>
        <v>МКПП, АКПП</v>
      </c>
      <c r="AA21" t="str">
        <f>VLOOKUP(Таблица15[[#This Row],[Модель]],Таблица14[#All],7,0)</f>
        <v>Бензин</v>
      </c>
      <c r="AB21" t="str">
        <f>VLOOKUP(Таблица15[[#This Row],[Модель]],Таблица14[#All],8,0)</f>
        <v>Комфорт</v>
      </c>
      <c r="AC21" t="str">
        <f>VLOOKUP(Таблица15[[#This Row],[Модель]],Таблица14[#All],9,0)</f>
        <v>Средний</v>
      </c>
      <c r="AD21">
        <f>VLOOKUP(Таблица15[[#This Row],[Модель]],Таблица14[#All],10,0)</f>
        <v>150</v>
      </c>
      <c r="AE21">
        <f>VLOOKUP(Таблица15[[#This Row],[Модель]],Таблица14[#All],11,0)</f>
        <v>13.5</v>
      </c>
      <c r="AF21">
        <v>2019</v>
      </c>
      <c r="AG21">
        <v>0</v>
      </c>
      <c r="AH21" s="22">
        <f>VLOOKUP(Таблица15[[#This Row],[Модель]],Таблица14[#All],12,0)/1000000</f>
        <v>10.59</v>
      </c>
      <c r="AI21" s="21">
        <f>VLOOKUP(Таблица15[[#This Row],[Модель]],Таблица14[#All],13,0)/1000000</f>
        <v>9.99</v>
      </c>
      <c r="AJ21" s="21">
        <f>VLOOKUP(Таблица15[[#This Row],[Модель]],Таблица14[#All],14,0)/1000000</f>
        <v>11.19</v>
      </c>
      <c r="AK21" s="21">
        <f>Таблица15[[#This Row],[Средняя цена (USD)]]*Таблица15[[#This Row],[Кол-во проданных]]/1000000</f>
        <v>0</v>
      </c>
      <c r="AL21" s="39">
        <f>Таблица15[[#This Row],[Средняя цена млн. ₸]]/440*Таблица15[[#This Row],[Кол-во проданных]]</f>
        <v>0</v>
      </c>
      <c r="AM21" s="39">
        <f>Таблица15[[#This Row],[Средняя цена млн. ₸]]*Таблица15[[#This Row],[Кол-во проданных]]/1000</f>
        <v>0</v>
      </c>
      <c r="AP21" s="18" t="s">
        <v>115</v>
      </c>
      <c r="AQ21" s="18" t="s">
        <v>199</v>
      </c>
      <c r="AR21" s="4">
        <v>9000</v>
      </c>
      <c r="AS21" s="4">
        <v>8000</v>
      </c>
      <c r="AT21" s="4">
        <v>11000</v>
      </c>
      <c r="AU21" s="18" t="s">
        <v>205</v>
      </c>
      <c r="AV21" s="18" t="s">
        <v>208</v>
      </c>
      <c r="AW21" s="18" t="s">
        <v>213</v>
      </c>
      <c r="AX21" s="18" t="s">
        <v>216</v>
      </c>
      <c r="AY21" s="20">
        <v>95</v>
      </c>
      <c r="AZ21" s="20">
        <v>17</v>
      </c>
      <c r="BA21" s="4">
        <f>AVERAGE(Таблица14[[#This Row],[Мин. ₸]],Таблица14[[#This Row],[Макс. ₸]])</f>
        <v>7000000</v>
      </c>
      <c r="BB21" s="4">
        <v>7000000</v>
      </c>
      <c r="BC21" s="4">
        <v>7000000</v>
      </c>
      <c r="BD21" s="4">
        <f>Таблица14[[#This Row],[Средняя цена ₸]]/$BI$2</f>
        <v>15909.09090909091</v>
      </c>
      <c r="BE21" s="2">
        <f>Таблица14[[#This Row],[Перевод в USD из ₸]]/Таблица14[[#This Row],[Средняя цена (USD)]]-1</f>
        <v>0.76767676767676774</v>
      </c>
      <c r="BG21" s="4"/>
      <c r="BH21" s="4"/>
      <c r="BI21" s="4"/>
      <c r="BJ21" s="4"/>
    </row>
    <row r="22" spans="2:62">
      <c r="B22" t="s">
        <v>47</v>
      </c>
      <c r="C22" s="20">
        <v>23000</v>
      </c>
      <c r="D22" s="16">
        <v>8.6706939560604698E-2</v>
      </c>
      <c r="E22" s="16">
        <v>8.4616265094717563E-2</v>
      </c>
      <c r="F22" s="16">
        <v>2.4103394448268842E-2</v>
      </c>
      <c r="G22" s="16">
        <v>6.0876332596261934E-2</v>
      </c>
      <c r="H22" s="16">
        <v>7.2004918158764308E-2</v>
      </c>
      <c r="I22" s="16">
        <v>6.8020478209232876E-2</v>
      </c>
      <c r="T22" t="s">
        <v>124</v>
      </c>
      <c r="U22" t="s">
        <v>76</v>
      </c>
      <c r="V22" t="str">
        <f>VLOOKUP(Таблица15[[#This Row],[Модель]],Таблица14[#All],2,0)</f>
        <v>Внедорожник</v>
      </c>
      <c r="W22" s="20">
        <f>VLOOKUP(Таблица15[[#This Row],[Модель]],Таблица14[#All],3,0)</f>
        <v>22000</v>
      </c>
      <c r="X22" s="20">
        <f>VLOOKUP(Таблица15[[#This Row],[Модель]],Таблица14[#All],4,0)</f>
        <v>19000</v>
      </c>
      <c r="Y22" s="4">
        <f>VLOOKUP(Таблица15[[#This Row],[Модель]],Таблица14[#All],5,0)</f>
        <v>25000</v>
      </c>
      <c r="Z22" t="str">
        <f>VLOOKUP(Таблица15[[#This Row],[Модель]],Таблица14[#All],6,0)</f>
        <v>АКПП</v>
      </c>
      <c r="AA22" t="str">
        <f>VLOOKUP(Таблица15[[#This Row],[Модель]],Таблица14[#All],7,0)</f>
        <v>Бензин</v>
      </c>
      <c r="AB22" t="str">
        <f>VLOOKUP(Таблица15[[#This Row],[Модель]],Таблица14[#All],8,0)</f>
        <v>Комфорт</v>
      </c>
      <c r="AC22" t="str">
        <f>VLOOKUP(Таблица15[[#This Row],[Модель]],Таблица14[#All],9,0)</f>
        <v>Средний</v>
      </c>
      <c r="AD22">
        <f>VLOOKUP(Таблица15[[#This Row],[Модель]],Таблица14[#All],10,0)</f>
        <v>170</v>
      </c>
      <c r="AE22">
        <f>VLOOKUP(Таблица15[[#This Row],[Модель]],Таблица14[#All],11,0)</f>
        <v>12.5</v>
      </c>
      <c r="AF22">
        <v>2023</v>
      </c>
      <c r="AG22">
        <v>1396</v>
      </c>
      <c r="AH22" s="22">
        <f>VLOOKUP(Таблица15[[#This Row],[Модель]],Таблица14[#All],12,0)/1000000</f>
        <v>13.94</v>
      </c>
      <c r="AI22" s="21">
        <f>VLOOKUP(Таблица15[[#This Row],[Модель]],Таблица14[#All],13,0)/1000000</f>
        <v>12.89</v>
      </c>
      <c r="AJ22" s="21">
        <f>VLOOKUP(Таблица15[[#This Row],[Модель]],Таблица14[#All],14,0)/1000000</f>
        <v>14.99</v>
      </c>
      <c r="AK22" s="21">
        <f>Таблица15[[#This Row],[Средняя цена (USD)]]*Таблица15[[#This Row],[Кол-во проданных]]/1000000</f>
        <v>30.712</v>
      </c>
      <c r="AL22" s="39">
        <f>Таблица15[[#This Row],[Средняя цена млн. ₸]]/440*Таблица15[[#This Row],[Кол-во проданных]]</f>
        <v>44.227818181818179</v>
      </c>
      <c r="AM22" s="39">
        <f>Таблица15[[#This Row],[Средняя цена млн. ₸]]*Таблица15[[#This Row],[Кол-во проданных]]/1000</f>
        <v>19.460239999999999</v>
      </c>
      <c r="AP22" s="18" t="s">
        <v>114</v>
      </c>
      <c r="AQ22" s="18" t="s">
        <v>199</v>
      </c>
      <c r="AR22" s="4">
        <v>8000</v>
      </c>
      <c r="AS22" s="4">
        <v>7000</v>
      </c>
      <c r="AT22" s="4">
        <v>10000</v>
      </c>
      <c r="AU22" s="18" t="s">
        <v>205</v>
      </c>
      <c r="AV22" s="18" t="s">
        <v>208</v>
      </c>
      <c r="AW22" s="18" t="s">
        <v>213</v>
      </c>
      <c r="AX22" s="18" t="s">
        <v>216</v>
      </c>
      <c r="AY22" s="20">
        <v>90</v>
      </c>
      <c r="AZ22" s="20">
        <v>17.5</v>
      </c>
      <c r="BA22" s="4">
        <f>AVERAGE(Таблица14[[#This Row],[Мин. ₸]],Таблица14[[#This Row],[Макс. ₸]])</f>
        <v>6380000</v>
      </c>
      <c r="BB22" s="4">
        <v>6380000</v>
      </c>
      <c r="BC22" s="4">
        <v>6380000</v>
      </c>
      <c r="BD22" s="4">
        <f>Таблица14[[#This Row],[Средняя цена ₸]]/$BI$2</f>
        <v>14500</v>
      </c>
      <c r="BE22" s="2">
        <f>Таблица14[[#This Row],[Перевод в USD из ₸]]/Таблица14[[#This Row],[Средняя цена (USD)]]-1</f>
        <v>0.8125</v>
      </c>
      <c r="BG22" s="4"/>
      <c r="BH22" s="4"/>
      <c r="BI22" s="4"/>
      <c r="BJ22" s="4"/>
    </row>
    <row r="23" spans="2:62">
      <c r="B23" t="s">
        <v>26</v>
      </c>
      <c r="C23" s="20">
        <v>10000</v>
      </c>
      <c r="D23" s="16">
        <v>2.3809094460974362E-2</v>
      </c>
      <c r="E23" s="16">
        <v>6.8143230508021901E-2</v>
      </c>
      <c r="F23" s="16">
        <v>0.1063613182210415</v>
      </c>
      <c r="G23" s="16">
        <v>3.6318266605724452E-2</v>
      </c>
      <c r="H23" s="16">
        <v>0</v>
      </c>
      <c r="I23" s="16">
        <v>4.8072673044327177E-2</v>
      </c>
      <c r="T23" t="s">
        <v>124</v>
      </c>
      <c r="U23" t="s">
        <v>76</v>
      </c>
      <c r="V23" t="str">
        <f>VLOOKUP(Таблица15[[#This Row],[Модель]],Таблица14[#All],2,0)</f>
        <v>Внедорожник</v>
      </c>
      <c r="W23" s="20">
        <f>VLOOKUP(Таблица15[[#This Row],[Модель]],Таблица14[#All],3,0)</f>
        <v>22000</v>
      </c>
      <c r="X23" s="20">
        <f>VLOOKUP(Таблица15[[#This Row],[Модель]],Таблица14[#All],4,0)</f>
        <v>19000</v>
      </c>
      <c r="Y23" s="4">
        <f>VLOOKUP(Таблица15[[#This Row],[Модель]],Таблица14[#All],5,0)</f>
        <v>25000</v>
      </c>
      <c r="Z23" t="str">
        <f>VLOOKUP(Таблица15[[#This Row],[Модель]],Таблица14[#All],6,0)</f>
        <v>АКПП</v>
      </c>
      <c r="AA23" t="str">
        <f>VLOOKUP(Таблица15[[#This Row],[Модель]],Таблица14[#All],7,0)</f>
        <v>Бензин</v>
      </c>
      <c r="AB23" t="str">
        <f>VLOOKUP(Таблица15[[#This Row],[Модель]],Таблица14[#All],8,0)</f>
        <v>Комфорт</v>
      </c>
      <c r="AC23" t="str">
        <f>VLOOKUP(Таблица15[[#This Row],[Модель]],Таблица14[#All],9,0)</f>
        <v>Средний</v>
      </c>
      <c r="AD23">
        <f>VLOOKUP(Таблица15[[#This Row],[Модель]],Таблица14[#All],10,0)</f>
        <v>170</v>
      </c>
      <c r="AE23">
        <f>VLOOKUP(Таблица15[[#This Row],[Модель]],Таблица14[#All],11,0)</f>
        <v>12.5</v>
      </c>
      <c r="AF23">
        <v>2022</v>
      </c>
      <c r="AG23">
        <v>0</v>
      </c>
      <c r="AH23" s="22">
        <f>VLOOKUP(Таблица15[[#This Row],[Модель]],Таблица14[#All],12,0)/1000000</f>
        <v>13.94</v>
      </c>
      <c r="AI23" s="21">
        <f>VLOOKUP(Таблица15[[#This Row],[Модель]],Таблица14[#All],13,0)/1000000</f>
        <v>12.89</v>
      </c>
      <c r="AJ23" s="21">
        <f>VLOOKUP(Таблица15[[#This Row],[Модель]],Таблица14[#All],14,0)/1000000</f>
        <v>14.99</v>
      </c>
      <c r="AK23" s="21">
        <f>Таблица15[[#This Row],[Средняя цена (USD)]]*Таблица15[[#This Row],[Кол-во проданных]]/1000000</f>
        <v>0</v>
      </c>
      <c r="AL23" s="39">
        <f>Таблица15[[#This Row],[Средняя цена млн. ₸]]/440*Таблица15[[#This Row],[Кол-во проданных]]</f>
        <v>0</v>
      </c>
      <c r="AM23" s="39">
        <f>Таблица15[[#This Row],[Средняя цена млн. ₸]]*Таблица15[[#This Row],[Кол-во проданных]]/1000</f>
        <v>0</v>
      </c>
      <c r="AP23" s="18" t="s">
        <v>86</v>
      </c>
      <c r="AQ23" s="18" t="s">
        <v>203</v>
      </c>
      <c r="AR23" s="4">
        <v>18000</v>
      </c>
      <c r="AS23" s="4">
        <v>16000</v>
      </c>
      <c r="AT23" s="4">
        <v>22000</v>
      </c>
      <c r="AU23" s="18" t="s">
        <v>204</v>
      </c>
      <c r="AV23" s="18" t="s">
        <v>208</v>
      </c>
      <c r="AW23" s="18" t="s">
        <v>212</v>
      </c>
      <c r="AX23" s="18" t="s">
        <v>217</v>
      </c>
      <c r="AY23" s="20">
        <v>150</v>
      </c>
      <c r="AZ23" s="20">
        <v>13.5</v>
      </c>
      <c r="BA23" s="4">
        <f>AVERAGE(Таблица14[[#This Row],[Мин. ₸]],Таблица14[[#This Row],[Макс. ₸]])</f>
        <v>12590000</v>
      </c>
      <c r="BB23" s="4">
        <v>11890000</v>
      </c>
      <c r="BC23" s="4">
        <v>13290000</v>
      </c>
      <c r="BD23" s="4">
        <f>Таблица14[[#This Row],[Средняя цена ₸]]/$BI$2</f>
        <v>28613.636363636364</v>
      </c>
      <c r="BE23" s="2">
        <f>Таблица14[[#This Row],[Перевод в USD из ₸]]/Таблица14[[#This Row],[Средняя цена (USD)]]-1</f>
        <v>0.58964646464646475</v>
      </c>
      <c r="BG23" s="4"/>
      <c r="BH23" s="4"/>
      <c r="BI23" s="4"/>
      <c r="BJ23" s="4"/>
    </row>
    <row r="24" spans="2:62">
      <c r="B24" t="s">
        <v>27</v>
      </c>
      <c r="C24" s="20">
        <v>15000</v>
      </c>
      <c r="D24" s="16">
        <v>1.6361614522285337E-2</v>
      </c>
      <c r="E24" s="16">
        <v>2.8205421698239187E-2</v>
      </c>
      <c r="F24" s="16">
        <v>8.8065620182472201E-2</v>
      </c>
      <c r="G24" s="16">
        <v>6.3853442205778807E-2</v>
      </c>
      <c r="H24" s="16">
        <v>5.3700146007838317E-2</v>
      </c>
      <c r="I24" s="16">
        <v>4.5017084391899422E-2</v>
      </c>
      <c r="T24" t="s">
        <v>124</v>
      </c>
      <c r="U24" t="s">
        <v>76</v>
      </c>
      <c r="V24" t="str">
        <f>VLOOKUP(Таблица15[[#This Row],[Модель]],Таблица14[#All],2,0)</f>
        <v>Внедорожник</v>
      </c>
      <c r="W24" s="20">
        <f>VLOOKUP(Таблица15[[#This Row],[Модель]],Таблица14[#All],3,0)</f>
        <v>22000</v>
      </c>
      <c r="X24" s="20">
        <f>VLOOKUP(Таблица15[[#This Row],[Модель]],Таблица14[#All],4,0)</f>
        <v>19000</v>
      </c>
      <c r="Y24" s="4">
        <f>VLOOKUP(Таблица15[[#This Row],[Модель]],Таблица14[#All],5,0)</f>
        <v>25000</v>
      </c>
      <c r="Z24" t="str">
        <f>VLOOKUP(Таблица15[[#This Row],[Модель]],Таблица14[#All],6,0)</f>
        <v>АКПП</v>
      </c>
      <c r="AA24" t="str">
        <f>VLOOKUP(Таблица15[[#This Row],[Модель]],Таблица14[#All],7,0)</f>
        <v>Бензин</v>
      </c>
      <c r="AB24" t="str">
        <f>VLOOKUP(Таблица15[[#This Row],[Модель]],Таблица14[#All],8,0)</f>
        <v>Комфорт</v>
      </c>
      <c r="AC24" t="str">
        <f>VLOOKUP(Таблица15[[#This Row],[Модель]],Таблица14[#All],9,0)</f>
        <v>Средний</v>
      </c>
      <c r="AD24">
        <f>VLOOKUP(Таблица15[[#This Row],[Модель]],Таблица14[#All],10,0)</f>
        <v>170</v>
      </c>
      <c r="AE24">
        <f>VLOOKUP(Таблица15[[#This Row],[Модель]],Таблица14[#All],11,0)</f>
        <v>12.5</v>
      </c>
      <c r="AF24">
        <v>2021</v>
      </c>
      <c r="AG24">
        <v>0</v>
      </c>
      <c r="AH24" s="22">
        <f>VLOOKUP(Таблица15[[#This Row],[Модель]],Таблица14[#All],12,0)/1000000</f>
        <v>13.94</v>
      </c>
      <c r="AI24" s="21">
        <f>VLOOKUP(Таблица15[[#This Row],[Модель]],Таблица14[#All],13,0)/1000000</f>
        <v>12.89</v>
      </c>
      <c r="AJ24" s="21">
        <f>VLOOKUP(Таблица15[[#This Row],[Модель]],Таблица14[#All],14,0)/1000000</f>
        <v>14.99</v>
      </c>
      <c r="AK24" s="21">
        <f>Таблица15[[#This Row],[Средняя цена (USD)]]*Таблица15[[#This Row],[Кол-во проданных]]/1000000</f>
        <v>0</v>
      </c>
      <c r="AL24" s="39">
        <f>Таблица15[[#This Row],[Средняя цена млн. ₸]]/440*Таблица15[[#This Row],[Кол-во проданных]]</f>
        <v>0</v>
      </c>
      <c r="AM24" s="39">
        <f>Таблица15[[#This Row],[Средняя цена млн. ₸]]*Таблица15[[#This Row],[Кол-во проданных]]/1000</f>
        <v>0</v>
      </c>
      <c r="AP24" s="18" t="s">
        <v>102</v>
      </c>
      <c r="AQ24" s="18" t="s">
        <v>202</v>
      </c>
      <c r="AR24" s="4">
        <v>25000</v>
      </c>
      <c r="AS24" s="4">
        <v>22000</v>
      </c>
      <c r="AT24" s="4">
        <v>30000</v>
      </c>
      <c r="AU24" s="18" t="s">
        <v>204</v>
      </c>
      <c r="AV24" s="18" t="s">
        <v>210</v>
      </c>
      <c r="AW24" s="18" t="s">
        <v>212</v>
      </c>
      <c r="AX24" s="18" t="s">
        <v>217</v>
      </c>
      <c r="AY24" s="20">
        <v>190</v>
      </c>
      <c r="AZ24" s="20">
        <v>11.5</v>
      </c>
      <c r="BA24" s="4">
        <f>AVERAGE(Таблица14[[#This Row],[Мин. ₸]],Таблица14[[#This Row],[Макс. ₸]])</f>
        <v>19512500</v>
      </c>
      <c r="BB24" s="4">
        <v>16856000</v>
      </c>
      <c r="BC24" s="4">
        <v>22169000</v>
      </c>
      <c r="BD24" s="4">
        <f>Таблица14[[#This Row],[Средняя цена ₸]]/$BI$2</f>
        <v>44346.590909090912</v>
      </c>
      <c r="BE24" s="2">
        <f>Таблица14[[#This Row],[Перевод в USD из ₸]]/Таблица14[[#This Row],[Средняя цена (USD)]]-1</f>
        <v>0.77386363636363642</v>
      </c>
      <c r="BG24" s="4"/>
      <c r="BH24" s="4"/>
      <c r="BI24" s="4"/>
      <c r="BJ24" s="4"/>
    </row>
    <row r="25" spans="2:62">
      <c r="B25" t="s">
        <v>28</v>
      </c>
      <c r="C25" s="20">
        <v>22000</v>
      </c>
      <c r="D25" s="16">
        <v>2.2444624770835211E-2</v>
      </c>
      <c r="E25" s="16">
        <v>9.5766802113737386E-3</v>
      </c>
      <c r="F25" s="16">
        <v>5.4450789710972572E-2</v>
      </c>
      <c r="G25" s="16">
        <v>5.3291497325542614E-2</v>
      </c>
      <c r="H25" s="16">
        <v>9.8716667947437178E-2</v>
      </c>
      <c r="I25" s="16">
        <v>4.0531710860599819E-2</v>
      </c>
      <c r="T25" t="s">
        <v>124</v>
      </c>
      <c r="U25" t="s">
        <v>76</v>
      </c>
      <c r="V25" t="str">
        <f>VLOOKUP(Таблица15[[#This Row],[Модель]],Таблица14[#All],2,0)</f>
        <v>Внедорожник</v>
      </c>
      <c r="W25" s="20">
        <f>VLOOKUP(Таблица15[[#This Row],[Модель]],Таблица14[#All],3,0)</f>
        <v>22000</v>
      </c>
      <c r="X25" s="20">
        <f>VLOOKUP(Таблица15[[#This Row],[Модель]],Таблица14[#All],4,0)</f>
        <v>19000</v>
      </c>
      <c r="Y25" s="4">
        <f>VLOOKUP(Таблица15[[#This Row],[Модель]],Таблица14[#All],5,0)</f>
        <v>25000</v>
      </c>
      <c r="Z25" t="str">
        <f>VLOOKUP(Таблица15[[#This Row],[Модель]],Таблица14[#All],6,0)</f>
        <v>АКПП</v>
      </c>
      <c r="AA25" t="str">
        <f>VLOOKUP(Таблица15[[#This Row],[Модель]],Таблица14[#All],7,0)</f>
        <v>Бензин</v>
      </c>
      <c r="AB25" t="str">
        <f>VLOOKUP(Таблица15[[#This Row],[Модель]],Таблица14[#All],8,0)</f>
        <v>Комфорт</v>
      </c>
      <c r="AC25" t="str">
        <f>VLOOKUP(Таблица15[[#This Row],[Модель]],Таблица14[#All],9,0)</f>
        <v>Средний</v>
      </c>
      <c r="AD25">
        <f>VLOOKUP(Таблица15[[#This Row],[Модель]],Таблица14[#All],10,0)</f>
        <v>170</v>
      </c>
      <c r="AE25">
        <f>VLOOKUP(Таблица15[[#This Row],[Модель]],Таблица14[#All],11,0)</f>
        <v>12.5</v>
      </c>
      <c r="AF25">
        <v>2020</v>
      </c>
      <c r="AG25">
        <v>0</v>
      </c>
      <c r="AH25" s="22">
        <f>VLOOKUP(Таблица15[[#This Row],[Модель]],Таблица14[#All],12,0)/1000000</f>
        <v>13.94</v>
      </c>
      <c r="AI25" s="21">
        <f>VLOOKUP(Таблица15[[#This Row],[Модель]],Таблица14[#All],13,0)/1000000</f>
        <v>12.89</v>
      </c>
      <c r="AJ25" s="21">
        <f>VLOOKUP(Таблица15[[#This Row],[Модель]],Таблица14[#All],14,0)/1000000</f>
        <v>14.99</v>
      </c>
      <c r="AK25" s="21">
        <f>Таблица15[[#This Row],[Средняя цена (USD)]]*Таблица15[[#This Row],[Кол-во проданных]]/1000000</f>
        <v>0</v>
      </c>
      <c r="AL25" s="39">
        <f>Таблица15[[#This Row],[Средняя цена млн. ₸]]/440*Таблица15[[#This Row],[Кол-во проданных]]</f>
        <v>0</v>
      </c>
      <c r="AM25" s="39">
        <f>Таблица15[[#This Row],[Средняя цена млн. ₸]]*Таблица15[[#This Row],[Кол-во проданных]]/1000</f>
        <v>0</v>
      </c>
      <c r="AP25" s="18" t="s">
        <v>104</v>
      </c>
      <c r="AQ25" s="18" t="s">
        <v>202</v>
      </c>
      <c r="AR25" s="4">
        <v>18000</v>
      </c>
      <c r="AS25" s="4">
        <v>16000</v>
      </c>
      <c r="AT25" s="4">
        <v>22000</v>
      </c>
      <c r="AU25" s="18" t="s">
        <v>206</v>
      </c>
      <c r="AV25" s="18" t="s">
        <v>208</v>
      </c>
      <c r="AW25" s="18" t="s">
        <v>212</v>
      </c>
      <c r="AX25" s="18" t="s">
        <v>217</v>
      </c>
      <c r="AY25" s="20">
        <v>150</v>
      </c>
      <c r="AZ25" s="20">
        <v>13.5</v>
      </c>
      <c r="BA25" s="4">
        <f>AVERAGE(Таблица14[[#This Row],[Мин. ₸]],Таблица14[[#This Row],[Макс. ₸]])</f>
        <v>11930000</v>
      </c>
      <c r="BB25" s="4">
        <v>10829000</v>
      </c>
      <c r="BC25" s="4">
        <v>13031000</v>
      </c>
      <c r="BD25" s="4">
        <f>Таблица14[[#This Row],[Средняя цена ₸]]/$BI$2</f>
        <v>27113.636363636364</v>
      </c>
      <c r="BE25" s="2">
        <f>Таблица14[[#This Row],[Перевод в USD из ₸]]/Таблица14[[#This Row],[Средняя цена (USD)]]-1</f>
        <v>0.50631313131313127</v>
      </c>
      <c r="BG25" s="4"/>
      <c r="BH25" s="4"/>
      <c r="BI25" s="4"/>
      <c r="BJ25" s="4"/>
    </row>
    <row r="26" spans="2:62">
      <c r="B26" t="s">
        <v>52</v>
      </c>
      <c r="C26" s="20">
        <v>18000</v>
      </c>
      <c r="D26" s="16">
        <v>3.5969104078381872E-2</v>
      </c>
      <c r="E26" s="16">
        <v>4.7511398538697798E-2</v>
      </c>
      <c r="F26" s="16">
        <v>3.3605134818061065E-2</v>
      </c>
      <c r="G26" s="16">
        <v>2.5262195649219898E-2</v>
      </c>
      <c r="H26" s="16">
        <v>4.0759240759240763E-2</v>
      </c>
      <c r="I26" s="16">
        <v>3.6759308014866689E-2</v>
      </c>
      <c r="J26" s="5"/>
      <c r="K26" s="13" t="s">
        <v>218</v>
      </c>
      <c r="L26" s="13" t="s">
        <v>151</v>
      </c>
      <c r="T26" t="s">
        <v>124</v>
      </c>
      <c r="U26" t="s">
        <v>76</v>
      </c>
      <c r="V26" t="str">
        <f>VLOOKUP(Таблица15[[#This Row],[Модель]],Таблица14[#All],2,0)</f>
        <v>Внедорожник</v>
      </c>
      <c r="W26" s="20">
        <f>VLOOKUP(Таблица15[[#This Row],[Модель]],Таблица14[#All],3,0)</f>
        <v>22000</v>
      </c>
      <c r="X26" s="20">
        <f>VLOOKUP(Таблица15[[#This Row],[Модель]],Таблица14[#All],4,0)</f>
        <v>19000</v>
      </c>
      <c r="Y26" s="4">
        <f>VLOOKUP(Таблица15[[#This Row],[Модель]],Таблица14[#All],5,0)</f>
        <v>25000</v>
      </c>
      <c r="Z26" t="str">
        <f>VLOOKUP(Таблица15[[#This Row],[Модель]],Таблица14[#All],6,0)</f>
        <v>АКПП</v>
      </c>
      <c r="AA26" t="str">
        <f>VLOOKUP(Таблица15[[#This Row],[Модель]],Таблица14[#All],7,0)</f>
        <v>Бензин</v>
      </c>
      <c r="AB26" t="str">
        <f>VLOOKUP(Таблица15[[#This Row],[Модель]],Таблица14[#All],8,0)</f>
        <v>Комфорт</v>
      </c>
      <c r="AC26" t="str">
        <f>VLOOKUP(Таблица15[[#This Row],[Модель]],Таблица14[#All],9,0)</f>
        <v>Средний</v>
      </c>
      <c r="AD26">
        <f>VLOOKUP(Таблица15[[#This Row],[Модель]],Таблица14[#All],10,0)</f>
        <v>170</v>
      </c>
      <c r="AE26">
        <f>VLOOKUP(Таблица15[[#This Row],[Модель]],Таблица14[#All],11,0)</f>
        <v>12.5</v>
      </c>
      <c r="AF26">
        <v>2019</v>
      </c>
      <c r="AG26">
        <v>0</v>
      </c>
      <c r="AH26" s="22">
        <f>VLOOKUP(Таблица15[[#This Row],[Модель]],Таблица14[#All],12,0)/1000000</f>
        <v>13.94</v>
      </c>
      <c r="AI26" s="21">
        <f>VLOOKUP(Таблица15[[#This Row],[Модель]],Таблица14[#All],13,0)/1000000</f>
        <v>12.89</v>
      </c>
      <c r="AJ26" s="21">
        <f>VLOOKUP(Таблица15[[#This Row],[Модель]],Таблица14[#All],14,0)/1000000</f>
        <v>14.99</v>
      </c>
      <c r="AK26" s="21">
        <f>Таблица15[[#This Row],[Средняя цена (USD)]]*Таблица15[[#This Row],[Кол-во проданных]]/1000000</f>
        <v>0</v>
      </c>
      <c r="AL26" s="39">
        <f>Таблица15[[#This Row],[Средняя цена млн. ₸]]/440*Таблица15[[#This Row],[Кол-во проданных]]</f>
        <v>0</v>
      </c>
      <c r="AM26" s="39">
        <f>Таблица15[[#This Row],[Средняя цена млн. ₸]]*Таблица15[[#This Row],[Кол-во проданных]]/1000</f>
        <v>0</v>
      </c>
      <c r="AP26" s="18" t="s">
        <v>103</v>
      </c>
      <c r="AQ26" s="18" t="s">
        <v>203</v>
      </c>
      <c r="AR26" s="4">
        <v>20000</v>
      </c>
      <c r="AS26" s="4">
        <v>18000</v>
      </c>
      <c r="AT26" s="4">
        <v>24000</v>
      </c>
      <c r="AU26" s="18" t="s">
        <v>204</v>
      </c>
      <c r="AV26" s="18" t="s">
        <v>208</v>
      </c>
      <c r="AW26" s="18" t="s">
        <v>212</v>
      </c>
      <c r="AX26" s="18" t="s">
        <v>217</v>
      </c>
      <c r="AY26" s="20">
        <v>160</v>
      </c>
      <c r="AZ26" s="20">
        <v>12.5</v>
      </c>
      <c r="BA26" s="4">
        <f>AVERAGE(Таблица14[[#This Row],[Мин. ₸]],Таблица14[[#This Row],[Макс. ₸]])</f>
        <v>16858000</v>
      </c>
      <c r="BB26" s="4">
        <v>14739000</v>
      </c>
      <c r="BC26" s="4">
        <v>18977000</v>
      </c>
      <c r="BD26" s="4">
        <f>Таблица14[[#This Row],[Средняя цена ₸]]/$BI$2</f>
        <v>38313.63636363636</v>
      </c>
      <c r="BE26" s="2">
        <f>Таблица14[[#This Row],[Перевод в USD из ₸]]/Таблица14[[#This Row],[Средняя цена (USD)]]-1</f>
        <v>0.91568181818181804</v>
      </c>
      <c r="BG26" s="4"/>
      <c r="BH26" s="4"/>
      <c r="BI26" s="4"/>
      <c r="BJ26" s="4"/>
    </row>
    <row r="27" spans="2:62">
      <c r="B27" t="s">
        <v>78</v>
      </c>
      <c r="C27" s="20">
        <v>8000</v>
      </c>
      <c r="D27" s="16">
        <v>8.0846331860667808E-3</v>
      </c>
      <c r="E27" s="16">
        <v>2.6574333733951429E-2</v>
      </c>
      <c r="F27" s="16">
        <v>2.1010481001367088E-2</v>
      </c>
      <c r="G27" s="16">
        <v>9.3352768958999882E-2</v>
      </c>
      <c r="H27" s="16">
        <v>7.755321601475447E-2</v>
      </c>
      <c r="I27" s="16">
        <v>3.6323069886501219E-2</v>
      </c>
      <c r="J27" s="6"/>
      <c r="K27" s="13" t="s">
        <v>161</v>
      </c>
      <c r="L27">
        <v>2023</v>
      </c>
      <c r="M27">
        <v>2022</v>
      </c>
      <c r="N27">
        <v>2021</v>
      </c>
      <c r="O27">
        <v>2020</v>
      </c>
      <c r="P27">
        <v>2019</v>
      </c>
      <c r="Q27" t="s">
        <v>155</v>
      </c>
      <c r="T27" t="s">
        <v>3</v>
      </c>
      <c r="U27" t="s">
        <v>57</v>
      </c>
      <c r="V27" t="str">
        <f>VLOOKUP(Таблица15[[#This Row],[Модель]],Таблица14[#All],2,0)</f>
        <v>Внедорожник</v>
      </c>
      <c r="W27" s="20">
        <f>VLOOKUP(Таблица15[[#This Row],[Модель]],Таблица14[#All],3,0)</f>
        <v>13000</v>
      </c>
      <c r="X27" s="20">
        <f>VLOOKUP(Таблица15[[#This Row],[Модель]],Таблица14[#All],4,0)</f>
        <v>11000</v>
      </c>
      <c r="Y27" s="4">
        <f>VLOOKUP(Таблица15[[#This Row],[Модель]],Таблица14[#All],5,0)</f>
        <v>15000</v>
      </c>
      <c r="Z27" t="str">
        <f>VLOOKUP(Таблица15[[#This Row],[Модель]],Таблица14[#All],6,0)</f>
        <v>МКПП, АКПП</v>
      </c>
      <c r="AA27" t="str">
        <f>VLOOKUP(Таблица15[[#This Row],[Модель]],Таблица14[#All],7,0)</f>
        <v>Бензин</v>
      </c>
      <c r="AB27" t="str">
        <f>VLOOKUP(Таблица15[[#This Row],[Модель]],Таблица14[#All],8,0)</f>
        <v>Эконом</v>
      </c>
      <c r="AC27" t="str">
        <f>VLOOKUP(Таблица15[[#This Row],[Модель]],Таблица14[#All],9,0)</f>
        <v>Маленький</v>
      </c>
      <c r="AD27">
        <f>VLOOKUP(Таблица15[[#This Row],[Модель]],Таблица14[#All],10,0)</f>
        <v>100</v>
      </c>
      <c r="AE27">
        <f>VLOOKUP(Таблица15[[#This Row],[Модель]],Таблица14[#All],11,0)</f>
        <v>16</v>
      </c>
      <c r="AF27">
        <v>2023</v>
      </c>
      <c r="AG27">
        <v>3676</v>
      </c>
      <c r="AH27" s="22">
        <f>VLOOKUP(Таблица15[[#This Row],[Модель]],Таблица14[#All],12,0)/1000000</f>
        <v>7.24</v>
      </c>
      <c r="AI27" s="21">
        <f>VLOOKUP(Таблица15[[#This Row],[Модель]],Таблица14[#All],13,0)/1000000</f>
        <v>6.99</v>
      </c>
      <c r="AJ27" s="21">
        <f>VLOOKUP(Таблица15[[#This Row],[Модель]],Таблица14[#All],14,0)/1000000</f>
        <v>7.49</v>
      </c>
      <c r="AK27" s="21">
        <f>Таблица15[[#This Row],[Средняя цена (USD)]]*Таблица15[[#This Row],[Кол-во проданных]]/1000000</f>
        <v>47.787999999999997</v>
      </c>
      <c r="AL27" s="39">
        <f>Таблица15[[#This Row],[Средняя цена млн. ₸]]/440*Таблица15[[#This Row],[Кол-во проданных]]</f>
        <v>60.486909090909087</v>
      </c>
      <c r="AM27" s="39">
        <f>Таблица15[[#This Row],[Средняя цена млн. ₸]]*Таблица15[[#This Row],[Кол-во проданных]]/1000</f>
        <v>26.614240000000002</v>
      </c>
      <c r="AP27" s="18" t="s">
        <v>106</v>
      </c>
      <c r="AQ27" s="18" t="s">
        <v>202</v>
      </c>
      <c r="AR27" s="4">
        <v>25000</v>
      </c>
      <c r="AS27" s="4">
        <v>22000</v>
      </c>
      <c r="AT27" s="4">
        <v>30000</v>
      </c>
      <c r="AU27" s="18" t="s">
        <v>204</v>
      </c>
      <c r="AV27" s="18" t="s">
        <v>210</v>
      </c>
      <c r="AW27" s="18" t="s">
        <v>212</v>
      </c>
      <c r="AX27" s="18" t="s">
        <v>217</v>
      </c>
      <c r="AY27" s="20">
        <v>190</v>
      </c>
      <c r="AZ27" s="20">
        <v>11.5</v>
      </c>
      <c r="BA27" s="4">
        <f>AVERAGE(Таблица14[[#This Row],[Мин. ₸]],Таблица14[[#This Row],[Макс. ₸]])</f>
        <v>18575000</v>
      </c>
      <c r="BB27" s="4">
        <v>15700000</v>
      </c>
      <c r="BC27" s="4">
        <v>21450000</v>
      </c>
      <c r="BD27" s="4">
        <f>Таблица14[[#This Row],[Средняя цена ₸]]/$BI$2</f>
        <v>42215.909090909088</v>
      </c>
      <c r="BE27" s="2">
        <f>Таблица14[[#This Row],[Перевод в USD из ₸]]/Таблица14[[#This Row],[Средняя цена (USD)]]-1</f>
        <v>0.68863636363636349</v>
      </c>
      <c r="BG27" s="4"/>
      <c r="BH27" s="4"/>
      <c r="BI27" s="4"/>
      <c r="BJ27" s="4"/>
    </row>
    <row r="28" spans="2:62">
      <c r="B28" t="s">
        <v>48</v>
      </c>
      <c r="C28" s="20">
        <v>23000</v>
      </c>
      <c r="D28" s="16">
        <v>6.3270519640549389E-2</v>
      </c>
      <c r="E28" s="16">
        <v>3.1496213205135543E-2</v>
      </c>
      <c r="F28" s="16">
        <v>2.0506307022561787E-2</v>
      </c>
      <c r="G28" s="16">
        <v>1.9097972847772111E-2</v>
      </c>
      <c r="H28" s="16">
        <v>9.0371167294244215E-3</v>
      </c>
      <c r="I28" s="16">
        <v>3.4739544698073249E-2</v>
      </c>
      <c r="J28" s="16"/>
      <c r="K28" s="14" t="s">
        <v>0</v>
      </c>
      <c r="L28" s="16">
        <v>0.27878460012622847</v>
      </c>
      <c r="M28" s="16">
        <v>0.2758160209084492</v>
      </c>
      <c r="N28" s="16">
        <v>0.22341694218481856</v>
      </c>
      <c r="O28" s="16">
        <v>0.2294597966671196</v>
      </c>
      <c r="P28" s="16">
        <v>0.22861753630984399</v>
      </c>
      <c r="Q28" s="16">
        <v>0.25326602070113269</v>
      </c>
      <c r="T28" t="s">
        <v>3</v>
      </c>
      <c r="U28" t="s">
        <v>57</v>
      </c>
      <c r="V28" t="str">
        <f>VLOOKUP(Таблица15[[#This Row],[Модель]],Таблица14[#All],2,0)</f>
        <v>Внедорожник</v>
      </c>
      <c r="W28" s="20">
        <f>VLOOKUP(Таблица15[[#This Row],[Модель]],Таблица14[#All],3,0)</f>
        <v>13000</v>
      </c>
      <c r="X28" s="20">
        <f>VLOOKUP(Таблица15[[#This Row],[Модель]],Таблица14[#All],4,0)</f>
        <v>11000</v>
      </c>
      <c r="Y28" s="4">
        <f>VLOOKUP(Таблица15[[#This Row],[Модель]],Таблица14[#All],5,0)</f>
        <v>15000</v>
      </c>
      <c r="Z28" t="str">
        <f>VLOOKUP(Таблица15[[#This Row],[Модель]],Таблица14[#All],6,0)</f>
        <v>МКПП, АКПП</v>
      </c>
      <c r="AA28" t="str">
        <f>VLOOKUP(Таблица15[[#This Row],[Модель]],Таблица14[#All],7,0)</f>
        <v>Бензин</v>
      </c>
      <c r="AB28" t="str">
        <f>VLOOKUP(Таблица15[[#This Row],[Модель]],Таблица14[#All],8,0)</f>
        <v>Эконом</v>
      </c>
      <c r="AC28" t="str">
        <f>VLOOKUP(Таблица15[[#This Row],[Модель]],Таблица14[#All],9,0)</f>
        <v>Маленький</v>
      </c>
      <c r="AD28">
        <f>VLOOKUP(Таблица15[[#This Row],[Модель]],Таблица14[#All],10,0)</f>
        <v>100</v>
      </c>
      <c r="AE28">
        <f>VLOOKUP(Таблица15[[#This Row],[Модель]],Таблица14[#All],11,0)</f>
        <v>16</v>
      </c>
      <c r="AF28">
        <v>2022</v>
      </c>
      <c r="AG28">
        <v>0</v>
      </c>
      <c r="AH28" s="22">
        <f>VLOOKUP(Таблица15[[#This Row],[Модель]],Таблица14[#All],12,0)/1000000</f>
        <v>7.24</v>
      </c>
      <c r="AI28" s="21">
        <f>VLOOKUP(Таблица15[[#This Row],[Модель]],Таблица14[#All],13,0)/1000000</f>
        <v>6.99</v>
      </c>
      <c r="AJ28" s="21">
        <f>VLOOKUP(Таблица15[[#This Row],[Модель]],Таблица14[#All],14,0)/1000000</f>
        <v>7.49</v>
      </c>
      <c r="AK28" s="21">
        <f>Таблица15[[#This Row],[Средняя цена (USD)]]*Таблица15[[#This Row],[Кол-во проданных]]/1000000</f>
        <v>0</v>
      </c>
      <c r="AL28" s="39">
        <f>Таблица15[[#This Row],[Средняя цена млн. ₸]]/440*Таблица15[[#This Row],[Кол-во проданных]]</f>
        <v>0</v>
      </c>
      <c r="AM28" s="39">
        <f>Таблица15[[#This Row],[Средняя цена млн. ₸]]*Таблица15[[#This Row],[Кол-во проданных]]/1000</f>
        <v>0</v>
      </c>
      <c r="AP28" s="18" t="s">
        <v>121</v>
      </c>
      <c r="AQ28" s="18" t="s">
        <v>202</v>
      </c>
      <c r="AR28" s="4">
        <v>25000</v>
      </c>
      <c r="AS28" s="4">
        <v>22000</v>
      </c>
      <c r="AT28" s="4">
        <v>30000</v>
      </c>
      <c r="AU28" s="18" t="s">
        <v>204</v>
      </c>
      <c r="AV28" s="18" t="s">
        <v>208</v>
      </c>
      <c r="AW28" s="18" t="s">
        <v>212</v>
      </c>
      <c r="AX28" s="18" t="s">
        <v>217</v>
      </c>
      <c r="AY28" s="20">
        <v>187</v>
      </c>
      <c r="AZ28" s="20">
        <v>12</v>
      </c>
      <c r="BA28" s="4">
        <f>AVERAGE(Таблица14[[#This Row],[Мин. ₸]],Таблица14[[#This Row],[Макс. ₸]])</f>
        <v>17647000</v>
      </c>
      <c r="BB28" s="4">
        <v>13500000</v>
      </c>
      <c r="BC28" s="4">
        <v>21794000</v>
      </c>
      <c r="BD28" s="4">
        <f>Таблица14[[#This Row],[Средняя цена ₸]]/$BI$2</f>
        <v>40106.818181818184</v>
      </c>
      <c r="BE28" s="2">
        <f>Таблица14[[#This Row],[Перевод в USD из ₸]]/Таблица14[[#This Row],[Средняя цена (USD)]]-1</f>
        <v>0.60427272727272729</v>
      </c>
      <c r="BG28" s="4"/>
      <c r="BH28" s="4"/>
      <c r="BI28" s="4"/>
      <c r="BJ28" s="4"/>
    </row>
    <row r="29" spans="2:62">
      <c r="B29" t="s">
        <v>49</v>
      </c>
      <c r="C29" s="20">
        <v>28000</v>
      </c>
      <c r="D29" s="16">
        <v>4.4757010188441075E-2</v>
      </c>
      <c r="E29" s="16">
        <v>2.8377115168164217E-2</v>
      </c>
      <c r="F29" s="16">
        <v>2.0002133043756483E-2</v>
      </c>
      <c r="G29" s="16">
        <v>1.723264690985905E-2</v>
      </c>
      <c r="H29" s="16">
        <v>1.6614155075693537E-2</v>
      </c>
      <c r="I29" s="16">
        <v>2.8749437886993186E-2</v>
      </c>
      <c r="J29" s="16"/>
      <c r="K29" s="14" t="s">
        <v>1</v>
      </c>
      <c r="L29" s="16">
        <v>0.27157755537522915</v>
      </c>
      <c r="M29" s="16">
        <v>0.32064709361109522</v>
      </c>
      <c r="N29" s="16">
        <v>0.28028194960199343</v>
      </c>
      <c r="O29" s="16">
        <v>0.11947968524168942</v>
      </c>
      <c r="P29" s="16">
        <v>1.1465457619303773E-2</v>
      </c>
      <c r="Q29" s="16">
        <v>0.22700333232120962</v>
      </c>
      <c r="T29" t="s">
        <v>3</v>
      </c>
      <c r="U29" t="s">
        <v>57</v>
      </c>
      <c r="V29" t="str">
        <f>VLOOKUP(Таблица15[[#This Row],[Модель]],Таблица14[#All],2,0)</f>
        <v>Внедорожник</v>
      </c>
      <c r="W29" s="20">
        <f>VLOOKUP(Таблица15[[#This Row],[Модель]],Таблица14[#All],3,0)</f>
        <v>13000</v>
      </c>
      <c r="X29" s="20">
        <f>VLOOKUP(Таблица15[[#This Row],[Модель]],Таблица14[#All],4,0)</f>
        <v>11000</v>
      </c>
      <c r="Y29" s="4">
        <f>VLOOKUP(Таблица15[[#This Row],[Модель]],Таблица14[#All],5,0)</f>
        <v>15000</v>
      </c>
      <c r="Z29" t="str">
        <f>VLOOKUP(Таблица15[[#This Row],[Модель]],Таблица14[#All],6,0)</f>
        <v>МКПП, АКПП</v>
      </c>
      <c r="AA29" t="str">
        <f>VLOOKUP(Таблица15[[#This Row],[Модель]],Таблица14[#All],7,0)</f>
        <v>Бензин</v>
      </c>
      <c r="AB29" t="str">
        <f>VLOOKUP(Таблица15[[#This Row],[Модель]],Таблица14[#All],8,0)</f>
        <v>Эконом</v>
      </c>
      <c r="AC29" t="str">
        <f>VLOOKUP(Таблица15[[#This Row],[Модель]],Таблица14[#All],9,0)</f>
        <v>Маленький</v>
      </c>
      <c r="AD29">
        <f>VLOOKUP(Таблица15[[#This Row],[Модель]],Таблица14[#All],10,0)</f>
        <v>100</v>
      </c>
      <c r="AE29">
        <f>VLOOKUP(Таблица15[[#This Row],[Модель]],Таблица14[#All],11,0)</f>
        <v>16</v>
      </c>
      <c r="AF29">
        <v>2021</v>
      </c>
      <c r="AG29">
        <v>0</v>
      </c>
      <c r="AH29" s="22">
        <f>VLOOKUP(Таблица15[[#This Row],[Модель]],Таблица14[#All],12,0)/1000000</f>
        <v>7.24</v>
      </c>
      <c r="AI29" s="21">
        <f>VLOOKUP(Таблица15[[#This Row],[Модель]],Таблица14[#All],13,0)/1000000</f>
        <v>6.99</v>
      </c>
      <c r="AJ29" s="21">
        <f>VLOOKUP(Таблица15[[#This Row],[Модель]],Таблица14[#All],14,0)/1000000</f>
        <v>7.49</v>
      </c>
      <c r="AK29" s="21">
        <f>Таблица15[[#This Row],[Средняя цена (USD)]]*Таблица15[[#This Row],[Кол-во проданных]]/1000000</f>
        <v>0</v>
      </c>
      <c r="AL29" s="39">
        <f>Таблица15[[#This Row],[Средняя цена млн. ₸]]/440*Таблица15[[#This Row],[Кол-во проданных]]</f>
        <v>0</v>
      </c>
      <c r="AM29" s="39">
        <f>Таблица15[[#This Row],[Средняя цена млн. ₸]]*Таблица15[[#This Row],[Кол-во проданных]]/1000</f>
        <v>0</v>
      </c>
      <c r="AP29" s="18" t="s">
        <v>41</v>
      </c>
      <c r="AQ29" s="18" t="s">
        <v>202</v>
      </c>
      <c r="AR29" s="4">
        <v>50000</v>
      </c>
      <c r="AS29" s="4">
        <v>45000</v>
      </c>
      <c r="AT29" s="4">
        <v>60000</v>
      </c>
      <c r="AU29" s="18" t="s">
        <v>204</v>
      </c>
      <c r="AV29" s="18" t="s">
        <v>211</v>
      </c>
      <c r="AW29" s="18" t="s">
        <v>214</v>
      </c>
      <c r="AX29" s="18" t="s">
        <v>217</v>
      </c>
      <c r="AY29" s="20">
        <v>350</v>
      </c>
      <c r="AZ29" s="20">
        <v>9.5</v>
      </c>
      <c r="BA29" s="4">
        <f>AVERAGE(Таблица14[[#This Row],[Мин. ₸]],Таблица14[[#This Row],[Макс. ₸]])</f>
        <v>39965000</v>
      </c>
      <c r="BB29" s="4">
        <v>34670000</v>
      </c>
      <c r="BC29" s="4">
        <v>45260000</v>
      </c>
      <c r="BD29" s="4">
        <f>Таблица14[[#This Row],[Средняя цена ₸]]/$BI$2</f>
        <v>90829.545454545456</v>
      </c>
      <c r="BE29" s="2">
        <f>Таблица14[[#This Row],[Перевод в USD из ₸]]/Таблица14[[#This Row],[Средняя цена (USD)]]-1</f>
        <v>0.81659090909090915</v>
      </c>
      <c r="BG29" s="4"/>
      <c r="BH29" s="4"/>
      <c r="BI29" s="4"/>
      <c r="BJ29" s="4"/>
    </row>
    <row r="30" spans="2:62">
      <c r="B30" t="s">
        <v>32</v>
      </c>
      <c r="C30" s="20">
        <v>10000</v>
      </c>
      <c r="D30" s="16">
        <v>0</v>
      </c>
      <c r="E30" s="16">
        <v>1.8237661916480664E-2</v>
      </c>
      <c r="F30" s="16">
        <v>3.0774004014000524E-2</v>
      </c>
      <c r="G30" s="16">
        <v>4.9882027399290929E-2</v>
      </c>
      <c r="H30" s="16">
        <v>5.7342657342657345E-2</v>
      </c>
      <c r="I30" s="16">
        <v>2.4704145991797953E-2</v>
      </c>
      <c r="J30" s="16"/>
      <c r="K30" s="14" t="s">
        <v>15</v>
      </c>
      <c r="L30" s="16">
        <v>0.14482613530490188</v>
      </c>
      <c r="M30" s="16">
        <v>0.13331044087067667</v>
      </c>
      <c r="N30" s="16">
        <v>9.0828881412462786E-2</v>
      </c>
      <c r="O30" s="16">
        <v>6.9721189361465583E-2</v>
      </c>
      <c r="P30" s="16">
        <v>5.2532083301314071E-2</v>
      </c>
      <c r="Q30" s="16">
        <v>0.10857909362400502</v>
      </c>
      <c r="T30" t="s">
        <v>3</v>
      </c>
      <c r="U30" t="s">
        <v>57</v>
      </c>
      <c r="V30" t="str">
        <f>VLOOKUP(Таблица15[[#This Row],[Модель]],Таблица14[#All],2,0)</f>
        <v>Внедорожник</v>
      </c>
      <c r="W30" s="20">
        <f>VLOOKUP(Таблица15[[#This Row],[Модель]],Таблица14[#All],3,0)</f>
        <v>13000</v>
      </c>
      <c r="X30" s="20">
        <f>VLOOKUP(Таблица15[[#This Row],[Модель]],Таблица14[#All],4,0)</f>
        <v>11000</v>
      </c>
      <c r="Y30" s="4">
        <f>VLOOKUP(Таблица15[[#This Row],[Модель]],Таблица14[#All],5,0)</f>
        <v>15000</v>
      </c>
      <c r="Z30" t="str">
        <f>VLOOKUP(Таблица15[[#This Row],[Модель]],Таблица14[#All],6,0)</f>
        <v>МКПП, АКПП</v>
      </c>
      <c r="AA30" t="str">
        <f>VLOOKUP(Таблица15[[#This Row],[Модель]],Таблица14[#All],7,0)</f>
        <v>Бензин</v>
      </c>
      <c r="AB30" t="str">
        <f>VLOOKUP(Таблица15[[#This Row],[Модель]],Таблица14[#All],8,0)</f>
        <v>Эконом</v>
      </c>
      <c r="AC30" t="str">
        <f>VLOOKUP(Таблица15[[#This Row],[Модель]],Таблица14[#All],9,0)</f>
        <v>Маленький</v>
      </c>
      <c r="AD30">
        <f>VLOOKUP(Таблица15[[#This Row],[Модель]],Таблица14[#All],10,0)</f>
        <v>100</v>
      </c>
      <c r="AE30">
        <f>VLOOKUP(Таблица15[[#This Row],[Модель]],Таблица14[#All],11,0)</f>
        <v>16</v>
      </c>
      <c r="AF30">
        <v>2020</v>
      </c>
      <c r="AG30">
        <v>0</v>
      </c>
      <c r="AH30" s="22">
        <f>VLOOKUP(Таблица15[[#This Row],[Модель]],Таблица14[#All],12,0)/1000000</f>
        <v>7.24</v>
      </c>
      <c r="AI30" s="21">
        <f>VLOOKUP(Таблица15[[#This Row],[Модель]],Таблица14[#All],13,0)/1000000</f>
        <v>6.99</v>
      </c>
      <c r="AJ30" s="21">
        <f>VLOOKUP(Таблица15[[#This Row],[Модель]],Таблица14[#All],14,0)/1000000</f>
        <v>7.49</v>
      </c>
      <c r="AK30" s="21">
        <f>Таблица15[[#This Row],[Средняя цена (USD)]]*Таблица15[[#This Row],[Кол-во проданных]]/1000000</f>
        <v>0</v>
      </c>
      <c r="AL30" s="39">
        <f>Таблица15[[#This Row],[Средняя цена млн. ₸]]/440*Таблица15[[#This Row],[Кол-во проданных]]</f>
        <v>0</v>
      </c>
      <c r="AM30" s="39">
        <f>Таблица15[[#This Row],[Средняя цена млн. ₸]]*Таблица15[[#This Row],[Кол-во проданных]]/1000</f>
        <v>0</v>
      </c>
      <c r="AP30" s="18" t="s">
        <v>46</v>
      </c>
      <c r="AQ30" s="18" t="s">
        <v>202</v>
      </c>
      <c r="AR30" s="4">
        <v>40000</v>
      </c>
      <c r="AS30" s="4">
        <v>35000</v>
      </c>
      <c r="AT30" s="4">
        <v>50000</v>
      </c>
      <c r="AU30" s="18" t="s">
        <v>204</v>
      </c>
      <c r="AV30" s="18" t="s">
        <v>211</v>
      </c>
      <c r="AW30" s="18" t="s">
        <v>214</v>
      </c>
      <c r="AX30" s="18" t="s">
        <v>217</v>
      </c>
      <c r="AY30" s="20">
        <v>275</v>
      </c>
      <c r="AZ30" s="20">
        <v>11</v>
      </c>
      <c r="BA30" s="4">
        <f>AVERAGE(Таблица14[[#This Row],[Мин. ₸]],Таблица14[[#This Row],[Макс. ₸]])</f>
        <v>33675000</v>
      </c>
      <c r="BB30" s="4">
        <v>29370000</v>
      </c>
      <c r="BC30" s="4">
        <v>37980000</v>
      </c>
      <c r="BD30" s="4">
        <f>Таблица14[[#This Row],[Средняя цена ₸]]/$BI$2</f>
        <v>76534.090909090912</v>
      </c>
      <c r="BE30" s="2">
        <f>Таблица14[[#This Row],[Перевод в USD из ₸]]/Таблица14[[#This Row],[Средняя цена (USD)]]-1</f>
        <v>0.91335227272727271</v>
      </c>
      <c r="BG30" s="4"/>
      <c r="BH30" s="4"/>
      <c r="BI30" s="4"/>
      <c r="BJ30" s="4"/>
    </row>
    <row r="31" spans="2:62">
      <c r="B31" t="s">
        <v>53</v>
      </c>
      <c r="C31" s="20">
        <v>22000</v>
      </c>
      <c r="D31" s="16">
        <v>2.8882276921227423E-2</v>
      </c>
      <c r="E31" s="16">
        <v>4.3591064308743016E-2</v>
      </c>
      <c r="F31" s="16">
        <v>2.1834611543644983E-2</v>
      </c>
      <c r="G31" s="16">
        <v>1.1649022248026584E-2</v>
      </c>
      <c r="H31" s="16">
        <v>0</v>
      </c>
      <c r="I31" s="16">
        <v>2.4156446139004299E-2</v>
      </c>
      <c r="J31" s="16"/>
      <c r="K31" s="14" t="s">
        <v>2</v>
      </c>
      <c r="L31" s="16">
        <v>5.5973311694166444E-2</v>
      </c>
      <c r="M31" s="16">
        <v>8.6552585894427589E-2</v>
      </c>
      <c r="N31" s="16">
        <v>0.13082345184653721</v>
      </c>
      <c r="O31" s="16">
        <v>0.11994910501414435</v>
      </c>
      <c r="P31" s="16">
        <v>0.21669100130638591</v>
      </c>
      <c r="Q31" s="16">
        <v>0.10701862948201046</v>
      </c>
      <c r="T31" t="s">
        <v>3</v>
      </c>
      <c r="U31" t="s">
        <v>57</v>
      </c>
      <c r="V31" t="str">
        <f>VLOOKUP(Таблица15[[#This Row],[Модель]],Таблица14[#All],2,0)</f>
        <v>Внедорожник</v>
      </c>
      <c r="W31" s="20">
        <f>VLOOKUP(Таблица15[[#This Row],[Модель]],Таблица14[#All],3,0)</f>
        <v>13000</v>
      </c>
      <c r="X31" s="20">
        <f>VLOOKUP(Таблица15[[#This Row],[Модель]],Таблица14[#All],4,0)</f>
        <v>11000</v>
      </c>
      <c r="Y31" s="4">
        <f>VLOOKUP(Таблица15[[#This Row],[Модель]],Таблица14[#All],5,0)</f>
        <v>15000</v>
      </c>
      <c r="Z31" t="str">
        <f>VLOOKUP(Таблица15[[#This Row],[Модель]],Таблица14[#All],6,0)</f>
        <v>МКПП, АКПП</v>
      </c>
      <c r="AA31" t="str">
        <f>VLOOKUP(Таблица15[[#This Row],[Модель]],Таблица14[#All],7,0)</f>
        <v>Бензин</v>
      </c>
      <c r="AB31" t="str">
        <f>VLOOKUP(Таблица15[[#This Row],[Модель]],Таблица14[#All],8,0)</f>
        <v>Эконом</v>
      </c>
      <c r="AC31" t="str">
        <f>VLOOKUP(Таблица15[[#This Row],[Модель]],Таблица14[#All],9,0)</f>
        <v>Маленький</v>
      </c>
      <c r="AD31">
        <f>VLOOKUP(Таблица15[[#This Row],[Модель]],Таблица14[#All],10,0)</f>
        <v>100</v>
      </c>
      <c r="AE31">
        <f>VLOOKUP(Таблица15[[#This Row],[Модель]],Таблица14[#All],11,0)</f>
        <v>16</v>
      </c>
      <c r="AF31">
        <v>2019</v>
      </c>
      <c r="AG31">
        <v>0</v>
      </c>
      <c r="AH31" s="22">
        <f>VLOOKUP(Таблица15[[#This Row],[Модель]],Таблица14[#All],12,0)/1000000</f>
        <v>7.24</v>
      </c>
      <c r="AI31" s="21">
        <f>VLOOKUP(Таблица15[[#This Row],[Модель]],Таблица14[#All],13,0)/1000000</f>
        <v>6.99</v>
      </c>
      <c r="AJ31" s="21">
        <f>VLOOKUP(Таблица15[[#This Row],[Модель]],Таблица14[#All],14,0)/1000000</f>
        <v>7.49</v>
      </c>
      <c r="AK31" s="21">
        <f>Таблица15[[#This Row],[Средняя цена (USD)]]*Таблица15[[#This Row],[Кол-во проданных]]/1000000</f>
        <v>0</v>
      </c>
      <c r="AL31" s="39">
        <f>Таблица15[[#This Row],[Средняя цена млн. ₸]]/440*Таблица15[[#This Row],[Кол-во проданных]]</f>
        <v>0</v>
      </c>
      <c r="AM31" s="39">
        <f>Таблица15[[#This Row],[Средняя цена млн. ₸]]*Таблица15[[#This Row],[Кол-во проданных]]/1000</f>
        <v>0</v>
      </c>
      <c r="AP31" s="18" t="s">
        <v>45</v>
      </c>
      <c r="AQ31" s="18" t="s">
        <v>202</v>
      </c>
      <c r="AR31" s="4">
        <v>90000</v>
      </c>
      <c r="AS31" s="4">
        <v>80000</v>
      </c>
      <c r="AT31" s="4">
        <v>110000</v>
      </c>
      <c r="AU31" s="18" t="s">
        <v>204</v>
      </c>
      <c r="AV31" s="18" t="s">
        <v>211</v>
      </c>
      <c r="AW31" s="18" t="s">
        <v>214</v>
      </c>
      <c r="AX31" s="18" t="s">
        <v>215</v>
      </c>
      <c r="AY31" s="20">
        <v>409</v>
      </c>
      <c r="AZ31" s="20">
        <v>8</v>
      </c>
      <c r="BA31" s="4">
        <f>AVERAGE(Таблица14[[#This Row],[Мин. ₸]],Таблица14[[#This Row],[Макс. ₸]])</f>
        <v>85370000</v>
      </c>
      <c r="BB31" s="4">
        <v>75940000</v>
      </c>
      <c r="BC31" s="4">
        <v>94800000</v>
      </c>
      <c r="BD31" s="4">
        <f>Таблица14[[#This Row],[Средняя цена ₸]]/$BI$2</f>
        <v>194022.72727272726</v>
      </c>
      <c r="BE31" s="2">
        <f>Таблица14[[#This Row],[Перевод в USD из ₸]]/Таблица14[[#This Row],[Средняя цена (USD)]]-1</f>
        <v>1.1558080808080806</v>
      </c>
      <c r="BG31" s="4"/>
      <c r="BH31" s="4"/>
      <c r="BI31" s="4"/>
      <c r="BJ31" s="4"/>
    </row>
    <row r="32" spans="2:62">
      <c r="B32" t="s">
        <v>29</v>
      </c>
      <c r="C32" s="20">
        <v>14000</v>
      </c>
      <c r="D32" s="16">
        <v>0</v>
      </c>
      <c r="E32" s="16">
        <v>1.5872107441958067E-2</v>
      </c>
      <c r="F32" s="16">
        <v>4.8788528102851489E-2</v>
      </c>
      <c r="G32" s="16">
        <v>4.3396622648268705E-2</v>
      </c>
      <c r="H32" s="16">
        <v>2.6312149389072465E-2</v>
      </c>
      <c r="I32" s="16">
        <v>2.290922787773033E-2</v>
      </c>
      <c r="J32" s="16"/>
      <c r="K32" s="14" t="s">
        <v>19</v>
      </c>
      <c r="L32" s="16">
        <v>8.0846331860667808E-3</v>
      </c>
      <c r="M32" s="16">
        <v>6.715122379289952E-2</v>
      </c>
      <c r="N32" s="16">
        <v>8.6116793841320941E-2</v>
      </c>
      <c r="O32" s="16">
        <v>0.21516719991105732</v>
      </c>
      <c r="P32" s="16">
        <v>0.23596403596403595</v>
      </c>
      <c r="Q32" s="16">
        <v>9.6160720119609966E-2</v>
      </c>
      <c r="T32" t="s">
        <v>3</v>
      </c>
      <c r="U32" t="s">
        <v>64</v>
      </c>
      <c r="V32" t="str">
        <f>VLOOKUP(Таблица15[[#This Row],[Модель]],Таблица14[#All],2,0)</f>
        <v>Внедорожник</v>
      </c>
      <c r="W32" s="20">
        <f>VLOOKUP(Таблица15[[#This Row],[Модель]],Таблица14[#All],3,0)</f>
        <v>15000</v>
      </c>
      <c r="X32" s="20">
        <f>VLOOKUP(Таблица15[[#This Row],[Модель]],Таблица14[#All],4,0)</f>
        <v>13000</v>
      </c>
      <c r="Y32" s="4">
        <f>VLOOKUP(Таблица15[[#This Row],[Модель]],Таблица14[#All],5,0)</f>
        <v>18000</v>
      </c>
      <c r="Z32" t="str">
        <f>VLOOKUP(Таблица15[[#This Row],[Модель]],Таблица14[#All],6,0)</f>
        <v>МКПП, АКПП</v>
      </c>
      <c r="AA32" t="str">
        <f>VLOOKUP(Таблица15[[#This Row],[Модель]],Таблица14[#All],7,0)</f>
        <v>Бензин</v>
      </c>
      <c r="AB32" t="str">
        <f>VLOOKUP(Таблица15[[#This Row],[Модель]],Таблица14[#All],8,0)</f>
        <v>Эконом</v>
      </c>
      <c r="AC32" t="str">
        <f>VLOOKUP(Таблица15[[#This Row],[Модель]],Таблица14[#All],9,0)</f>
        <v>Маленький</v>
      </c>
      <c r="AD32">
        <f>VLOOKUP(Таблица15[[#This Row],[Модель]],Таблица14[#All],10,0)</f>
        <v>120</v>
      </c>
      <c r="AE32">
        <f>VLOOKUP(Таблица15[[#This Row],[Модель]],Таблица14[#All],11,0)</f>
        <v>15</v>
      </c>
      <c r="AF32">
        <v>2023</v>
      </c>
      <c r="AG32">
        <v>2296</v>
      </c>
      <c r="AH32" s="22">
        <f>VLOOKUP(Таблица15[[#This Row],[Модель]],Таблица14[#All],12,0)/1000000</f>
        <v>9.7949999999999999</v>
      </c>
      <c r="AI32" s="21">
        <f>VLOOKUP(Таблица15[[#This Row],[Модель]],Таблица14[#All],13,0)/1000000</f>
        <v>8.59</v>
      </c>
      <c r="AJ32" s="21">
        <f>VLOOKUP(Таблица15[[#This Row],[Модель]],Таблица14[#All],14,0)/1000000</f>
        <v>11</v>
      </c>
      <c r="AK32" s="21">
        <f>Таблица15[[#This Row],[Средняя цена (USD)]]*Таблица15[[#This Row],[Кол-во проданных]]/1000000</f>
        <v>34.44</v>
      </c>
      <c r="AL32" s="39">
        <f>Таблица15[[#This Row],[Средняя цена млн. ₸]]/440*Таблица15[[#This Row],[Кол-во проданных]]</f>
        <v>51.112090909090902</v>
      </c>
      <c r="AM32" s="39">
        <f>Таблица15[[#This Row],[Средняя цена млн. ₸]]*Таблица15[[#This Row],[Кол-во проданных]]/1000</f>
        <v>22.489319999999999</v>
      </c>
      <c r="AP32" s="18" t="s">
        <v>44</v>
      </c>
      <c r="AQ32" s="18" t="s">
        <v>199</v>
      </c>
      <c r="AR32" s="4">
        <v>45000</v>
      </c>
      <c r="AS32" s="4">
        <v>40000</v>
      </c>
      <c r="AT32" s="4">
        <v>55000</v>
      </c>
      <c r="AU32" s="18" t="s">
        <v>204</v>
      </c>
      <c r="AV32" s="18" t="s">
        <v>211</v>
      </c>
      <c r="AW32" s="18" t="s">
        <v>214</v>
      </c>
      <c r="AX32" s="18" t="s">
        <v>217</v>
      </c>
      <c r="AY32" s="20">
        <v>300</v>
      </c>
      <c r="AZ32" s="20">
        <v>10.5</v>
      </c>
      <c r="BA32" s="4">
        <f>AVERAGE(Таблица14[[#This Row],[Мин. ₸]],Таблица14[[#This Row],[Макс. ₸]])</f>
        <v>32731500</v>
      </c>
      <c r="BB32" s="4">
        <v>28750000</v>
      </c>
      <c r="BC32" s="4">
        <v>36713000</v>
      </c>
      <c r="BD32" s="4">
        <f>Таблица14[[#This Row],[Средняя цена ₸]]/$BI$2</f>
        <v>74389.772727272721</v>
      </c>
      <c r="BE32" s="2">
        <f>Таблица14[[#This Row],[Перевод в USD из ₸]]/Таблица14[[#This Row],[Средняя цена (USD)]]-1</f>
        <v>0.65310606060606036</v>
      </c>
      <c r="BG32" s="4"/>
      <c r="BH32" s="4"/>
      <c r="BI32" s="4"/>
      <c r="BJ32" s="4"/>
    </row>
    <row r="33" spans="2:62">
      <c r="B33" t="s">
        <v>30</v>
      </c>
      <c r="C33" s="20">
        <v>18000</v>
      </c>
      <c r="D33" s="16">
        <v>0</v>
      </c>
      <c r="E33" s="16">
        <v>1.7646273297850016E-2</v>
      </c>
      <c r="F33" s="16">
        <v>3.5806048148614975E-2</v>
      </c>
      <c r="G33" s="16">
        <v>4.3137206458227814E-2</v>
      </c>
      <c r="H33" s="16">
        <v>4.2080995927149777E-2</v>
      </c>
      <c r="I33" s="16">
        <v>2.2624808305051522E-2</v>
      </c>
      <c r="J33" s="16"/>
      <c r="K33" s="14" t="s">
        <v>3</v>
      </c>
      <c r="L33" s="16">
        <v>7.2761698674601027E-2</v>
      </c>
      <c r="M33" s="16">
        <v>3.8707338941986684E-2</v>
      </c>
      <c r="N33" s="16">
        <v>0</v>
      </c>
      <c r="O33" s="16">
        <v>0</v>
      </c>
      <c r="P33" s="16">
        <v>0</v>
      </c>
      <c r="Q33" s="16">
        <v>3.106130779194324E-2</v>
      </c>
      <c r="T33" t="s">
        <v>3</v>
      </c>
      <c r="U33" t="s">
        <v>64</v>
      </c>
      <c r="V33" t="str">
        <f>VLOOKUP(Таблица15[[#This Row],[Модель]],Таблица14[#All],2,0)</f>
        <v>Внедорожник</v>
      </c>
      <c r="W33" s="20">
        <f>VLOOKUP(Таблица15[[#This Row],[Модель]],Таблица14[#All],3,0)</f>
        <v>15000</v>
      </c>
      <c r="X33" s="20">
        <f>VLOOKUP(Таблица15[[#This Row],[Модель]],Таблица14[#All],4,0)</f>
        <v>13000</v>
      </c>
      <c r="Y33" s="4">
        <f>VLOOKUP(Таблица15[[#This Row],[Модель]],Таблица14[#All],5,0)</f>
        <v>18000</v>
      </c>
      <c r="Z33" t="str">
        <f>VLOOKUP(Таблица15[[#This Row],[Модель]],Таблица14[#All],6,0)</f>
        <v>МКПП, АКПП</v>
      </c>
      <c r="AA33" t="str">
        <f>VLOOKUP(Таблица15[[#This Row],[Модель]],Таблица14[#All],7,0)</f>
        <v>Бензин</v>
      </c>
      <c r="AB33" t="str">
        <f>VLOOKUP(Таблица15[[#This Row],[Модель]],Таблица14[#All],8,0)</f>
        <v>Эконом</v>
      </c>
      <c r="AC33" t="str">
        <f>VLOOKUP(Таблица15[[#This Row],[Модель]],Таблица14[#All],9,0)</f>
        <v>Маленький</v>
      </c>
      <c r="AD33">
        <f>VLOOKUP(Таблица15[[#This Row],[Модель]],Таблица14[#All],10,0)</f>
        <v>120</v>
      </c>
      <c r="AE33">
        <f>VLOOKUP(Таблица15[[#This Row],[Модель]],Таблица14[#All],11,0)</f>
        <v>15</v>
      </c>
      <c r="AF33">
        <v>2022</v>
      </c>
      <c r="AG33">
        <v>0</v>
      </c>
      <c r="AH33" s="22">
        <f>VLOOKUP(Таблица15[[#This Row],[Модель]],Таблица14[#All],12,0)/1000000</f>
        <v>9.7949999999999999</v>
      </c>
      <c r="AI33" s="21">
        <f>VLOOKUP(Таблица15[[#This Row],[Модель]],Таблица14[#All],13,0)/1000000</f>
        <v>8.59</v>
      </c>
      <c r="AJ33" s="21">
        <f>VLOOKUP(Таблица15[[#This Row],[Модель]],Таблица14[#All],14,0)/1000000</f>
        <v>11</v>
      </c>
      <c r="AK33" s="21">
        <f>Таблица15[[#This Row],[Средняя цена (USD)]]*Таблица15[[#This Row],[Кол-во проданных]]/1000000</f>
        <v>0</v>
      </c>
      <c r="AL33" s="39">
        <f>Таблица15[[#This Row],[Средняя цена млн. ₸]]/440*Таблица15[[#This Row],[Кол-во проданных]]</f>
        <v>0</v>
      </c>
      <c r="AM33" s="39">
        <f>Таблица15[[#This Row],[Средняя цена млн. ₸]]*Таблица15[[#This Row],[Кол-во проданных]]/1000</f>
        <v>0</v>
      </c>
      <c r="AP33" s="18" t="s">
        <v>118</v>
      </c>
      <c r="AQ33" s="18" t="s">
        <v>197</v>
      </c>
      <c r="AR33" s="4">
        <v>12000</v>
      </c>
      <c r="AS33" s="4">
        <v>10000</v>
      </c>
      <c r="AT33" s="4">
        <v>14000</v>
      </c>
      <c r="AU33" s="18" t="s">
        <v>206</v>
      </c>
      <c r="AV33" s="18" t="s">
        <v>208</v>
      </c>
      <c r="AW33" s="18" t="s">
        <v>213</v>
      </c>
      <c r="AX33" s="18" t="s">
        <v>216</v>
      </c>
      <c r="AY33" s="20">
        <v>110</v>
      </c>
      <c r="AZ33" s="20">
        <v>16</v>
      </c>
      <c r="BA33" s="4">
        <f>AVERAGE(Таблица14[[#This Row],[Мин. ₸]],Таблица14[[#This Row],[Макс. ₸]])</f>
        <v>6950000</v>
      </c>
      <c r="BB33" s="4">
        <v>6690000</v>
      </c>
      <c r="BC33" s="4">
        <v>7210000</v>
      </c>
      <c r="BD33" s="4">
        <f>Таблица14[[#This Row],[Средняя цена ₸]]/$BI$2</f>
        <v>15795.454545454546</v>
      </c>
      <c r="BE33" s="2">
        <f>Таблица14[[#This Row],[Перевод в USD из ₸]]/Таблица14[[#This Row],[Средняя цена (USD)]]-1</f>
        <v>0.3162878787878789</v>
      </c>
      <c r="BG33" s="4"/>
      <c r="BH33" s="4"/>
      <c r="BI33" s="4"/>
      <c r="BJ33" s="4"/>
    </row>
    <row r="34" spans="2:62">
      <c r="B34" t="s">
        <v>74</v>
      </c>
      <c r="C34" s="20">
        <v>50000</v>
      </c>
      <c r="D34" s="16">
        <v>8.733808192829021E-3</v>
      </c>
      <c r="E34" s="16">
        <v>3.3375302848203899E-2</v>
      </c>
      <c r="F34" s="16">
        <v>2.20963941864862E-2</v>
      </c>
      <c r="G34" s="16">
        <v>1.9270916974466035E-2</v>
      </c>
      <c r="H34" s="16">
        <v>3.5164835164835165E-2</v>
      </c>
      <c r="I34" s="16">
        <v>2.1291111119652241E-2</v>
      </c>
      <c r="J34" s="16"/>
      <c r="K34" s="14" t="s">
        <v>4</v>
      </c>
      <c r="L34" s="16">
        <v>2.9795930634448353E-2</v>
      </c>
      <c r="M34" s="16">
        <v>3.0399282702836757E-2</v>
      </c>
      <c r="N34" s="16">
        <v>2.6895742638575127E-2</v>
      </c>
      <c r="O34" s="16">
        <v>2.660868920705118E-2</v>
      </c>
      <c r="P34" s="16">
        <v>1.773611004380235E-2</v>
      </c>
      <c r="Q34" s="16">
        <v>2.7338870546815847E-2</v>
      </c>
      <c r="T34" t="s">
        <v>3</v>
      </c>
      <c r="U34" t="s">
        <v>64</v>
      </c>
      <c r="V34" t="str">
        <f>VLOOKUP(Таблица15[[#This Row],[Модель]],Таблица14[#All],2,0)</f>
        <v>Внедорожник</v>
      </c>
      <c r="W34" s="20">
        <f>VLOOKUP(Таблица15[[#This Row],[Модель]],Таблица14[#All],3,0)</f>
        <v>15000</v>
      </c>
      <c r="X34" s="20">
        <f>VLOOKUP(Таблица15[[#This Row],[Модель]],Таблица14[#All],4,0)</f>
        <v>13000</v>
      </c>
      <c r="Y34" s="4">
        <f>VLOOKUP(Таблица15[[#This Row],[Модель]],Таблица14[#All],5,0)</f>
        <v>18000</v>
      </c>
      <c r="Z34" t="str">
        <f>VLOOKUP(Таблица15[[#This Row],[Модель]],Таблица14[#All],6,0)</f>
        <v>МКПП, АКПП</v>
      </c>
      <c r="AA34" t="str">
        <f>VLOOKUP(Таблица15[[#This Row],[Модель]],Таблица14[#All],7,0)</f>
        <v>Бензин</v>
      </c>
      <c r="AB34" t="str">
        <f>VLOOKUP(Таблица15[[#This Row],[Модель]],Таблица14[#All],8,0)</f>
        <v>Эконом</v>
      </c>
      <c r="AC34" t="str">
        <f>VLOOKUP(Таблица15[[#This Row],[Модель]],Таблица14[#All],9,0)</f>
        <v>Маленький</v>
      </c>
      <c r="AD34">
        <f>VLOOKUP(Таблица15[[#This Row],[Модель]],Таблица14[#All],10,0)</f>
        <v>120</v>
      </c>
      <c r="AE34">
        <f>VLOOKUP(Таблица15[[#This Row],[Модель]],Таблица14[#All],11,0)</f>
        <v>15</v>
      </c>
      <c r="AF34">
        <v>2021</v>
      </c>
      <c r="AG34">
        <v>0</v>
      </c>
      <c r="AH34" s="22">
        <f>VLOOKUP(Таблица15[[#This Row],[Модель]],Таблица14[#All],12,0)/1000000</f>
        <v>9.7949999999999999</v>
      </c>
      <c r="AI34" s="21">
        <f>VLOOKUP(Таблица15[[#This Row],[Модель]],Таблица14[#All],13,0)/1000000</f>
        <v>8.59</v>
      </c>
      <c r="AJ34" s="21">
        <f>VLOOKUP(Таблица15[[#This Row],[Модель]],Таблица14[#All],14,0)/1000000</f>
        <v>11</v>
      </c>
      <c r="AK34" s="21">
        <f>Таблица15[[#This Row],[Средняя цена (USD)]]*Таблица15[[#This Row],[Кол-во проданных]]/1000000</f>
        <v>0</v>
      </c>
      <c r="AL34" s="39">
        <f>Таблица15[[#This Row],[Средняя цена млн. ₸]]/440*Таблица15[[#This Row],[Кол-во проданных]]</f>
        <v>0</v>
      </c>
      <c r="AM34" s="39">
        <f>Таблица15[[#This Row],[Средняя цена млн. ₸]]*Таблица15[[#This Row],[Кол-во проданных]]/1000</f>
        <v>0</v>
      </c>
      <c r="AP34" s="18" t="s">
        <v>32</v>
      </c>
      <c r="AQ34" s="18" t="s">
        <v>199</v>
      </c>
      <c r="AR34" s="4">
        <v>10000</v>
      </c>
      <c r="AS34" s="4">
        <v>8000</v>
      </c>
      <c r="AT34" s="4">
        <v>12000</v>
      </c>
      <c r="AU34" s="18" t="s">
        <v>206</v>
      </c>
      <c r="AV34" s="18" t="s">
        <v>208</v>
      </c>
      <c r="AW34" s="18" t="s">
        <v>213</v>
      </c>
      <c r="AX34" s="18" t="s">
        <v>216</v>
      </c>
      <c r="AY34" s="20">
        <v>100</v>
      </c>
      <c r="AZ34" s="20">
        <v>16.5</v>
      </c>
      <c r="BA34" s="4">
        <f>AVERAGE(Таблица14[[#This Row],[Мин. ₸]],Таблица14[[#This Row],[Макс. ₸]])</f>
        <v>7440000</v>
      </c>
      <c r="BB34" s="4">
        <v>6190000</v>
      </c>
      <c r="BC34" s="4">
        <v>8690000</v>
      </c>
      <c r="BD34" s="4">
        <f>Таблица14[[#This Row],[Средняя цена ₸]]/$BI$2</f>
        <v>16909.090909090908</v>
      </c>
      <c r="BE34" s="2">
        <f>Таблица14[[#This Row],[Перевод в USD из ₸]]/Таблица14[[#This Row],[Средняя цена (USD)]]-1</f>
        <v>0.69090909090909092</v>
      </c>
      <c r="BG34" s="4"/>
      <c r="BH34" s="4"/>
      <c r="BI34" s="4"/>
      <c r="BJ34" s="4"/>
    </row>
    <row r="35" spans="2:62">
      <c r="B35" t="s">
        <v>31</v>
      </c>
      <c r="C35" s="20">
        <v>23000</v>
      </c>
      <c r="D35" s="16">
        <v>8.4693294863703306E-3</v>
      </c>
      <c r="E35" s="16">
        <v>8.9852915927430901E-3</v>
      </c>
      <c r="F35" s="16">
        <v>3.0929134469017541E-2</v>
      </c>
      <c r="G35" s="16">
        <v>2.0469172709416807E-2</v>
      </c>
      <c r="H35" s="16">
        <v>2.5482210097594712E-2</v>
      </c>
      <c r="I35" s="16">
        <v>1.7019052267861743E-2</v>
      </c>
      <c r="J35" s="16"/>
      <c r="K35" s="14" t="s">
        <v>142</v>
      </c>
      <c r="L35" s="16">
        <v>0</v>
      </c>
      <c r="M35" s="16">
        <v>0</v>
      </c>
      <c r="N35" s="16">
        <v>0</v>
      </c>
      <c r="O35" s="16">
        <v>8.6916776815604502E-2</v>
      </c>
      <c r="P35" s="16">
        <v>5.462230077614693E-2</v>
      </c>
      <c r="Q35" s="16">
        <v>2.0351373477490498E-2</v>
      </c>
      <c r="T35" t="s">
        <v>3</v>
      </c>
      <c r="U35" t="s">
        <v>64</v>
      </c>
      <c r="V35" t="str">
        <f>VLOOKUP(Таблица15[[#This Row],[Модель]],Таблица14[#All],2,0)</f>
        <v>Внедорожник</v>
      </c>
      <c r="W35" s="20">
        <f>VLOOKUP(Таблица15[[#This Row],[Модель]],Таблица14[#All],3,0)</f>
        <v>15000</v>
      </c>
      <c r="X35" s="20">
        <f>VLOOKUP(Таблица15[[#This Row],[Модель]],Таблица14[#All],4,0)</f>
        <v>13000</v>
      </c>
      <c r="Y35" s="4">
        <f>VLOOKUP(Таблица15[[#This Row],[Модель]],Таблица14[#All],5,0)</f>
        <v>18000</v>
      </c>
      <c r="Z35" t="str">
        <f>VLOOKUP(Таблица15[[#This Row],[Модель]],Таблица14[#All],6,0)</f>
        <v>МКПП, АКПП</v>
      </c>
      <c r="AA35" t="str">
        <f>VLOOKUP(Таблица15[[#This Row],[Модель]],Таблица14[#All],7,0)</f>
        <v>Бензин</v>
      </c>
      <c r="AB35" t="str">
        <f>VLOOKUP(Таблица15[[#This Row],[Модель]],Таблица14[#All],8,0)</f>
        <v>Эконом</v>
      </c>
      <c r="AC35" t="str">
        <f>VLOOKUP(Таблица15[[#This Row],[Модель]],Таблица14[#All],9,0)</f>
        <v>Маленький</v>
      </c>
      <c r="AD35">
        <f>VLOOKUP(Таблица15[[#This Row],[Модель]],Таблица14[#All],10,0)</f>
        <v>120</v>
      </c>
      <c r="AE35">
        <f>VLOOKUP(Таблица15[[#This Row],[Модель]],Таблица14[#All],11,0)</f>
        <v>15</v>
      </c>
      <c r="AF35">
        <v>2020</v>
      </c>
      <c r="AG35">
        <v>0</v>
      </c>
      <c r="AH35" s="22">
        <f>VLOOKUP(Таблица15[[#This Row],[Модель]],Таблица14[#All],12,0)/1000000</f>
        <v>9.7949999999999999</v>
      </c>
      <c r="AI35" s="21">
        <f>VLOOKUP(Таблица15[[#This Row],[Модель]],Таблица14[#All],13,0)/1000000</f>
        <v>8.59</v>
      </c>
      <c r="AJ35" s="21">
        <f>VLOOKUP(Таблица15[[#This Row],[Модель]],Таблица14[#All],14,0)/1000000</f>
        <v>11</v>
      </c>
      <c r="AK35" s="21">
        <f>Таблица15[[#This Row],[Средняя цена (USD)]]*Таблица15[[#This Row],[Кол-во проданных]]/1000000</f>
        <v>0</v>
      </c>
      <c r="AL35" s="39">
        <f>Таблица15[[#This Row],[Средняя цена млн. ₸]]/440*Таблица15[[#This Row],[Кол-во проданных]]</f>
        <v>0</v>
      </c>
      <c r="AM35" s="39">
        <f>Таблица15[[#This Row],[Средняя цена млн. ₸]]*Таблица15[[#This Row],[Кол-во проданных]]/1000</f>
        <v>0</v>
      </c>
      <c r="AP35" s="18" t="s">
        <v>97</v>
      </c>
      <c r="AQ35" s="18" t="s">
        <v>202</v>
      </c>
      <c r="AR35" s="4">
        <v>14000</v>
      </c>
      <c r="AS35" s="4">
        <v>12000</v>
      </c>
      <c r="AT35" s="4">
        <v>16000</v>
      </c>
      <c r="AU35" s="18" t="s">
        <v>205</v>
      </c>
      <c r="AV35" s="18" t="s">
        <v>208</v>
      </c>
      <c r="AW35" s="18" t="s">
        <v>213</v>
      </c>
      <c r="AX35" s="18" t="s">
        <v>217</v>
      </c>
      <c r="AY35" s="20">
        <v>135</v>
      </c>
      <c r="AZ35" s="20">
        <v>14</v>
      </c>
      <c r="BA35" s="4">
        <f>AVERAGE(Таблица14[[#This Row],[Мин. ₸]],Таблица14[[#This Row],[Макс. ₸]])</f>
        <v>7830000</v>
      </c>
      <c r="BB35" s="4">
        <v>7160000</v>
      </c>
      <c r="BC35" s="4">
        <v>8500000</v>
      </c>
      <c r="BD35" s="4">
        <f>Таблица14[[#This Row],[Средняя цена ₸]]/$BI$2</f>
        <v>17795.454545454544</v>
      </c>
      <c r="BE35" s="2">
        <f>Таблица14[[#This Row],[Перевод в USD из ₸]]/Таблица14[[#This Row],[Средняя цена (USD)]]-1</f>
        <v>0.27110389610389607</v>
      </c>
      <c r="BG35" s="4"/>
      <c r="BH35" s="4"/>
      <c r="BI35" s="4"/>
      <c r="BJ35" s="4"/>
    </row>
    <row r="36" spans="2:62">
      <c r="B36" t="s">
        <v>114</v>
      </c>
      <c r="C36" s="20">
        <v>8000</v>
      </c>
      <c r="D36" s="16">
        <v>0</v>
      </c>
      <c r="E36" s="16">
        <v>0</v>
      </c>
      <c r="F36" s="16">
        <v>0</v>
      </c>
      <c r="G36" s="16">
        <v>7.3377722325851436E-2</v>
      </c>
      <c r="H36" s="16">
        <v>4.45247060631676E-2</v>
      </c>
      <c r="I36" s="16">
        <v>1.6982538944342165E-2</v>
      </c>
      <c r="J36" s="16"/>
      <c r="K36" s="14" t="s">
        <v>6</v>
      </c>
      <c r="L36" s="16">
        <v>4.5382141676434347E-2</v>
      </c>
      <c r="M36" s="16">
        <v>9.0234456971708728E-3</v>
      </c>
      <c r="N36" s="16">
        <v>8.3091749968489132E-3</v>
      </c>
      <c r="O36" s="16">
        <v>0</v>
      </c>
      <c r="P36" s="16">
        <v>0</v>
      </c>
      <c r="Q36" s="16">
        <v>1.7974163940979095E-2</v>
      </c>
      <c r="T36" t="s">
        <v>3</v>
      </c>
      <c r="U36" t="s">
        <v>64</v>
      </c>
      <c r="V36" t="str">
        <f>VLOOKUP(Таблица15[[#This Row],[Модель]],Таблица14[#All],2,0)</f>
        <v>Внедорожник</v>
      </c>
      <c r="W36" s="20">
        <f>VLOOKUP(Таблица15[[#This Row],[Модель]],Таблица14[#All],3,0)</f>
        <v>15000</v>
      </c>
      <c r="X36" s="20">
        <f>VLOOKUP(Таблица15[[#This Row],[Модель]],Таблица14[#All],4,0)</f>
        <v>13000</v>
      </c>
      <c r="Y36" s="4">
        <f>VLOOKUP(Таблица15[[#This Row],[Модель]],Таблица14[#All],5,0)</f>
        <v>18000</v>
      </c>
      <c r="Z36" t="str">
        <f>VLOOKUP(Таблица15[[#This Row],[Модель]],Таблица14[#All],6,0)</f>
        <v>МКПП, АКПП</v>
      </c>
      <c r="AA36" t="str">
        <f>VLOOKUP(Таблица15[[#This Row],[Модель]],Таблица14[#All],7,0)</f>
        <v>Бензин</v>
      </c>
      <c r="AB36" t="str">
        <f>VLOOKUP(Таблица15[[#This Row],[Модель]],Таблица14[#All],8,0)</f>
        <v>Эконом</v>
      </c>
      <c r="AC36" t="str">
        <f>VLOOKUP(Таблица15[[#This Row],[Модель]],Таблица14[#All],9,0)</f>
        <v>Маленький</v>
      </c>
      <c r="AD36">
        <f>VLOOKUP(Таблица15[[#This Row],[Модель]],Таблица14[#All],10,0)</f>
        <v>120</v>
      </c>
      <c r="AE36">
        <f>VLOOKUP(Таблица15[[#This Row],[Модель]],Таблица14[#All],11,0)</f>
        <v>15</v>
      </c>
      <c r="AF36">
        <v>2019</v>
      </c>
      <c r="AG36">
        <v>0</v>
      </c>
      <c r="AH36" s="22">
        <f>VLOOKUP(Таблица15[[#This Row],[Модель]],Таблица14[#All],12,0)/1000000</f>
        <v>9.7949999999999999</v>
      </c>
      <c r="AI36" s="21">
        <f>VLOOKUP(Таблица15[[#This Row],[Модель]],Таблица14[#All],13,0)/1000000</f>
        <v>8.59</v>
      </c>
      <c r="AJ36" s="21">
        <f>VLOOKUP(Таблица15[[#This Row],[Модель]],Таблица14[#All],14,0)/1000000</f>
        <v>11</v>
      </c>
      <c r="AK36" s="21">
        <f>Таблица15[[#This Row],[Средняя цена (USD)]]*Таблица15[[#This Row],[Кол-во проданных]]/1000000</f>
        <v>0</v>
      </c>
      <c r="AL36" s="39">
        <f>Таблица15[[#This Row],[Средняя цена млн. ₸]]/440*Таблица15[[#This Row],[Кол-во проданных]]</f>
        <v>0</v>
      </c>
      <c r="AM36" s="39">
        <f>Таблица15[[#This Row],[Средняя цена млн. ₸]]*Таблица15[[#This Row],[Кол-во проданных]]/1000</f>
        <v>0</v>
      </c>
      <c r="AP36" s="18" t="s">
        <v>94</v>
      </c>
      <c r="AQ36" s="18" t="s">
        <v>202</v>
      </c>
      <c r="AR36" s="4">
        <v>12000</v>
      </c>
      <c r="AS36" s="4">
        <v>10000</v>
      </c>
      <c r="AT36" s="4">
        <v>14000</v>
      </c>
      <c r="AU36" s="18" t="s">
        <v>205</v>
      </c>
      <c r="AV36" s="18" t="s">
        <v>208</v>
      </c>
      <c r="AW36" s="18" t="s">
        <v>213</v>
      </c>
      <c r="AX36" s="18" t="s">
        <v>217</v>
      </c>
      <c r="AY36" s="20">
        <v>120</v>
      </c>
      <c r="AZ36" s="20">
        <v>15</v>
      </c>
      <c r="BA36" s="4">
        <f>AVERAGE(Таблица14[[#This Row],[Мин. ₸]],Таблица14[[#This Row],[Макс. ₸]])</f>
        <v>6500000</v>
      </c>
      <c r="BB36" s="4">
        <v>5900000</v>
      </c>
      <c r="BC36" s="4">
        <v>7100000</v>
      </c>
      <c r="BD36" s="4">
        <f>Таблица14[[#This Row],[Средняя цена ₸]]/$BI$2</f>
        <v>14772.727272727272</v>
      </c>
      <c r="BE36" s="2">
        <f>Таблица14[[#This Row],[Перевод в USD из ₸]]/Таблица14[[#This Row],[Средняя цена (USD)]]-1</f>
        <v>0.23106060606060597</v>
      </c>
      <c r="BG36" s="4"/>
      <c r="BH36" s="4"/>
      <c r="BI36" s="4"/>
      <c r="BJ36" s="4"/>
    </row>
    <row r="37" spans="2:62">
      <c r="B37" t="s">
        <v>97</v>
      </c>
      <c r="C37" s="20">
        <v>14000</v>
      </c>
      <c r="D37" s="16">
        <v>0</v>
      </c>
      <c r="E37" s="16">
        <v>4.7692630534729771E-3</v>
      </c>
      <c r="F37" s="16">
        <v>1.1673566740030445E-2</v>
      </c>
      <c r="G37" s="16">
        <v>3.9443614038121827E-2</v>
      </c>
      <c r="H37" s="16">
        <v>5.7511719050180592E-2</v>
      </c>
      <c r="I37" s="16">
        <v>1.6602031678190785E-2</v>
      </c>
      <c r="J37" s="16"/>
      <c r="K37" s="14" t="s">
        <v>23</v>
      </c>
      <c r="L37" s="16">
        <v>0</v>
      </c>
      <c r="M37" s="16">
        <v>4.3591064308743013E-3</v>
      </c>
      <c r="N37" s="16">
        <v>3.4458352320654653E-2</v>
      </c>
      <c r="O37" s="16">
        <v>3.1216414868253634E-2</v>
      </c>
      <c r="P37" s="16">
        <v>3.8807346499654193E-2</v>
      </c>
      <c r="Q37" s="16">
        <v>1.7416855318838183E-2</v>
      </c>
      <c r="T37" t="s">
        <v>3</v>
      </c>
      <c r="U37" t="s">
        <v>55</v>
      </c>
      <c r="V37" t="str">
        <f>VLOOKUP(Таблица15[[#This Row],[Модель]],Таблица14[#All],2,0)</f>
        <v>Внедорожник</v>
      </c>
      <c r="W37" s="20">
        <f>VLOOKUP(Таблица15[[#This Row],[Модель]],Таблица14[#All],3,0)</f>
        <v>18000</v>
      </c>
      <c r="X37" s="20">
        <f>VLOOKUP(Таблица15[[#This Row],[Модель]],Таблица14[#All],4,0)</f>
        <v>16000</v>
      </c>
      <c r="Y37" s="4">
        <f>VLOOKUP(Таблица15[[#This Row],[Модель]],Таблица14[#All],5,0)</f>
        <v>22000</v>
      </c>
      <c r="Z37" t="str">
        <f>VLOOKUP(Таблица15[[#This Row],[Модель]],Таблица14[#All],6,0)</f>
        <v>АКПП</v>
      </c>
      <c r="AA37" t="str">
        <f>VLOOKUP(Таблица15[[#This Row],[Модель]],Таблица14[#All],7,0)</f>
        <v>Бензин</v>
      </c>
      <c r="AB37" t="str">
        <f>VLOOKUP(Таблица15[[#This Row],[Модель]],Таблица14[#All],8,0)</f>
        <v>Комфорт</v>
      </c>
      <c r="AC37" t="str">
        <f>VLOOKUP(Таблица15[[#This Row],[Модель]],Таблица14[#All],9,0)</f>
        <v>Средний</v>
      </c>
      <c r="AD37">
        <f>VLOOKUP(Таблица15[[#This Row],[Модель]],Таблица14[#All],10,0)</f>
        <v>150</v>
      </c>
      <c r="AE37">
        <f>VLOOKUP(Таблица15[[#This Row],[Модель]],Таблица14[#All],11,0)</f>
        <v>13.5</v>
      </c>
      <c r="AF37">
        <v>2023</v>
      </c>
      <c r="AG37">
        <v>4326</v>
      </c>
      <c r="AH37" s="22">
        <f>VLOOKUP(Таблица15[[#This Row],[Модель]],Таблица14[#All],12,0)/1000000</f>
        <v>12.095000000000001</v>
      </c>
      <c r="AI37" s="21">
        <f>VLOOKUP(Таблица15[[#This Row],[Модель]],Таблица14[#All],13,0)/1000000</f>
        <v>9.99</v>
      </c>
      <c r="AJ37" s="21">
        <f>VLOOKUP(Таблица15[[#This Row],[Модель]],Таблица14[#All],14,0)/1000000</f>
        <v>14.2</v>
      </c>
      <c r="AK37" s="21">
        <f>Таблица15[[#This Row],[Средняя цена (USD)]]*Таблица15[[#This Row],[Кол-во проданных]]/1000000</f>
        <v>77.867999999999995</v>
      </c>
      <c r="AL37" s="39">
        <f>Таблица15[[#This Row],[Средняя цена млн. ₸]]/440*Таблица15[[#This Row],[Кол-во проданных]]</f>
        <v>118.91584090909092</v>
      </c>
      <c r="AM37" s="39">
        <f>Таблица15[[#This Row],[Средняя цена млн. ₸]]*Таблица15[[#This Row],[Кол-во проданных]]/1000</f>
        <v>52.322969999999998</v>
      </c>
      <c r="AP37" s="18" t="s">
        <v>90</v>
      </c>
      <c r="AQ37" s="18" t="s">
        <v>201</v>
      </c>
      <c r="AR37" s="4">
        <v>10000</v>
      </c>
      <c r="AS37" s="4">
        <v>8000</v>
      </c>
      <c r="AT37" s="4">
        <v>12000</v>
      </c>
      <c r="AU37" s="18" t="s">
        <v>205</v>
      </c>
      <c r="AV37" s="18" t="s">
        <v>208</v>
      </c>
      <c r="AW37" s="18" t="s">
        <v>213</v>
      </c>
      <c r="AX37" s="18" t="s">
        <v>217</v>
      </c>
      <c r="AY37" s="20">
        <v>105</v>
      </c>
      <c r="AZ37" s="20">
        <v>16</v>
      </c>
      <c r="BA37" s="4">
        <f>AVERAGE(Таблица14[[#This Row],[Мин. ₸]],Таблица14[[#This Row],[Макс. ₸]])</f>
        <v>6882000</v>
      </c>
      <c r="BB37" s="4">
        <v>6474000</v>
      </c>
      <c r="BC37" s="4">
        <v>7290000</v>
      </c>
      <c r="BD37" s="4">
        <f>Таблица14[[#This Row],[Средняя цена ₸]]/$BI$2</f>
        <v>15640.90909090909</v>
      </c>
      <c r="BE37" s="2">
        <f>Таблица14[[#This Row],[Перевод в USD из ₸]]/Таблица14[[#This Row],[Средняя цена (USD)]]-1</f>
        <v>0.56409090909090898</v>
      </c>
      <c r="BG37" s="4"/>
      <c r="BH37" s="4"/>
      <c r="BI37" s="4"/>
      <c r="BJ37" s="4"/>
    </row>
    <row r="38" spans="2:62">
      <c r="B38" t="s">
        <v>90</v>
      </c>
      <c r="C38" s="20">
        <v>10000</v>
      </c>
      <c r="D38" s="16">
        <v>0</v>
      </c>
      <c r="E38" s="16">
        <v>1.1160075545126767E-2</v>
      </c>
      <c r="F38" s="16">
        <v>2.2658742085922882E-2</v>
      </c>
      <c r="G38" s="16">
        <v>2.8301071018270313E-2</v>
      </c>
      <c r="H38" s="16">
        <v>3.3843079996926151E-2</v>
      </c>
      <c r="I38" s="16">
        <v>1.537403095561133E-2</v>
      </c>
      <c r="J38" s="16"/>
      <c r="K38" s="14" t="s">
        <v>22</v>
      </c>
      <c r="L38" s="16">
        <v>0</v>
      </c>
      <c r="M38" s="16">
        <v>4.2637211698048419E-3</v>
      </c>
      <c r="N38" s="16">
        <v>3.7783961450081928E-2</v>
      </c>
      <c r="O38" s="16">
        <v>2.9486973601314376E-2</v>
      </c>
      <c r="P38" s="16">
        <v>3.5210942903250594E-2</v>
      </c>
      <c r="Q38" s="16">
        <v>1.7338063410190677E-2</v>
      </c>
      <c r="T38" t="s">
        <v>3</v>
      </c>
      <c r="U38" t="s">
        <v>55</v>
      </c>
      <c r="V38" t="str">
        <f>VLOOKUP(Таблица15[[#This Row],[Модель]],Таблица14[#All],2,0)</f>
        <v>Внедорожник</v>
      </c>
      <c r="W38" s="20">
        <f>VLOOKUP(Таблица15[[#This Row],[Модель]],Таблица14[#All],3,0)</f>
        <v>18000</v>
      </c>
      <c r="X38" s="20">
        <f>VLOOKUP(Таблица15[[#This Row],[Модель]],Таблица14[#All],4,0)</f>
        <v>16000</v>
      </c>
      <c r="Y38" s="4">
        <f>VLOOKUP(Таблица15[[#This Row],[Модель]],Таблица14[#All],5,0)</f>
        <v>22000</v>
      </c>
      <c r="Z38" t="str">
        <f>VLOOKUP(Таблица15[[#This Row],[Модель]],Таблица14[#All],6,0)</f>
        <v>АКПП</v>
      </c>
      <c r="AA38" t="str">
        <f>VLOOKUP(Таблица15[[#This Row],[Модель]],Таблица14[#All],7,0)</f>
        <v>Бензин</v>
      </c>
      <c r="AB38" t="str">
        <f>VLOOKUP(Таблица15[[#This Row],[Модель]],Таблица14[#All],8,0)</f>
        <v>Комфорт</v>
      </c>
      <c r="AC38" t="str">
        <f>VLOOKUP(Таблица15[[#This Row],[Модель]],Таблица14[#All],9,0)</f>
        <v>Средний</v>
      </c>
      <c r="AD38">
        <f>VLOOKUP(Таблица15[[#This Row],[Модель]],Таблица14[#All],10,0)</f>
        <v>150</v>
      </c>
      <c r="AE38">
        <f>VLOOKUP(Таблица15[[#This Row],[Модель]],Таблица14[#All],11,0)</f>
        <v>13.5</v>
      </c>
      <c r="AF38">
        <v>2022</v>
      </c>
      <c r="AG38">
        <v>2329</v>
      </c>
      <c r="AH38" s="22">
        <f>VLOOKUP(Таблица15[[#This Row],[Модель]],Таблица14[#All],12,0)/1000000</f>
        <v>12.095000000000001</v>
      </c>
      <c r="AI38" s="21">
        <f>VLOOKUP(Таблица15[[#This Row],[Модель]],Таблица14[#All],13,0)/1000000</f>
        <v>9.99</v>
      </c>
      <c r="AJ38" s="21">
        <f>VLOOKUP(Таблица15[[#This Row],[Модель]],Таблица14[#All],14,0)/1000000</f>
        <v>14.2</v>
      </c>
      <c r="AK38" s="21">
        <f>Таблица15[[#This Row],[Средняя цена (USD)]]*Таблица15[[#This Row],[Кол-во проданных]]/1000000</f>
        <v>41.921999999999997</v>
      </c>
      <c r="AL38" s="39">
        <f>Таблица15[[#This Row],[Средняя цена млн. ₸]]/440*Таблица15[[#This Row],[Кол-во проданных]]</f>
        <v>64.021034090909097</v>
      </c>
      <c r="AM38" s="39">
        <f>Таблица15[[#This Row],[Средняя цена млн. ₸]]*Таблица15[[#This Row],[Кол-во проданных]]/1000</f>
        <v>28.169255</v>
      </c>
      <c r="AP38" s="18" t="s">
        <v>78</v>
      </c>
      <c r="AQ38" s="18" t="s">
        <v>199</v>
      </c>
      <c r="AR38" s="4">
        <v>8000</v>
      </c>
      <c r="AS38" s="4">
        <v>7000</v>
      </c>
      <c r="AT38" s="4">
        <v>10000</v>
      </c>
      <c r="AU38" s="18" t="s">
        <v>205</v>
      </c>
      <c r="AV38" s="18" t="s">
        <v>208</v>
      </c>
      <c r="AW38" s="18" t="s">
        <v>213</v>
      </c>
      <c r="AX38" s="18" t="s">
        <v>216</v>
      </c>
      <c r="AY38" s="20">
        <v>90</v>
      </c>
      <c r="AZ38" s="20">
        <v>17.5</v>
      </c>
      <c r="BA38" s="4">
        <f>AVERAGE(Таблица14[[#This Row],[Мин. ₸]],Таблица14[[#This Row],[Макс. ₸]])</f>
        <v>5985000</v>
      </c>
      <c r="BB38" s="4">
        <v>5950000</v>
      </c>
      <c r="BC38" s="4">
        <v>6020000</v>
      </c>
      <c r="BD38" s="4">
        <f>Таблица14[[#This Row],[Средняя цена ₸]]/$BI$2</f>
        <v>13602.272727272728</v>
      </c>
      <c r="BE38" s="2">
        <f>Таблица14[[#This Row],[Перевод в USD из ₸]]/Таблица14[[#This Row],[Средняя цена (USD)]]-1</f>
        <v>0.70028409090909105</v>
      </c>
      <c r="BG38" s="4"/>
      <c r="BH38" s="4"/>
      <c r="BI38" s="4"/>
      <c r="BJ38" s="4"/>
    </row>
    <row r="39" spans="2:62">
      <c r="B39" t="s">
        <v>60</v>
      </c>
      <c r="C39" s="20">
        <v>28000</v>
      </c>
      <c r="D39" s="16">
        <v>1.8399302737955699E-2</v>
      </c>
      <c r="E39" s="16">
        <v>2.0336137660008774E-2</v>
      </c>
      <c r="F39" s="16">
        <v>1.0112566536421723E-2</v>
      </c>
      <c r="G39" s="16">
        <v>3.5700609010389001E-3</v>
      </c>
      <c r="H39" s="16">
        <v>8.652885575962499E-3</v>
      </c>
      <c r="I39" s="16">
        <v>1.3621391426671637E-2</v>
      </c>
      <c r="J39" s="16"/>
      <c r="K39" s="14" t="s">
        <v>5</v>
      </c>
      <c r="L39" s="16">
        <v>1.9409130526252517E-2</v>
      </c>
      <c r="M39" s="16">
        <v>1.6759190369904042E-2</v>
      </c>
      <c r="N39" s="16">
        <v>9.5114360232307852E-3</v>
      </c>
      <c r="O39" s="16">
        <v>1.0932539437437463E-2</v>
      </c>
      <c r="P39" s="16">
        <v>2.3038499961576885E-2</v>
      </c>
      <c r="Q39" s="16">
        <v>1.6048566563788776E-2</v>
      </c>
      <c r="T39" t="s">
        <v>3</v>
      </c>
      <c r="U39" t="s">
        <v>55</v>
      </c>
      <c r="V39" t="str">
        <f>VLOOKUP(Таблица15[[#This Row],[Модель]],Таблица14[#All],2,0)</f>
        <v>Внедорожник</v>
      </c>
      <c r="W39" s="20">
        <f>VLOOKUP(Таблица15[[#This Row],[Модель]],Таблица14[#All],3,0)</f>
        <v>18000</v>
      </c>
      <c r="X39" s="20">
        <f>VLOOKUP(Таблица15[[#This Row],[Модель]],Таблица14[#All],4,0)</f>
        <v>16000</v>
      </c>
      <c r="Y39" s="4">
        <f>VLOOKUP(Таблица15[[#This Row],[Модель]],Таблица14[#All],5,0)</f>
        <v>22000</v>
      </c>
      <c r="Z39" t="str">
        <f>VLOOKUP(Таблица15[[#This Row],[Модель]],Таблица14[#All],6,0)</f>
        <v>АКПП</v>
      </c>
      <c r="AA39" t="str">
        <f>VLOOKUP(Таблица15[[#This Row],[Модель]],Таблица14[#All],7,0)</f>
        <v>Бензин</v>
      </c>
      <c r="AB39" t="str">
        <f>VLOOKUP(Таблица15[[#This Row],[Модель]],Таблица14[#All],8,0)</f>
        <v>Комфорт</v>
      </c>
      <c r="AC39" t="str">
        <f>VLOOKUP(Таблица15[[#This Row],[Модель]],Таблица14[#All],9,0)</f>
        <v>Средний</v>
      </c>
      <c r="AD39">
        <f>VLOOKUP(Таблица15[[#This Row],[Модель]],Таблица14[#All],10,0)</f>
        <v>150</v>
      </c>
      <c r="AE39">
        <f>VLOOKUP(Таблица15[[#This Row],[Модель]],Таблица14[#All],11,0)</f>
        <v>13.5</v>
      </c>
      <c r="AF39">
        <v>2021</v>
      </c>
      <c r="AG39">
        <v>0</v>
      </c>
      <c r="AH39" s="22">
        <f>VLOOKUP(Таблица15[[#This Row],[Модель]],Таблица14[#All],12,0)/1000000</f>
        <v>12.095000000000001</v>
      </c>
      <c r="AI39" s="21">
        <f>VLOOKUP(Таблица15[[#This Row],[Модель]],Таблица14[#All],13,0)/1000000</f>
        <v>9.99</v>
      </c>
      <c r="AJ39" s="21">
        <f>VLOOKUP(Таблица15[[#This Row],[Модель]],Таблица14[#All],14,0)/1000000</f>
        <v>14.2</v>
      </c>
      <c r="AK39" s="21">
        <f>Таблица15[[#This Row],[Средняя цена (USD)]]*Таблица15[[#This Row],[Кол-во проданных]]/1000000</f>
        <v>0</v>
      </c>
      <c r="AL39" s="39">
        <f>Таблица15[[#This Row],[Средняя цена млн. ₸]]/440*Таблица15[[#This Row],[Кол-во проданных]]</f>
        <v>0</v>
      </c>
      <c r="AM39" s="39">
        <f>Таблица15[[#This Row],[Средняя цена млн. ₸]]*Таблица15[[#This Row],[Кол-во проданных]]/1000</f>
        <v>0</v>
      </c>
      <c r="AP39" s="18" t="s">
        <v>48</v>
      </c>
      <c r="AQ39" s="18" t="s">
        <v>202</v>
      </c>
      <c r="AR39" s="4">
        <v>23000</v>
      </c>
      <c r="AS39" s="4">
        <v>20000</v>
      </c>
      <c r="AT39" s="4">
        <v>28000</v>
      </c>
      <c r="AU39" s="18" t="s">
        <v>204</v>
      </c>
      <c r="AV39" s="18" t="s">
        <v>210</v>
      </c>
      <c r="AW39" s="18" t="s">
        <v>212</v>
      </c>
      <c r="AX39" s="18" t="s">
        <v>217</v>
      </c>
      <c r="AY39" s="20">
        <v>190</v>
      </c>
      <c r="AZ39" s="20">
        <v>11.5</v>
      </c>
      <c r="BA39" s="4">
        <f>AVERAGE(Таблица14[[#This Row],[Мин. ₸]],Таблица14[[#This Row],[Макс. ₸]])</f>
        <v>16940000</v>
      </c>
      <c r="BB39" s="4">
        <v>13890000</v>
      </c>
      <c r="BC39" s="4">
        <v>19990000</v>
      </c>
      <c r="BD39" s="4">
        <f>Таблица14[[#This Row],[Средняя цена ₸]]/$BI$2</f>
        <v>38500</v>
      </c>
      <c r="BE39" s="2">
        <f>Таблица14[[#This Row],[Перевод в USD из ₸]]/Таблица14[[#This Row],[Средняя цена (USD)]]-1</f>
        <v>0.67391304347826098</v>
      </c>
      <c r="BG39" s="4"/>
      <c r="BH39" s="4"/>
      <c r="BI39" s="4"/>
      <c r="BJ39" s="4"/>
    </row>
    <row r="40" spans="2:62">
      <c r="B40" t="s">
        <v>33</v>
      </c>
      <c r="C40" s="20">
        <v>14000</v>
      </c>
      <c r="D40" s="16">
        <v>0</v>
      </c>
      <c r="E40" s="16">
        <v>7.821591407695682E-3</v>
      </c>
      <c r="F40" s="16">
        <v>2.5926177294718779E-2</v>
      </c>
      <c r="G40" s="16">
        <v>2.3680992205161146E-2</v>
      </c>
      <c r="H40" s="16">
        <v>1.9749481287942825E-2</v>
      </c>
      <c r="I40" s="16">
        <v>1.2868063909846683E-2</v>
      </c>
      <c r="J40" s="16"/>
      <c r="K40" s="14" t="s">
        <v>21</v>
      </c>
      <c r="L40" s="16">
        <v>0</v>
      </c>
      <c r="M40" s="16">
        <v>7.821591407695682E-3</v>
      </c>
      <c r="N40" s="16">
        <v>3.5631526386720833E-2</v>
      </c>
      <c r="O40" s="16">
        <v>2.8449308841150819E-2</v>
      </c>
      <c r="P40" s="16">
        <v>2.3730116037808346E-2</v>
      </c>
      <c r="Q40" s="16">
        <v>1.6031270778963713E-2</v>
      </c>
      <c r="T40" t="s">
        <v>3</v>
      </c>
      <c r="U40" t="s">
        <v>55</v>
      </c>
      <c r="V40" t="str">
        <f>VLOOKUP(Таблица15[[#This Row],[Модель]],Таблица14[#All],2,0)</f>
        <v>Внедорожник</v>
      </c>
      <c r="W40" s="20">
        <f>VLOOKUP(Таблица15[[#This Row],[Модель]],Таблица14[#All],3,0)</f>
        <v>18000</v>
      </c>
      <c r="X40" s="20">
        <f>VLOOKUP(Таблица15[[#This Row],[Модель]],Таблица14[#All],4,0)</f>
        <v>16000</v>
      </c>
      <c r="Y40" s="4">
        <f>VLOOKUP(Таблица15[[#This Row],[Модель]],Таблица14[#All],5,0)</f>
        <v>22000</v>
      </c>
      <c r="Z40" t="str">
        <f>VLOOKUP(Таблица15[[#This Row],[Модель]],Таблица14[#All],6,0)</f>
        <v>АКПП</v>
      </c>
      <c r="AA40" t="str">
        <f>VLOOKUP(Таблица15[[#This Row],[Модель]],Таблица14[#All],7,0)</f>
        <v>Бензин</v>
      </c>
      <c r="AB40" t="str">
        <f>VLOOKUP(Таблица15[[#This Row],[Модель]],Таблица14[#All],8,0)</f>
        <v>Комфорт</v>
      </c>
      <c r="AC40" t="str">
        <f>VLOOKUP(Таблица15[[#This Row],[Модель]],Таблица14[#All],9,0)</f>
        <v>Средний</v>
      </c>
      <c r="AD40">
        <f>VLOOKUP(Таблица15[[#This Row],[Модель]],Таблица14[#All],10,0)</f>
        <v>150</v>
      </c>
      <c r="AE40">
        <f>VLOOKUP(Таблица15[[#This Row],[Модель]],Таблица14[#All],11,0)</f>
        <v>13.5</v>
      </c>
      <c r="AF40">
        <v>2020</v>
      </c>
      <c r="AG40">
        <v>0</v>
      </c>
      <c r="AH40" s="22">
        <f>VLOOKUP(Таблица15[[#This Row],[Модель]],Таблица14[#All],12,0)/1000000</f>
        <v>12.095000000000001</v>
      </c>
      <c r="AI40" s="21">
        <f>VLOOKUP(Таблица15[[#This Row],[Модель]],Таблица14[#All],13,0)/1000000</f>
        <v>9.99</v>
      </c>
      <c r="AJ40" s="21">
        <f>VLOOKUP(Таблица15[[#This Row],[Модель]],Таблица14[#All],14,0)/1000000</f>
        <v>14.2</v>
      </c>
      <c r="AK40" s="21">
        <f>Таблица15[[#This Row],[Средняя цена (USD)]]*Таблица15[[#This Row],[Кол-во проданных]]/1000000</f>
        <v>0</v>
      </c>
      <c r="AL40" s="39">
        <f>Таблица15[[#This Row],[Средняя цена млн. ₸]]/440*Таблица15[[#This Row],[Кол-во проданных]]</f>
        <v>0</v>
      </c>
      <c r="AM40" s="39">
        <f>Таблица15[[#This Row],[Средняя цена млн. ₸]]*Таблица15[[#This Row],[Кол-во проданных]]/1000</f>
        <v>0</v>
      </c>
      <c r="AP40" s="18" t="s">
        <v>92</v>
      </c>
      <c r="AQ40" s="18" t="s">
        <v>197</v>
      </c>
      <c r="AR40" s="4">
        <v>18000</v>
      </c>
      <c r="AS40" s="4">
        <v>16000</v>
      </c>
      <c r="AT40" s="4">
        <v>22000</v>
      </c>
      <c r="AU40" s="18" t="s">
        <v>206</v>
      </c>
      <c r="AV40" s="18" t="s">
        <v>208</v>
      </c>
      <c r="AW40" s="18" t="s">
        <v>212</v>
      </c>
      <c r="AX40" s="18" t="s">
        <v>217</v>
      </c>
      <c r="AY40" s="20">
        <v>150</v>
      </c>
      <c r="AZ40" s="20">
        <v>13.5</v>
      </c>
      <c r="BA40" s="4">
        <f>AVERAGE(Таблица14[[#This Row],[Мин. ₸]],Таблица14[[#This Row],[Макс. ₸]])</f>
        <v>12240000</v>
      </c>
      <c r="BB40" s="4">
        <v>10990000</v>
      </c>
      <c r="BC40" s="4">
        <v>13490000</v>
      </c>
      <c r="BD40" s="4">
        <f>Таблица14[[#This Row],[Средняя цена ₸]]/$BI$2</f>
        <v>27818.18181818182</v>
      </c>
      <c r="BE40" s="2">
        <f>Таблица14[[#This Row],[Перевод в USD из ₸]]/Таблица14[[#This Row],[Средняя цена (USD)]]-1</f>
        <v>0.54545454545454564</v>
      </c>
      <c r="BG40" s="4"/>
      <c r="BH40" s="4"/>
      <c r="BI40" s="4"/>
      <c r="BJ40" s="4"/>
    </row>
    <row r="41" spans="2:62">
      <c r="B41" t="s">
        <v>55</v>
      </c>
      <c r="C41" s="20">
        <v>18000</v>
      </c>
      <c r="D41" s="16">
        <v>2.6003065548643043E-2</v>
      </c>
      <c r="E41" s="16">
        <v>2.221522730307713E-2</v>
      </c>
      <c r="F41" s="16">
        <v>0</v>
      </c>
      <c r="G41" s="16">
        <v>0</v>
      </c>
      <c r="H41" s="16">
        <v>0</v>
      </c>
      <c r="I41" s="16">
        <v>1.2789272001199175E-2</v>
      </c>
      <c r="J41" s="16"/>
      <c r="K41" s="14" t="s">
        <v>136</v>
      </c>
      <c r="L41" s="16">
        <v>0</v>
      </c>
      <c r="M41" s="16">
        <v>5.188958202178599E-3</v>
      </c>
      <c r="N41" s="16">
        <v>1.4320480128758278E-2</v>
      </c>
      <c r="O41" s="16">
        <v>2.1358599646699856E-2</v>
      </c>
      <c r="P41" s="16">
        <v>3.1122723430415739E-2</v>
      </c>
      <c r="Q41" s="16">
        <v>1.1098128596081927E-2</v>
      </c>
      <c r="T41" t="s">
        <v>3</v>
      </c>
      <c r="U41" t="s">
        <v>55</v>
      </c>
      <c r="V41" t="str">
        <f>VLOOKUP(Таблица15[[#This Row],[Модель]],Таблица14[#All],2,0)</f>
        <v>Внедорожник</v>
      </c>
      <c r="W41" s="20">
        <f>VLOOKUP(Таблица15[[#This Row],[Модель]],Таблица14[#All],3,0)</f>
        <v>18000</v>
      </c>
      <c r="X41" s="20">
        <f>VLOOKUP(Таблица15[[#This Row],[Модель]],Таблица14[#All],4,0)</f>
        <v>16000</v>
      </c>
      <c r="Y41" s="4">
        <f>VLOOKUP(Таблица15[[#This Row],[Модель]],Таблица14[#All],5,0)</f>
        <v>22000</v>
      </c>
      <c r="Z41" t="str">
        <f>VLOOKUP(Таблица15[[#This Row],[Модель]],Таблица14[#All],6,0)</f>
        <v>АКПП</v>
      </c>
      <c r="AA41" t="str">
        <f>VLOOKUP(Таблица15[[#This Row],[Модель]],Таблица14[#All],7,0)</f>
        <v>Бензин</v>
      </c>
      <c r="AB41" t="str">
        <f>VLOOKUP(Таблица15[[#This Row],[Модель]],Таблица14[#All],8,0)</f>
        <v>Комфорт</v>
      </c>
      <c r="AC41" t="str">
        <f>VLOOKUP(Таблица15[[#This Row],[Модель]],Таблица14[#All],9,0)</f>
        <v>Средний</v>
      </c>
      <c r="AD41">
        <f>VLOOKUP(Таблица15[[#This Row],[Модель]],Таблица14[#All],10,0)</f>
        <v>150</v>
      </c>
      <c r="AE41">
        <f>VLOOKUP(Таблица15[[#This Row],[Модель]],Таблица14[#All],11,0)</f>
        <v>13.5</v>
      </c>
      <c r="AF41">
        <v>2019</v>
      </c>
      <c r="AG41">
        <v>0</v>
      </c>
      <c r="AH41" s="22">
        <f>VLOOKUP(Таблица15[[#This Row],[Модель]],Таблица14[#All],12,0)/1000000</f>
        <v>12.095000000000001</v>
      </c>
      <c r="AI41" s="21">
        <f>VLOOKUP(Таблица15[[#This Row],[Модель]],Таблица14[#All],13,0)/1000000</f>
        <v>9.99</v>
      </c>
      <c r="AJ41" s="21">
        <f>VLOOKUP(Таблица15[[#This Row],[Модель]],Таблица14[#All],14,0)/1000000</f>
        <v>14.2</v>
      </c>
      <c r="AK41" s="21">
        <f>Таблица15[[#This Row],[Средняя цена (USD)]]*Таблица15[[#This Row],[Кол-во проданных]]/1000000</f>
        <v>0</v>
      </c>
      <c r="AL41" s="39">
        <f>Таблица15[[#This Row],[Средняя цена млн. ₸]]/440*Таблица15[[#This Row],[Кол-во проданных]]</f>
        <v>0</v>
      </c>
      <c r="AM41" s="39">
        <f>Таблица15[[#This Row],[Средняя цена млн. ₸]]*Таблица15[[#This Row],[Кол-во проданных]]/1000</f>
        <v>0</v>
      </c>
      <c r="AP41" s="18" t="s">
        <v>60</v>
      </c>
      <c r="AQ41" s="18" t="s">
        <v>202</v>
      </c>
      <c r="AR41" s="4">
        <v>28000</v>
      </c>
      <c r="AS41" s="4">
        <v>25000</v>
      </c>
      <c r="AT41" s="4">
        <v>35000</v>
      </c>
      <c r="AU41" s="18" t="s">
        <v>204</v>
      </c>
      <c r="AV41" s="18" t="s">
        <v>210</v>
      </c>
      <c r="AW41" s="18" t="s">
        <v>212</v>
      </c>
      <c r="AX41" s="18" t="s">
        <v>217</v>
      </c>
      <c r="AY41" s="20">
        <v>230</v>
      </c>
      <c r="AZ41" s="20">
        <v>11</v>
      </c>
      <c r="BA41" s="4">
        <f>AVERAGE(Таблица14[[#This Row],[Мин. ₸]],Таблица14[[#This Row],[Макс. ₸]])</f>
        <v>18590000</v>
      </c>
      <c r="BB41" s="4">
        <v>17990000</v>
      </c>
      <c r="BC41" s="4">
        <v>19190000</v>
      </c>
      <c r="BD41" s="4">
        <f>Таблица14[[#This Row],[Средняя цена ₸]]/$BI$2</f>
        <v>42250</v>
      </c>
      <c r="BE41" s="2">
        <f>Таблица14[[#This Row],[Перевод в USD из ₸]]/Таблица14[[#This Row],[Средняя цена (USD)]]-1</f>
        <v>0.5089285714285714</v>
      </c>
      <c r="BG41" s="4"/>
      <c r="BH41" s="4"/>
      <c r="BI41" s="4"/>
      <c r="BJ41" s="4"/>
    </row>
    <row r="42" spans="2:62">
      <c r="B42" t="s">
        <v>56</v>
      </c>
      <c r="C42" s="20">
        <v>18000</v>
      </c>
      <c r="D42" s="16">
        <v>2.3039701860367266E-2</v>
      </c>
      <c r="E42" s="16">
        <v>1.3525630019649364E-2</v>
      </c>
      <c r="F42" s="16">
        <v>1.0839740544313983E-2</v>
      </c>
      <c r="G42" s="16">
        <v>0</v>
      </c>
      <c r="H42" s="16">
        <v>0</v>
      </c>
      <c r="I42" s="16">
        <v>1.223965039453607E-2</v>
      </c>
      <c r="J42" s="16"/>
      <c r="K42" s="14" t="s">
        <v>124</v>
      </c>
      <c r="L42" s="16">
        <v>3.2392630661497307E-2</v>
      </c>
      <c r="M42" s="16">
        <v>0</v>
      </c>
      <c r="N42" s="16">
        <v>0</v>
      </c>
      <c r="O42" s="16">
        <v>0</v>
      </c>
      <c r="P42" s="16">
        <v>0</v>
      </c>
      <c r="Q42" s="16">
        <v>1.0356331602473682E-2</v>
      </c>
      <c r="T42" t="s">
        <v>3</v>
      </c>
      <c r="U42" t="s">
        <v>70</v>
      </c>
      <c r="V42" t="str">
        <f>VLOOKUP(Таблица15[[#This Row],[Модель]],Таблица14[#All],2,0)</f>
        <v>Внедорожник</v>
      </c>
      <c r="W42" s="20">
        <f>VLOOKUP(Таблица15[[#This Row],[Модель]],Таблица14[#All],3,0)</f>
        <v>22000</v>
      </c>
      <c r="X42" s="20">
        <f>VLOOKUP(Таблица15[[#This Row],[Модель]],Таблица14[#All],4,0)</f>
        <v>19000</v>
      </c>
      <c r="Y42" s="4">
        <f>VLOOKUP(Таблица15[[#This Row],[Модель]],Таблица14[#All],5,0)</f>
        <v>25000</v>
      </c>
      <c r="Z42" t="str">
        <f>VLOOKUP(Таблица15[[#This Row],[Модель]],Таблица14[#All],6,0)</f>
        <v>АКПП</v>
      </c>
      <c r="AA42" t="str">
        <f>VLOOKUP(Таблица15[[#This Row],[Модель]],Таблица14[#All],7,0)</f>
        <v>Бензин</v>
      </c>
      <c r="AB42" t="str">
        <f>VLOOKUP(Таблица15[[#This Row],[Модель]],Таблица14[#All],8,0)</f>
        <v>Комфорт</v>
      </c>
      <c r="AC42" t="str">
        <f>VLOOKUP(Таблица15[[#This Row],[Модель]],Таблица14[#All],9,0)</f>
        <v>Средний</v>
      </c>
      <c r="AD42">
        <f>VLOOKUP(Таблица15[[#This Row],[Модель]],Таблица14[#All],10,0)</f>
        <v>170</v>
      </c>
      <c r="AE42">
        <f>VLOOKUP(Таблица15[[#This Row],[Модель]],Таблица14[#All],11,0)</f>
        <v>12.5</v>
      </c>
      <c r="AF42">
        <v>2023</v>
      </c>
      <c r="AG42">
        <v>1807</v>
      </c>
      <c r="AH42" s="22">
        <f>VLOOKUP(Таблица15[[#This Row],[Модель]],Таблица14[#All],12,0)/1000000</f>
        <v>14.25</v>
      </c>
      <c r="AI42" s="21">
        <f>VLOOKUP(Таблица15[[#This Row],[Модель]],Таблица14[#All],13,0)/1000000</f>
        <v>13.5</v>
      </c>
      <c r="AJ42" s="21">
        <f>VLOOKUP(Таблица15[[#This Row],[Модель]],Таблица14[#All],14,0)/1000000</f>
        <v>15</v>
      </c>
      <c r="AK42" s="21">
        <f>Таблица15[[#This Row],[Средняя цена (USD)]]*Таблица15[[#This Row],[Кол-во проданных]]/1000000</f>
        <v>39.753999999999998</v>
      </c>
      <c r="AL42" s="39">
        <f>Таблица15[[#This Row],[Средняя цена млн. ₸]]/440*Таблица15[[#This Row],[Кол-во проданных]]</f>
        <v>58.522159090909092</v>
      </c>
      <c r="AM42" s="39">
        <f>Таблица15[[#This Row],[Средняя цена млн. ₸]]*Таблица15[[#This Row],[Кол-во проданных]]/1000</f>
        <v>25.749749999999999</v>
      </c>
      <c r="AP42" s="18" t="s">
        <v>73</v>
      </c>
      <c r="AQ42" s="18" t="s">
        <v>203</v>
      </c>
      <c r="AR42" s="4">
        <v>20000</v>
      </c>
      <c r="AS42" s="4">
        <v>18000</v>
      </c>
      <c r="AT42" s="4">
        <v>24000</v>
      </c>
      <c r="AU42" s="18" t="s">
        <v>204</v>
      </c>
      <c r="AV42" s="18" t="s">
        <v>208</v>
      </c>
      <c r="AW42" s="18" t="s">
        <v>212</v>
      </c>
      <c r="AX42" s="18" t="s">
        <v>217</v>
      </c>
      <c r="AY42" s="20">
        <v>160</v>
      </c>
      <c r="AZ42" s="20">
        <v>12.5</v>
      </c>
      <c r="BA42" s="4">
        <f>AVERAGE(Таблица14[[#This Row],[Мин. ₸]],Таблица14[[#This Row],[Макс. ₸]])</f>
        <v>12390000</v>
      </c>
      <c r="BB42" s="4">
        <v>11990000</v>
      </c>
      <c r="BC42" s="4">
        <v>12790000</v>
      </c>
      <c r="BD42" s="4">
        <f>Таблица14[[#This Row],[Средняя цена ₸]]/$BI$2</f>
        <v>28159.090909090908</v>
      </c>
      <c r="BE42" s="2">
        <f>Таблица14[[#This Row],[Перевод в USD из ₸]]/Таблица14[[#This Row],[Средняя цена (USD)]]-1</f>
        <v>0.40795454545454546</v>
      </c>
      <c r="BG42" s="4"/>
      <c r="BH42" s="4"/>
      <c r="BI42" s="4"/>
      <c r="BJ42" s="4"/>
    </row>
    <row r="43" spans="2:62">
      <c r="B43" t="s">
        <v>50</v>
      </c>
      <c r="C43" s="20">
        <v>12000</v>
      </c>
      <c r="D43" s="16">
        <v>3.608331079253449E-2</v>
      </c>
      <c r="E43" s="16">
        <v>0</v>
      </c>
      <c r="F43" s="16">
        <v>0</v>
      </c>
      <c r="G43" s="16">
        <v>0</v>
      </c>
      <c r="H43" s="16">
        <v>0</v>
      </c>
      <c r="I43" s="16">
        <v>1.1536288478316852E-2</v>
      </c>
      <c r="J43" s="16"/>
      <c r="K43" s="14" t="s">
        <v>17</v>
      </c>
      <c r="L43" s="16">
        <v>1.9926066179785411E-2</v>
      </c>
      <c r="M43" s="16">
        <v>0</v>
      </c>
      <c r="N43" s="16">
        <v>0</v>
      </c>
      <c r="O43" s="16">
        <v>0</v>
      </c>
      <c r="P43" s="16">
        <v>0</v>
      </c>
      <c r="Q43" s="16">
        <v>6.3706140772314445E-3</v>
      </c>
      <c r="T43" t="s">
        <v>3</v>
      </c>
      <c r="U43" t="s">
        <v>70</v>
      </c>
      <c r="V43" t="str">
        <f>VLOOKUP(Таблица15[[#This Row],[Модель]],Таблица14[#All],2,0)</f>
        <v>Внедорожник</v>
      </c>
      <c r="W43" s="20">
        <f>VLOOKUP(Таблица15[[#This Row],[Модель]],Таблица14[#All],3,0)</f>
        <v>22000</v>
      </c>
      <c r="X43" s="20">
        <f>VLOOKUP(Таблица15[[#This Row],[Модель]],Таблица14[#All],4,0)</f>
        <v>19000</v>
      </c>
      <c r="Y43" s="4">
        <f>VLOOKUP(Таблица15[[#This Row],[Модель]],Таблица14[#All],5,0)</f>
        <v>25000</v>
      </c>
      <c r="Z43" t="str">
        <f>VLOOKUP(Таблица15[[#This Row],[Модель]],Таблица14[#All],6,0)</f>
        <v>АКПП</v>
      </c>
      <c r="AA43" t="str">
        <f>VLOOKUP(Таблица15[[#This Row],[Модель]],Таблица14[#All],7,0)</f>
        <v>Бензин</v>
      </c>
      <c r="AB43" t="str">
        <f>VLOOKUP(Таблица15[[#This Row],[Модель]],Таблица14[#All],8,0)</f>
        <v>Комфорт</v>
      </c>
      <c r="AC43" t="str">
        <f>VLOOKUP(Таблица15[[#This Row],[Модель]],Таблица14[#All],9,0)</f>
        <v>Средний</v>
      </c>
      <c r="AD43">
        <f>VLOOKUP(Таблица15[[#This Row],[Модель]],Таблица14[#All],10,0)</f>
        <v>170</v>
      </c>
      <c r="AE43">
        <f>VLOOKUP(Таблица15[[#This Row],[Модель]],Таблица14[#All],11,0)</f>
        <v>12.5</v>
      </c>
      <c r="AF43">
        <v>2022</v>
      </c>
      <c r="AG43">
        <v>1729</v>
      </c>
      <c r="AH43" s="22">
        <f>VLOOKUP(Таблица15[[#This Row],[Модель]],Таблица14[#All],12,0)/1000000</f>
        <v>14.25</v>
      </c>
      <c r="AI43" s="21">
        <f>VLOOKUP(Таблица15[[#This Row],[Модель]],Таблица14[#All],13,0)/1000000</f>
        <v>13.5</v>
      </c>
      <c r="AJ43" s="21">
        <f>VLOOKUP(Таблица15[[#This Row],[Модель]],Таблица14[#All],14,0)/1000000</f>
        <v>15</v>
      </c>
      <c r="AK43" s="21">
        <f>Таблица15[[#This Row],[Средняя цена (USD)]]*Таблица15[[#This Row],[Кол-во проданных]]/1000000</f>
        <v>38.037999999999997</v>
      </c>
      <c r="AL43" s="39">
        <f>Таблица15[[#This Row],[Средняя цена млн. ₸]]/440*Таблица15[[#This Row],[Кол-во проданных]]</f>
        <v>55.996022727272731</v>
      </c>
      <c r="AM43" s="39">
        <f>Таблица15[[#This Row],[Средняя цена млн. ₸]]*Таблица15[[#This Row],[Кол-во проданных]]/1000</f>
        <v>24.638249999999999</v>
      </c>
      <c r="AP43" s="18" t="s">
        <v>87</v>
      </c>
      <c r="AQ43" s="18" t="s">
        <v>200</v>
      </c>
      <c r="AR43" s="4">
        <v>28000</v>
      </c>
      <c r="AS43" s="4">
        <v>25000</v>
      </c>
      <c r="AT43" s="4">
        <v>35000</v>
      </c>
      <c r="AU43" s="18" t="s">
        <v>204</v>
      </c>
      <c r="AV43" s="18" t="s">
        <v>208</v>
      </c>
      <c r="AW43" s="18" t="s">
        <v>212</v>
      </c>
      <c r="AX43" s="18" t="s">
        <v>215</v>
      </c>
      <c r="AY43" s="20">
        <v>290</v>
      </c>
      <c r="AZ43" s="20">
        <v>10</v>
      </c>
      <c r="BA43" s="4">
        <f>AVERAGE(Таблица14[[#This Row],[Мин. ₸]],Таблица14[[#This Row],[Макс. ₸]])</f>
        <v>23990000</v>
      </c>
      <c r="BB43" s="4">
        <v>23990000</v>
      </c>
      <c r="BC43" s="4">
        <v>23990000</v>
      </c>
      <c r="BD43" s="4">
        <f>Таблица14[[#This Row],[Средняя цена ₸]]/$BI$2</f>
        <v>54522.727272727272</v>
      </c>
      <c r="BE43" s="2">
        <f>Таблица14[[#This Row],[Перевод в USD из ₸]]/Таблица14[[#This Row],[Средняя цена (USD)]]-1</f>
        <v>0.94724025974025983</v>
      </c>
      <c r="BG43" s="4"/>
      <c r="BH43" s="4"/>
      <c r="BI43" s="4"/>
      <c r="BJ43" s="4"/>
    </row>
    <row r="44" spans="2:62">
      <c r="B44" t="s">
        <v>75</v>
      </c>
      <c r="C44" s="20">
        <v>90000</v>
      </c>
      <c r="D44" s="16">
        <v>8.5534818020617312E-3</v>
      </c>
      <c r="E44" s="16">
        <v>1.7703504454491693E-2</v>
      </c>
      <c r="F44" s="16">
        <v>8.4061315312345484E-3</v>
      </c>
      <c r="G44" s="16">
        <v>9.1907450185914931E-3</v>
      </c>
      <c r="H44" s="16">
        <v>1.5861062014908167E-2</v>
      </c>
      <c r="I44" s="16">
        <v>1.1380626414891286E-2</v>
      </c>
      <c r="J44" s="16"/>
      <c r="K44" s="14" t="s">
        <v>125</v>
      </c>
      <c r="L44" s="16">
        <v>7.9644155922219215E-3</v>
      </c>
      <c r="M44" s="16">
        <v>0</v>
      </c>
      <c r="N44" s="16">
        <v>5.8367833700152224E-3</v>
      </c>
      <c r="O44" s="16">
        <v>4.8053760917097996E-3</v>
      </c>
      <c r="P44" s="16">
        <v>6.4704526242987783E-3</v>
      </c>
      <c r="Q44" s="16">
        <v>5.259840340688526E-3</v>
      </c>
      <c r="T44" t="s">
        <v>3</v>
      </c>
      <c r="U44" t="s">
        <v>70</v>
      </c>
      <c r="V44" t="str">
        <f>VLOOKUP(Таблица15[[#This Row],[Модель]],Таблица14[#All],2,0)</f>
        <v>Внедорожник</v>
      </c>
      <c r="W44" s="20">
        <f>VLOOKUP(Таблица15[[#This Row],[Модель]],Таблица14[#All],3,0)</f>
        <v>22000</v>
      </c>
      <c r="X44" s="20">
        <f>VLOOKUP(Таблица15[[#This Row],[Модель]],Таблица14[#All],4,0)</f>
        <v>19000</v>
      </c>
      <c r="Y44" s="4">
        <f>VLOOKUP(Таблица15[[#This Row],[Модель]],Таблица14[#All],5,0)</f>
        <v>25000</v>
      </c>
      <c r="Z44" t="str">
        <f>VLOOKUP(Таблица15[[#This Row],[Модель]],Таблица14[#All],6,0)</f>
        <v>АКПП</v>
      </c>
      <c r="AA44" t="str">
        <f>VLOOKUP(Таблица15[[#This Row],[Модель]],Таблица14[#All],7,0)</f>
        <v>Бензин</v>
      </c>
      <c r="AB44" t="str">
        <f>VLOOKUP(Таблица15[[#This Row],[Модель]],Таблица14[#All],8,0)</f>
        <v>Комфорт</v>
      </c>
      <c r="AC44" t="str">
        <f>VLOOKUP(Таблица15[[#This Row],[Модель]],Таблица14[#All],9,0)</f>
        <v>Средний</v>
      </c>
      <c r="AD44">
        <f>VLOOKUP(Таблица15[[#This Row],[Модель]],Таблица14[#All],10,0)</f>
        <v>170</v>
      </c>
      <c r="AE44">
        <f>VLOOKUP(Таблица15[[#This Row],[Модель]],Таблица14[#All],11,0)</f>
        <v>12.5</v>
      </c>
      <c r="AF44">
        <v>2021</v>
      </c>
      <c r="AG44">
        <v>0</v>
      </c>
      <c r="AH44" s="22">
        <f>VLOOKUP(Таблица15[[#This Row],[Модель]],Таблица14[#All],12,0)/1000000</f>
        <v>14.25</v>
      </c>
      <c r="AI44" s="21">
        <f>VLOOKUP(Таблица15[[#This Row],[Модель]],Таблица14[#All],13,0)/1000000</f>
        <v>13.5</v>
      </c>
      <c r="AJ44" s="21">
        <f>VLOOKUP(Таблица15[[#This Row],[Модель]],Таблица14[#All],14,0)/1000000</f>
        <v>15</v>
      </c>
      <c r="AK44" s="21">
        <f>Таблица15[[#This Row],[Средняя цена (USD)]]*Таблица15[[#This Row],[Кол-во проданных]]/1000000</f>
        <v>0</v>
      </c>
      <c r="AL44" s="39">
        <f>Таблица15[[#This Row],[Средняя цена млн. ₸]]/440*Таблица15[[#This Row],[Кол-во проданных]]</f>
        <v>0</v>
      </c>
      <c r="AM44" s="39">
        <f>Таблица15[[#This Row],[Средняя цена млн. ₸]]*Таблица15[[#This Row],[Кол-во проданных]]/1000</f>
        <v>0</v>
      </c>
      <c r="AP44" s="18" t="s">
        <v>29</v>
      </c>
      <c r="AQ44" s="18" t="s">
        <v>197</v>
      </c>
      <c r="AR44" s="4">
        <v>14000</v>
      </c>
      <c r="AS44" s="4">
        <v>12000</v>
      </c>
      <c r="AT44" s="4">
        <v>16000</v>
      </c>
      <c r="AU44" s="18" t="s">
        <v>206</v>
      </c>
      <c r="AV44" s="18" t="s">
        <v>208</v>
      </c>
      <c r="AW44" s="18" t="s">
        <v>213</v>
      </c>
      <c r="AX44" s="18" t="s">
        <v>216</v>
      </c>
      <c r="AY44" s="20">
        <v>115</v>
      </c>
      <c r="AZ44" s="20">
        <v>15.5</v>
      </c>
      <c r="BA44" s="4">
        <f>AVERAGE(Таблица14[[#This Row],[Мин. ₸]],Таблица14[[#This Row],[Макс. ₸]])</f>
        <v>8590000</v>
      </c>
      <c r="BB44" s="4">
        <v>7990000</v>
      </c>
      <c r="BC44" s="4">
        <v>9190000</v>
      </c>
      <c r="BD44" s="4">
        <f>Таблица14[[#This Row],[Средняя цена ₸]]/$BI$2</f>
        <v>19522.727272727272</v>
      </c>
      <c r="BE44" s="2">
        <f>Таблица14[[#This Row],[Перевод в USD из ₸]]/Таблица14[[#This Row],[Средняя цена (USD)]]-1</f>
        <v>0.39448051948051943</v>
      </c>
      <c r="BG44" s="4"/>
      <c r="BH44" s="4"/>
      <c r="BI44" s="4"/>
      <c r="BJ44" s="4"/>
    </row>
    <row r="45" spans="2:62">
      <c r="B45" t="s">
        <v>59</v>
      </c>
      <c r="C45" s="20">
        <v>18000</v>
      </c>
      <c r="D45" s="16">
        <v>1.854356385056953E-2</v>
      </c>
      <c r="E45" s="16">
        <v>1.169423300711574E-2</v>
      </c>
      <c r="F45" s="16">
        <v>4.8478267192817457E-3</v>
      </c>
      <c r="G45" s="16">
        <v>3.6565329643858629E-3</v>
      </c>
      <c r="H45" s="16">
        <v>8.5299316068546838E-3</v>
      </c>
      <c r="I45" s="16">
        <v>1.0880970408833918E-2</v>
      </c>
      <c r="J45" s="16"/>
      <c r="K45" s="14" t="s">
        <v>9</v>
      </c>
      <c r="L45" s="16">
        <v>0</v>
      </c>
      <c r="M45" s="16">
        <v>0</v>
      </c>
      <c r="N45" s="16">
        <v>8.4836967587430551E-3</v>
      </c>
      <c r="O45" s="16">
        <v>6.4483452953020964E-3</v>
      </c>
      <c r="P45" s="16">
        <v>7.1313302082532852E-3</v>
      </c>
      <c r="Q45" s="16">
        <v>3.5763839510490852E-3</v>
      </c>
      <c r="T45" t="s">
        <v>3</v>
      </c>
      <c r="U45" t="s">
        <v>70</v>
      </c>
      <c r="V45" t="str">
        <f>VLOOKUP(Таблица15[[#This Row],[Модель]],Таблица14[#All],2,0)</f>
        <v>Внедорожник</v>
      </c>
      <c r="W45" s="20">
        <f>VLOOKUP(Таблица15[[#This Row],[Модель]],Таблица14[#All],3,0)</f>
        <v>22000</v>
      </c>
      <c r="X45" s="20">
        <f>VLOOKUP(Таблица15[[#This Row],[Модель]],Таблица14[#All],4,0)</f>
        <v>19000</v>
      </c>
      <c r="Y45" s="4">
        <f>VLOOKUP(Таблица15[[#This Row],[Модель]],Таблица14[#All],5,0)</f>
        <v>25000</v>
      </c>
      <c r="Z45" t="str">
        <f>VLOOKUP(Таблица15[[#This Row],[Модель]],Таблица14[#All],6,0)</f>
        <v>АКПП</v>
      </c>
      <c r="AA45" t="str">
        <f>VLOOKUP(Таблица15[[#This Row],[Модель]],Таблица14[#All],7,0)</f>
        <v>Бензин</v>
      </c>
      <c r="AB45" t="str">
        <f>VLOOKUP(Таблица15[[#This Row],[Модель]],Таблица14[#All],8,0)</f>
        <v>Комфорт</v>
      </c>
      <c r="AC45" t="str">
        <f>VLOOKUP(Таблица15[[#This Row],[Модель]],Таблица14[#All],9,0)</f>
        <v>Средний</v>
      </c>
      <c r="AD45">
        <f>VLOOKUP(Таблица15[[#This Row],[Модель]],Таблица14[#All],10,0)</f>
        <v>170</v>
      </c>
      <c r="AE45">
        <f>VLOOKUP(Таблица15[[#This Row],[Модель]],Таблица14[#All],11,0)</f>
        <v>12.5</v>
      </c>
      <c r="AF45">
        <v>2020</v>
      </c>
      <c r="AG45">
        <v>0</v>
      </c>
      <c r="AH45" s="22">
        <f>VLOOKUP(Таблица15[[#This Row],[Модель]],Таблица14[#All],12,0)/1000000</f>
        <v>14.25</v>
      </c>
      <c r="AI45" s="21">
        <f>VLOOKUP(Таблица15[[#This Row],[Модель]],Таблица14[#All],13,0)/1000000</f>
        <v>13.5</v>
      </c>
      <c r="AJ45" s="21">
        <f>VLOOKUP(Таблица15[[#This Row],[Модель]],Таблица14[#All],14,0)/1000000</f>
        <v>15</v>
      </c>
      <c r="AK45" s="21">
        <f>Таблица15[[#This Row],[Средняя цена (USD)]]*Таблица15[[#This Row],[Кол-во проданных]]/1000000</f>
        <v>0</v>
      </c>
      <c r="AL45" s="39">
        <f>Таблица15[[#This Row],[Средняя цена млн. ₸]]/440*Таблица15[[#This Row],[Кол-во проданных]]</f>
        <v>0</v>
      </c>
      <c r="AM45" s="39">
        <f>Таблица15[[#This Row],[Средняя цена млн. ₸]]*Таблица15[[#This Row],[Кол-во проданных]]/1000</f>
        <v>0</v>
      </c>
      <c r="AP45" s="18" t="s">
        <v>67</v>
      </c>
      <c r="AQ45" s="18" t="s">
        <v>199</v>
      </c>
      <c r="AR45" s="4">
        <v>22000</v>
      </c>
      <c r="AS45" s="4">
        <v>19000</v>
      </c>
      <c r="AT45" s="4">
        <v>25000</v>
      </c>
      <c r="AU45" s="18" t="s">
        <v>204</v>
      </c>
      <c r="AV45" s="18" t="s">
        <v>208</v>
      </c>
      <c r="AW45" s="18" t="s">
        <v>212</v>
      </c>
      <c r="AX45" s="18" t="s">
        <v>217</v>
      </c>
      <c r="AY45" s="20">
        <v>180</v>
      </c>
      <c r="AZ45" s="20">
        <v>12</v>
      </c>
      <c r="BA45" s="4">
        <f>AVERAGE(Таблица14[[#This Row],[Мин. ₸]],Таблица14[[#This Row],[Макс. ₸]])</f>
        <v>16290000</v>
      </c>
      <c r="BB45" s="4">
        <v>14090000</v>
      </c>
      <c r="BC45" s="4">
        <v>18490000</v>
      </c>
      <c r="BD45" s="4">
        <f>Таблица14[[#This Row],[Средняя цена ₸]]/$BI$2</f>
        <v>37022.727272727272</v>
      </c>
      <c r="BE45" s="2">
        <f>Таблица14[[#This Row],[Перевод в USD из ₸]]/Таблица14[[#This Row],[Средняя цена (USD)]]-1</f>
        <v>0.68285123966942152</v>
      </c>
      <c r="BG45" s="4"/>
      <c r="BH45" s="4"/>
      <c r="BI45" s="4"/>
      <c r="BJ45" s="4"/>
    </row>
    <row r="46" spans="2:62">
      <c r="B46" t="s">
        <v>41</v>
      </c>
      <c r="C46" s="20">
        <v>50000</v>
      </c>
      <c r="D46" s="16">
        <v>1.3548522826315631E-2</v>
      </c>
      <c r="E46" s="16">
        <v>8.7372899139624947E-3</v>
      </c>
      <c r="F46" s="16">
        <v>9.5114360232307852E-3</v>
      </c>
      <c r="G46" s="16">
        <v>7.2513001692381812E-3</v>
      </c>
      <c r="H46" s="16">
        <v>9.3137631599170059E-3</v>
      </c>
      <c r="I46" s="16">
        <v>1.0269852678348368E-2</v>
      </c>
      <c r="J46" s="16"/>
      <c r="K46" s="14" t="s">
        <v>18</v>
      </c>
      <c r="L46" s="16">
        <v>8.1928290205271533E-3</v>
      </c>
      <c r="M46" s="16">
        <v>0</v>
      </c>
      <c r="N46" s="16">
        <v>0</v>
      </c>
      <c r="O46" s="16">
        <v>0</v>
      </c>
      <c r="P46" s="16">
        <v>0</v>
      </c>
      <c r="Q46" s="16">
        <v>2.61935052406228E-3</v>
      </c>
      <c r="T46" t="s">
        <v>3</v>
      </c>
      <c r="U46" t="s">
        <v>70</v>
      </c>
      <c r="V46" t="str">
        <f>VLOOKUP(Таблица15[[#This Row],[Модель]],Таблица14[#All],2,0)</f>
        <v>Внедорожник</v>
      </c>
      <c r="W46" s="20">
        <f>VLOOKUP(Таблица15[[#This Row],[Модель]],Таблица14[#All],3,0)</f>
        <v>22000</v>
      </c>
      <c r="X46" s="20">
        <f>VLOOKUP(Таблица15[[#This Row],[Модель]],Таблица14[#All],4,0)</f>
        <v>19000</v>
      </c>
      <c r="Y46" s="4">
        <f>VLOOKUP(Таблица15[[#This Row],[Модель]],Таблица14[#All],5,0)</f>
        <v>25000</v>
      </c>
      <c r="Z46" t="str">
        <f>VLOOKUP(Таблица15[[#This Row],[Модель]],Таблица14[#All],6,0)</f>
        <v>АКПП</v>
      </c>
      <c r="AA46" t="str">
        <f>VLOOKUP(Таблица15[[#This Row],[Модель]],Таблица14[#All],7,0)</f>
        <v>Бензин</v>
      </c>
      <c r="AB46" t="str">
        <f>VLOOKUP(Таблица15[[#This Row],[Модель]],Таблица14[#All],8,0)</f>
        <v>Комфорт</v>
      </c>
      <c r="AC46" t="str">
        <f>VLOOKUP(Таблица15[[#This Row],[Модель]],Таблица14[#All],9,0)</f>
        <v>Средний</v>
      </c>
      <c r="AD46">
        <f>VLOOKUP(Таблица15[[#This Row],[Модель]],Таблица14[#All],10,0)</f>
        <v>170</v>
      </c>
      <c r="AE46">
        <f>VLOOKUP(Таблица15[[#This Row],[Модель]],Таблица14[#All],11,0)</f>
        <v>12.5</v>
      </c>
      <c r="AF46">
        <v>2019</v>
      </c>
      <c r="AG46">
        <v>0</v>
      </c>
      <c r="AH46" s="22">
        <f>VLOOKUP(Таблица15[[#This Row],[Модель]],Таблица14[#All],12,0)/1000000</f>
        <v>14.25</v>
      </c>
      <c r="AI46" s="21">
        <f>VLOOKUP(Таблица15[[#This Row],[Модель]],Таблица14[#All],13,0)/1000000</f>
        <v>13.5</v>
      </c>
      <c r="AJ46" s="21">
        <f>VLOOKUP(Таблица15[[#This Row],[Модель]],Таблица14[#All],14,0)/1000000</f>
        <v>15</v>
      </c>
      <c r="AK46" s="21">
        <f>Таблица15[[#This Row],[Средняя цена (USD)]]*Таблица15[[#This Row],[Кол-во проданных]]/1000000</f>
        <v>0</v>
      </c>
      <c r="AL46" s="39">
        <f>Таблица15[[#This Row],[Средняя цена млн. ₸]]/440*Таблица15[[#This Row],[Кол-во проданных]]</f>
        <v>0</v>
      </c>
      <c r="AM46" s="39">
        <f>Таблица15[[#This Row],[Средняя цена млн. ₸]]*Таблица15[[#This Row],[Кол-во проданных]]/1000</f>
        <v>0</v>
      </c>
      <c r="AP46" s="18" t="s">
        <v>59</v>
      </c>
      <c r="AQ46" s="18" t="s">
        <v>199</v>
      </c>
      <c r="AR46" s="4">
        <v>18000</v>
      </c>
      <c r="AS46" s="4">
        <v>16000</v>
      </c>
      <c r="AT46" s="4">
        <v>22000</v>
      </c>
      <c r="AU46" s="18" t="s">
        <v>204</v>
      </c>
      <c r="AV46" s="18" t="s">
        <v>208</v>
      </c>
      <c r="AW46" s="18" t="s">
        <v>212</v>
      </c>
      <c r="AX46" s="18" t="s">
        <v>217</v>
      </c>
      <c r="AY46" s="20">
        <v>150</v>
      </c>
      <c r="AZ46" s="20">
        <v>13.5</v>
      </c>
      <c r="BA46" s="4">
        <f>AVERAGE(Таблица14[[#This Row],[Мин. ₸]],Таблица14[[#This Row],[Макс. ₸]])</f>
        <v>12590000</v>
      </c>
      <c r="BB46" s="4">
        <v>11090000</v>
      </c>
      <c r="BC46" s="4">
        <v>14090000</v>
      </c>
      <c r="BD46" s="4">
        <f>Таблица14[[#This Row],[Средняя цена ₸]]/$BI$2</f>
        <v>28613.636363636364</v>
      </c>
      <c r="BE46" s="2">
        <f>Таблица14[[#This Row],[Перевод в USD из ₸]]/Таблица14[[#This Row],[Средняя цена (USD)]]-1</f>
        <v>0.58964646464646475</v>
      </c>
      <c r="BG46" s="4"/>
      <c r="BH46" s="4"/>
      <c r="BI46" s="4"/>
      <c r="BJ46" s="4"/>
    </row>
    <row r="47" spans="2:62">
      <c r="B47" t="s">
        <v>54</v>
      </c>
      <c r="C47" s="20">
        <v>16000</v>
      </c>
      <c r="D47" s="16">
        <v>2.8491569741231629E-2</v>
      </c>
      <c r="E47" s="16">
        <v>5.265266411034167E-3</v>
      </c>
      <c r="F47" s="16">
        <v>0</v>
      </c>
      <c r="G47" s="16">
        <v>0</v>
      </c>
      <c r="H47" s="16">
        <v>0</v>
      </c>
      <c r="I47" s="16">
        <v>1.0169921477136894E-2</v>
      </c>
      <c r="J47" s="16"/>
      <c r="K47" s="14" t="s">
        <v>8</v>
      </c>
      <c r="L47" s="16">
        <v>0</v>
      </c>
      <c r="M47" s="16">
        <v>0</v>
      </c>
      <c r="N47" s="16">
        <v>7.3008270392383098E-3</v>
      </c>
      <c r="O47" s="16">
        <v>0</v>
      </c>
      <c r="P47" s="16">
        <v>3.9037885191731347E-3</v>
      </c>
      <c r="Q47" s="16">
        <v>1.935206146537576E-3</v>
      </c>
      <c r="T47" t="s">
        <v>1</v>
      </c>
      <c r="U47" t="s">
        <v>25</v>
      </c>
      <c r="V47" t="str">
        <f>VLOOKUP(Таблица15[[#This Row],[Модель]],Таблица14[#All],2,0)</f>
        <v>Седан</v>
      </c>
      <c r="W47" s="20">
        <f>VLOOKUP(Таблица15[[#This Row],[Модель]],Таблица14[#All],3,0)</f>
        <v>12000</v>
      </c>
      <c r="X47" s="20">
        <f>VLOOKUP(Таблица15[[#This Row],[Модель]],Таблица14[#All],4,0)</f>
        <v>10000</v>
      </c>
      <c r="Y47" s="4">
        <f>VLOOKUP(Таблица15[[#This Row],[Модель]],Таблица14[#All],5,0)</f>
        <v>14000</v>
      </c>
      <c r="Z47" t="str">
        <f>VLOOKUP(Таблица15[[#This Row],[Модель]],Таблица14[#All],6,0)</f>
        <v>МКПП, АКПП</v>
      </c>
      <c r="AA47" t="str">
        <f>VLOOKUP(Таблица15[[#This Row],[Модель]],Таблица14[#All],7,0)</f>
        <v>Бензин</v>
      </c>
      <c r="AB47" t="str">
        <f>VLOOKUP(Таблица15[[#This Row],[Модель]],Таблица14[#All],8,0)</f>
        <v>Эконом</v>
      </c>
      <c r="AC47" t="str">
        <f>VLOOKUP(Таблица15[[#This Row],[Модель]],Таблица14[#All],9,0)</f>
        <v>Маленький</v>
      </c>
      <c r="AD47">
        <f>VLOOKUP(Таблица15[[#This Row],[Модель]],Таблица14[#All],10,0)</f>
        <v>105</v>
      </c>
      <c r="AE47">
        <f>VLOOKUP(Таблица15[[#This Row],[Модель]],Таблица14[#All],11,0)</f>
        <v>16.5</v>
      </c>
      <c r="AF47">
        <v>2023</v>
      </c>
      <c r="AG47">
        <v>30439</v>
      </c>
      <c r="AH47" s="22">
        <f>VLOOKUP(Таблица15[[#This Row],[Модель]],Таблица14[#All],12,0)/1000000</f>
        <v>7.09</v>
      </c>
      <c r="AI47" s="21">
        <f>VLOOKUP(Таблица15[[#This Row],[Модель]],Таблица14[#All],13,0)/1000000</f>
        <v>6.59</v>
      </c>
      <c r="AJ47" s="21">
        <f>VLOOKUP(Таблица15[[#This Row],[Модель]],Таблица14[#All],14,0)/1000000</f>
        <v>7.59</v>
      </c>
      <c r="AK47" s="21">
        <f>Таблица15[[#This Row],[Средняя цена (USD)]]*Таблица15[[#This Row],[Кол-во проданных]]/1000000</f>
        <v>365.26799999999997</v>
      </c>
      <c r="AL47" s="39">
        <f>Таблица15[[#This Row],[Средняя цена млн. ₸]]/440*Таблица15[[#This Row],[Кол-во проданных]]</f>
        <v>490.48297727272728</v>
      </c>
      <c r="AM47" s="39">
        <f>Таблица15[[#This Row],[Средняя цена млн. ₸]]*Таблица15[[#This Row],[Кол-во проданных]]/1000</f>
        <v>215.81251</v>
      </c>
      <c r="AP47" s="18" t="s">
        <v>61</v>
      </c>
      <c r="AQ47" s="18" t="s">
        <v>197</v>
      </c>
      <c r="AR47" s="4">
        <v>18000</v>
      </c>
      <c r="AS47" s="4">
        <v>16000</v>
      </c>
      <c r="AT47" s="4">
        <v>22000</v>
      </c>
      <c r="AU47" s="18" t="s">
        <v>206</v>
      </c>
      <c r="AV47" s="18" t="s">
        <v>208</v>
      </c>
      <c r="AW47" s="18" t="s">
        <v>212</v>
      </c>
      <c r="AX47" s="18" t="s">
        <v>217</v>
      </c>
      <c r="AY47" s="20">
        <v>150</v>
      </c>
      <c r="AZ47" s="20">
        <v>13.5</v>
      </c>
      <c r="BA47" s="4">
        <f>AVERAGE(Таблица14[[#This Row],[Мин. ₸]],Таблица14[[#This Row],[Макс. ₸]])</f>
        <v>11490000</v>
      </c>
      <c r="BB47" s="4">
        <v>10590000</v>
      </c>
      <c r="BC47" s="4">
        <v>12390000</v>
      </c>
      <c r="BD47" s="4">
        <f>Таблица14[[#This Row],[Средняя цена ₸]]/$BI$2</f>
        <v>26113.636363636364</v>
      </c>
      <c r="BE47" s="2">
        <f>Таблица14[[#This Row],[Перевод в USD из ₸]]/Таблица14[[#This Row],[Средняя цена (USD)]]-1</f>
        <v>0.45075757575757569</v>
      </c>
      <c r="BG47" s="4"/>
      <c r="BH47" s="4"/>
      <c r="BI47" s="4"/>
      <c r="BJ47" s="4"/>
    </row>
    <row r="48" spans="2:62">
      <c r="B48" t="s">
        <v>67</v>
      </c>
      <c r="C48" s="20">
        <v>22000</v>
      </c>
      <c r="D48" s="16">
        <v>1.3440326991855258E-2</v>
      </c>
      <c r="E48" s="16">
        <v>2.0078597455121236E-2</v>
      </c>
      <c r="F48" s="16">
        <v>6.5736530313460478E-3</v>
      </c>
      <c r="G48" s="16">
        <v>0</v>
      </c>
      <c r="H48" s="16">
        <v>0</v>
      </c>
      <c r="I48" s="16">
        <v>9.645282670776658E-3</v>
      </c>
      <c r="J48" s="16"/>
      <c r="K48" s="14" t="s">
        <v>126</v>
      </c>
      <c r="L48" s="16">
        <v>4.9289213476392266E-3</v>
      </c>
      <c r="M48" s="16">
        <v>0</v>
      </c>
      <c r="N48" s="16">
        <v>0</v>
      </c>
      <c r="O48" s="16">
        <v>0</v>
      </c>
      <c r="P48" s="16">
        <v>0</v>
      </c>
      <c r="Q48" s="16">
        <v>1.5758381729501613E-3</v>
      </c>
      <c r="T48" t="s">
        <v>1</v>
      </c>
      <c r="U48" t="s">
        <v>25</v>
      </c>
      <c r="V48" t="str">
        <f>VLOOKUP(Таблица15[[#This Row],[Модель]],Таблица14[#All],2,0)</f>
        <v>Седан</v>
      </c>
      <c r="W48" s="20">
        <f>VLOOKUP(Таблица15[[#This Row],[Модель]],Таблица14[#All],3,0)</f>
        <v>12000</v>
      </c>
      <c r="X48" s="20">
        <f>VLOOKUP(Таблица15[[#This Row],[Модель]],Таблица14[#All],4,0)</f>
        <v>10000</v>
      </c>
      <c r="Y48" s="4">
        <f>VLOOKUP(Таблица15[[#This Row],[Модель]],Таблица14[#All],5,0)</f>
        <v>14000</v>
      </c>
      <c r="Z48" t="str">
        <f>VLOOKUP(Таблица15[[#This Row],[Модель]],Таблица14[#All],6,0)</f>
        <v>МКПП, АКПП</v>
      </c>
      <c r="AA48" t="str">
        <f>VLOOKUP(Таблица15[[#This Row],[Модель]],Таблица14[#All],7,0)</f>
        <v>Бензин</v>
      </c>
      <c r="AB48" t="str">
        <f>VLOOKUP(Таблица15[[#This Row],[Модель]],Таблица14[#All],8,0)</f>
        <v>Эконом</v>
      </c>
      <c r="AC48" t="str">
        <f>VLOOKUP(Таблица15[[#This Row],[Модель]],Таблица14[#All],9,0)</f>
        <v>Маленький</v>
      </c>
      <c r="AD48">
        <f>VLOOKUP(Таблица15[[#This Row],[Модель]],Таблица14[#All],10,0)</f>
        <v>105</v>
      </c>
      <c r="AE48">
        <f>VLOOKUP(Таблица15[[#This Row],[Модель]],Таблица14[#All],11,0)</f>
        <v>16.5</v>
      </c>
      <c r="AF48">
        <v>2022</v>
      </c>
      <c r="AG48">
        <v>23179</v>
      </c>
      <c r="AH48" s="22">
        <f>VLOOKUP(Таблица15[[#This Row],[Модель]],Таблица14[#All],12,0)/1000000</f>
        <v>7.09</v>
      </c>
      <c r="AI48" s="21">
        <f>VLOOKUP(Таблица15[[#This Row],[Модель]],Таблица14[#All],13,0)/1000000</f>
        <v>6.59</v>
      </c>
      <c r="AJ48" s="21">
        <f>VLOOKUP(Таблица15[[#This Row],[Модель]],Таблица14[#All],14,0)/1000000</f>
        <v>7.59</v>
      </c>
      <c r="AK48" s="21">
        <f>Таблица15[[#This Row],[Средняя цена (USD)]]*Таблица15[[#This Row],[Кол-во проданных]]/1000000</f>
        <v>278.14800000000002</v>
      </c>
      <c r="AL48" s="39">
        <f>Таблица15[[#This Row],[Средняя цена млн. ₸]]/440*Таблица15[[#This Row],[Кол-во проданных]]</f>
        <v>373.49797727272733</v>
      </c>
      <c r="AM48" s="39">
        <f>Таблица15[[#This Row],[Средняя цена млн. ₸]]*Таблица15[[#This Row],[Кол-во проданных]]/1000</f>
        <v>164.33910999999998</v>
      </c>
      <c r="AP48" s="18" t="s">
        <v>84</v>
      </c>
      <c r="AQ48" s="18" t="s">
        <v>202</v>
      </c>
      <c r="AR48" s="4">
        <v>22000</v>
      </c>
      <c r="AS48" s="4">
        <v>19000</v>
      </c>
      <c r="AT48" s="4">
        <v>25000</v>
      </c>
      <c r="AU48" s="18" t="s">
        <v>204</v>
      </c>
      <c r="AV48" s="18" t="s">
        <v>208</v>
      </c>
      <c r="AW48" s="18" t="s">
        <v>212</v>
      </c>
      <c r="AX48" s="18" t="s">
        <v>217</v>
      </c>
      <c r="AY48" s="20">
        <v>170</v>
      </c>
      <c r="AZ48" s="20">
        <v>12</v>
      </c>
      <c r="BA48" s="4">
        <f>AVERAGE(Таблица14[[#This Row],[Мин. ₸]],Таблица14[[#This Row],[Макс. ₸]])</f>
        <v>12890000</v>
      </c>
      <c r="BB48" s="4">
        <v>11790000</v>
      </c>
      <c r="BC48" s="4">
        <v>13990000</v>
      </c>
      <c r="BD48" s="4">
        <f>Таблица14[[#This Row],[Средняя цена ₸]]/$BI$2</f>
        <v>29295.454545454544</v>
      </c>
      <c r="BE48" s="2">
        <f>Таблица14[[#This Row],[Перевод в USD из ₸]]/Таблица14[[#This Row],[Средняя цена (USD)]]-1</f>
        <v>0.33161157024793386</v>
      </c>
      <c r="BG48" s="4"/>
      <c r="BH48" s="4"/>
      <c r="BI48" s="4"/>
      <c r="BJ48" s="4"/>
    </row>
    <row r="49" spans="2:62">
      <c r="B49" t="s">
        <v>80</v>
      </c>
      <c r="C49" s="20">
        <v>18000</v>
      </c>
      <c r="D49" s="16">
        <v>7.7720674420701467E-3</v>
      </c>
      <c r="E49" s="16">
        <v>7.7262061466262235E-3</v>
      </c>
      <c r="F49" s="16">
        <v>7.5820009889566511E-3</v>
      </c>
      <c r="G49" s="16">
        <v>8.5854405751627522E-3</v>
      </c>
      <c r="H49" s="16">
        <v>2.1363252132482902E-2</v>
      </c>
      <c r="I49" s="16">
        <v>9.5511167311735385E-3</v>
      </c>
      <c r="J49" s="16"/>
      <c r="K49" s="14" t="s">
        <v>141</v>
      </c>
      <c r="L49" s="16">
        <v>0</v>
      </c>
      <c r="M49" s="16">
        <v>0</v>
      </c>
      <c r="N49" s="16">
        <v>0</v>
      </c>
      <c r="O49" s="16">
        <v>0</v>
      </c>
      <c r="P49" s="16">
        <v>9.0985937139783299E-3</v>
      </c>
      <c r="Q49" s="16">
        <v>1.1376782907152384E-3</v>
      </c>
      <c r="T49" t="s">
        <v>1</v>
      </c>
      <c r="U49" t="s">
        <v>25</v>
      </c>
      <c r="V49" t="str">
        <f>VLOOKUP(Таблица15[[#This Row],[Модель]],Таблица14[#All],2,0)</f>
        <v>Седан</v>
      </c>
      <c r="W49" s="20">
        <f>VLOOKUP(Таблица15[[#This Row],[Модель]],Таблица14[#All],3,0)</f>
        <v>12000</v>
      </c>
      <c r="X49" s="20">
        <f>VLOOKUP(Таблица15[[#This Row],[Модель]],Таблица14[#All],4,0)</f>
        <v>10000</v>
      </c>
      <c r="Y49" s="4">
        <f>VLOOKUP(Таблица15[[#This Row],[Модель]],Таблица14[#All],5,0)</f>
        <v>14000</v>
      </c>
      <c r="Z49" t="str">
        <f>VLOOKUP(Таблица15[[#This Row],[Модель]],Таблица14[#All],6,0)</f>
        <v>МКПП, АКПП</v>
      </c>
      <c r="AA49" t="str">
        <f>VLOOKUP(Таблица15[[#This Row],[Модель]],Таблица14[#All],7,0)</f>
        <v>Бензин</v>
      </c>
      <c r="AB49" t="str">
        <f>VLOOKUP(Таблица15[[#This Row],[Модель]],Таблица14[#All],8,0)</f>
        <v>Эконом</v>
      </c>
      <c r="AC49" t="str">
        <f>VLOOKUP(Таблица15[[#This Row],[Модель]],Таблица14[#All],9,0)</f>
        <v>Маленький</v>
      </c>
      <c r="AD49">
        <f>VLOOKUP(Таблица15[[#This Row],[Модель]],Таблица14[#All],10,0)</f>
        <v>105</v>
      </c>
      <c r="AE49">
        <f>VLOOKUP(Таблица15[[#This Row],[Модель]],Таблица14[#All],11,0)</f>
        <v>16.5</v>
      </c>
      <c r="AF49">
        <v>2021</v>
      </c>
      <c r="AG49">
        <v>15346</v>
      </c>
      <c r="AH49" s="22">
        <f>VLOOKUP(Таблица15[[#This Row],[Модель]],Таблица14[#All],12,0)/1000000</f>
        <v>7.09</v>
      </c>
      <c r="AI49" s="21">
        <f>VLOOKUP(Таблица15[[#This Row],[Модель]],Таблица14[#All],13,0)/1000000</f>
        <v>6.59</v>
      </c>
      <c r="AJ49" s="21">
        <f>VLOOKUP(Таблица15[[#This Row],[Модель]],Таблица14[#All],14,0)/1000000</f>
        <v>7.59</v>
      </c>
      <c r="AK49" s="21">
        <f>Таблица15[[#This Row],[Средняя цена (USD)]]*Таблица15[[#This Row],[Кол-во проданных]]/1000000</f>
        <v>184.15199999999999</v>
      </c>
      <c r="AL49" s="39">
        <f>Таблица15[[#This Row],[Средняя цена млн. ₸]]/440*Таблица15[[#This Row],[Кол-во проданных]]</f>
        <v>247.27986363636364</v>
      </c>
      <c r="AM49" s="39">
        <f>Таблица15[[#This Row],[Средняя цена млн. ₸]]*Таблица15[[#This Row],[Кол-во проданных]]/1000</f>
        <v>108.80314</v>
      </c>
      <c r="AP49" s="18" t="s">
        <v>65</v>
      </c>
      <c r="AQ49" s="18" t="s">
        <v>202</v>
      </c>
      <c r="AR49" s="4">
        <v>20000</v>
      </c>
      <c r="AS49" s="4">
        <v>18000</v>
      </c>
      <c r="AT49" s="4">
        <v>24000</v>
      </c>
      <c r="AU49" s="18" t="s">
        <v>204</v>
      </c>
      <c r="AV49" s="18" t="s">
        <v>208</v>
      </c>
      <c r="AW49" s="18" t="s">
        <v>213</v>
      </c>
      <c r="AX49" s="18" t="s">
        <v>217</v>
      </c>
      <c r="AY49" s="20">
        <v>160</v>
      </c>
      <c r="AZ49" s="20">
        <v>12.5</v>
      </c>
      <c r="BA49" s="4">
        <f>AVERAGE(Таблица14[[#This Row],[Мин. ₸]],Таблица14[[#This Row],[Макс. ₸]])</f>
        <v>9690000</v>
      </c>
      <c r="BB49" s="4">
        <v>8890000</v>
      </c>
      <c r="BC49" s="4">
        <v>10490000</v>
      </c>
      <c r="BD49" s="4">
        <f>Таблица14[[#This Row],[Средняя цена ₸]]/$BI$2</f>
        <v>22022.727272727272</v>
      </c>
      <c r="BE49" s="2">
        <f>Таблица14[[#This Row],[Перевод в USD из ₸]]/Таблица14[[#This Row],[Средняя цена (USD)]]-1</f>
        <v>0.10113636363636358</v>
      </c>
      <c r="BG49" s="4"/>
      <c r="BH49" s="4"/>
      <c r="BI49" s="4"/>
      <c r="BJ49" s="4"/>
    </row>
    <row r="50" spans="2:62">
      <c r="B50" t="s">
        <v>61</v>
      </c>
      <c r="C50" s="20">
        <v>18000</v>
      </c>
      <c r="D50" s="16">
        <v>1.7185105040122623E-2</v>
      </c>
      <c r="E50" s="16">
        <v>1.5004101566225987E-2</v>
      </c>
      <c r="F50" s="16">
        <v>0</v>
      </c>
      <c r="G50" s="16">
        <v>0</v>
      </c>
      <c r="H50" s="16">
        <v>0</v>
      </c>
      <c r="I50" s="16">
        <v>8.5172131494086756E-3</v>
      </c>
      <c r="J50" s="16"/>
      <c r="K50" s="14" t="s">
        <v>139</v>
      </c>
      <c r="L50" s="16">
        <v>0</v>
      </c>
      <c r="M50" s="16">
        <v>0</v>
      </c>
      <c r="N50" s="16">
        <v>0</v>
      </c>
      <c r="O50" s="16">
        <v>0</v>
      </c>
      <c r="P50" s="16">
        <v>3.8576807807577038E-3</v>
      </c>
      <c r="Q50" s="16">
        <v>4.8236022123230546E-4</v>
      </c>
      <c r="T50" t="s">
        <v>1</v>
      </c>
      <c r="U50" t="s">
        <v>25</v>
      </c>
      <c r="V50" t="str">
        <f>VLOOKUP(Таблица15[[#This Row],[Модель]],Таблица14[#All],2,0)</f>
        <v>Седан</v>
      </c>
      <c r="W50" s="20">
        <f>VLOOKUP(Таблица15[[#This Row],[Модель]],Таблица14[#All],3,0)</f>
        <v>12000</v>
      </c>
      <c r="X50" s="20">
        <f>VLOOKUP(Таблица15[[#This Row],[Модель]],Таблица14[#All],4,0)</f>
        <v>10000</v>
      </c>
      <c r="Y50" s="4">
        <f>VLOOKUP(Таблица15[[#This Row],[Модель]],Таблица14[#All],5,0)</f>
        <v>14000</v>
      </c>
      <c r="Z50" t="str">
        <f>VLOOKUP(Таблица15[[#This Row],[Модель]],Таблица14[#All],6,0)</f>
        <v>МКПП, АКПП</v>
      </c>
      <c r="AA50" t="str">
        <f>VLOOKUP(Таблица15[[#This Row],[Модель]],Таблица14[#All],7,0)</f>
        <v>Бензин</v>
      </c>
      <c r="AB50" t="str">
        <f>VLOOKUP(Таблица15[[#This Row],[Модель]],Таблица14[#All],8,0)</f>
        <v>Эконом</v>
      </c>
      <c r="AC50" t="str">
        <f>VLOOKUP(Таблица15[[#This Row],[Модель]],Таблица14[#All],9,0)</f>
        <v>Маленький</v>
      </c>
      <c r="AD50">
        <f>VLOOKUP(Таблица15[[#This Row],[Модель]],Таблица14[#All],10,0)</f>
        <v>105</v>
      </c>
      <c r="AE50">
        <f>VLOOKUP(Таблица15[[#This Row],[Модель]],Таблица14[#All],11,0)</f>
        <v>16.5</v>
      </c>
      <c r="AF50">
        <v>2020</v>
      </c>
      <c r="AG50">
        <v>4870</v>
      </c>
      <c r="AH50" s="22">
        <f>VLOOKUP(Таблица15[[#This Row],[Модель]],Таблица14[#All],12,0)/1000000</f>
        <v>7.09</v>
      </c>
      <c r="AI50" s="21">
        <f>VLOOKUP(Таблица15[[#This Row],[Модель]],Таблица14[#All],13,0)/1000000</f>
        <v>6.59</v>
      </c>
      <c r="AJ50" s="21">
        <f>VLOOKUP(Таблица15[[#This Row],[Модель]],Таблица14[#All],14,0)/1000000</f>
        <v>7.59</v>
      </c>
      <c r="AK50" s="21">
        <f>Таблица15[[#This Row],[Средняя цена (USD)]]*Таблица15[[#This Row],[Кол-во проданных]]/1000000</f>
        <v>58.44</v>
      </c>
      <c r="AL50" s="39">
        <f>Таблица15[[#This Row],[Средняя цена млн. ₸]]/440*Таблица15[[#This Row],[Кол-во проданных]]</f>
        <v>78.473409090909101</v>
      </c>
      <c r="AM50" s="39">
        <f>Таблица15[[#This Row],[Средняя цена млн. ₸]]*Таблица15[[#This Row],[Кол-во проданных]]/1000</f>
        <v>34.528300000000002</v>
      </c>
      <c r="AP50" s="18" t="s">
        <v>82</v>
      </c>
      <c r="AQ50" s="18" t="s">
        <v>198</v>
      </c>
      <c r="AR50" s="4">
        <v>18000</v>
      </c>
      <c r="AS50" s="4">
        <v>16000</v>
      </c>
      <c r="AT50" s="4">
        <v>22000</v>
      </c>
      <c r="AU50" s="18" t="s">
        <v>206</v>
      </c>
      <c r="AV50" s="18" t="s">
        <v>209</v>
      </c>
      <c r="AW50" s="18" t="s">
        <v>212</v>
      </c>
      <c r="AX50" s="18" t="s">
        <v>217</v>
      </c>
      <c r="AY50" s="20">
        <v>150</v>
      </c>
      <c r="AZ50" s="20">
        <v>13.5</v>
      </c>
      <c r="BA50" s="4">
        <f>AVERAGE(Таблица14[[#This Row],[Мин. ₸]],Таблица14[[#This Row],[Макс. ₸]])</f>
        <v>14040000</v>
      </c>
      <c r="BB50" s="4">
        <v>13490000</v>
      </c>
      <c r="BC50" s="4">
        <v>14590000</v>
      </c>
      <c r="BD50" s="4">
        <f>Таблица14[[#This Row],[Средняя цена ₸]]/$BI$2</f>
        <v>31909.090909090908</v>
      </c>
      <c r="BE50" s="2">
        <f>Таблица14[[#This Row],[Перевод в USD из ₸]]/Таблица14[[#This Row],[Средняя цена (USD)]]-1</f>
        <v>0.77272727272727271</v>
      </c>
      <c r="BG50" s="4"/>
      <c r="BH50" s="4"/>
      <c r="BI50" s="4"/>
      <c r="BJ50" s="4"/>
    </row>
    <row r="51" spans="2:62">
      <c r="B51" t="s">
        <v>95</v>
      </c>
      <c r="C51" s="20">
        <v>10000</v>
      </c>
      <c r="D51" s="16">
        <v>0</v>
      </c>
      <c r="E51" s="16">
        <v>5.188958202178599E-3</v>
      </c>
      <c r="F51" s="16">
        <v>9.8313925867033816E-3</v>
      </c>
      <c r="G51" s="16">
        <v>1.5169670541438649E-2</v>
      </c>
      <c r="H51" s="16">
        <v>1.8058864212710368E-2</v>
      </c>
      <c r="I51" s="16">
        <v>7.6120670768970592E-3</v>
      </c>
      <c r="J51" s="16"/>
      <c r="K51" s="14" t="s">
        <v>155</v>
      </c>
      <c r="L51" s="16">
        <v>1</v>
      </c>
      <c r="M51" s="16">
        <v>1</v>
      </c>
      <c r="N51" s="16">
        <v>1</v>
      </c>
      <c r="O51" s="16">
        <v>1</v>
      </c>
      <c r="P51" s="16">
        <v>1</v>
      </c>
      <c r="Q51" s="16">
        <v>1</v>
      </c>
      <c r="T51" t="s">
        <v>1</v>
      </c>
      <c r="U51" t="s">
        <v>25</v>
      </c>
      <c r="V51" t="str">
        <f>VLOOKUP(Таблица15[[#This Row],[Модель]],Таблица14[#All],2,0)</f>
        <v>Седан</v>
      </c>
      <c r="W51" s="20">
        <f>VLOOKUP(Таблица15[[#This Row],[Модель]],Таблица14[#All],3,0)</f>
        <v>12000</v>
      </c>
      <c r="X51" s="20">
        <f>VLOOKUP(Таблица15[[#This Row],[Модель]],Таблица14[#All],4,0)</f>
        <v>10000</v>
      </c>
      <c r="Y51" s="4">
        <f>VLOOKUP(Таблица15[[#This Row],[Модель]],Таблица14[#All],5,0)</f>
        <v>14000</v>
      </c>
      <c r="Z51" t="str">
        <f>VLOOKUP(Таблица15[[#This Row],[Модель]],Таблица14[#All],6,0)</f>
        <v>МКПП, АКПП</v>
      </c>
      <c r="AA51" t="str">
        <f>VLOOKUP(Таблица15[[#This Row],[Модель]],Таблица14[#All],7,0)</f>
        <v>Бензин</v>
      </c>
      <c r="AB51" t="str">
        <f>VLOOKUP(Таблица15[[#This Row],[Модель]],Таблица14[#All],8,0)</f>
        <v>Эконом</v>
      </c>
      <c r="AC51" t="str">
        <f>VLOOKUP(Таблица15[[#This Row],[Модель]],Таблица14[#All],9,0)</f>
        <v>Маленький</v>
      </c>
      <c r="AD51">
        <f>VLOOKUP(Таблица15[[#This Row],[Модель]],Таблица14[#All],10,0)</f>
        <v>105</v>
      </c>
      <c r="AE51">
        <f>VLOOKUP(Таблица15[[#This Row],[Модель]],Таблица14[#All],11,0)</f>
        <v>16.5</v>
      </c>
      <c r="AF51">
        <v>2019</v>
      </c>
      <c r="AG51">
        <v>0</v>
      </c>
      <c r="AH51" s="22">
        <f>VLOOKUP(Таблица15[[#This Row],[Модель]],Таблица14[#All],12,0)/1000000</f>
        <v>7.09</v>
      </c>
      <c r="AI51" s="21">
        <f>VLOOKUP(Таблица15[[#This Row],[Модель]],Таблица14[#All],13,0)/1000000</f>
        <v>6.59</v>
      </c>
      <c r="AJ51" s="21">
        <f>VLOOKUP(Таблица15[[#This Row],[Модель]],Таблица14[#All],14,0)/1000000</f>
        <v>7.59</v>
      </c>
      <c r="AK51" s="21">
        <f>Таблица15[[#This Row],[Средняя цена (USD)]]*Таблица15[[#This Row],[Кол-во проданных]]/1000000</f>
        <v>0</v>
      </c>
      <c r="AL51" s="39">
        <f>Таблица15[[#This Row],[Средняя цена млн. ₸]]/440*Таблица15[[#This Row],[Кол-во проданных]]</f>
        <v>0</v>
      </c>
      <c r="AM51" s="39">
        <f>Таблица15[[#This Row],[Средняя цена млн. ₸]]*Таблица15[[#This Row],[Кол-во проданных]]/1000</f>
        <v>0</v>
      </c>
      <c r="AP51" s="18" t="s">
        <v>99</v>
      </c>
      <c r="AQ51" s="18" t="s">
        <v>202</v>
      </c>
      <c r="AR51" s="4">
        <v>20000</v>
      </c>
      <c r="AS51" s="4">
        <v>18000</v>
      </c>
      <c r="AT51" s="4">
        <v>24000</v>
      </c>
      <c r="AU51" s="18" t="s">
        <v>206</v>
      </c>
      <c r="AV51" s="18" t="s">
        <v>209</v>
      </c>
      <c r="AW51" s="18" t="s">
        <v>212</v>
      </c>
      <c r="AX51" s="18" t="s">
        <v>215</v>
      </c>
      <c r="AY51" s="20">
        <v>160</v>
      </c>
      <c r="AZ51" s="20">
        <v>12.5</v>
      </c>
      <c r="BA51" s="4">
        <f>AVERAGE(Таблица14[[#This Row],[Мин. ₸]],Таблица14[[#This Row],[Макс. ₸]])</f>
        <v>15075000</v>
      </c>
      <c r="BB51" s="4">
        <v>14750000</v>
      </c>
      <c r="BC51" s="4">
        <v>15400000</v>
      </c>
      <c r="BD51" s="4">
        <f>Таблица14[[#This Row],[Средняя цена ₸]]/$BI$2</f>
        <v>34261.36363636364</v>
      </c>
      <c r="BE51" s="2">
        <f>Таблица14[[#This Row],[Перевод в USD из ₸]]/Таблица14[[#This Row],[Средняя цена (USD)]]-1</f>
        <v>0.71306818181818188</v>
      </c>
      <c r="BG51" s="4"/>
      <c r="BH51" s="4"/>
      <c r="BI51" s="4"/>
      <c r="BJ51" s="4"/>
    </row>
    <row r="52" spans="2:62">
      <c r="B52" t="s">
        <v>57</v>
      </c>
      <c r="C52" s="20">
        <v>13000</v>
      </c>
      <c r="D52" s="16">
        <v>2.2095993748685119E-2</v>
      </c>
      <c r="E52" s="16">
        <v>0</v>
      </c>
      <c r="F52" s="16">
        <v>0</v>
      </c>
      <c r="G52" s="16">
        <v>0</v>
      </c>
      <c r="H52" s="16">
        <v>0</v>
      </c>
      <c r="I52" s="16">
        <v>7.0643672241034053E-3</v>
      </c>
      <c r="J52" s="16"/>
      <c r="T52" t="s">
        <v>1</v>
      </c>
      <c r="U52" t="s">
        <v>88</v>
      </c>
      <c r="V52" t="str">
        <f>VLOOKUP(Таблица15[[#This Row],[Модель]],Таблица14[#All],2,0)</f>
        <v>Минивэн</v>
      </c>
      <c r="W52" s="20">
        <f>VLOOKUP(Таблица15[[#This Row],[Модель]],Таблица14[#All],3,0)</f>
        <v>10000</v>
      </c>
      <c r="X52" s="20">
        <f>VLOOKUP(Таблица15[[#This Row],[Модель]],Таблица14[#All],4,0)</f>
        <v>8000</v>
      </c>
      <c r="Y52" s="4">
        <f>VLOOKUP(Таблица15[[#This Row],[Модель]],Таблица14[#All],5,0)</f>
        <v>12000</v>
      </c>
      <c r="Z52" t="str">
        <f>VLOOKUP(Таблица15[[#This Row],[Модель]],Таблица14[#All],6,0)</f>
        <v>МКПП</v>
      </c>
      <c r="AA52" t="str">
        <f>VLOOKUP(Таблица15[[#This Row],[Модель]],Таблица14[#All],7,0)</f>
        <v>Бензин</v>
      </c>
      <c r="AB52" t="str">
        <f>VLOOKUP(Таблица15[[#This Row],[Модель]],Таблица14[#All],8,0)</f>
        <v>Эконом</v>
      </c>
      <c r="AC52" t="str">
        <f>VLOOKUP(Таблица15[[#This Row],[Модель]],Таблица14[#All],9,0)</f>
        <v>Маленький</v>
      </c>
      <c r="AD52">
        <f>VLOOKUP(Таблица15[[#This Row],[Модель]],Таблица14[#All],10,0)</f>
        <v>80</v>
      </c>
      <c r="AE52">
        <f>VLOOKUP(Таблица15[[#This Row],[Модель]],Таблица14[#All],11,0)</f>
        <v>18</v>
      </c>
      <c r="AF52">
        <v>2023</v>
      </c>
      <c r="AG52">
        <v>781</v>
      </c>
      <c r="AH52" s="22">
        <f>VLOOKUP(Таблица15[[#This Row],[Модель]],Таблица14[#All],12,0)/1000000</f>
        <v>4.72</v>
      </c>
      <c r="AI52" s="21">
        <f>VLOOKUP(Таблица15[[#This Row],[Модель]],Таблица14[#All],13,0)/1000000</f>
        <v>4.3499999999999996</v>
      </c>
      <c r="AJ52" s="21">
        <f>VLOOKUP(Таблица15[[#This Row],[Модель]],Таблица14[#All],14,0)/1000000</f>
        <v>5.09</v>
      </c>
      <c r="AK52" s="21">
        <f>Таблица15[[#This Row],[Средняя цена (USD)]]*Таблица15[[#This Row],[Кол-во проданных]]/1000000</f>
        <v>7.81</v>
      </c>
      <c r="AL52" s="39">
        <f>Таблица15[[#This Row],[Средняя цена млн. ₸]]/440*Таблица15[[#This Row],[Кол-во проданных]]</f>
        <v>8.3779999999999983</v>
      </c>
      <c r="AM52" s="39">
        <f>Таблица15[[#This Row],[Средняя цена млн. ₸]]*Таблица15[[#This Row],[Кол-во проданных]]/1000</f>
        <v>3.6863199999999998</v>
      </c>
      <c r="AP52" s="18" t="s">
        <v>98</v>
      </c>
      <c r="AQ52" s="18" t="s">
        <v>202</v>
      </c>
      <c r="AR52" s="4">
        <v>16000</v>
      </c>
      <c r="AS52" s="4">
        <v>14000</v>
      </c>
      <c r="AT52" s="4">
        <v>19000</v>
      </c>
      <c r="AU52" s="18" t="s">
        <v>206</v>
      </c>
      <c r="AV52" s="18" t="s">
        <v>208</v>
      </c>
      <c r="AW52" s="18" t="s">
        <v>213</v>
      </c>
      <c r="AX52" s="18" t="s">
        <v>217</v>
      </c>
      <c r="AY52" s="20">
        <v>130</v>
      </c>
      <c r="AZ52" s="20">
        <v>14.5</v>
      </c>
      <c r="BA52" s="4">
        <f>AVERAGE(Таблица14[[#This Row],[Мин. ₸]],Таблица14[[#This Row],[Макс. ₸]])</f>
        <v>8040000</v>
      </c>
      <c r="BB52" s="4">
        <v>7090000</v>
      </c>
      <c r="BC52" s="4">
        <v>8990000</v>
      </c>
      <c r="BD52" s="4">
        <f>Таблица14[[#This Row],[Средняя цена ₸]]/$BI$2</f>
        <v>18272.727272727272</v>
      </c>
      <c r="BE52" s="2">
        <f>Таблица14[[#This Row],[Перевод в USD из ₸]]/Таблица14[[#This Row],[Средняя цена (USD)]]-1</f>
        <v>0.14204545454545459</v>
      </c>
      <c r="BG52" s="4"/>
      <c r="BH52" s="4"/>
      <c r="BI52" s="4"/>
      <c r="BJ52" s="4"/>
    </row>
    <row r="53" spans="2:62">
      <c r="B53" t="s">
        <v>70</v>
      </c>
      <c r="C53" s="20">
        <v>22000</v>
      </c>
      <c r="D53" s="16">
        <v>1.0861659603883028E-2</v>
      </c>
      <c r="E53" s="16">
        <v>1.6492111638909554E-2</v>
      </c>
      <c r="F53" s="16">
        <v>0</v>
      </c>
      <c r="G53" s="16">
        <v>0</v>
      </c>
      <c r="H53" s="16">
        <v>0</v>
      </c>
      <c r="I53" s="16">
        <v>6.7953216823802079E-3</v>
      </c>
      <c r="J53" s="16"/>
      <c r="T53" t="s">
        <v>1</v>
      </c>
      <c r="U53" t="s">
        <v>88</v>
      </c>
      <c r="V53" t="str">
        <f>VLOOKUP(Таблица15[[#This Row],[Модель]],Таблица14[#All],2,0)</f>
        <v>Минивэн</v>
      </c>
      <c r="W53" s="20">
        <f>VLOOKUP(Таблица15[[#This Row],[Модель]],Таблица14[#All],3,0)</f>
        <v>10000</v>
      </c>
      <c r="X53" s="20">
        <f>VLOOKUP(Таблица15[[#This Row],[Модель]],Таблица14[#All],4,0)</f>
        <v>8000</v>
      </c>
      <c r="Y53" s="4">
        <f>VLOOKUP(Таблица15[[#This Row],[Модель]],Таблица14[#All],5,0)</f>
        <v>12000</v>
      </c>
      <c r="Z53" t="str">
        <f>VLOOKUP(Таблица15[[#This Row],[Модель]],Таблица14[#All],6,0)</f>
        <v>МКПП</v>
      </c>
      <c r="AA53" t="str">
        <f>VLOOKUP(Таблица15[[#This Row],[Модель]],Таблица14[#All],7,0)</f>
        <v>Бензин</v>
      </c>
      <c r="AB53" t="str">
        <f>VLOOKUP(Таблица15[[#This Row],[Модель]],Таблица14[#All],8,0)</f>
        <v>Эконом</v>
      </c>
      <c r="AC53" t="str">
        <f>VLOOKUP(Таблица15[[#This Row],[Модель]],Таблица14[#All],9,0)</f>
        <v>Маленький</v>
      </c>
      <c r="AD53">
        <f>VLOOKUP(Таблица15[[#This Row],[Модель]],Таблица14[#All],10,0)</f>
        <v>80</v>
      </c>
      <c r="AE53">
        <f>VLOOKUP(Таблица15[[#This Row],[Модель]],Таблица14[#All],11,0)</f>
        <v>18</v>
      </c>
      <c r="AF53">
        <v>2022</v>
      </c>
      <c r="AG53">
        <v>824</v>
      </c>
      <c r="AH53" s="22">
        <f>VLOOKUP(Таблица15[[#This Row],[Модель]],Таблица14[#All],12,0)/1000000</f>
        <v>4.72</v>
      </c>
      <c r="AI53" s="21">
        <f>VLOOKUP(Таблица15[[#This Row],[Модель]],Таблица14[#All],13,0)/1000000</f>
        <v>4.3499999999999996</v>
      </c>
      <c r="AJ53" s="21">
        <f>VLOOKUP(Таблица15[[#This Row],[Модель]],Таблица14[#All],14,0)/1000000</f>
        <v>5.09</v>
      </c>
      <c r="AK53" s="21">
        <f>Таблица15[[#This Row],[Средняя цена (USD)]]*Таблица15[[#This Row],[Кол-во проданных]]/1000000</f>
        <v>8.24</v>
      </c>
      <c r="AL53" s="39">
        <f>Таблица15[[#This Row],[Средняя цена млн. ₸]]/440*Таблица15[[#This Row],[Кол-во проданных]]</f>
        <v>8.8392727272727267</v>
      </c>
      <c r="AM53" s="39">
        <f>Таблица15[[#This Row],[Средняя цена млн. ₸]]*Таблица15[[#This Row],[Кол-во проданных]]/1000</f>
        <v>3.8892799999999998</v>
      </c>
      <c r="AP53" s="18" t="s">
        <v>108</v>
      </c>
      <c r="AQ53" s="18" t="s">
        <v>197</v>
      </c>
      <c r="AR53" s="4">
        <v>12000</v>
      </c>
      <c r="AS53" s="4">
        <v>10000</v>
      </c>
      <c r="AT53" s="4">
        <v>14000</v>
      </c>
      <c r="AU53" s="18" t="s">
        <v>206</v>
      </c>
      <c r="AV53" s="18" t="s">
        <v>208</v>
      </c>
      <c r="AW53" s="18" t="s">
        <v>213</v>
      </c>
      <c r="AX53" s="18" t="s">
        <v>216</v>
      </c>
      <c r="AY53" s="20">
        <v>100</v>
      </c>
      <c r="AZ53" s="20">
        <v>16.5</v>
      </c>
      <c r="BA53" s="4">
        <f>AVERAGE(Таблица14[[#This Row],[Мин. ₸]],Таблица14[[#This Row],[Макс. ₸]])</f>
        <v>5690000</v>
      </c>
      <c r="BB53" s="4">
        <v>5590000</v>
      </c>
      <c r="BC53" s="4">
        <v>5790000</v>
      </c>
      <c r="BD53" s="4">
        <f>Таблица14[[#This Row],[Средняя цена ₸]]/$BI$2</f>
        <v>12931.818181818182</v>
      </c>
      <c r="BE53" s="2">
        <f>Таблица14[[#This Row],[Перевод в USD из ₸]]/Таблица14[[#This Row],[Средняя цена (USD)]]-1</f>
        <v>7.7651515151515138E-2</v>
      </c>
      <c r="BG53" s="4"/>
      <c r="BH53" s="4"/>
      <c r="BI53" s="4"/>
      <c r="BJ53" s="4"/>
    </row>
    <row r="54" spans="2:62">
      <c r="B54" t="s">
        <v>91</v>
      </c>
      <c r="C54" s="20">
        <v>25000</v>
      </c>
      <c r="D54" s="16">
        <v>0</v>
      </c>
      <c r="E54" s="16">
        <v>9.185600640988955E-3</v>
      </c>
      <c r="F54" s="16">
        <v>7.3590009598696908E-3</v>
      </c>
      <c r="G54" s="16">
        <v>9.1413324109646584E-3</v>
      </c>
      <c r="H54" s="16">
        <v>1.5645892568969491E-2</v>
      </c>
      <c r="I54" s="16">
        <v>6.6877034656909282E-3</v>
      </c>
      <c r="J54" s="16"/>
      <c r="T54" t="s">
        <v>1</v>
      </c>
      <c r="U54" t="s">
        <v>88</v>
      </c>
      <c r="V54" t="str">
        <f>VLOOKUP(Таблица15[[#This Row],[Модель]],Таблица14[#All],2,0)</f>
        <v>Минивэн</v>
      </c>
      <c r="W54" s="20">
        <f>VLOOKUP(Таблица15[[#This Row],[Модель]],Таблица14[#All],3,0)</f>
        <v>10000</v>
      </c>
      <c r="X54" s="20">
        <f>VLOOKUP(Таблица15[[#This Row],[Модель]],Таблица14[#All],4,0)</f>
        <v>8000</v>
      </c>
      <c r="Y54" s="4">
        <f>VLOOKUP(Таблица15[[#This Row],[Модель]],Таблица14[#All],5,0)</f>
        <v>12000</v>
      </c>
      <c r="Z54" t="str">
        <f>VLOOKUP(Таблица15[[#This Row],[Модель]],Таблица14[#All],6,0)</f>
        <v>МКПП</v>
      </c>
      <c r="AA54" t="str">
        <f>VLOOKUP(Таблица15[[#This Row],[Модель]],Таблица14[#All],7,0)</f>
        <v>Бензин</v>
      </c>
      <c r="AB54" t="str">
        <f>VLOOKUP(Таблица15[[#This Row],[Модель]],Таблица14[#All],8,0)</f>
        <v>Эконом</v>
      </c>
      <c r="AC54" t="str">
        <f>VLOOKUP(Таблица15[[#This Row],[Модель]],Таблица14[#All],9,0)</f>
        <v>Маленький</v>
      </c>
      <c r="AD54">
        <f>VLOOKUP(Таблица15[[#This Row],[Модель]],Таблица14[#All],10,0)</f>
        <v>80</v>
      </c>
      <c r="AE54">
        <f>VLOOKUP(Таблица15[[#This Row],[Модель]],Таблица14[#All],11,0)</f>
        <v>18</v>
      </c>
      <c r="AF54">
        <v>2021</v>
      </c>
      <c r="AG54">
        <v>736</v>
      </c>
      <c r="AH54" s="22">
        <f>VLOOKUP(Таблица15[[#This Row],[Модель]],Таблица14[#All],12,0)/1000000</f>
        <v>4.72</v>
      </c>
      <c r="AI54" s="21">
        <f>VLOOKUP(Таблица15[[#This Row],[Модель]],Таблица14[#All],13,0)/1000000</f>
        <v>4.3499999999999996</v>
      </c>
      <c r="AJ54" s="21">
        <f>VLOOKUP(Таблица15[[#This Row],[Модель]],Таблица14[#All],14,0)/1000000</f>
        <v>5.09</v>
      </c>
      <c r="AK54" s="21">
        <f>Таблица15[[#This Row],[Средняя цена (USD)]]*Таблица15[[#This Row],[Кол-во проданных]]/1000000</f>
        <v>7.36</v>
      </c>
      <c r="AL54" s="39">
        <f>Таблица15[[#This Row],[Средняя цена млн. ₸]]/440*Таблица15[[#This Row],[Кол-во проданных]]</f>
        <v>7.8952727272727259</v>
      </c>
      <c r="AM54" s="39">
        <f>Таблица15[[#This Row],[Средняя цена млн. ₸]]*Таблица15[[#This Row],[Кол-во проданных]]/1000</f>
        <v>3.4739199999999997</v>
      </c>
      <c r="AP54" s="18" t="s">
        <v>56</v>
      </c>
      <c r="AQ54" s="18" t="s">
        <v>199</v>
      </c>
      <c r="AR54" s="4">
        <v>18000</v>
      </c>
      <c r="AS54" s="4">
        <v>16000</v>
      </c>
      <c r="AT54" s="4">
        <v>22000</v>
      </c>
      <c r="AU54" s="18" t="s">
        <v>204</v>
      </c>
      <c r="AV54" s="18" t="s">
        <v>208</v>
      </c>
      <c r="AW54" s="18" t="s">
        <v>212</v>
      </c>
      <c r="AX54" s="18" t="s">
        <v>217</v>
      </c>
      <c r="AY54" s="20">
        <v>150</v>
      </c>
      <c r="AZ54" s="20">
        <v>13.5</v>
      </c>
      <c r="BA54" s="4">
        <f>AVERAGE(Таблица14[[#This Row],[Мин. ₸]],Таблица14[[#This Row],[Макс. ₸]])</f>
        <v>7640000</v>
      </c>
      <c r="BB54" s="4">
        <v>6590000</v>
      </c>
      <c r="BC54" s="4">
        <v>8690000</v>
      </c>
      <c r="BD54" s="4">
        <f>Таблица14[[#This Row],[Средняя цена ₸]]/$BI$2</f>
        <v>17363.636363636364</v>
      </c>
      <c r="BE54" s="2">
        <f>Таблица14[[#This Row],[Перевод в USD из ₸]]/Таблица14[[#This Row],[Средняя цена (USD)]]-1</f>
        <v>-3.5353535353535359E-2</v>
      </c>
      <c r="BG54" s="4"/>
      <c r="BH54" s="4"/>
      <c r="BI54" s="4"/>
      <c r="BJ54" s="4"/>
    </row>
    <row r="55" spans="2:62">
      <c r="B55" t="s">
        <v>102</v>
      </c>
      <c r="C55" s="20">
        <v>25000</v>
      </c>
      <c r="D55" s="16">
        <v>0</v>
      </c>
      <c r="E55" s="16">
        <v>4.2637211698048419E-3</v>
      </c>
      <c r="F55" s="16">
        <v>1.321517563676204E-2</v>
      </c>
      <c r="G55" s="16">
        <v>1.046311966498252E-2</v>
      </c>
      <c r="H55" s="16">
        <v>1.0159071697533236E-2</v>
      </c>
      <c r="I55" s="16">
        <v>6.3763793388397988E-3</v>
      </c>
      <c r="J55" s="16"/>
      <c r="K55" s="13" t="s">
        <v>218</v>
      </c>
      <c r="L55" s="13" t="s">
        <v>151</v>
      </c>
      <c r="T55" t="s">
        <v>1</v>
      </c>
      <c r="U55" t="s">
        <v>88</v>
      </c>
      <c r="V55" t="str">
        <f>VLOOKUP(Таблица15[[#This Row],[Модель]],Таблица14[#All],2,0)</f>
        <v>Минивэн</v>
      </c>
      <c r="W55" s="20">
        <f>VLOOKUP(Таблица15[[#This Row],[Модель]],Таблица14[#All],3,0)</f>
        <v>10000</v>
      </c>
      <c r="X55" s="20">
        <f>VLOOKUP(Таблица15[[#This Row],[Модель]],Таблица14[#All],4,0)</f>
        <v>8000</v>
      </c>
      <c r="Y55" s="4">
        <f>VLOOKUP(Таблица15[[#This Row],[Модель]],Таблица14[#All],5,0)</f>
        <v>12000</v>
      </c>
      <c r="Z55" t="str">
        <f>VLOOKUP(Таблица15[[#This Row],[Модель]],Таблица14[#All],6,0)</f>
        <v>МКПП</v>
      </c>
      <c r="AA55" t="str">
        <f>VLOOKUP(Таблица15[[#This Row],[Модель]],Таблица14[#All],7,0)</f>
        <v>Бензин</v>
      </c>
      <c r="AB55" t="str">
        <f>VLOOKUP(Таблица15[[#This Row],[Модель]],Таблица14[#All],8,0)</f>
        <v>Эконом</v>
      </c>
      <c r="AC55" t="str">
        <f>VLOOKUP(Таблица15[[#This Row],[Модель]],Таблица14[#All],9,0)</f>
        <v>Маленький</v>
      </c>
      <c r="AD55">
        <f>VLOOKUP(Таблица15[[#This Row],[Модель]],Таблица14[#All],10,0)</f>
        <v>80</v>
      </c>
      <c r="AE55">
        <f>VLOOKUP(Таблица15[[#This Row],[Модель]],Таблица14[#All],11,0)</f>
        <v>18</v>
      </c>
      <c r="AF55">
        <v>2020</v>
      </c>
      <c r="AG55">
        <v>511</v>
      </c>
      <c r="AH55" s="22">
        <f>VLOOKUP(Таблица15[[#This Row],[Модель]],Таблица14[#All],12,0)/1000000</f>
        <v>4.72</v>
      </c>
      <c r="AI55" s="21">
        <f>VLOOKUP(Таблица15[[#This Row],[Модель]],Таблица14[#All],13,0)/1000000</f>
        <v>4.3499999999999996</v>
      </c>
      <c r="AJ55" s="21">
        <f>VLOOKUP(Таблица15[[#This Row],[Модель]],Таблица14[#All],14,0)/1000000</f>
        <v>5.09</v>
      </c>
      <c r="AK55" s="21">
        <f>Таблица15[[#This Row],[Средняя цена (USD)]]*Таблица15[[#This Row],[Кол-во проданных]]/1000000</f>
        <v>5.1100000000000003</v>
      </c>
      <c r="AL55" s="39">
        <f>Таблица15[[#This Row],[Средняя цена млн. ₸]]/440*Таблица15[[#This Row],[Кол-во проданных]]</f>
        <v>5.4816363636363628</v>
      </c>
      <c r="AM55" s="39">
        <f>Таблица15[[#This Row],[Средняя цена млн. ₸]]*Таблица15[[#This Row],[Кол-во проданных]]/1000</f>
        <v>2.4119200000000003</v>
      </c>
      <c r="AP55" s="18" t="s">
        <v>47</v>
      </c>
      <c r="AQ55" s="18" t="s">
        <v>202</v>
      </c>
      <c r="AR55" s="4">
        <v>23000</v>
      </c>
      <c r="AS55" s="4">
        <v>20000</v>
      </c>
      <c r="AT55" s="4">
        <v>28000</v>
      </c>
      <c r="AU55" s="18" t="s">
        <v>204</v>
      </c>
      <c r="AV55" s="18" t="s">
        <v>210</v>
      </c>
      <c r="AW55" s="18" t="s">
        <v>212</v>
      </c>
      <c r="AX55" s="18" t="s">
        <v>217</v>
      </c>
      <c r="AY55" s="20">
        <v>190</v>
      </c>
      <c r="AZ55" s="20">
        <v>11.5</v>
      </c>
      <c r="BA55" s="4">
        <f>AVERAGE(Таблица14[[#This Row],[Мин. ₸]],Таблица14[[#This Row],[Макс. ₸]])</f>
        <v>15640000</v>
      </c>
      <c r="BB55" s="4">
        <v>12690000</v>
      </c>
      <c r="BC55" s="4">
        <v>18590000</v>
      </c>
      <c r="BD55" s="4">
        <f>Таблица14[[#This Row],[Средняя цена ₸]]/$BI$2</f>
        <v>35545.454545454544</v>
      </c>
      <c r="BE55" s="2">
        <f>Таблица14[[#This Row],[Перевод в USD из ₸]]/Таблица14[[#This Row],[Средняя цена (USD)]]-1</f>
        <v>0.54545454545454541</v>
      </c>
      <c r="BG55" s="4"/>
      <c r="BH55" s="4"/>
      <c r="BI55" s="4"/>
      <c r="BJ55" s="4"/>
    </row>
    <row r="56" spans="2:62">
      <c r="B56" t="s">
        <v>101</v>
      </c>
      <c r="C56" s="20">
        <v>18000</v>
      </c>
      <c r="D56" s="16">
        <v>0</v>
      </c>
      <c r="E56" s="16">
        <v>4.3591064308743013E-3</v>
      </c>
      <c r="F56" s="16">
        <v>1.0704001396174095E-2</v>
      </c>
      <c r="G56" s="16">
        <v>9.5613395757927627E-3</v>
      </c>
      <c r="H56" s="16">
        <v>1.4954276492738032E-2</v>
      </c>
      <c r="I56" s="16">
        <v>6.3571618001452843E-3</v>
      </c>
      <c r="J56" s="16"/>
      <c r="K56" s="13" t="s">
        <v>161</v>
      </c>
      <c r="L56">
        <v>2023</v>
      </c>
      <c r="M56">
        <v>2022</v>
      </c>
      <c r="N56">
        <v>2021</v>
      </c>
      <c r="O56">
        <v>2020</v>
      </c>
      <c r="P56">
        <v>2019</v>
      </c>
      <c r="Q56" t="s">
        <v>155</v>
      </c>
      <c r="T56" t="s">
        <v>1</v>
      </c>
      <c r="U56" t="s">
        <v>88</v>
      </c>
      <c r="V56" t="str">
        <f>VLOOKUP(Таблица15[[#This Row],[Модель]],Таблица14[#All],2,0)</f>
        <v>Минивэн</v>
      </c>
      <c r="W56" s="20">
        <f>VLOOKUP(Таблица15[[#This Row],[Модель]],Таблица14[#All],3,0)</f>
        <v>10000</v>
      </c>
      <c r="X56" s="20">
        <f>VLOOKUP(Таблица15[[#This Row],[Модель]],Таблица14[#All],4,0)</f>
        <v>8000</v>
      </c>
      <c r="Y56" s="4">
        <f>VLOOKUP(Таблица15[[#This Row],[Модель]],Таблица14[#All],5,0)</f>
        <v>12000</v>
      </c>
      <c r="Z56" t="str">
        <f>VLOOKUP(Таблица15[[#This Row],[Модель]],Таблица14[#All],6,0)</f>
        <v>МКПП</v>
      </c>
      <c r="AA56" t="str">
        <f>VLOOKUP(Таблица15[[#This Row],[Модель]],Таблица14[#All],7,0)</f>
        <v>Бензин</v>
      </c>
      <c r="AB56" t="str">
        <f>VLOOKUP(Таблица15[[#This Row],[Модель]],Таблица14[#All],8,0)</f>
        <v>Эконом</v>
      </c>
      <c r="AC56" t="str">
        <f>VLOOKUP(Таблица15[[#This Row],[Модель]],Таблица14[#All],9,0)</f>
        <v>Маленький</v>
      </c>
      <c r="AD56">
        <f>VLOOKUP(Таблица15[[#This Row],[Модель]],Таблица14[#All],10,0)</f>
        <v>80</v>
      </c>
      <c r="AE56">
        <f>VLOOKUP(Таблица15[[#This Row],[Модель]],Таблица14[#All],11,0)</f>
        <v>18</v>
      </c>
      <c r="AF56">
        <v>2019</v>
      </c>
      <c r="AG56">
        <v>0</v>
      </c>
      <c r="AH56" s="22">
        <f>VLOOKUP(Таблица15[[#This Row],[Модель]],Таблица14[#All],12,0)/1000000</f>
        <v>4.72</v>
      </c>
      <c r="AI56" s="21">
        <f>VLOOKUP(Таблица15[[#This Row],[Модель]],Таблица14[#All],13,0)/1000000</f>
        <v>4.3499999999999996</v>
      </c>
      <c r="AJ56" s="21">
        <f>VLOOKUP(Таблица15[[#This Row],[Модель]],Таблица14[#All],14,0)/1000000</f>
        <v>5.09</v>
      </c>
      <c r="AK56" s="21">
        <f>Таблица15[[#This Row],[Средняя цена (USD)]]*Таблица15[[#This Row],[Кол-во проданных]]/1000000</f>
        <v>0</v>
      </c>
      <c r="AL56" s="39">
        <f>Таблица15[[#This Row],[Средняя цена млн. ₸]]/440*Таблица15[[#This Row],[Кол-во проданных]]</f>
        <v>0</v>
      </c>
      <c r="AM56" s="39">
        <f>Таблица15[[#This Row],[Средняя цена млн. ₸]]*Таблица15[[#This Row],[Кол-во проданных]]/1000</f>
        <v>0</v>
      </c>
      <c r="AP56" s="18" t="s">
        <v>96</v>
      </c>
      <c r="AQ56" s="18" t="s">
        <v>200</v>
      </c>
      <c r="AR56" s="4">
        <v>30000</v>
      </c>
      <c r="AS56" s="4">
        <v>27000</v>
      </c>
      <c r="AT56" s="4">
        <v>38000</v>
      </c>
      <c r="AU56" s="18" t="s">
        <v>204</v>
      </c>
      <c r="AV56" s="18" t="s">
        <v>209</v>
      </c>
      <c r="AW56" s="18" t="s">
        <v>212</v>
      </c>
      <c r="AX56" s="18" t="s">
        <v>215</v>
      </c>
      <c r="AY56" s="20">
        <v>200</v>
      </c>
      <c r="AZ56" s="20">
        <v>11.5</v>
      </c>
      <c r="BA56" s="4">
        <f>AVERAGE(Таблица14[[#This Row],[Мин. ₸]],Таблица14[[#This Row],[Макс. ₸]])</f>
        <v>23940000</v>
      </c>
      <c r="BB56" s="4">
        <v>19990000</v>
      </c>
      <c r="BC56" s="4">
        <v>27890000</v>
      </c>
      <c r="BD56" s="4">
        <f>Таблица14[[#This Row],[Средняя цена ₸]]/$BI$2</f>
        <v>54409.090909090912</v>
      </c>
      <c r="BE56" s="2">
        <f>Таблица14[[#This Row],[Перевод в USD из ₸]]/Таблица14[[#This Row],[Средняя цена (USD)]]-1</f>
        <v>0.81363636363636371</v>
      </c>
      <c r="BG56" s="4"/>
      <c r="BH56" s="4"/>
      <c r="BI56" s="4"/>
      <c r="BJ56" s="4"/>
    </row>
    <row r="57" spans="2:62">
      <c r="B57" t="s">
        <v>58</v>
      </c>
      <c r="C57" s="20">
        <v>18000</v>
      </c>
      <c r="D57" s="16">
        <v>1.9535358999789618E-2</v>
      </c>
      <c r="E57" s="16">
        <v>0</v>
      </c>
      <c r="F57" s="16">
        <v>0</v>
      </c>
      <c r="G57" s="16">
        <v>0</v>
      </c>
      <c r="H57" s="16">
        <v>0</v>
      </c>
      <c r="I57" s="16">
        <v>6.2457000757171026E-3</v>
      </c>
      <c r="J57" s="16"/>
      <c r="K57" s="14" t="s">
        <v>199</v>
      </c>
      <c r="L57" s="16">
        <v>0.41243651008325066</v>
      </c>
      <c r="M57" s="16">
        <v>0.51595795417692059</v>
      </c>
      <c r="N57" s="16">
        <v>0.54413946227906029</v>
      </c>
      <c r="O57" s="16">
        <v>0.50300799248928363</v>
      </c>
      <c r="P57" s="16">
        <v>0.43193729347575499</v>
      </c>
      <c r="Q57" s="16">
        <v>0.47592618927738212</v>
      </c>
      <c r="T57" t="s">
        <v>1</v>
      </c>
      <c r="U57" t="s">
        <v>93</v>
      </c>
      <c r="V57" t="str">
        <f>VLOOKUP(Таблица15[[#This Row],[Модель]],Таблица14[#All],2,0)</f>
        <v>Внедорожник</v>
      </c>
      <c r="W57" s="20">
        <f>VLOOKUP(Таблица15[[#This Row],[Модель]],Таблица14[#All],3,0)</f>
        <v>25000</v>
      </c>
      <c r="X57" s="20">
        <f>VLOOKUP(Таблица15[[#This Row],[Модель]],Таблица14[#All],4,0)</f>
        <v>22000</v>
      </c>
      <c r="Y57" s="4">
        <f>VLOOKUP(Таблица15[[#This Row],[Модель]],Таблица14[#All],5,0)</f>
        <v>30000</v>
      </c>
      <c r="Z57" t="str">
        <f>VLOOKUP(Таблица15[[#This Row],[Модель]],Таблица14[#All],6,0)</f>
        <v>АКПП</v>
      </c>
      <c r="AA57" t="str">
        <f>VLOOKUP(Таблица15[[#This Row],[Модель]],Таблица14[#All],7,0)</f>
        <v>Бензин</v>
      </c>
      <c r="AB57" t="str">
        <f>VLOOKUP(Таблица15[[#This Row],[Модель]],Таблица14[#All],8,0)</f>
        <v>Комфорт</v>
      </c>
      <c r="AC57" t="str">
        <f>VLOOKUP(Таблица15[[#This Row],[Модель]],Таблица14[#All],9,0)</f>
        <v>Средний</v>
      </c>
      <c r="AD57">
        <f>VLOOKUP(Таблица15[[#This Row],[Модель]],Таблица14[#All],10,0)</f>
        <v>170</v>
      </c>
      <c r="AE57">
        <f>VLOOKUP(Таблица15[[#This Row],[Модель]],Таблица14[#All],11,0)</f>
        <v>12.5</v>
      </c>
      <c r="AF57">
        <v>2023</v>
      </c>
      <c r="AG57">
        <v>0</v>
      </c>
      <c r="AH57" s="22">
        <f>VLOOKUP(Таблица15[[#This Row],[Модель]],Таблица14[#All],12,0)/1000000</f>
        <v>13.994999999999999</v>
      </c>
      <c r="AI57" s="21">
        <f>VLOOKUP(Таблица15[[#This Row],[Модель]],Таблица14[#All],13,0)/1000000</f>
        <v>13.49</v>
      </c>
      <c r="AJ57" s="21">
        <f>VLOOKUP(Таблица15[[#This Row],[Модель]],Таблица14[#All],14,0)/1000000</f>
        <v>14.5</v>
      </c>
      <c r="AK57" s="21">
        <f>Таблица15[[#This Row],[Средняя цена (USD)]]*Таблица15[[#This Row],[Кол-во проданных]]/1000000</f>
        <v>0</v>
      </c>
      <c r="AL57" s="39">
        <f>Таблица15[[#This Row],[Средняя цена млн. ₸]]/440*Таблица15[[#This Row],[Кол-во проданных]]</f>
        <v>0</v>
      </c>
      <c r="AM57" s="39">
        <f>Таблица15[[#This Row],[Средняя цена млн. ₸]]*Таблица15[[#This Row],[Кол-во проданных]]/1000</f>
        <v>0</v>
      </c>
      <c r="AP57" s="18" t="s">
        <v>53</v>
      </c>
      <c r="AQ57" s="18" t="s">
        <v>199</v>
      </c>
      <c r="AR57" s="4">
        <v>22000</v>
      </c>
      <c r="AS57" s="4">
        <v>19000</v>
      </c>
      <c r="AT57" s="4">
        <v>25000</v>
      </c>
      <c r="AU57" s="18" t="s">
        <v>204</v>
      </c>
      <c r="AV57" s="18" t="s">
        <v>211</v>
      </c>
      <c r="AW57" s="18" t="s">
        <v>212</v>
      </c>
      <c r="AX57" s="18" t="s">
        <v>217</v>
      </c>
      <c r="AY57" s="20">
        <v>180</v>
      </c>
      <c r="AZ57" s="20">
        <v>12</v>
      </c>
      <c r="BA57" s="4">
        <f>AVERAGE(Таблица14[[#This Row],[Мин. ₸]],Таблица14[[#This Row],[Макс. ₸]])</f>
        <v>14390000</v>
      </c>
      <c r="BB57" s="4">
        <v>13990000</v>
      </c>
      <c r="BC57" s="4">
        <v>14790000</v>
      </c>
      <c r="BD57" s="4">
        <f>Таблица14[[#This Row],[Средняя цена ₸]]/$BI$2</f>
        <v>32704.545454545456</v>
      </c>
      <c r="BE57" s="2">
        <f>Таблица14[[#This Row],[Перевод в USD из ₸]]/Таблица14[[#This Row],[Средняя цена (USD)]]-1</f>
        <v>0.48657024793388426</v>
      </c>
      <c r="BG57" s="4"/>
      <c r="BH57" s="4"/>
      <c r="BI57" s="4"/>
      <c r="BJ57" s="4"/>
    </row>
    <row r="58" spans="2:62">
      <c r="B58" t="s">
        <v>83</v>
      </c>
      <c r="C58" s="20">
        <v>18000</v>
      </c>
      <c r="D58" s="16">
        <v>6.4436630300844528E-3</v>
      </c>
      <c r="E58" s="16">
        <v>7.1634331063164117E-3</v>
      </c>
      <c r="F58" s="16">
        <v>7.6789575233422855E-3</v>
      </c>
      <c r="G58" s="16">
        <v>4.4224283826018208E-3</v>
      </c>
      <c r="H58" s="16">
        <v>0</v>
      </c>
      <c r="I58" s="16">
        <v>5.7133742538790604E-3</v>
      </c>
      <c r="J58" s="16"/>
      <c r="K58" s="14" t="s">
        <v>202</v>
      </c>
      <c r="L58" s="16">
        <v>0.42310582153698195</v>
      </c>
      <c r="M58" s="16">
        <v>0.3429004750186001</v>
      </c>
      <c r="N58" s="16">
        <v>0.25799164234673594</v>
      </c>
      <c r="O58" s="16">
        <v>0.29590740077330729</v>
      </c>
      <c r="P58" s="16">
        <v>0.37547068316299087</v>
      </c>
      <c r="Q58" s="16">
        <v>0.34847547265536422</v>
      </c>
      <c r="T58" t="s">
        <v>1</v>
      </c>
      <c r="U58" t="s">
        <v>93</v>
      </c>
      <c r="V58" t="str">
        <f>VLOOKUP(Таблица15[[#This Row],[Модель]],Таблица14[#All],2,0)</f>
        <v>Внедорожник</v>
      </c>
      <c r="W58" s="20">
        <f>VLOOKUP(Таблица15[[#This Row],[Модель]],Таблица14[#All],3,0)</f>
        <v>25000</v>
      </c>
      <c r="X58" s="20">
        <f>VLOOKUP(Таблица15[[#This Row],[Модель]],Таблица14[#All],4,0)</f>
        <v>22000</v>
      </c>
      <c r="Y58" s="4">
        <f>VLOOKUP(Таблица15[[#This Row],[Модель]],Таблица14[#All],5,0)</f>
        <v>30000</v>
      </c>
      <c r="Z58" t="str">
        <f>VLOOKUP(Таблица15[[#This Row],[Модель]],Таблица14[#All],6,0)</f>
        <v>АКПП</v>
      </c>
      <c r="AA58" t="str">
        <f>VLOOKUP(Таблица15[[#This Row],[Модель]],Таблица14[#All],7,0)</f>
        <v>Бензин</v>
      </c>
      <c r="AB58" t="str">
        <f>VLOOKUP(Таблица15[[#This Row],[Модель]],Таблица14[#All],8,0)</f>
        <v>Комфорт</v>
      </c>
      <c r="AC58" t="str">
        <f>VLOOKUP(Таблица15[[#This Row],[Модель]],Таблица14[#All],9,0)</f>
        <v>Средний</v>
      </c>
      <c r="AD58">
        <f>VLOOKUP(Таблица15[[#This Row],[Модель]],Таблица14[#All],10,0)</f>
        <v>170</v>
      </c>
      <c r="AE58">
        <f>VLOOKUP(Таблица15[[#This Row],[Модель]],Таблица14[#All],11,0)</f>
        <v>12.5</v>
      </c>
      <c r="AF58">
        <v>2022</v>
      </c>
      <c r="AG58">
        <v>762</v>
      </c>
      <c r="AH58" s="22">
        <f>VLOOKUP(Таблица15[[#This Row],[Модель]],Таблица14[#All],12,0)/1000000</f>
        <v>13.994999999999999</v>
      </c>
      <c r="AI58" s="21">
        <f>VLOOKUP(Таблица15[[#This Row],[Модель]],Таблица14[#All],13,0)/1000000</f>
        <v>13.49</v>
      </c>
      <c r="AJ58" s="21">
        <f>VLOOKUP(Таблица15[[#This Row],[Модель]],Таблица14[#All],14,0)/1000000</f>
        <v>14.5</v>
      </c>
      <c r="AK58" s="21">
        <f>Таблица15[[#This Row],[Средняя цена (USD)]]*Таблица15[[#This Row],[Кол-во проданных]]/1000000</f>
        <v>19.05</v>
      </c>
      <c r="AL58" s="39">
        <f>Таблица15[[#This Row],[Средняя цена млн. ₸]]/440*Таблица15[[#This Row],[Кол-во проданных]]</f>
        <v>24.236795454545451</v>
      </c>
      <c r="AM58" s="39">
        <f>Таблица15[[#This Row],[Средняя цена млн. ₸]]*Таблица15[[#This Row],[Кол-во проданных]]/1000</f>
        <v>10.664189999999998</v>
      </c>
      <c r="AP58" s="18" t="s">
        <v>49</v>
      </c>
      <c r="AQ58" s="18" t="s">
        <v>202</v>
      </c>
      <c r="AR58" s="4">
        <v>28000</v>
      </c>
      <c r="AS58" s="4">
        <v>25000</v>
      </c>
      <c r="AT58" s="4">
        <v>35000</v>
      </c>
      <c r="AU58" s="18" t="s">
        <v>204</v>
      </c>
      <c r="AV58" s="18" t="s">
        <v>210</v>
      </c>
      <c r="AW58" s="18" t="s">
        <v>212</v>
      </c>
      <c r="AX58" s="18" t="s">
        <v>217</v>
      </c>
      <c r="AY58" s="20">
        <v>230</v>
      </c>
      <c r="AZ58" s="20">
        <v>11</v>
      </c>
      <c r="BA58" s="4">
        <f>AVERAGE(Таблица14[[#This Row],[Мин. ₸]],Таблица14[[#This Row],[Макс. ₸]])</f>
        <v>23190000</v>
      </c>
      <c r="BB58" s="4">
        <v>19390000</v>
      </c>
      <c r="BC58" s="4">
        <v>26990000</v>
      </c>
      <c r="BD58" s="4">
        <f>Таблица14[[#This Row],[Средняя цена ₸]]/$BI$2</f>
        <v>52704.545454545456</v>
      </c>
      <c r="BE58" s="2">
        <f>Таблица14[[#This Row],[Перевод в USD из ₸]]/Таблица14[[#This Row],[Средняя цена (USD)]]-1</f>
        <v>0.88230519480519476</v>
      </c>
      <c r="BG58" s="4"/>
      <c r="BH58" s="4"/>
      <c r="BI58" s="4"/>
      <c r="BJ58" s="4"/>
    </row>
    <row r="59" spans="2:62">
      <c r="B59" t="s">
        <v>103</v>
      </c>
      <c r="C59" s="20">
        <v>20000</v>
      </c>
      <c r="D59" s="16">
        <v>0</v>
      </c>
      <c r="E59" s="16">
        <v>0</v>
      </c>
      <c r="F59" s="16">
        <v>1.3990827911847119E-2</v>
      </c>
      <c r="G59" s="16">
        <v>8.4495559041889538E-3</v>
      </c>
      <c r="H59" s="16">
        <v>1.2925536002459079E-2</v>
      </c>
      <c r="I59" s="16">
        <v>5.7037654845318031E-3</v>
      </c>
      <c r="J59" s="16"/>
      <c r="K59" s="14" t="s">
        <v>197</v>
      </c>
      <c r="L59" s="16">
        <v>0.11573347759444595</v>
      </c>
      <c r="M59" s="16">
        <v>6.6626604857017491E-2</v>
      </c>
      <c r="N59" s="16">
        <v>8.6436750404793525E-2</v>
      </c>
      <c r="O59" s="16">
        <v>9.0140949463255543E-2</v>
      </c>
      <c r="P59" s="16">
        <v>7.6631061246445864E-2</v>
      </c>
      <c r="Q59" s="16">
        <v>9.1162238305166829E-2</v>
      </c>
      <c r="T59" t="s">
        <v>1</v>
      </c>
      <c r="U59" t="s">
        <v>93</v>
      </c>
      <c r="V59" t="str">
        <f>VLOOKUP(Таблица15[[#This Row],[Модель]],Таблица14[#All],2,0)</f>
        <v>Внедорожник</v>
      </c>
      <c r="W59" s="20">
        <f>VLOOKUP(Таблица15[[#This Row],[Модель]],Таблица14[#All],3,0)</f>
        <v>25000</v>
      </c>
      <c r="X59" s="20">
        <f>VLOOKUP(Таблица15[[#This Row],[Модель]],Таблица14[#All],4,0)</f>
        <v>22000</v>
      </c>
      <c r="Y59" s="4">
        <f>VLOOKUP(Таблица15[[#This Row],[Модель]],Таблица14[#All],5,0)</f>
        <v>30000</v>
      </c>
      <c r="Z59" t="str">
        <f>VLOOKUP(Таблица15[[#This Row],[Модель]],Таблица14[#All],6,0)</f>
        <v>АКПП</v>
      </c>
      <c r="AA59" t="str">
        <f>VLOOKUP(Таблица15[[#This Row],[Модель]],Таблица14[#All],7,0)</f>
        <v>Бензин</v>
      </c>
      <c r="AB59" t="str">
        <f>VLOOKUP(Таблица15[[#This Row],[Модель]],Таблица14[#All],8,0)</f>
        <v>Комфорт</v>
      </c>
      <c r="AC59" t="str">
        <f>VLOOKUP(Таблица15[[#This Row],[Модель]],Таблица14[#All],9,0)</f>
        <v>Средний</v>
      </c>
      <c r="AD59">
        <f>VLOOKUP(Таблица15[[#This Row],[Модель]],Таблица14[#All],10,0)</f>
        <v>170</v>
      </c>
      <c r="AE59">
        <f>VLOOKUP(Таблица15[[#This Row],[Модель]],Таблица14[#All],11,0)</f>
        <v>12.5</v>
      </c>
      <c r="AF59">
        <v>2021</v>
      </c>
      <c r="AG59">
        <v>719</v>
      </c>
      <c r="AH59" s="22">
        <f>VLOOKUP(Таблица15[[#This Row],[Модель]],Таблица14[#All],12,0)/1000000</f>
        <v>13.994999999999999</v>
      </c>
      <c r="AI59" s="21">
        <f>VLOOKUP(Таблица15[[#This Row],[Модель]],Таблица14[#All],13,0)/1000000</f>
        <v>13.49</v>
      </c>
      <c r="AJ59" s="21">
        <f>VLOOKUP(Таблица15[[#This Row],[Модель]],Таблица14[#All],14,0)/1000000</f>
        <v>14.5</v>
      </c>
      <c r="AK59" s="21">
        <f>Таблица15[[#This Row],[Средняя цена (USD)]]*Таблица15[[#This Row],[Кол-во проданных]]/1000000</f>
        <v>17.975000000000001</v>
      </c>
      <c r="AL59" s="39">
        <f>Таблица15[[#This Row],[Средняя цена млн. ₸]]/440*Таблица15[[#This Row],[Кол-во проданных]]</f>
        <v>22.869102272727272</v>
      </c>
      <c r="AM59" s="39">
        <f>Таблица15[[#This Row],[Средняя цена млн. ₸]]*Таблица15[[#This Row],[Кол-во проданных]]/1000</f>
        <v>10.062404999999998</v>
      </c>
      <c r="AP59" s="18" t="s">
        <v>72</v>
      </c>
      <c r="AQ59" s="18" t="s">
        <v>202</v>
      </c>
      <c r="AR59" s="4">
        <v>35000</v>
      </c>
      <c r="AS59" s="4">
        <v>30000</v>
      </c>
      <c r="AT59" s="4">
        <v>45000</v>
      </c>
      <c r="AU59" s="18" t="s">
        <v>204</v>
      </c>
      <c r="AV59" s="18" t="s">
        <v>211</v>
      </c>
      <c r="AW59" s="18" t="s">
        <v>214</v>
      </c>
      <c r="AX59" s="18" t="s">
        <v>215</v>
      </c>
      <c r="AY59" s="20">
        <v>290</v>
      </c>
      <c r="AZ59" s="20">
        <v>10</v>
      </c>
      <c r="BA59" s="4">
        <f>AVERAGE(Таблица14[[#This Row],[Мин. ₸]],Таблица14[[#This Row],[Макс. ₸]])</f>
        <v>29740000</v>
      </c>
      <c r="BB59" s="4">
        <v>27990000</v>
      </c>
      <c r="BC59" s="4">
        <v>31490000</v>
      </c>
      <c r="BD59" s="4">
        <f>Таблица14[[#This Row],[Средняя цена ₸]]/$BI$2</f>
        <v>67590.909090909088</v>
      </c>
      <c r="BE59" s="2">
        <f>Таблица14[[#This Row],[Перевод в USD из ₸]]/Таблица14[[#This Row],[Средняя цена (USD)]]-1</f>
        <v>0.93116883116883109</v>
      </c>
      <c r="BG59" s="4"/>
      <c r="BH59" s="4"/>
      <c r="BI59" s="4"/>
      <c r="BJ59" s="4"/>
    </row>
    <row r="60" spans="2:62">
      <c r="B60" t="s">
        <v>88</v>
      </c>
      <c r="C60" s="20">
        <v>10000</v>
      </c>
      <c r="D60" s="16">
        <v>4.6944970396417514E-3</v>
      </c>
      <c r="E60" s="16">
        <v>7.8597455121234665E-3</v>
      </c>
      <c r="F60" s="16">
        <v>7.1360009307827304E-3</v>
      </c>
      <c r="G60" s="16">
        <v>6.3124606243282972E-3</v>
      </c>
      <c r="H60" s="16">
        <v>0</v>
      </c>
      <c r="I60" s="16">
        <v>5.4808420356754388E-3</v>
      </c>
      <c r="J60" s="16"/>
      <c r="K60" s="14" t="s">
        <v>203</v>
      </c>
      <c r="L60" s="16">
        <v>3.2464761217804228E-2</v>
      </c>
      <c r="M60" s="16">
        <v>3.3556534844235868E-2</v>
      </c>
      <c r="N60" s="16">
        <v>7.0225617855515371E-2</v>
      </c>
      <c r="O60" s="16">
        <v>5.973984262084471E-2</v>
      </c>
      <c r="P60" s="16">
        <v>6.3013909167755316E-2</v>
      </c>
      <c r="Q60" s="16">
        <v>4.8232178615491644E-2</v>
      </c>
      <c r="T60" t="s">
        <v>1</v>
      </c>
      <c r="U60" t="s">
        <v>93</v>
      </c>
      <c r="V60" t="str">
        <f>VLOOKUP(Таблица15[[#This Row],[Модель]],Таблица14[#All],2,0)</f>
        <v>Внедорожник</v>
      </c>
      <c r="W60" s="20">
        <f>VLOOKUP(Таблица15[[#This Row],[Модель]],Таблица14[#All],3,0)</f>
        <v>25000</v>
      </c>
      <c r="X60" s="20">
        <f>VLOOKUP(Таблица15[[#This Row],[Модель]],Таблица14[#All],4,0)</f>
        <v>22000</v>
      </c>
      <c r="Y60" s="4">
        <f>VLOOKUP(Таблица15[[#This Row],[Модель]],Таблица14[#All],5,0)</f>
        <v>30000</v>
      </c>
      <c r="Z60" t="str">
        <f>VLOOKUP(Таблица15[[#This Row],[Модель]],Таблица14[#All],6,0)</f>
        <v>АКПП</v>
      </c>
      <c r="AA60" t="str">
        <f>VLOOKUP(Таблица15[[#This Row],[Модель]],Таблица14[#All],7,0)</f>
        <v>Бензин</v>
      </c>
      <c r="AB60" t="str">
        <f>VLOOKUP(Таблица15[[#This Row],[Модель]],Таблица14[#All],8,0)</f>
        <v>Комфорт</v>
      </c>
      <c r="AC60" t="str">
        <f>VLOOKUP(Таблица15[[#This Row],[Модель]],Таблица14[#All],9,0)</f>
        <v>Средний</v>
      </c>
      <c r="AD60">
        <f>VLOOKUP(Таблица15[[#This Row],[Модель]],Таблица14[#All],10,0)</f>
        <v>170</v>
      </c>
      <c r="AE60">
        <f>VLOOKUP(Таблица15[[#This Row],[Модель]],Таблица14[#All],11,0)</f>
        <v>12.5</v>
      </c>
      <c r="AF60">
        <v>2020</v>
      </c>
      <c r="AG60">
        <v>0</v>
      </c>
      <c r="AH60" s="22">
        <f>VLOOKUP(Таблица15[[#This Row],[Модель]],Таблица14[#All],12,0)/1000000</f>
        <v>13.994999999999999</v>
      </c>
      <c r="AI60" s="21">
        <f>VLOOKUP(Таблица15[[#This Row],[Модель]],Таблица14[#All],13,0)/1000000</f>
        <v>13.49</v>
      </c>
      <c r="AJ60" s="21">
        <f>VLOOKUP(Таблица15[[#This Row],[Модель]],Таблица14[#All],14,0)/1000000</f>
        <v>14.5</v>
      </c>
      <c r="AK60" s="21">
        <f>Таблица15[[#This Row],[Средняя цена (USD)]]*Таблица15[[#This Row],[Кол-во проданных]]/1000000</f>
        <v>0</v>
      </c>
      <c r="AL60" s="39">
        <f>Таблица15[[#This Row],[Средняя цена млн. ₸]]/440*Таблица15[[#This Row],[Кол-во проданных]]</f>
        <v>0</v>
      </c>
      <c r="AM60" s="39">
        <f>Таблица15[[#This Row],[Средняя цена млн. ₸]]*Таблица15[[#This Row],[Кол-во проданных]]/1000</f>
        <v>0</v>
      </c>
      <c r="AP60" s="18" t="s">
        <v>68</v>
      </c>
      <c r="AQ60" s="18" t="s">
        <v>197</v>
      </c>
      <c r="AR60" s="4">
        <v>18000</v>
      </c>
      <c r="AS60" s="4">
        <v>16000</v>
      </c>
      <c r="AT60" s="4">
        <v>22000</v>
      </c>
      <c r="AU60" s="18" t="s">
        <v>206</v>
      </c>
      <c r="AV60" s="18" t="s">
        <v>208</v>
      </c>
      <c r="AW60" s="18" t="s">
        <v>212</v>
      </c>
      <c r="AX60" s="18" t="s">
        <v>217</v>
      </c>
      <c r="AY60" s="20">
        <v>150</v>
      </c>
      <c r="AZ60" s="20">
        <v>13.5</v>
      </c>
      <c r="BA60" s="4">
        <f>AVERAGE(Таблица14[[#This Row],[Мин. ₸]],Таблица14[[#This Row],[Макс. ₸]])</f>
        <v>11540000</v>
      </c>
      <c r="BB60" s="4">
        <v>10790000</v>
      </c>
      <c r="BC60" s="4">
        <v>12290000</v>
      </c>
      <c r="BD60" s="4">
        <f>Таблица14[[#This Row],[Средняя цена ₸]]/$BI$2</f>
        <v>26227.272727272728</v>
      </c>
      <c r="BE60" s="2">
        <f>Таблица14[[#This Row],[Перевод в USD из ₸]]/Таблица14[[#This Row],[Средняя цена (USD)]]-1</f>
        <v>0.45707070707070718</v>
      </c>
      <c r="BG60" s="4"/>
      <c r="BH60" s="4"/>
      <c r="BI60" s="4"/>
      <c r="BJ60" s="4"/>
    </row>
    <row r="61" spans="2:62">
      <c r="B61" t="s">
        <v>79</v>
      </c>
      <c r="C61" s="20">
        <v>25000</v>
      </c>
      <c r="D61" s="16">
        <v>7.9644155922219215E-3</v>
      </c>
      <c r="E61" s="16">
        <v>0</v>
      </c>
      <c r="F61" s="16">
        <v>5.8367833700152224E-3</v>
      </c>
      <c r="G61" s="16">
        <v>4.8053760917097996E-3</v>
      </c>
      <c r="H61" s="16">
        <v>6.4704526242987783E-3</v>
      </c>
      <c r="I61" s="16">
        <v>5.259840340688526E-3</v>
      </c>
      <c r="J61" s="16"/>
      <c r="K61" s="14" t="s">
        <v>201</v>
      </c>
      <c r="L61" s="16">
        <v>0</v>
      </c>
      <c r="M61" s="16">
        <v>1.1160075545126767E-2</v>
      </c>
      <c r="N61" s="16">
        <v>2.2658742085922882E-2</v>
      </c>
      <c r="O61" s="16">
        <v>2.8301071018270313E-2</v>
      </c>
      <c r="P61" s="16">
        <v>3.3843079996926151E-2</v>
      </c>
      <c r="Q61" s="16">
        <v>1.537403095561133E-2</v>
      </c>
      <c r="T61" t="s">
        <v>1</v>
      </c>
      <c r="U61" t="s">
        <v>93</v>
      </c>
      <c r="V61" t="str">
        <f>VLOOKUP(Таблица15[[#This Row],[Модель]],Таблица14[#All],2,0)</f>
        <v>Внедорожник</v>
      </c>
      <c r="W61" s="20">
        <f>VLOOKUP(Таблица15[[#This Row],[Модель]],Таблица14[#All],3,0)</f>
        <v>25000</v>
      </c>
      <c r="X61" s="20">
        <f>VLOOKUP(Таблица15[[#This Row],[Модель]],Таблица14[#All],4,0)</f>
        <v>22000</v>
      </c>
      <c r="Y61" s="4">
        <f>VLOOKUP(Таблица15[[#This Row],[Модель]],Таблица14[#All],5,0)</f>
        <v>30000</v>
      </c>
      <c r="Z61" t="str">
        <f>VLOOKUP(Таблица15[[#This Row],[Модель]],Таблица14[#All],6,0)</f>
        <v>АКПП</v>
      </c>
      <c r="AA61" t="str">
        <f>VLOOKUP(Таблица15[[#This Row],[Модель]],Таблица14[#All],7,0)</f>
        <v>Бензин</v>
      </c>
      <c r="AB61" t="str">
        <f>VLOOKUP(Таблица15[[#This Row],[Модель]],Таблица14[#All],8,0)</f>
        <v>Комфорт</v>
      </c>
      <c r="AC61" t="str">
        <f>VLOOKUP(Таблица15[[#This Row],[Модель]],Таблица14[#All],9,0)</f>
        <v>Средний</v>
      </c>
      <c r="AD61">
        <f>VLOOKUP(Таблица15[[#This Row],[Модель]],Таблица14[#All],10,0)</f>
        <v>170</v>
      </c>
      <c r="AE61">
        <f>VLOOKUP(Таблица15[[#This Row],[Модель]],Таблица14[#All],11,0)</f>
        <v>12.5</v>
      </c>
      <c r="AF61">
        <v>2019</v>
      </c>
      <c r="AG61">
        <v>0</v>
      </c>
      <c r="AH61" s="22">
        <f>VLOOKUP(Таблица15[[#This Row],[Модель]],Таблица14[#All],12,0)/1000000</f>
        <v>13.994999999999999</v>
      </c>
      <c r="AI61" s="21">
        <f>VLOOKUP(Таблица15[[#This Row],[Модель]],Таблица14[#All],13,0)/1000000</f>
        <v>13.49</v>
      </c>
      <c r="AJ61" s="21">
        <f>VLOOKUP(Таблица15[[#This Row],[Модель]],Таблица14[#All],14,0)/1000000</f>
        <v>14.5</v>
      </c>
      <c r="AK61" s="21">
        <f>Таблица15[[#This Row],[Средняя цена (USD)]]*Таблица15[[#This Row],[Кол-во проданных]]/1000000</f>
        <v>0</v>
      </c>
      <c r="AL61" s="39">
        <f>Таблица15[[#This Row],[Средняя цена млн. ₸]]/440*Таблица15[[#This Row],[Кол-во проданных]]</f>
        <v>0</v>
      </c>
      <c r="AM61" s="39">
        <f>Таблица15[[#This Row],[Средняя цена млн. ₸]]*Таблица15[[#This Row],[Кол-во проданных]]/1000</f>
        <v>0</v>
      </c>
      <c r="AP61" s="18" t="s">
        <v>62</v>
      </c>
      <c r="AQ61" s="18" t="s">
        <v>197</v>
      </c>
      <c r="AR61" s="4">
        <v>14000</v>
      </c>
      <c r="AS61" s="4">
        <v>12000</v>
      </c>
      <c r="AT61" s="4">
        <v>16000</v>
      </c>
      <c r="AU61" s="18" t="s">
        <v>206</v>
      </c>
      <c r="AV61" s="18" t="s">
        <v>208</v>
      </c>
      <c r="AW61" s="18" t="s">
        <v>213</v>
      </c>
      <c r="AX61" s="18" t="s">
        <v>216</v>
      </c>
      <c r="AY61" s="20">
        <v>115</v>
      </c>
      <c r="AZ61" s="20">
        <v>15.5</v>
      </c>
      <c r="BA61" s="4">
        <f>AVERAGE(Таблица14[[#This Row],[Мин. ₸]],Таблица14[[#This Row],[Макс. ₸]])</f>
        <v>8540000</v>
      </c>
      <c r="BB61" s="4">
        <v>7990000</v>
      </c>
      <c r="BC61" s="4">
        <v>9090000</v>
      </c>
      <c r="BD61" s="4">
        <f>Таблица14[[#This Row],[Средняя цена ₸]]/$BI$2</f>
        <v>19409.090909090908</v>
      </c>
      <c r="BE61" s="2">
        <f>Таблица14[[#This Row],[Перевод в USD из ₸]]/Таблица14[[#This Row],[Средняя цена (USD)]]-1</f>
        <v>0.38636363636363624</v>
      </c>
      <c r="BG61" s="4"/>
      <c r="BH61" s="4"/>
      <c r="BI61" s="4"/>
      <c r="BJ61" s="4"/>
    </row>
    <row r="62" spans="2:62">
      <c r="B62" t="s">
        <v>104</v>
      </c>
      <c r="C62" s="20">
        <v>18000</v>
      </c>
      <c r="D62" s="16">
        <v>0</v>
      </c>
      <c r="E62" s="16">
        <v>0</v>
      </c>
      <c r="F62" s="16">
        <v>1.057795790147277E-2</v>
      </c>
      <c r="G62" s="16">
        <v>1.0574298032142901E-2</v>
      </c>
      <c r="H62" s="16">
        <v>1.212633520325828E-2</v>
      </c>
      <c r="I62" s="16">
        <v>5.2579185868190745E-3</v>
      </c>
      <c r="J62" s="16"/>
      <c r="K62" s="14" t="s">
        <v>198</v>
      </c>
      <c r="L62" s="16">
        <v>6.756228774081087E-3</v>
      </c>
      <c r="M62" s="16">
        <v>1.6816421526545718E-2</v>
      </c>
      <c r="N62" s="16">
        <v>1.141178409718923E-2</v>
      </c>
      <c r="O62" s="16">
        <v>9.1413324109646584E-3</v>
      </c>
      <c r="P62" s="16">
        <v>1.5645892568969491E-2</v>
      </c>
      <c r="Q62" s="16">
        <v>1.1188451027946144E-2</v>
      </c>
      <c r="T62" t="s">
        <v>1</v>
      </c>
      <c r="U62" t="s">
        <v>69</v>
      </c>
      <c r="V62" t="str">
        <f>VLOOKUP(Таблица15[[#This Row],[Модель]],Таблица14[#All],2,0)</f>
        <v>Седан</v>
      </c>
      <c r="W62" s="20">
        <f>VLOOKUP(Таблица15[[#This Row],[Модель]],Таблица14[#All],3,0)</f>
        <v>13000</v>
      </c>
      <c r="X62" s="20">
        <f>VLOOKUP(Таблица15[[#This Row],[Модель]],Таблица14[#All],4,0)</f>
        <v>11000</v>
      </c>
      <c r="Y62" s="4">
        <f>VLOOKUP(Таблица15[[#This Row],[Модель]],Таблица14[#All],5,0)</f>
        <v>15000</v>
      </c>
      <c r="Z62" t="str">
        <f>VLOOKUP(Таблица15[[#This Row],[Модель]],Таблица14[#All],6,0)</f>
        <v>МКПП, АКПП</v>
      </c>
      <c r="AA62" t="str">
        <f>VLOOKUP(Таблица15[[#This Row],[Модель]],Таблица14[#All],7,0)</f>
        <v>Бензин</v>
      </c>
      <c r="AB62" t="str">
        <f>VLOOKUP(Таблица15[[#This Row],[Модель]],Таблица14[#All],8,0)</f>
        <v>Эконом</v>
      </c>
      <c r="AC62" t="str">
        <f>VLOOKUP(Таблица15[[#This Row],[Модель]],Таблица14[#All],9,0)</f>
        <v>Маленький</v>
      </c>
      <c r="AD62">
        <f>VLOOKUP(Таблица15[[#This Row],[Модель]],Таблица14[#All],10,0)</f>
        <v>110</v>
      </c>
      <c r="AE62">
        <f>VLOOKUP(Таблица15[[#This Row],[Модель]],Таблица14[#All],11,0)</f>
        <v>16</v>
      </c>
      <c r="AF62">
        <v>2023</v>
      </c>
      <c r="AG62">
        <v>1928</v>
      </c>
      <c r="AH62" s="22">
        <f>VLOOKUP(Таблица15[[#This Row],[Модель]],Таблица14[#All],12,0)/1000000</f>
        <v>7.64</v>
      </c>
      <c r="AI62" s="21">
        <f>VLOOKUP(Таблица15[[#This Row],[Модель]],Таблица14[#All],13,0)/1000000</f>
        <v>7.19</v>
      </c>
      <c r="AJ62" s="21">
        <f>VLOOKUP(Таблица15[[#This Row],[Модель]],Таблица14[#All],14,0)/1000000</f>
        <v>8.09</v>
      </c>
      <c r="AK62" s="21">
        <f>Таблица15[[#This Row],[Средняя цена (USD)]]*Таблица15[[#This Row],[Кол-во проданных]]/1000000</f>
        <v>25.064</v>
      </c>
      <c r="AL62" s="39">
        <f>Таблица15[[#This Row],[Средняя цена млн. ₸]]/440*Таблица15[[#This Row],[Кол-во проданных]]</f>
        <v>33.477090909090904</v>
      </c>
      <c r="AM62" s="39">
        <f>Таблица15[[#This Row],[Средняя цена млн. ₸]]*Таблица15[[#This Row],[Кол-во проданных]]/1000</f>
        <v>14.72992</v>
      </c>
      <c r="AP62" s="18" t="s">
        <v>117</v>
      </c>
      <c r="AQ62" s="18" t="s">
        <v>415</v>
      </c>
      <c r="AR62" s="4">
        <v>25000</v>
      </c>
      <c r="AS62" s="4">
        <v>22000</v>
      </c>
      <c r="AT62" s="4">
        <v>30000</v>
      </c>
      <c r="AU62" s="18" t="s">
        <v>206</v>
      </c>
      <c r="AV62" s="18" t="s">
        <v>207</v>
      </c>
      <c r="AW62" s="18" t="s">
        <v>212</v>
      </c>
      <c r="AX62" s="18" t="s">
        <v>215</v>
      </c>
      <c r="AY62" s="20">
        <v>170</v>
      </c>
      <c r="AZ62" s="20">
        <v>12</v>
      </c>
      <c r="BA62" s="4">
        <f>AVERAGE(Таблица14[[#This Row],[Мин. ₸]],Таблица14[[#This Row],[Макс. ₸]])</f>
        <v>18600000</v>
      </c>
      <c r="BB62" s="4">
        <v>18600000</v>
      </c>
      <c r="BC62" s="4">
        <v>18600000</v>
      </c>
      <c r="BD62" s="4">
        <f>Таблица14[[#This Row],[Средняя цена ₸]]/$BI$2</f>
        <v>42272.727272727272</v>
      </c>
      <c r="BE62" s="2">
        <f>Таблица14[[#This Row],[Перевод в USD из ₸]]/Таблица14[[#This Row],[Средняя цена (USD)]]-1</f>
        <v>0.69090909090909092</v>
      </c>
      <c r="BG62" s="4"/>
      <c r="BH62" s="4"/>
      <c r="BI62" s="4"/>
      <c r="BJ62" s="4"/>
    </row>
    <row r="63" spans="2:62">
      <c r="B63" t="s">
        <v>73</v>
      </c>
      <c r="C63" s="20">
        <v>20000</v>
      </c>
      <c r="D63" s="16">
        <v>9.1786132900549995E-3</v>
      </c>
      <c r="E63" s="16">
        <v>1.1493923958869876E-2</v>
      </c>
      <c r="F63" s="16">
        <v>0</v>
      </c>
      <c r="G63" s="16">
        <v>0</v>
      </c>
      <c r="H63" s="16">
        <v>0</v>
      </c>
      <c r="I63" s="16">
        <v>5.2502315713412687E-3</v>
      </c>
      <c r="J63" s="16"/>
      <c r="K63" s="14" t="s">
        <v>200</v>
      </c>
      <c r="L63" s="16">
        <v>9.5032007934361187E-3</v>
      </c>
      <c r="M63" s="16">
        <v>1.2981934031553444E-2</v>
      </c>
      <c r="N63" s="16">
        <v>7.1360009307827304E-3</v>
      </c>
      <c r="O63" s="16">
        <v>6.3124606243282972E-3</v>
      </c>
      <c r="P63" s="16">
        <v>0</v>
      </c>
      <c r="Q63" s="16">
        <v>8.0502269591319828E-3</v>
      </c>
      <c r="T63" t="s">
        <v>1</v>
      </c>
      <c r="U63" t="s">
        <v>69</v>
      </c>
      <c r="V63" t="str">
        <f>VLOOKUP(Таблица15[[#This Row],[Модель]],Таблица14[#All],2,0)</f>
        <v>Седан</v>
      </c>
      <c r="W63" s="20">
        <f>VLOOKUP(Таблица15[[#This Row],[Модель]],Таблица14[#All],3,0)</f>
        <v>13000</v>
      </c>
      <c r="X63" s="20">
        <f>VLOOKUP(Таблица15[[#This Row],[Модель]],Таблица14[#All],4,0)</f>
        <v>11000</v>
      </c>
      <c r="Y63" s="4">
        <f>VLOOKUP(Таблица15[[#This Row],[Модель]],Таблица14[#All],5,0)</f>
        <v>15000</v>
      </c>
      <c r="Z63" t="str">
        <f>VLOOKUP(Таблица15[[#This Row],[Модель]],Таблица14[#All],6,0)</f>
        <v>МКПП, АКПП</v>
      </c>
      <c r="AA63" t="str">
        <f>VLOOKUP(Таблица15[[#This Row],[Модель]],Таблица14[#All],7,0)</f>
        <v>Бензин</v>
      </c>
      <c r="AB63" t="str">
        <f>VLOOKUP(Таблица15[[#This Row],[Модель]],Таблица14[#All],8,0)</f>
        <v>Эконом</v>
      </c>
      <c r="AC63" t="str">
        <f>VLOOKUP(Таблица15[[#This Row],[Модель]],Таблица14[#All],9,0)</f>
        <v>Маленький</v>
      </c>
      <c r="AD63">
        <f>VLOOKUP(Таблица15[[#This Row],[Модель]],Таблица14[#All],10,0)</f>
        <v>110</v>
      </c>
      <c r="AE63">
        <f>VLOOKUP(Таблица15[[#This Row],[Модель]],Таблица14[#All],11,0)</f>
        <v>16</v>
      </c>
      <c r="AF63">
        <v>2022</v>
      </c>
      <c r="AG63">
        <v>0</v>
      </c>
      <c r="AH63" s="22">
        <f>VLOOKUP(Таблица15[[#This Row],[Модель]],Таблица14[#All],12,0)/1000000</f>
        <v>7.64</v>
      </c>
      <c r="AI63" s="21">
        <f>VLOOKUP(Таблица15[[#This Row],[Модель]],Таблица14[#All],13,0)/1000000</f>
        <v>7.19</v>
      </c>
      <c r="AJ63" s="21">
        <f>VLOOKUP(Таблица15[[#This Row],[Модель]],Таблица14[#All],14,0)/1000000</f>
        <v>8.09</v>
      </c>
      <c r="AK63" s="21">
        <f>Таблица15[[#This Row],[Средняя цена (USD)]]*Таблица15[[#This Row],[Кол-во проданных]]/1000000</f>
        <v>0</v>
      </c>
      <c r="AL63" s="39">
        <f>Таблица15[[#This Row],[Средняя цена млн. ₸]]/440*Таблица15[[#This Row],[Кол-во проданных]]</f>
        <v>0</v>
      </c>
      <c r="AM63" s="39">
        <f>Таблица15[[#This Row],[Средняя цена млн. ₸]]*Таблица15[[#This Row],[Кол-во проданных]]/1000</f>
        <v>0</v>
      </c>
      <c r="AP63" s="18" t="s">
        <v>30</v>
      </c>
      <c r="AQ63" s="18" t="s">
        <v>203</v>
      </c>
      <c r="AR63" s="4">
        <v>18000</v>
      </c>
      <c r="AS63" s="4">
        <v>16000</v>
      </c>
      <c r="AT63" s="4">
        <v>22000</v>
      </c>
      <c r="AU63" s="18" t="s">
        <v>204</v>
      </c>
      <c r="AV63" s="18" t="s">
        <v>208</v>
      </c>
      <c r="AW63" s="18" t="s">
        <v>212</v>
      </c>
      <c r="AX63" s="18" t="s">
        <v>217</v>
      </c>
      <c r="AY63" s="20">
        <v>150</v>
      </c>
      <c r="AZ63" s="20">
        <v>13.5</v>
      </c>
      <c r="BA63" s="4">
        <f>AVERAGE(Таблица14[[#This Row],[Мин. ₸]],Таблица14[[#This Row],[Макс. ₸]])</f>
        <v>11090000</v>
      </c>
      <c r="BB63" s="4">
        <v>9090000</v>
      </c>
      <c r="BC63" s="4">
        <v>13090000</v>
      </c>
      <c r="BD63" s="4">
        <f>Таблица14[[#This Row],[Средняя цена ₸]]/$BI$2</f>
        <v>25204.545454545456</v>
      </c>
      <c r="BE63" s="2">
        <f>Таблица14[[#This Row],[Перевод в USD из ₸]]/Таблица14[[#This Row],[Средняя цена (USD)]]-1</f>
        <v>0.4002525252525253</v>
      </c>
      <c r="BG63" s="4"/>
      <c r="BH63" s="4"/>
      <c r="BI63" s="4"/>
      <c r="BJ63" s="4"/>
    </row>
    <row r="64" spans="2:62">
      <c r="B64" t="s">
        <v>62</v>
      </c>
      <c r="C64" s="20">
        <v>14000</v>
      </c>
      <c r="D64" s="16">
        <v>1.6103146695518888E-2</v>
      </c>
      <c r="E64" s="16">
        <v>0</v>
      </c>
      <c r="F64" s="16">
        <v>0</v>
      </c>
      <c r="G64" s="16">
        <v>0</v>
      </c>
      <c r="H64" s="16">
        <v>0</v>
      </c>
      <c r="I64" s="16">
        <v>5.1483786162603434E-3</v>
      </c>
      <c r="J64" s="16"/>
      <c r="K64" s="14" t="s">
        <v>415</v>
      </c>
      <c r="L64" s="16">
        <v>0</v>
      </c>
      <c r="M64" s="16">
        <v>0</v>
      </c>
      <c r="N64" s="16">
        <v>0</v>
      </c>
      <c r="O64" s="16">
        <v>7.4489505997455251E-3</v>
      </c>
      <c r="P64" s="16">
        <v>3.4580803811573042E-3</v>
      </c>
      <c r="Q64" s="16">
        <v>1.5912122039057725E-3</v>
      </c>
      <c r="T64" t="s">
        <v>1</v>
      </c>
      <c r="U64" t="s">
        <v>69</v>
      </c>
      <c r="V64" t="str">
        <f>VLOOKUP(Таблица15[[#This Row],[Модель]],Таблица14[#All],2,0)</f>
        <v>Седан</v>
      </c>
      <c r="W64" s="20">
        <f>VLOOKUP(Таблица15[[#This Row],[Модель]],Таблица14[#All],3,0)</f>
        <v>13000</v>
      </c>
      <c r="X64" s="20">
        <f>VLOOKUP(Таблица15[[#This Row],[Модель]],Таблица14[#All],4,0)</f>
        <v>11000</v>
      </c>
      <c r="Y64" s="4">
        <f>VLOOKUP(Таблица15[[#This Row],[Модель]],Таблица14[#All],5,0)</f>
        <v>15000</v>
      </c>
      <c r="Z64" t="str">
        <f>VLOOKUP(Таблица15[[#This Row],[Модель]],Таблица14[#All],6,0)</f>
        <v>МКПП, АКПП</v>
      </c>
      <c r="AA64" t="str">
        <f>VLOOKUP(Таблица15[[#This Row],[Модель]],Таблица14[#All],7,0)</f>
        <v>Бензин</v>
      </c>
      <c r="AB64" t="str">
        <f>VLOOKUP(Таблица15[[#This Row],[Модель]],Таблица14[#All],8,0)</f>
        <v>Эконом</v>
      </c>
      <c r="AC64" t="str">
        <f>VLOOKUP(Таблица15[[#This Row],[Модель]],Таблица14[#All],9,0)</f>
        <v>Маленький</v>
      </c>
      <c r="AD64">
        <f>VLOOKUP(Таблица15[[#This Row],[Модель]],Таблица14[#All],10,0)</f>
        <v>110</v>
      </c>
      <c r="AE64">
        <f>VLOOKUP(Таблица15[[#This Row],[Модель]],Таблица14[#All],11,0)</f>
        <v>16</v>
      </c>
      <c r="AF64">
        <v>2021</v>
      </c>
      <c r="AG64">
        <v>0</v>
      </c>
      <c r="AH64" s="22">
        <f>VLOOKUP(Таблица15[[#This Row],[Модель]],Таблица14[#All],12,0)/1000000</f>
        <v>7.64</v>
      </c>
      <c r="AI64" s="21">
        <f>VLOOKUP(Таблица15[[#This Row],[Модель]],Таблица14[#All],13,0)/1000000</f>
        <v>7.19</v>
      </c>
      <c r="AJ64" s="21">
        <f>VLOOKUP(Таблица15[[#This Row],[Модель]],Таблица14[#All],14,0)/1000000</f>
        <v>8.09</v>
      </c>
      <c r="AK64" s="21">
        <f>Таблица15[[#This Row],[Средняя цена (USD)]]*Таблица15[[#This Row],[Кол-во проданных]]/1000000</f>
        <v>0</v>
      </c>
      <c r="AL64" s="39">
        <f>Таблица15[[#This Row],[Средняя цена млн. ₸]]/440*Таблица15[[#This Row],[Кол-во проданных]]</f>
        <v>0</v>
      </c>
      <c r="AM64" s="39">
        <f>Таблица15[[#This Row],[Средняя цена млн. ₸]]*Таблица15[[#This Row],[Кол-во проданных]]/1000</f>
        <v>0</v>
      </c>
      <c r="AP64" s="18" t="s">
        <v>54</v>
      </c>
      <c r="AQ64" s="18" t="s">
        <v>197</v>
      </c>
      <c r="AR64" s="4">
        <v>16000</v>
      </c>
      <c r="AS64" s="4">
        <v>14000</v>
      </c>
      <c r="AT64" s="4">
        <v>19000</v>
      </c>
      <c r="AU64" s="18" t="s">
        <v>206</v>
      </c>
      <c r="AV64" s="18" t="s">
        <v>208</v>
      </c>
      <c r="AW64" s="18" t="s">
        <v>213</v>
      </c>
      <c r="AX64" s="18" t="s">
        <v>216</v>
      </c>
      <c r="AY64" s="20">
        <v>125</v>
      </c>
      <c r="AZ64" s="20">
        <v>14.5</v>
      </c>
      <c r="BA64" s="4">
        <f>AVERAGE(Таблица14[[#This Row],[Мин. ₸]],Таблица14[[#This Row],[Макс. ₸]])</f>
        <v>9790000</v>
      </c>
      <c r="BB64" s="4">
        <v>8890000</v>
      </c>
      <c r="BC64" s="4">
        <v>10690000</v>
      </c>
      <c r="BD64" s="4">
        <f>Таблица14[[#This Row],[Средняя цена ₸]]/$BI$2</f>
        <v>22250</v>
      </c>
      <c r="BE64" s="2">
        <f>Таблица14[[#This Row],[Перевод в USD из ₸]]/Таблица14[[#This Row],[Средняя цена (USD)]]-1</f>
        <v>0.390625</v>
      </c>
      <c r="BG64" s="4"/>
      <c r="BH64" s="4"/>
      <c r="BI64" s="4"/>
      <c r="BJ64" s="4"/>
    </row>
    <row r="65" spans="2:62">
      <c r="B65" t="s">
        <v>68</v>
      </c>
      <c r="C65" s="20">
        <v>18000</v>
      </c>
      <c r="D65" s="16">
        <v>1.1877498271872089E-2</v>
      </c>
      <c r="E65" s="16">
        <v>6.2095804956218163E-3</v>
      </c>
      <c r="F65" s="16">
        <v>0</v>
      </c>
      <c r="G65" s="16">
        <v>0</v>
      </c>
      <c r="H65" s="16">
        <v>0</v>
      </c>
      <c r="I65" s="16">
        <v>5.0484474150488704E-3</v>
      </c>
      <c r="J65" s="16"/>
      <c r="K65" s="14" t="s">
        <v>155</v>
      </c>
      <c r="L65" s="16">
        <v>1</v>
      </c>
      <c r="M65" s="16">
        <v>1</v>
      </c>
      <c r="N65" s="16">
        <v>1</v>
      </c>
      <c r="O65" s="16">
        <v>1</v>
      </c>
      <c r="P65" s="16">
        <v>1</v>
      </c>
      <c r="Q65" s="16">
        <v>1</v>
      </c>
      <c r="T65" t="s">
        <v>1</v>
      </c>
      <c r="U65" t="s">
        <v>69</v>
      </c>
      <c r="V65" t="str">
        <f>VLOOKUP(Таблица15[[#This Row],[Модель]],Таблица14[#All],2,0)</f>
        <v>Седан</v>
      </c>
      <c r="W65" s="20">
        <f>VLOOKUP(Таблица15[[#This Row],[Модель]],Таблица14[#All],3,0)</f>
        <v>13000</v>
      </c>
      <c r="X65" s="20">
        <f>VLOOKUP(Таблица15[[#This Row],[Модель]],Таблица14[#All],4,0)</f>
        <v>11000</v>
      </c>
      <c r="Y65" s="4">
        <f>VLOOKUP(Таблица15[[#This Row],[Модель]],Таблица14[#All],5,0)</f>
        <v>15000</v>
      </c>
      <c r="Z65" t="str">
        <f>VLOOKUP(Таблица15[[#This Row],[Модель]],Таблица14[#All],6,0)</f>
        <v>МКПП, АКПП</v>
      </c>
      <c r="AA65" t="str">
        <f>VLOOKUP(Таблица15[[#This Row],[Модель]],Таблица14[#All],7,0)</f>
        <v>Бензин</v>
      </c>
      <c r="AB65" t="str">
        <f>VLOOKUP(Таблица15[[#This Row],[Модель]],Таблица14[#All],8,0)</f>
        <v>Эконом</v>
      </c>
      <c r="AC65" t="str">
        <f>VLOOKUP(Таблица15[[#This Row],[Модель]],Таблица14[#All],9,0)</f>
        <v>Маленький</v>
      </c>
      <c r="AD65">
        <f>VLOOKUP(Таблица15[[#This Row],[Модель]],Таблица14[#All],10,0)</f>
        <v>110</v>
      </c>
      <c r="AE65">
        <f>VLOOKUP(Таблица15[[#This Row],[Модель]],Таблица14[#All],11,0)</f>
        <v>16</v>
      </c>
      <c r="AF65">
        <v>2020</v>
      </c>
      <c r="AG65">
        <v>0</v>
      </c>
      <c r="AH65" s="22">
        <f>VLOOKUP(Таблица15[[#This Row],[Модель]],Таблица14[#All],12,0)/1000000</f>
        <v>7.64</v>
      </c>
      <c r="AI65" s="21">
        <f>VLOOKUP(Таблица15[[#This Row],[Модель]],Таблица14[#All],13,0)/1000000</f>
        <v>7.19</v>
      </c>
      <c r="AJ65" s="21">
        <f>VLOOKUP(Таблица15[[#This Row],[Модель]],Таблица14[#All],14,0)/1000000</f>
        <v>8.09</v>
      </c>
      <c r="AK65" s="21">
        <f>Таблица15[[#This Row],[Средняя цена (USD)]]*Таблица15[[#This Row],[Кол-во проданных]]/1000000</f>
        <v>0</v>
      </c>
      <c r="AL65" s="39">
        <f>Таблица15[[#This Row],[Средняя цена млн. ₸]]/440*Таблица15[[#This Row],[Кол-во проданных]]</f>
        <v>0</v>
      </c>
      <c r="AM65" s="39">
        <f>Таблица15[[#This Row],[Средняя цена млн. ₸]]*Таблица15[[#This Row],[Кол-во проданных]]/1000</f>
        <v>0</v>
      </c>
      <c r="AP65" s="18" t="s">
        <v>52</v>
      </c>
      <c r="AQ65" s="18" t="s">
        <v>199</v>
      </c>
      <c r="AR65" s="4">
        <v>18000</v>
      </c>
      <c r="AS65" s="4">
        <v>16000</v>
      </c>
      <c r="AT65" s="4">
        <v>22000</v>
      </c>
      <c r="AU65" s="18" t="s">
        <v>204</v>
      </c>
      <c r="AV65" s="18" t="s">
        <v>208</v>
      </c>
      <c r="AW65" s="18" t="s">
        <v>212</v>
      </c>
      <c r="AX65" s="18" t="s">
        <v>217</v>
      </c>
      <c r="AY65" s="20">
        <v>150</v>
      </c>
      <c r="AZ65" s="20">
        <v>13.5</v>
      </c>
      <c r="BA65" s="4">
        <f>AVERAGE(Таблица14[[#This Row],[Мин. ₸]],Таблица14[[#This Row],[Макс. ₸]])</f>
        <v>11000000</v>
      </c>
      <c r="BB65" s="4">
        <v>10800000</v>
      </c>
      <c r="BC65" s="4">
        <v>11200000</v>
      </c>
      <c r="BD65" s="4">
        <f>Таблица14[[#This Row],[Средняя цена ₸]]/$BI$2</f>
        <v>25000</v>
      </c>
      <c r="BE65" s="2">
        <f>Таблица14[[#This Row],[Перевод в USD из ₸]]/Таблица14[[#This Row],[Средняя цена (USD)]]-1</f>
        <v>0.38888888888888884</v>
      </c>
      <c r="BG65" s="4"/>
      <c r="BH65" s="4"/>
      <c r="BI65" s="4"/>
      <c r="BJ65" s="4"/>
    </row>
    <row r="66" spans="2:62">
      <c r="B66" t="s">
        <v>72</v>
      </c>
      <c r="C66" s="20">
        <v>35000</v>
      </c>
      <c r="D66" s="16">
        <v>9.6354401466654648E-3</v>
      </c>
      <c r="E66" s="16">
        <v>9.2714473759514682E-3</v>
      </c>
      <c r="F66" s="16">
        <v>0</v>
      </c>
      <c r="G66" s="16">
        <v>0</v>
      </c>
      <c r="H66" s="16">
        <v>0</v>
      </c>
      <c r="I66" s="16">
        <v>4.9485162138373966E-3</v>
      </c>
      <c r="J66" s="16"/>
      <c r="T66" t="s">
        <v>1</v>
      </c>
      <c r="U66" t="s">
        <v>69</v>
      </c>
      <c r="V66" t="str">
        <f>VLOOKUP(Таблица15[[#This Row],[Модель]],Таблица14[#All],2,0)</f>
        <v>Седан</v>
      </c>
      <c r="W66" s="20">
        <f>VLOOKUP(Таблица15[[#This Row],[Модель]],Таблица14[#All],3,0)</f>
        <v>13000</v>
      </c>
      <c r="X66" s="20">
        <f>VLOOKUP(Таблица15[[#This Row],[Модель]],Таблица14[#All],4,0)</f>
        <v>11000</v>
      </c>
      <c r="Y66" s="4">
        <f>VLOOKUP(Таблица15[[#This Row],[Модель]],Таблица14[#All],5,0)</f>
        <v>15000</v>
      </c>
      <c r="Z66" t="str">
        <f>VLOOKUP(Таблица15[[#This Row],[Модель]],Таблица14[#All],6,0)</f>
        <v>МКПП, АКПП</v>
      </c>
      <c r="AA66" t="str">
        <f>VLOOKUP(Таблица15[[#This Row],[Модель]],Таблица14[#All],7,0)</f>
        <v>Бензин</v>
      </c>
      <c r="AB66" t="str">
        <f>VLOOKUP(Таблица15[[#This Row],[Модель]],Таблица14[#All],8,0)</f>
        <v>Эконом</v>
      </c>
      <c r="AC66" t="str">
        <f>VLOOKUP(Таблица15[[#This Row],[Модель]],Таблица14[#All],9,0)</f>
        <v>Маленький</v>
      </c>
      <c r="AD66">
        <f>VLOOKUP(Таблица15[[#This Row],[Модель]],Таблица14[#All],10,0)</f>
        <v>110</v>
      </c>
      <c r="AE66">
        <f>VLOOKUP(Таблица15[[#This Row],[Модель]],Таблица14[#All],11,0)</f>
        <v>16</v>
      </c>
      <c r="AF66">
        <v>2019</v>
      </c>
      <c r="AG66">
        <v>0</v>
      </c>
      <c r="AH66" s="22">
        <f>VLOOKUP(Таблица15[[#This Row],[Модель]],Таблица14[#All],12,0)/1000000</f>
        <v>7.64</v>
      </c>
      <c r="AI66" s="21">
        <f>VLOOKUP(Таблица15[[#This Row],[Модель]],Таблица14[#All],13,0)/1000000</f>
        <v>7.19</v>
      </c>
      <c r="AJ66" s="21">
        <f>VLOOKUP(Таблица15[[#This Row],[Модель]],Таблица14[#All],14,0)/1000000</f>
        <v>8.09</v>
      </c>
      <c r="AK66" s="21">
        <f>Таблица15[[#This Row],[Средняя цена (USD)]]*Таблица15[[#This Row],[Кол-во проданных]]/1000000</f>
        <v>0</v>
      </c>
      <c r="AL66" s="39">
        <f>Таблица15[[#This Row],[Средняя цена млн. ₸]]/440*Таблица15[[#This Row],[Кол-во проданных]]</f>
        <v>0</v>
      </c>
      <c r="AM66" s="39">
        <f>Таблица15[[#This Row],[Средняя цена млн. ₸]]*Таблица15[[#This Row],[Кол-во проданных]]/1000</f>
        <v>0</v>
      </c>
      <c r="AP66" s="18" t="s">
        <v>27</v>
      </c>
      <c r="AQ66" s="18" t="s">
        <v>199</v>
      </c>
      <c r="AR66" s="4">
        <v>15000</v>
      </c>
      <c r="AS66" s="4">
        <v>13000</v>
      </c>
      <c r="AT66" s="4">
        <v>18000</v>
      </c>
      <c r="AU66" s="18" t="s">
        <v>206</v>
      </c>
      <c r="AV66" s="18" t="s">
        <v>208</v>
      </c>
      <c r="AW66" s="18" t="s">
        <v>213</v>
      </c>
      <c r="AX66" s="18" t="s">
        <v>216</v>
      </c>
      <c r="AY66" s="20">
        <v>120</v>
      </c>
      <c r="AZ66" s="20">
        <v>15</v>
      </c>
      <c r="BA66" s="4">
        <f>AVERAGE(Таблица14[[#This Row],[Мин. ₸]],Таблица14[[#This Row],[Макс. ₸]])</f>
        <v>10445000</v>
      </c>
      <c r="BB66" s="4">
        <v>9890000</v>
      </c>
      <c r="BC66" s="4">
        <v>11000000</v>
      </c>
      <c r="BD66" s="4">
        <f>Таблица14[[#This Row],[Средняя цена ₸]]/$BI$2</f>
        <v>23738.636363636364</v>
      </c>
      <c r="BE66" s="2">
        <f>Таблица14[[#This Row],[Перевод в USD из ₸]]/Таблица14[[#This Row],[Средняя цена (USD)]]-1</f>
        <v>0.58257575757575752</v>
      </c>
      <c r="BG66" s="4"/>
      <c r="BH66" s="4"/>
      <c r="BI66" s="4"/>
      <c r="BJ66" s="4"/>
    </row>
    <row r="67" spans="2:62">
      <c r="B67" t="s">
        <v>45</v>
      </c>
      <c r="C67" s="20">
        <v>90000</v>
      </c>
      <c r="D67" s="16">
        <v>5.8606076999368857E-3</v>
      </c>
      <c r="E67" s="16">
        <v>8.0219004559415486E-3</v>
      </c>
      <c r="F67" s="16">
        <v>0</v>
      </c>
      <c r="G67" s="16">
        <v>3.6812392681992811E-3</v>
      </c>
      <c r="H67" s="16">
        <v>5.9478982555905635E-3</v>
      </c>
      <c r="I67" s="16">
        <v>4.8063064274979916E-3</v>
      </c>
      <c r="J67" s="16"/>
      <c r="T67" t="s">
        <v>1</v>
      </c>
      <c r="U67" t="s">
        <v>113</v>
      </c>
      <c r="V67" t="str">
        <f>VLOOKUP(Таблица15[[#This Row],[Модель]],Таблица14[#All],2,0)</f>
        <v>Седан</v>
      </c>
      <c r="W67" s="20">
        <f>VLOOKUP(Таблица15[[#This Row],[Модель]],Таблица14[#All],3,0)</f>
        <v>22000</v>
      </c>
      <c r="X67" s="20">
        <f>VLOOKUP(Таблица15[[#This Row],[Модель]],Таблица14[#All],4,0)</f>
        <v>19000</v>
      </c>
      <c r="Y67" s="4">
        <f>VLOOKUP(Таблица15[[#This Row],[Модель]],Таблица14[#All],5,0)</f>
        <v>25000</v>
      </c>
      <c r="Z67" t="str">
        <f>VLOOKUP(Таблица15[[#This Row],[Модель]],Таблица14[#All],6,0)</f>
        <v>АКПП</v>
      </c>
      <c r="AA67" t="str">
        <f>VLOOKUP(Таблица15[[#This Row],[Модель]],Таблица14[#All],7,0)</f>
        <v>Бензин</v>
      </c>
      <c r="AB67" t="str">
        <f>VLOOKUP(Таблица15[[#This Row],[Модель]],Таблица14[#All],8,0)</f>
        <v>Комфорт</v>
      </c>
      <c r="AC67" t="str">
        <f>VLOOKUP(Таблица15[[#This Row],[Модель]],Таблица14[#All],9,0)</f>
        <v>Средний</v>
      </c>
      <c r="AD67">
        <f>VLOOKUP(Таблица15[[#This Row],[Модель]],Таблица14[#All],10,0)</f>
        <v>160</v>
      </c>
      <c r="AE67">
        <f>VLOOKUP(Таблица15[[#This Row],[Модель]],Таблица14[#All],11,0)</f>
        <v>13</v>
      </c>
      <c r="AF67">
        <v>2023</v>
      </c>
      <c r="AG67">
        <v>0</v>
      </c>
      <c r="AH67" s="22">
        <f>VLOOKUP(Таблица15[[#This Row],[Модель]],Таблица14[#All],12,0)/1000000</f>
        <v>16.420000000000002</v>
      </c>
      <c r="AI67" s="21">
        <f>VLOOKUP(Таблица15[[#This Row],[Модель]],Таблица14[#All],13,0)/1000000</f>
        <v>15.99</v>
      </c>
      <c r="AJ67" s="21">
        <f>VLOOKUP(Таблица15[[#This Row],[Модель]],Таблица14[#All],14,0)/1000000</f>
        <v>16.850000000000001</v>
      </c>
      <c r="AK67" s="21">
        <f>Таблица15[[#This Row],[Средняя цена (USD)]]*Таблица15[[#This Row],[Кол-во проданных]]/1000000</f>
        <v>0</v>
      </c>
      <c r="AL67" s="39">
        <f>Таблица15[[#This Row],[Средняя цена млн. ₸]]/440*Таблица15[[#This Row],[Кол-во проданных]]</f>
        <v>0</v>
      </c>
      <c r="AM67" s="39">
        <f>Таблица15[[#This Row],[Средняя цена млн. ₸]]*Таблица15[[#This Row],[Кол-во проданных]]/1000</f>
        <v>0</v>
      </c>
      <c r="AP67" s="18" t="s">
        <v>63</v>
      </c>
      <c r="AQ67" s="18" t="s">
        <v>202</v>
      </c>
      <c r="AR67" s="4">
        <v>18000</v>
      </c>
      <c r="AS67" s="4">
        <v>16000</v>
      </c>
      <c r="AT67" s="4">
        <v>22000</v>
      </c>
      <c r="AU67" s="18" t="s">
        <v>204</v>
      </c>
      <c r="AV67" s="18" t="s">
        <v>208</v>
      </c>
      <c r="AW67" s="18" t="s">
        <v>213</v>
      </c>
      <c r="AX67" s="18" t="s">
        <v>217</v>
      </c>
      <c r="AY67" s="20">
        <v>150</v>
      </c>
      <c r="AZ67" s="20">
        <v>13.5</v>
      </c>
      <c r="BA67" s="4">
        <f>AVERAGE(Таблица14[[#This Row],[Мин. ₸]],Таблица14[[#This Row],[Макс. ₸]])</f>
        <v>8690000</v>
      </c>
      <c r="BB67" s="4">
        <v>7990000</v>
      </c>
      <c r="BC67" s="4">
        <v>9390000</v>
      </c>
      <c r="BD67" s="4">
        <f>Таблица14[[#This Row],[Средняя цена ₸]]/$BI$2</f>
        <v>19750</v>
      </c>
      <c r="BE67" s="2">
        <f>Таблица14[[#This Row],[Перевод в USD из ₸]]/Таблица14[[#This Row],[Средняя цена (USD)]]-1</f>
        <v>9.7222222222222321E-2</v>
      </c>
      <c r="BG67" s="4"/>
      <c r="BH67" s="4"/>
      <c r="BI67" s="4"/>
      <c r="BJ67" s="4"/>
    </row>
    <row r="68" spans="2:62">
      <c r="B68" t="s">
        <v>63</v>
      </c>
      <c r="C68" s="20">
        <v>18000</v>
      </c>
      <c r="D68" s="16">
        <v>1.4396056862921889E-2</v>
      </c>
      <c r="E68" s="16">
        <v>0</v>
      </c>
      <c r="F68" s="16">
        <v>0</v>
      </c>
      <c r="G68" s="16">
        <v>0</v>
      </c>
      <c r="H68" s="16">
        <v>0</v>
      </c>
      <c r="I68" s="16">
        <v>4.6026005173361419E-3</v>
      </c>
      <c r="J68" s="16"/>
      <c r="K68" s="13" t="s">
        <v>218</v>
      </c>
      <c r="L68" s="13" t="s">
        <v>151</v>
      </c>
      <c r="T68" t="s">
        <v>1</v>
      </c>
      <c r="U68" t="s">
        <v>113</v>
      </c>
      <c r="V68" t="str">
        <f>VLOOKUP(Таблица15[[#This Row],[Модель]],Таблица14[#All],2,0)</f>
        <v>Седан</v>
      </c>
      <c r="W68" s="20">
        <f>VLOOKUP(Таблица15[[#This Row],[Модель]],Таблица14[#All],3,0)</f>
        <v>22000</v>
      </c>
      <c r="X68" s="20">
        <f>VLOOKUP(Таблица15[[#This Row],[Модель]],Таблица14[#All],4,0)</f>
        <v>19000</v>
      </c>
      <c r="Y68" s="4">
        <f>VLOOKUP(Таблица15[[#This Row],[Модель]],Таблица14[#All],5,0)</f>
        <v>25000</v>
      </c>
      <c r="Z68" t="str">
        <f>VLOOKUP(Таблица15[[#This Row],[Модель]],Таблица14[#All],6,0)</f>
        <v>АКПП</v>
      </c>
      <c r="AA68" t="str">
        <f>VLOOKUP(Таблица15[[#This Row],[Модель]],Таблица14[#All],7,0)</f>
        <v>Бензин</v>
      </c>
      <c r="AB68" t="str">
        <f>VLOOKUP(Таблица15[[#This Row],[Модель]],Таблица14[#All],8,0)</f>
        <v>Комфорт</v>
      </c>
      <c r="AC68" t="str">
        <f>VLOOKUP(Таблица15[[#This Row],[Модель]],Таблица14[#All],9,0)</f>
        <v>Средний</v>
      </c>
      <c r="AD68">
        <f>VLOOKUP(Таблица15[[#This Row],[Модель]],Таблица14[#All],10,0)</f>
        <v>160</v>
      </c>
      <c r="AE68">
        <f>VLOOKUP(Таблица15[[#This Row],[Модель]],Таблица14[#All],11,0)</f>
        <v>13</v>
      </c>
      <c r="AF68">
        <v>2022</v>
      </c>
      <c r="AG68">
        <v>0</v>
      </c>
      <c r="AH68" s="22">
        <f>VLOOKUP(Таблица15[[#This Row],[Модель]],Таблица14[#All],12,0)/1000000</f>
        <v>16.420000000000002</v>
      </c>
      <c r="AI68" s="21">
        <f>VLOOKUP(Таблица15[[#This Row],[Модель]],Таблица14[#All],13,0)/1000000</f>
        <v>15.99</v>
      </c>
      <c r="AJ68" s="21">
        <f>VLOOKUP(Таблица15[[#This Row],[Модель]],Таблица14[#All],14,0)/1000000</f>
        <v>16.850000000000001</v>
      </c>
      <c r="AK68" s="21">
        <f>Таблица15[[#This Row],[Средняя цена (USD)]]*Таблица15[[#This Row],[Кол-во проданных]]/1000000</f>
        <v>0</v>
      </c>
      <c r="AL68" s="39">
        <f>Таблица15[[#This Row],[Средняя цена млн. ₸]]/440*Таблица15[[#This Row],[Кол-во проданных]]</f>
        <v>0</v>
      </c>
      <c r="AM68" s="39">
        <f>Таблица15[[#This Row],[Средняя цена млн. ₸]]*Таблица15[[#This Row],[Кол-во проданных]]/1000</f>
        <v>0</v>
      </c>
      <c r="AP68" s="18" t="s">
        <v>71</v>
      </c>
      <c r="AQ68" s="18" t="s">
        <v>203</v>
      </c>
      <c r="AR68" s="4">
        <v>18000</v>
      </c>
      <c r="AS68" s="4">
        <v>16000</v>
      </c>
      <c r="AT68" s="4">
        <v>22000</v>
      </c>
      <c r="AU68" s="18" t="s">
        <v>204</v>
      </c>
      <c r="AV68" s="18" t="s">
        <v>208</v>
      </c>
      <c r="AW68" s="18" t="s">
        <v>212</v>
      </c>
      <c r="AX68" s="18" t="s">
        <v>217</v>
      </c>
      <c r="AY68" s="20">
        <v>150</v>
      </c>
      <c r="AZ68" s="20">
        <v>13.5</v>
      </c>
      <c r="BA68" s="4">
        <f>AVERAGE(Таблица14[[#This Row],[Мин. ₸]],Таблица14[[#This Row],[Макс. ₸]])</f>
        <v>9990000</v>
      </c>
      <c r="BB68" s="4">
        <v>8990000</v>
      </c>
      <c r="BC68" s="4">
        <v>10990000</v>
      </c>
      <c r="BD68" s="4">
        <f>Таблица14[[#This Row],[Средняя цена ₸]]/$BI$2</f>
        <v>22704.545454545456</v>
      </c>
      <c r="BE68" s="2">
        <f>Таблица14[[#This Row],[Перевод в USD из ₸]]/Таблица14[[#This Row],[Средняя цена (USD)]]-1</f>
        <v>0.26136363636363646</v>
      </c>
      <c r="BG68" s="4"/>
      <c r="BH68" s="4"/>
      <c r="BI68" s="4"/>
      <c r="BJ68" s="4"/>
    </row>
    <row r="69" spans="2:62">
      <c r="B69" t="s">
        <v>82</v>
      </c>
      <c r="C69" s="20">
        <v>18000</v>
      </c>
      <c r="D69" s="16">
        <v>6.756228774081087E-3</v>
      </c>
      <c r="E69" s="16">
        <v>7.6308208855567642E-3</v>
      </c>
      <c r="F69" s="16">
        <v>4.0527831373195393E-3</v>
      </c>
      <c r="G69" s="16">
        <v>0</v>
      </c>
      <c r="H69" s="16">
        <v>0</v>
      </c>
      <c r="I69" s="16">
        <v>4.5007475622552166E-3</v>
      </c>
      <c r="J69" s="16"/>
      <c r="K69" s="13" t="s">
        <v>161</v>
      </c>
      <c r="L69">
        <v>2023</v>
      </c>
      <c r="M69">
        <v>2022</v>
      </c>
      <c r="N69">
        <v>2021</v>
      </c>
      <c r="O69">
        <v>2020</v>
      </c>
      <c r="P69">
        <v>2019</v>
      </c>
      <c r="Q69" t="s">
        <v>155</v>
      </c>
      <c r="T69" t="s">
        <v>1</v>
      </c>
      <c r="U69" t="s">
        <v>113</v>
      </c>
      <c r="V69" t="str">
        <f>VLOOKUP(Таблица15[[#This Row],[Модель]],Таблица14[#All],2,0)</f>
        <v>Седан</v>
      </c>
      <c r="W69" s="20">
        <f>VLOOKUP(Таблица15[[#This Row],[Модель]],Таблица14[#All],3,0)</f>
        <v>22000</v>
      </c>
      <c r="X69" s="20">
        <f>VLOOKUP(Таблица15[[#This Row],[Модель]],Таблица14[#All],4,0)</f>
        <v>19000</v>
      </c>
      <c r="Y69" s="4">
        <f>VLOOKUP(Таблица15[[#This Row],[Модель]],Таблица14[#All],5,0)</f>
        <v>25000</v>
      </c>
      <c r="Z69" t="str">
        <f>VLOOKUP(Таблица15[[#This Row],[Модель]],Таблица14[#All],6,0)</f>
        <v>АКПП</v>
      </c>
      <c r="AA69" t="str">
        <f>VLOOKUP(Таблица15[[#This Row],[Модель]],Таблица14[#All],7,0)</f>
        <v>Бензин</v>
      </c>
      <c r="AB69" t="str">
        <f>VLOOKUP(Таблица15[[#This Row],[Модель]],Таблица14[#All],8,0)</f>
        <v>Комфорт</v>
      </c>
      <c r="AC69" t="str">
        <f>VLOOKUP(Таблица15[[#This Row],[Модель]],Таблица14[#All],9,0)</f>
        <v>Средний</v>
      </c>
      <c r="AD69">
        <f>VLOOKUP(Таблица15[[#This Row],[Модель]],Таблица14[#All],10,0)</f>
        <v>160</v>
      </c>
      <c r="AE69">
        <f>VLOOKUP(Таблица15[[#This Row],[Модель]],Таблица14[#All],11,0)</f>
        <v>13</v>
      </c>
      <c r="AF69">
        <v>2021</v>
      </c>
      <c r="AG69">
        <v>345</v>
      </c>
      <c r="AH69" s="22">
        <f>VLOOKUP(Таблица15[[#This Row],[Модель]],Таблица14[#All],12,0)/1000000</f>
        <v>16.420000000000002</v>
      </c>
      <c r="AI69" s="21">
        <f>VLOOKUP(Таблица15[[#This Row],[Модель]],Таблица14[#All],13,0)/1000000</f>
        <v>15.99</v>
      </c>
      <c r="AJ69" s="21">
        <f>VLOOKUP(Таблица15[[#This Row],[Модель]],Таблица14[#All],14,0)/1000000</f>
        <v>16.850000000000001</v>
      </c>
      <c r="AK69" s="21">
        <f>Таблица15[[#This Row],[Средняя цена (USD)]]*Таблица15[[#This Row],[Кол-во проданных]]/1000000</f>
        <v>7.59</v>
      </c>
      <c r="AL69" s="39">
        <f>Таблица15[[#This Row],[Средняя цена млн. ₸]]/440*Таблица15[[#This Row],[Кол-во проданных]]</f>
        <v>12.874772727272727</v>
      </c>
      <c r="AM69" s="39">
        <f>Таблица15[[#This Row],[Средняя цена млн. ₸]]*Таблица15[[#This Row],[Кол-во проданных]]/1000</f>
        <v>5.6649000000000003</v>
      </c>
      <c r="AP69" s="18" t="s">
        <v>66</v>
      </c>
      <c r="AQ69" s="18" t="s">
        <v>202</v>
      </c>
      <c r="AR69" s="4">
        <v>20000</v>
      </c>
      <c r="AS69" s="4">
        <v>18000</v>
      </c>
      <c r="AT69" s="4">
        <v>24000</v>
      </c>
      <c r="AU69" s="18" t="s">
        <v>204</v>
      </c>
      <c r="AV69" s="18" t="s">
        <v>208</v>
      </c>
      <c r="AW69" s="18" t="s">
        <v>212</v>
      </c>
      <c r="AX69" s="18" t="s">
        <v>217</v>
      </c>
      <c r="AY69" s="20">
        <v>160</v>
      </c>
      <c r="AZ69" s="20">
        <v>12.5</v>
      </c>
      <c r="BA69" s="4">
        <f>AVERAGE(Таблица14[[#This Row],[Мин. ₸]],Таблица14[[#This Row],[Макс. ₸]])</f>
        <v>11140000</v>
      </c>
      <c r="BB69" s="4">
        <v>10690000</v>
      </c>
      <c r="BC69" s="4">
        <v>11590000</v>
      </c>
      <c r="BD69" s="4">
        <f>Таблица14[[#This Row],[Средняя цена ₸]]/$BI$2</f>
        <v>25318.18181818182</v>
      </c>
      <c r="BE69" s="2">
        <f>Таблица14[[#This Row],[Перевод в USD из ₸]]/Таблица14[[#This Row],[Средняя цена (USD)]]-1</f>
        <v>0.26590909090909109</v>
      </c>
      <c r="BG69" s="4"/>
      <c r="BH69" s="4"/>
      <c r="BI69" s="4"/>
      <c r="BJ69" s="4"/>
    </row>
    <row r="70" spans="2:62">
      <c r="B70" t="s">
        <v>108</v>
      </c>
      <c r="C70" s="20">
        <v>12000</v>
      </c>
      <c r="D70" s="16">
        <v>0</v>
      </c>
      <c r="E70" s="16">
        <v>0</v>
      </c>
      <c r="F70" s="16">
        <v>6.1470442800492537E-3</v>
      </c>
      <c r="G70" s="16">
        <v>1.1661375399933293E-2</v>
      </c>
      <c r="H70" s="16">
        <v>1.1542303849996157E-2</v>
      </c>
      <c r="I70" s="16">
        <v>4.4757647619523486E-3</v>
      </c>
      <c r="J70" s="16"/>
      <c r="K70" s="14" t="s">
        <v>204</v>
      </c>
      <c r="L70" s="16">
        <v>0.56233582784840563</v>
      </c>
      <c r="M70" s="16">
        <v>0.4975867528949427</v>
      </c>
      <c r="N70" s="16">
        <v>0.41058183616284821</v>
      </c>
      <c r="O70" s="16">
        <v>0.34893948190880902</v>
      </c>
      <c r="P70" s="16">
        <v>0.45683547222008758</v>
      </c>
      <c r="Q70" s="16">
        <v>0.47282255677821805</v>
      </c>
      <c r="T70" t="s">
        <v>1</v>
      </c>
      <c r="U70" t="s">
        <v>113</v>
      </c>
      <c r="V70" t="str">
        <f>VLOOKUP(Таблица15[[#This Row],[Модель]],Таблица14[#All],2,0)</f>
        <v>Седан</v>
      </c>
      <c r="W70" s="20">
        <f>VLOOKUP(Таблица15[[#This Row],[Модель]],Таблица14[#All],3,0)</f>
        <v>22000</v>
      </c>
      <c r="X70" s="20">
        <f>VLOOKUP(Таблица15[[#This Row],[Модель]],Таблица14[#All],4,0)</f>
        <v>19000</v>
      </c>
      <c r="Y70" s="4">
        <f>VLOOKUP(Таблица15[[#This Row],[Модель]],Таблица14[#All],5,0)</f>
        <v>25000</v>
      </c>
      <c r="Z70" t="str">
        <f>VLOOKUP(Таблица15[[#This Row],[Модель]],Таблица14[#All],6,0)</f>
        <v>АКПП</v>
      </c>
      <c r="AA70" t="str">
        <f>VLOOKUP(Таблица15[[#This Row],[Модель]],Таблица14[#All],7,0)</f>
        <v>Бензин</v>
      </c>
      <c r="AB70" t="str">
        <f>VLOOKUP(Таблица15[[#This Row],[Модель]],Таблица14[#All],8,0)</f>
        <v>Комфорт</v>
      </c>
      <c r="AC70" t="str">
        <f>VLOOKUP(Таблица15[[#This Row],[Модель]],Таблица14[#All],9,0)</f>
        <v>Средний</v>
      </c>
      <c r="AD70">
        <f>VLOOKUP(Таблица15[[#This Row],[Модель]],Таблица14[#All],10,0)</f>
        <v>160</v>
      </c>
      <c r="AE70">
        <f>VLOOKUP(Таблица15[[#This Row],[Модель]],Таблица14[#All],11,0)</f>
        <v>13</v>
      </c>
      <c r="AF70">
        <v>2020</v>
      </c>
      <c r="AG70">
        <v>307</v>
      </c>
      <c r="AH70" s="22">
        <f>VLOOKUP(Таблица15[[#This Row],[Модель]],Таблица14[#All],12,0)/1000000</f>
        <v>16.420000000000002</v>
      </c>
      <c r="AI70" s="21">
        <f>VLOOKUP(Таблица15[[#This Row],[Модель]],Таблица14[#All],13,0)/1000000</f>
        <v>15.99</v>
      </c>
      <c r="AJ70" s="21">
        <f>VLOOKUP(Таблица15[[#This Row],[Модель]],Таблица14[#All],14,0)/1000000</f>
        <v>16.850000000000001</v>
      </c>
      <c r="AK70" s="21">
        <f>Таблица15[[#This Row],[Средняя цена (USD)]]*Таблица15[[#This Row],[Кол-во проданных]]/1000000</f>
        <v>6.7539999999999996</v>
      </c>
      <c r="AL70" s="39">
        <f>Таблица15[[#This Row],[Средняя цена млн. ₸]]/440*Таблица15[[#This Row],[Кол-во проданных]]</f>
        <v>11.456681818181819</v>
      </c>
      <c r="AM70" s="39">
        <f>Таблица15[[#This Row],[Средняя цена млн. ₸]]*Таблица15[[#This Row],[Кол-во проданных]]/1000</f>
        <v>5.0409400000000009</v>
      </c>
      <c r="AP70" s="18" t="s">
        <v>100</v>
      </c>
      <c r="AQ70" s="18" t="s">
        <v>203</v>
      </c>
      <c r="AR70" s="4">
        <v>22000</v>
      </c>
      <c r="AS70" s="4">
        <v>19000</v>
      </c>
      <c r="AT70" s="4">
        <v>25000</v>
      </c>
      <c r="AU70" s="18" t="s">
        <v>204</v>
      </c>
      <c r="AV70" s="18" t="s">
        <v>208</v>
      </c>
      <c r="AW70" s="18" t="s">
        <v>212</v>
      </c>
      <c r="AX70" s="18" t="s">
        <v>217</v>
      </c>
      <c r="AY70" s="20">
        <v>170</v>
      </c>
      <c r="AZ70" s="20">
        <v>12</v>
      </c>
      <c r="BA70" s="4">
        <f>AVERAGE(Таблица14[[#This Row],[Мин. ₸]],Таблица14[[#This Row],[Макс. ₸]])</f>
        <v>11171000</v>
      </c>
      <c r="BB70" s="4">
        <v>11171000</v>
      </c>
      <c r="BC70" s="4">
        <v>11171000</v>
      </c>
      <c r="BD70" s="4">
        <f>Таблица14[[#This Row],[Средняя цена ₸]]/$BI$2</f>
        <v>25388.636363636364</v>
      </c>
      <c r="BE70" s="2">
        <f>Таблица14[[#This Row],[Перевод в USD из ₸]]/Таблица14[[#This Row],[Средняя цена (USD)]]-1</f>
        <v>0.15402892561983483</v>
      </c>
      <c r="BG70" s="4"/>
      <c r="BH70" s="4"/>
      <c r="BI70" s="4"/>
      <c r="BJ70" s="4"/>
    </row>
    <row r="71" spans="2:62">
      <c r="B71" t="s">
        <v>98</v>
      </c>
      <c r="C71" s="20">
        <v>16000</v>
      </c>
      <c r="D71" s="16">
        <v>0</v>
      </c>
      <c r="E71" s="16">
        <v>4.6452622140826802E-3</v>
      </c>
      <c r="F71" s="16">
        <v>5.856174676892349E-3</v>
      </c>
      <c r="G71" s="16">
        <v>1.0055465652061123E-2</v>
      </c>
      <c r="H71" s="16">
        <v>6.1938061938061938E-3</v>
      </c>
      <c r="I71" s="16">
        <v>4.435407930693868E-3</v>
      </c>
      <c r="J71" s="16"/>
      <c r="K71" s="14" t="s">
        <v>205</v>
      </c>
      <c r="L71" s="16">
        <v>3.6588224686682894E-2</v>
      </c>
      <c r="M71" s="16">
        <v>0.13010549609874283</v>
      </c>
      <c r="N71" s="16">
        <v>0.1892203725070051</v>
      </c>
      <c r="O71" s="16">
        <v>0.3267655742362664</v>
      </c>
      <c r="P71" s="16">
        <v>0.27265042649658033</v>
      </c>
      <c r="Q71" s="16">
        <v>0.1603415340976789</v>
      </c>
      <c r="T71" t="s">
        <v>1</v>
      </c>
      <c r="U71" t="s">
        <v>113</v>
      </c>
      <c r="V71" t="str">
        <f>VLOOKUP(Таблица15[[#This Row],[Модель]],Таблица14[#All],2,0)</f>
        <v>Седан</v>
      </c>
      <c r="W71" s="20">
        <f>VLOOKUP(Таблица15[[#This Row],[Модель]],Таблица14[#All],3,0)</f>
        <v>22000</v>
      </c>
      <c r="X71" s="20">
        <f>VLOOKUP(Таблица15[[#This Row],[Модель]],Таблица14[#All],4,0)</f>
        <v>19000</v>
      </c>
      <c r="Y71" s="4">
        <f>VLOOKUP(Таблица15[[#This Row],[Модель]],Таблица14[#All],5,0)</f>
        <v>25000</v>
      </c>
      <c r="Z71" t="str">
        <f>VLOOKUP(Таблица15[[#This Row],[Модель]],Таблица14[#All],6,0)</f>
        <v>АКПП</v>
      </c>
      <c r="AA71" t="str">
        <f>VLOOKUP(Таблица15[[#This Row],[Модель]],Таблица14[#All],7,0)</f>
        <v>Бензин</v>
      </c>
      <c r="AB71" t="str">
        <f>VLOOKUP(Таблица15[[#This Row],[Модель]],Таблица14[#All],8,0)</f>
        <v>Комфорт</v>
      </c>
      <c r="AC71" t="str">
        <f>VLOOKUP(Таблица15[[#This Row],[Модель]],Таблица14[#All],9,0)</f>
        <v>Средний</v>
      </c>
      <c r="AD71">
        <f>VLOOKUP(Таблица15[[#This Row],[Модель]],Таблица14[#All],10,0)</f>
        <v>160</v>
      </c>
      <c r="AE71">
        <f>VLOOKUP(Таблица15[[#This Row],[Модель]],Таблица14[#All],11,0)</f>
        <v>13</v>
      </c>
      <c r="AF71">
        <v>2019</v>
      </c>
      <c r="AG71">
        <v>0</v>
      </c>
      <c r="AH71" s="22">
        <f>VLOOKUP(Таблица15[[#This Row],[Модель]],Таблица14[#All],12,0)/1000000</f>
        <v>16.420000000000002</v>
      </c>
      <c r="AI71" s="21">
        <f>VLOOKUP(Таблица15[[#This Row],[Модель]],Таблица14[#All],13,0)/1000000</f>
        <v>15.99</v>
      </c>
      <c r="AJ71" s="21">
        <f>VLOOKUP(Таблица15[[#This Row],[Модель]],Таблица14[#All],14,0)/1000000</f>
        <v>16.850000000000001</v>
      </c>
      <c r="AK71" s="21">
        <f>Таблица15[[#This Row],[Средняя цена (USD)]]*Таблица15[[#This Row],[Кол-во проданных]]/1000000</f>
        <v>0</v>
      </c>
      <c r="AL71" s="39">
        <f>Таблица15[[#This Row],[Средняя цена млн. ₸]]/440*Таблица15[[#This Row],[Кол-во проданных]]</f>
        <v>0</v>
      </c>
      <c r="AM71" s="39">
        <f>Таблица15[[#This Row],[Средняя цена млн. ₸]]*Таблица15[[#This Row],[Кол-во проданных]]/1000</f>
        <v>0</v>
      </c>
      <c r="AP71" s="18" t="s">
        <v>81</v>
      </c>
      <c r="AQ71" s="18" t="s">
        <v>202</v>
      </c>
      <c r="AR71" s="4">
        <v>20000</v>
      </c>
      <c r="AS71" s="4">
        <v>18000</v>
      </c>
      <c r="AT71" s="4">
        <v>24000</v>
      </c>
      <c r="AU71" s="18" t="s">
        <v>204</v>
      </c>
      <c r="AV71" s="18" t="s">
        <v>208</v>
      </c>
      <c r="AW71" s="18" t="s">
        <v>212</v>
      </c>
      <c r="AX71" s="18" t="s">
        <v>217</v>
      </c>
      <c r="AY71" s="20">
        <v>160</v>
      </c>
      <c r="AZ71" s="20">
        <v>12.5</v>
      </c>
      <c r="BA71" s="4">
        <f>AVERAGE(Таблица14[[#This Row],[Мин. ₸]],Таблица14[[#This Row],[Макс. ₸]])</f>
        <v>15940000</v>
      </c>
      <c r="BB71" s="4">
        <v>13090000</v>
      </c>
      <c r="BC71" s="4">
        <v>18790000</v>
      </c>
      <c r="BD71" s="4">
        <f>Таблица14[[#This Row],[Средняя цена ₸]]/$BI$2</f>
        <v>36227.272727272728</v>
      </c>
      <c r="BE71" s="2">
        <f>Таблица14[[#This Row],[Перевод в USD из ₸]]/Таблица14[[#This Row],[Средняя цена (USD)]]-1</f>
        <v>0.81136363636363629</v>
      </c>
      <c r="BG71" s="4"/>
      <c r="BH71" s="4"/>
      <c r="BI71" s="4"/>
      <c r="BJ71" s="4"/>
    </row>
    <row r="72" spans="2:62">
      <c r="B72" t="s">
        <v>64</v>
      </c>
      <c r="C72" s="20">
        <v>15000</v>
      </c>
      <c r="D72" s="16">
        <v>1.3800979773389836E-2</v>
      </c>
      <c r="E72" s="16">
        <v>0</v>
      </c>
      <c r="F72" s="16">
        <v>0</v>
      </c>
      <c r="G72" s="16">
        <v>0</v>
      </c>
      <c r="H72" s="16">
        <v>0</v>
      </c>
      <c r="I72" s="16">
        <v>4.4123468842604515E-3</v>
      </c>
      <c r="J72" s="16"/>
      <c r="K72" s="14" t="s">
        <v>206</v>
      </c>
      <c r="L72" s="16">
        <v>0.40107594746491149</v>
      </c>
      <c r="M72" s="16">
        <v>0.37230775100631452</v>
      </c>
      <c r="N72" s="16">
        <v>0.40019779133014671</v>
      </c>
      <c r="O72" s="16">
        <v>0.32429494385492458</v>
      </c>
      <c r="P72" s="16">
        <v>0.27051410128333203</v>
      </c>
      <c r="Q72" s="16">
        <v>0.36683590912410302</v>
      </c>
      <c r="T72" t="s">
        <v>1</v>
      </c>
      <c r="U72" t="s">
        <v>26</v>
      </c>
      <c r="V72" t="str">
        <f>VLOOKUP(Таблица15[[#This Row],[Модель]],Таблица14[#All],2,0)</f>
        <v>Седан</v>
      </c>
      <c r="W72" s="20">
        <f>VLOOKUP(Таблица15[[#This Row],[Модель]],Таблица14[#All],3,0)</f>
        <v>10000</v>
      </c>
      <c r="X72" s="20">
        <f>VLOOKUP(Таблица15[[#This Row],[Модель]],Таблица14[#All],4,0)</f>
        <v>8000</v>
      </c>
      <c r="Y72" s="4">
        <f>VLOOKUP(Таблица15[[#This Row],[Модель]],Таблица14[#All],5,0)</f>
        <v>12000</v>
      </c>
      <c r="Z72" t="str">
        <f>VLOOKUP(Таблица15[[#This Row],[Модель]],Таблица14[#All],6,0)</f>
        <v>МКПП</v>
      </c>
      <c r="AA72" t="str">
        <f>VLOOKUP(Таблица15[[#This Row],[Модель]],Таблица14[#All],7,0)</f>
        <v>Бензин</v>
      </c>
      <c r="AB72" t="str">
        <f>VLOOKUP(Таблица15[[#This Row],[Модель]],Таблица14[#All],8,0)</f>
        <v>Эконом</v>
      </c>
      <c r="AC72" t="str">
        <f>VLOOKUP(Таблица15[[#This Row],[Модель]],Таблица14[#All],9,0)</f>
        <v>Маленький</v>
      </c>
      <c r="AD72">
        <f>VLOOKUP(Таблица15[[#This Row],[Модель]],Таблица14[#All],10,0)</f>
        <v>90</v>
      </c>
      <c r="AE72">
        <f>VLOOKUP(Таблица15[[#This Row],[Модель]],Таблица14[#All],11,0)</f>
        <v>17.5</v>
      </c>
      <c r="AF72">
        <v>2023</v>
      </c>
      <c r="AG72">
        <v>3961</v>
      </c>
      <c r="AH72" s="22">
        <f>VLOOKUP(Таблица15[[#This Row],[Модель]],Таблица14[#All],12,0)/1000000</f>
        <v>6.1150000000000002</v>
      </c>
      <c r="AI72" s="21">
        <f>VLOOKUP(Таблица15[[#This Row],[Модель]],Таблица14[#All],13,0)/1000000</f>
        <v>5.63</v>
      </c>
      <c r="AJ72" s="21">
        <f>VLOOKUP(Таблица15[[#This Row],[Модель]],Таблица14[#All],14,0)/1000000</f>
        <v>6.6</v>
      </c>
      <c r="AK72" s="21">
        <f>Таблица15[[#This Row],[Средняя цена (USD)]]*Таблица15[[#This Row],[Кол-во проданных]]/1000000</f>
        <v>39.61</v>
      </c>
      <c r="AL72" s="39">
        <f>Таблица15[[#This Row],[Средняя цена млн. ₸]]/440*Таблица15[[#This Row],[Кол-во проданных]]</f>
        <v>55.048897727272731</v>
      </c>
      <c r="AM72" s="39">
        <f>Таблица15[[#This Row],[Средняя цена млн. ₸]]*Таблица15[[#This Row],[Кол-во проданных]]/1000</f>
        <v>24.221515</v>
      </c>
      <c r="AP72" s="18" t="s">
        <v>77</v>
      </c>
      <c r="AQ72" s="18" t="s">
        <v>203</v>
      </c>
      <c r="AR72" s="4">
        <v>18000</v>
      </c>
      <c r="AS72" s="4">
        <v>16000</v>
      </c>
      <c r="AT72" s="4">
        <v>22000</v>
      </c>
      <c r="AU72" s="18" t="s">
        <v>204</v>
      </c>
      <c r="AV72" s="18" t="s">
        <v>208</v>
      </c>
      <c r="AW72" s="18" t="s">
        <v>212</v>
      </c>
      <c r="AX72" s="18" t="s">
        <v>217</v>
      </c>
      <c r="AY72" s="20">
        <v>155</v>
      </c>
      <c r="AZ72" s="20">
        <v>13</v>
      </c>
      <c r="BA72" s="4">
        <f>AVERAGE(Таблица14[[#This Row],[Мин. ₸]],Таблица14[[#This Row],[Макс. ₸]])</f>
        <v>12865000</v>
      </c>
      <c r="BB72" s="4">
        <v>11990000</v>
      </c>
      <c r="BC72" s="4">
        <v>13740000</v>
      </c>
      <c r="BD72" s="4">
        <f>Таблица14[[#This Row],[Средняя цена ₸]]/$BI$2</f>
        <v>29238.636363636364</v>
      </c>
      <c r="BE72" s="2">
        <f>Таблица14[[#This Row],[Перевод в USD из ₸]]/Таблица14[[#This Row],[Средняя цена (USD)]]-1</f>
        <v>0.62436868686868685</v>
      </c>
      <c r="BG72" s="4"/>
      <c r="BH72" s="4"/>
      <c r="BI72" s="4"/>
      <c r="BJ72" s="4"/>
    </row>
    <row r="73" spans="2:62">
      <c r="B73" t="s">
        <v>65</v>
      </c>
      <c r="C73" s="20">
        <v>20000</v>
      </c>
      <c r="D73" s="16">
        <v>1.3746881856159649E-2</v>
      </c>
      <c r="E73" s="16">
        <v>0</v>
      </c>
      <c r="F73" s="16">
        <v>0</v>
      </c>
      <c r="G73" s="16">
        <v>0</v>
      </c>
      <c r="H73" s="16">
        <v>0</v>
      </c>
      <c r="I73" s="16">
        <v>4.3950510994353884E-3</v>
      </c>
      <c r="J73" s="16"/>
      <c r="K73" s="14" t="s">
        <v>155</v>
      </c>
      <c r="L73" s="16">
        <v>1</v>
      </c>
      <c r="M73" s="16">
        <v>1</v>
      </c>
      <c r="N73" s="16">
        <v>1</v>
      </c>
      <c r="O73" s="16">
        <v>1</v>
      </c>
      <c r="P73" s="16">
        <v>1</v>
      </c>
      <c r="Q73" s="16">
        <v>1</v>
      </c>
      <c r="T73" t="s">
        <v>1</v>
      </c>
      <c r="U73" t="s">
        <v>26</v>
      </c>
      <c r="V73" t="str">
        <f>VLOOKUP(Таблица15[[#This Row],[Модель]],Таблица14[#All],2,0)</f>
        <v>Седан</v>
      </c>
      <c r="W73" s="20">
        <f>VLOOKUP(Таблица15[[#This Row],[Модель]],Таблица14[#All],3,0)</f>
        <v>10000</v>
      </c>
      <c r="X73" s="20">
        <f>VLOOKUP(Таблица15[[#This Row],[Модель]],Таблица14[#All],4,0)</f>
        <v>8000</v>
      </c>
      <c r="Y73" s="4">
        <f>VLOOKUP(Таблица15[[#This Row],[Модель]],Таблица14[#All],5,0)</f>
        <v>12000</v>
      </c>
      <c r="Z73" t="str">
        <f>VLOOKUP(Таблица15[[#This Row],[Модель]],Таблица14[#All],6,0)</f>
        <v>МКПП</v>
      </c>
      <c r="AA73" t="str">
        <f>VLOOKUP(Таблица15[[#This Row],[Модель]],Таблица14[#All],7,0)</f>
        <v>Бензин</v>
      </c>
      <c r="AB73" t="str">
        <f>VLOOKUP(Таблица15[[#This Row],[Модель]],Таблица14[#All],8,0)</f>
        <v>Эконом</v>
      </c>
      <c r="AC73" t="str">
        <f>VLOOKUP(Таблица15[[#This Row],[Модель]],Таблица14[#All],9,0)</f>
        <v>Маленький</v>
      </c>
      <c r="AD73">
        <f>VLOOKUP(Таблица15[[#This Row],[Модель]],Таблица14[#All],10,0)</f>
        <v>90</v>
      </c>
      <c r="AE73">
        <f>VLOOKUP(Таблица15[[#This Row],[Модель]],Таблица14[#All],11,0)</f>
        <v>17.5</v>
      </c>
      <c r="AF73">
        <v>2022</v>
      </c>
      <c r="AG73">
        <v>7144</v>
      </c>
      <c r="AH73" s="22">
        <f>VLOOKUP(Таблица15[[#This Row],[Модель]],Таблица14[#All],12,0)/1000000</f>
        <v>6.1150000000000002</v>
      </c>
      <c r="AI73" s="21">
        <f>VLOOKUP(Таблица15[[#This Row],[Модель]],Таблица14[#All],13,0)/1000000</f>
        <v>5.63</v>
      </c>
      <c r="AJ73" s="21">
        <f>VLOOKUP(Таблица15[[#This Row],[Модель]],Таблица14[#All],14,0)/1000000</f>
        <v>6.6</v>
      </c>
      <c r="AK73" s="21">
        <f>Таблица15[[#This Row],[Средняя цена (USD)]]*Таблица15[[#This Row],[Кол-во проданных]]/1000000</f>
        <v>71.44</v>
      </c>
      <c r="AL73" s="39">
        <f>Таблица15[[#This Row],[Средняя цена млн. ₸]]/440*Таблица15[[#This Row],[Кол-во проданных]]</f>
        <v>99.285363636363641</v>
      </c>
      <c r="AM73" s="39">
        <f>Таблица15[[#This Row],[Средняя цена млн. ₸]]*Таблица15[[#This Row],[Кол-во проданных]]/1000</f>
        <v>43.685560000000002</v>
      </c>
      <c r="AP73" s="18" t="s">
        <v>83</v>
      </c>
      <c r="AQ73" s="18" t="s">
        <v>202</v>
      </c>
      <c r="AR73" s="4">
        <v>18000</v>
      </c>
      <c r="AS73" s="4">
        <v>16000</v>
      </c>
      <c r="AT73" s="4">
        <v>22000</v>
      </c>
      <c r="AU73" s="18" t="s">
        <v>204</v>
      </c>
      <c r="AV73" s="18" t="s">
        <v>208</v>
      </c>
      <c r="AW73" s="18" t="s">
        <v>213</v>
      </c>
      <c r="AX73" s="18" t="s">
        <v>217</v>
      </c>
      <c r="AY73" s="20">
        <v>150</v>
      </c>
      <c r="AZ73" s="20">
        <v>13.5</v>
      </c>
      <c r="BA73" s="4">
        <f>AVERAGE(Таблица14[[#This Row],[Мин. ₸]],Таблица14[[#This Row],[Макс. ₸]])</f>
        <v>9140000</v>
      </c>
      <c r="BB73" s="4">
        <v>8590000</v>
      </c>
      <c r="BC73" s="4">
        <v>9690000</v>
      </c>
      <c r="BD73" s="4">
        <f>Таблица14[[#This Row],[Средняя цена ₸]]/$BI$2</f>
        <v>20772.727272727272</v>
      </c>
      <c r="BE73" s="2">
        <f>Таблица14[[#This Row],[Перевод в USD из ₸]]/Таблица14[[#This Row],[Средняя цена (USD)]]-1</f>
        <v>0.15404040404040398</v>
      </c>
      <c r="BG73" s="4"/>
      <c r="BH73" s="4"/>
      <c r="BI73" s="4"/>
      <c r="BJ73" s="4"/>
    </row>
    <row r="74" spans="2:62">
      <c r="B74" t="s">
        <v>66</v>
      </c>
      <c r="C74" s="20">
        <v>20000</v>
      </c>
      <c r="D74" s="16">
        <v>1.3500435788777687E-2</v>
      </c>
      <c r="E74" s="16">
        <v>0</v>
      </c>
      <c r="F74" s="16">
        <v>0</v>
      </c>
      <c r="G74" s="16">
        <v>0</v>
      </c>
      <c r="H74" s="16">
        <v>0</v>
      </c>
      <c r="I74" s="16">
        <v>4.3162591907878805E-3</v>
      </c>
      <c r="J74" s="16"/>
      <c r="T74" t="s">
        <v>1</v>
      </c>
      <c r="U74" t="s">
        <v>26</v>
      </c>
      <c r="V74" t="str">
        <f>VLOOKUP(Таблица15[[#This Row],[Модель]],Таблица14[#All],2,0)</f>
        <v>Седан</v>
      </c>
      <c r="W74" s="20">
        <f>VLOOKUP(Таблица15[[#This Row],[Модель]],Таблица14[#All],3,0)</f>
        <v>10000</v>
      </c>
      <c r="X74" s="20">
        <f>VLOOKUP(Таблица15[[#This Row],[Модель]],Таблица14[#All],4,0)</f>
        <v>8000</v>
      </c>
      <c r="Y74" s="4">
        <f>VLOOKUP(Таблица15[[#This Row],[Модель]],Таблица14[#All],5,0)</f>
        <v>12000</v>
      </c>
      <c r="Z74" t="str">
        <f>VLOOKUP(Таблица15[[#This Row],[Модель]],Таблица14[#All],6,0)</f>
        <v>МКПП</v>
      </c>
      <c r="AA74" t="str">
        <f>VLOOKUP(Таблица15[[#This Row],[Модель]],Таблица14[#All],7,0)</f>
        <v>Бензин</v>
      </c>
      <c r="AB74" t="str">
        <f>VLOOKUP(Таблица15[[#This Row],[Модель]],Таблица14[#All],8,0)</f>
        <v>Эконом</v>
      </c>
      <c r="AC74" t="str">
        <f>VLOOKUP(Таблица15[[#This Row],[Модель]],Таблица14[#All],9,0)</f>
        <v>Маленький</v>
      </c>
      <c r="AD74">
        <f>VLOOKUP(Таблица15[[#This Row],[Модель]],Таблица14[#All],10,0)</f>
        <v>90</v>
      </c>
      <c r="AE74">
        <f>VLOOKUP(Таблица15[[#This Row],[Модель]],Таблица14[#All],11,0)</f>
        <v>17.5</v>
      </c>
      <c r="AF74">
        <v>2021</v>
      </c>
      <c r="AG74">
        <v>10970</v>
      </c>
      <c r="AH74" s="22">
        <f>VLOOKUP(Таблица15[[#This Row],[Модель]],Таблица14[#All],12,0)/1000000</f>
        <v>6.1150000000000002</v>
      </c>
      <c r="AI74" s="21">
        <f>VLOOKUP(Таблица15[[#This Row],[Модель]],Таблица14[#All],13,0)/1000000</f>
        <v>5.63</v>
      </c>
      <c r="AJ74" s="21">
        <f>VLOOKUP(Таблица15[[#This Row],[Модель]],Таблица14[#All],14,0)/1000000</f>
        <v>6.6</v>
      </c>
      <c r="AK74" s="21">
        <f>Таблица15[[#This Row],[Средняя цена (USD)]]*Таблица15[[#This Row],[Кол-во проданных]]/1000000</f>
        <v>109.7</v>
      </c>
      <c r="AL74" s="39">
        <f>Таблица15[[#This Row],[Средняя цена млн. ₸]]/440*Таблица15[[#This Row],[Кол-во проданных]]</f>
        <v>152.45806818181819</v>
      </c>
      <c r="AM74" s="39">
        <f>Таблица15[[#This Row],[Средняя цена млн. ₸]]*Таблица15[[#This Row],[Кол-во проданных]]/1000</f>
        <v>67.081550000000007</v>
      </c>
      <c r="AP74" s="18" t="s">
        <v>85</v>
      </c>
      <c r="AQ74" s="18" t="s">
        <v>197</v>
      </c>
      <c r="AR74" s="4">
        <v>10000</v>
      </c>
      <c r="AS74" s="4">
        <v>8000</v>
      </c>
      <c r="AT74" s="4">
        <v>12000</v>
      </c>
      <c r="AU74" s="18" t="s">
        <v>206</v>
      </c>
      <c r="AV74" s="18" t="s">
        <v>208</v>
      </c>
      <c r="AW74" s="18" t="s">
        <v>213</v>
      </c>
      <c r="AX74" s="18" t="s">
        <v>216</v>
      </c>
      <c r="AY74" s="20">
        <v>80</v>
      </c>
      <c r="AZ74" s="20">
        <v>18</v>
      </c>
      <c r="BA74" s="4">
        <f>AVERAGE(Таблица14[[#This Row],[Мин. ₸]],Таблица14[[#This Row],[Макс. ₸]])</f>
        <v>5605000</v>
      </c>
      <c r="BB74" s="4">
        <v>5320000</v>
      </c>
      <c r="BC74" s="4">
        <v>5890000</v>
      </c>
      <c r="BD74" s="4">
        <f>Таблица14[[#This Row],[Средняя цена ₸]]/$BI$2</f>
        <v>12738.636363636364</v>
      </c>
      <c r="BE74" s="2">
        <f>Таблица14[[#This Row],[Перевод в USD из ₸]]/Таблица14[[#This Row],[Средняя цена (USD)]]-1</f>
        <v>0.27386363636363642</v>
      </c>
      <c r="BG74" s="4"/>
      <c r="BH74" s="4"/>
      <c r="BI74" s="4"/>
      <c r="BJ74" s="4"/>
    </row>
    <row r="75" spans="2:62">
      <c r="B75" t="s">
        <v>85</v>
      </c>
      <c r="C75" s="20">
        <v>10000</v>
      </c>
      <c r="D75" s="16">
        <v>5.9928470531662309E-3</v>
      </c>
      <c r="E75" s="16">
        <v>9.1188309582403322E-3</v>
      </c>
      <c r="F75" s="16">
        <v>0</v>
      </c>
      <c r="G75" s="16">
        <v>0</v>
      </c>
      <c r="H75" s="16">
        <v>0</v>
      </c>
      <c r="I75" s="16">
        <v>3.7531853070386159E-3</v>
      </c>
      <c r="J75" s="16"/>
      <c r="T75" t="s">
        <v>1</v>
      </c>
      <c r="U75" t="s">
        <v>26</v>
      </c>
      <c r="V75" t="str">
        <f>VLOOKUP(Таблица15[[#This Row],[Модель]],Таблица14[#All],2,0)</f>
        <v>Седан</v>
      </c>
      <c r="W75" s="20">
        <f>VLOOKUP(Таблица15[[#This Row],[Модель]],Таблица14[#All],3,0)</f>
        <v>10000</v>
      </c>
      <c r="X75" s="20">
        <f>VLOOKUP(Таблица15[[#This Row],[Модель]],Таблица14[#All],4,0)</f>
        <v>8000</v>
      </c>
      <c r="Y75" s="4">
        <f>VLOOKUP(Таблица15[[#This Row],[Модель]],Таблица14[#All],5,0)</f>
        <v>12000</v>
      </c>
      <c r="Z75" t="str">
        <f>VLOOKUP(Таблица15[[#This Row],[Модель]],Таблица14[#All],6,0)</f>
        <v>МКПП</v>
      </c>
      <c r="AA75" t="str">
        <f>VLOOKUP(Таблица15[[#This Row],[Модель]],Таблица14[#All],7,0)</f>
        <v>Бензин</v>
      </c>
      <c r="AB75" t="str">
        <f>VLOOKUP(Таблица15[[#This Row],[Модель]],Таблица14[#All],8,0)</f>
        <v>Эконом</v>
      </c>
      <c r="AC75" t="str">
        <f>VLOOKUP(Таблица15[[#This Row],[Модель]],Таблица14[#All],9,0)</f>
        <v>Маленький</v>
      </c>
      <c r="AD75">
        <f>VLOOKUP(Таблица15[[#This Row],[Модель]],Таблица14[#All],10,0)</f>
        <v>90</v>
      </c>
      <c r="AE75">
        <f>VLOOKUP(Таблица15[[#This Row],[Модель]],Таблица14[#All],11,0)</f>
        <v>17.5</v>
      </c>
      <c r="AF75">
        <v>2020</v>
      </c>
      <c r="AG75">
        <v>2940</v>
      </c>
      <c r="AH75" s="22">
        <f>VLOOKUP(Таблица15[[#This Row],[Модель]],Таблица14[#All],12,0)/1000000</f>
        <v>6.1150000000000002</v>
      </c>
      <c r="AI75" s="21">
        <f>VLOOKUP(Таблица15[[#This Row],[Модель]],Таблица14[#All],13,0)/1000000</f>
        <v>5.63</v>
      </c>
      <c r="AJ75" s="21">
        <f>VLOOKUP(Таблица15[[#This Row],[Модель]],Таблица14[#All],14,0)/1000000</f>
        <v>6.6</v>
      </c>
      <c r="AK75" s="21">
        <f>Таблица15[[#This Row],[Средняя цена (USD)]]*Таблица15[[#This Row],[Кол-во проданных]]/1000000</f>
        <v>29.4</v>
      </c>
      <c r="AL75" s="39">
        <f>Таблица15[[#This Row],[Средняя цена млн. ₸]]/440*Таблица15[[#This Row],[Кол-во проданных]]</f>
        <v>40.859318181818182</v>
      </c>
      <c r="AM75" s="39">
        <f>Таблица15[[#This Row],[Средняя цена млн. ₸]]*Таблица15[[#This Row],[Кол-во проданных]]/1000</f>
        <v>17.978100000000001</v>
      </c>
      <c r="AP75" s="18" t="s">
        <v>50</v>
      </c>
      <c r="AQ75" s="18" t="s">
        <v>197</v>
      </c>
      <c r="AR75" s="4">
        <v>12000</v>
      </c>
      <c r="AS75" s="4">
        <v>10000</v>
      </c>
      <c r="AT75" s="4">
        <v>14000</v>
      </c>
      <c r="AU75" s="18" t="s">
        <v>206</v>
      </c>
      <c r="AV75" s="18" t="s">
        <v>208</v>
      </c>
      <c r="AW75" s="18" t="s">
        <v>213</v>
      </c>
      <c r="AX75" s="18" t="s">
        <v>216</v>
      </c>
      <c r="AY75" s="20">
        <v>100</v>
      </c>
      <c r="AZ75" s="20">
        <v>16.5</v>
      </c>
      <c r="BA75" s="4">
        <f>AVERAGE(Таблица14[[#This Row],[Мин. ₸]],Таблица14[[#This Row],[Макс. ₸]])</f>
        <v>8290000</v>
      </c>
      <c r="BB75" s="4">
        <v>7290000</v>
      </c>
      <c r="BC75" s="4">
        <v>9290000</v>
      </c>
      <c r="BD75" s="4">
        <f>Таблица14[[#This Row],[Средняя цена ₸]]/$BI$2</f>
        <v>18840.909090909092</v>
      </c>
      <c r="BE75" s="2">
        <f>Таблица14[[#This Row],[Перевод в USD из ₸]]/Таблица14[[#This Row],[Средняя цена (USD)]]-1</f>
        <v>0.57007575757575757</v>
      </c>
      <c r="BG75" s="4"/>
      <c r="BH75" s="4"/>
      <c r="BI75" s="4"/>
      <c r="BJ75" s="4"/>
    </row>
    <row r="76" spans="2:62">
      <c r="B76" t="s">
        <v>69</v>
      </c>
      <c r="C76" s="20">
        <v>13000</v>
      </c>
      <c r="D76" s="16">
        <v>1.1588976046644427E-2</v>
      </c>
      <c r="E76" s="16">
        <v>0</v>
      </c>
      <c r="F76" s="16">
        <v>0</v>
      </c>
      <c r="G76" s="16">
        <v>0</v>
      </c>
      <c r="H76" s="16">
        <v>0</v>
      </c>
      <c r="I76" s="16">
        <v>3.7051414603023304E-3</v>
      </c>
      <c r="J76" s="16"/>
      <c r="T76" t="s">
        <v>1</v>
      </c>
      <c r="U76" t="s">
        <v>26</v>
      </c>
      <c r="V76" t="str">
        <f>VLOOKUP(Таблица15[[#This Row],[Модель]],Таблица14[#All],2,0)</f>
        <v>Седан</v>
      </c>
      <c r="W76" s="20">
        <f>VLOOKUP(Таблица15[[#This Row],[Модель]],Таблица14[#All],3,0)</f>
        <v>10000</v>
      </c>
      <c r="X76" s="20">
        <f>VLOOKUP(Таблица15[[#This Row],[Модель]],Таблица14[#All],4,0)</f>
        <v>8000</v>
      </c>
      <c r="Y76" s="4">
        <f>VLOOKUP(Таблица15[[#This Row],[Модель]],Таблица14[#All],5,0)</f>
        <v>12000</v>
      </c>
      <c r="Z76" t="str">
        <f>VLOOKUP(Таблица15[[#This Row],[Модель]],Таблица14[#All],6,0)</f>
        <v>МКПП</v>
      </c>
      <c r="AA76" t="str">
        <f>VLOOKUP(Таблица15[[#This Row],[Модель]],Таблица14[#All],7,0)</f>
        <v>Бензин</v>
      </c>
      <c r="AB76" t="str">
        <f>VLOOKUP(Таблица15[[#This Row],[Модель]],Таблица14[#All],8,0)</f>
        <v>Эконом</v>
      </c>
      <c r="AC76" t="str">
        <f>VLOOKUP(Таблица15[[#This Row],[Модель]],Таблица14[#All],9,0)</f>
        <v>Маленький</v>
      </c>
      <c r="AD76">
        <f>VLOOKUP(Таблица15[[#This Row],[Модель]],Таблица14[#All],10,0)</f>
        <v>90</v>
      </c>
      <c r="AE76">
        <f>VLOOKUP(Таблица15[[#This Row],[Модель]],Таблица14[#All],11,0)</f>
        <v>17.5</v>
      </c>
      <c r="AF76">
        <v>2019</v>
      </c>
      <c r="AG76">
        <v>0</v>
      </c>
      <c r="AH76" s="22">
        <f>VLOOKUP(Таблица15[[#This Row],[Модель]],Таблица14[#All],12,0)/1000000</f>
        <v>6.1150000000000002</v>
      </c>
      <c r="AI76" s="21">
        <f>VLOOKUP(Таблица15[[#This Row],[Модель]],Таблица14[#All],13,0)/1000000</f>
        <v>5.63</v>
      </c>
      <c r="AJ76" s="21">
        <f>VLOOKUP(Таблица15[[#This Row],[Модель]],Таблица14[#All],14,0)/1000000</f>
        <v>6.6</v>
      </c>
      <c r="AK76" s="21">
        <f>Таблица15[[#This Row],[Средняя цена (USD)]]*Таблица15[[#This Row],[Кол-во проданных]]/1000000</f>
        <v>0</v>
      </c>
      <c r="AL76" s="39">
        <f>Таблица15[[#This Row],[Средняя цена млн. ₸]]/440*Таблица15[[#This Row],[Кол-во проданных]]</f>
        <v>0</v>
      </c>
      <c r="AM76" s="39">
        <f>Таблица15[[#This Row],[Средняя цена млн. ₸]]*Таблица15[[#This Row],[Кол-во проданных]]/1000</f>
        <v>0</v>
      </c>
      <c r="AP76" s="18" t="s">
        <v>116</v>
      </c>
      <c r="AQ76" s="18" t="s">
        <v>202</v>
      </c>
      <c r="AR76" s="4">
        <v>15000</v>
      </c>
      <c r="AS76" s="4">
        <v>13000</v>
      </c>
      <c r="AT76" s="4">
        <v>18000</v>
      </c>
      <c r="AU76" s="18" t="s">
        <v>205</v>
      </c>
      <c r="AV76" s="18" t="s">
        <v>208</v>
      </c>
      <c r="AW76" s="18" t="s">
        <v>212</v>
      </c>
      <c r="AX76" s="18" t="s">
        <v>217</v>
      </c>
      <c r="AY76" s="20">
        <v>135</v>
      </c>
      <c r="AZ76" s="20">
        <v>14</v>
      </c>
      <c r="BA76" s="4">
        <f>AVERAGE(Таблица14[[#This Row],[Мин. ₸]],Таблица14[[#This Row],[Макс. ₸]])</f>
        <v>7590000</v>
      </c>
      <c r="BB76" s="4">
        <v>7590000</v>
      </c>
      <c r="BC76" s="4">
        <v>7590000</v>
      </c>
      <c r="BD76" s="4">
        <f>Таблица14[[#This Row],[Средняя цена ₸]]/$BI$2</f>
        <v>17250</v>
      </c>
      <c r="BE76" s="2">
        <f>Таблица14[[#This Row],[Перевод в USD из ₸]]/Таблица14[[#This Row],[Средняя цена (USD)]]-1</f>
        <v>0.14999999999999991</v>
      </c>
      <c r="BG76" s="4"/>
      <c r="BH76" s="4"/>
      <c r="BI76" s="4"/>
      <c r="BJ76" s="4"/>
    </row>
    <row r="77" spans="2:62">
      <c r="B77" t="s">
        <v>106</v>
      </c>
      <c r="C77" s="20">
        <v>25000</v>
      </c>
      <c r="D77" s="16">
        <v>0</v>
      </c>
      <c r="E77" s="16">
        <v>0</v>
      </c>
      <c r="F77" s="16">
        <v>8.4836967587430551E-3</v>
      </c>
      <c r="G77" s="16">
        <v>6.4483452953020964E-3</v>
      </c>
      <c r="H77" s="16">
        <v>7.1313302082532852E-3</v>
      </c>
      <c r="I77" s="16">
        <v>3.5763839510490852E-3</v>
      </c>
      <c r="J77" s="16"/>
      <c r="K77" s="13" t="s">
        <v>218</v>
      </c>
      <c r="L77" s="13" t="s">
        <v>151</v>
      </c>
      <c r="T77" t="s">
        <v>1</v>
      </c>
      <c r="U77" t="s">
        <v>116</v>
      </c>
      <c r="V77" t="str">
        <f>VLOOKUP(Таблица15[[#This Row],[Модель]],Таблица14[#All],2,0)</f>
        <v>Внедорожник</v>
      </c>
      <c r="W77" s="20">
        <f>VLOOKUP(Таблица15[[#This Row],[Модель]],Таблица14[#All],3,0)</f>
        <v>15000</v>
      </c>
      <c r="X77" s="20">
        <f>VLOOKUP(Таблица15[[#This Row],[Модель]],Таблица14[#All],4,0)</f>
        <v>13000</v>
      </c>
      <c r="Y77" s="4">
        <f>VLOOKUP(Таблица15[[#This Row],[Модель]],Таблица14[#All],5,0)</f>
        <v>18000</v>
      </c>
      <c r="Z77" t="str">
        <f>VLOOKUP(Таблица15[[#This Row],[Модель]],Таблица14[#All],6,0)</f>
        <v>МКПП</v>
      </c>
      <c r="AA77" t="str">
        <f>VLOOKUP(Таблица15[[#This Row],[Модель]],Таблица14[#All],7,0)</f>
        <v>Бензин</v>
      </c>
      <c r="AB77" t="str">
        <f>VLOOKUP(Таблица15[[#This Row],[Модель]],Таблица14[#All],8,0)</f>
        <v>Комфорт</v>
      </c>
      <c r="AC77" t="str">
        <f>VLOOKUP(Таблица15[[#This Row],[Модель]],Таблица14[#All],9,0)</f>
        <v>Средний</v>
      </c>
      <c r="AD77">
        <f>VLOOKUP(Таблица15[[#This Row],[Модель]],Таблица14[#All],10,0)</f>
        <v>135</v>
      </c>
      <c r="AE77">
        <f>VLOOKUP(Таблица15[[#This Row],[Модель]],Таблица14[#All],11,0)</f>
        <v>14</v>
      </c>
      <c r="AF77">
        <v>2023</v>
      </c>
      <c r="AG77">
        <v>0</v>
      </c>
      <c r="AH77" s="22">
        <f>VLOOKUP(Таблица15[[#This Row],[Модель]],Таблица14[#All],12,0)/1000000</f>
        <v>7.59</v>
      </c>
      <c r="AI77" s="21">
        <f>VLOOKUP(Таблица15[[#This Row],[Модель]],Таблица14[#All],13,0)/1000000</f>
        <v>7.59</v>
      </c>
      <c r="AJ77" s="21">
        <f>VLOOKUP(Таблица15[[#This Row],[Модель]],Таблица14[#All],14,0)/1000000</f>
        <v>7.59</v>
      </c>
      <c r="AK77" s="21">
        <f>Таблица15[[#This Row],[Средняя цена (USD)]]*Таблица15[[#This Row],[Кол-во проданных]]/1000000</f>
        <v>0</v>
      </c>
      <c r="AL77" s="39">
        <f>Таблица15[[#This Row],[Средняя цена млн. ₸]]/440*Таблица15[[#This Row],[Кол-во проданных]]</f>
        <v>0</v>
      </c>
      <c r="AM77" s="39">
        <f>Таблица15[[#This Row],[Средняя цена млн. ₸]]*Таблица15[[#This Row],[Кол-во проданных]]/1000</f>
        <v>0</v>
      </c>
      <c r="AP77" s="18" t="s">
        <v>26</v>
      </c>
      <c r="AQ77" s="18" t="s">
        <v>199</v>
      </c>
      <c r="AR77" s="4">
        <v>10000</v>
      </c>
      <c r="AS77" s="4">
        <v>8000</v>
      </c>
      <c r="AT77" s="4">
        <v>12000</v>
      </c>
      <c r="AU77" s="18" t="s">
        <v>205</v>
      </c>
      <c r="AV77" s="18" t="s">
        <v>208</v>
      </c>
      <c r="AW77" s="18" t="s">
        <v>213</v>
      </c>
      <c r="AX77" s="18" t="s">
        <v>216</v>
      </c>
      <c r="AY77" s="20">
        <v>90</v>
      </c>
      <c r="AZ77" s="20">
        <v>17.5</v>
      </c>
      <c r="BA77" s="4">
        <f>AVERAGE(Таблица14[[#This Row],[Мин. ₸]],Таблица14[[#This Row],[Макс. ₸]])</f>
        <v>6115000</v>
      </c>
      <c r="BB77" s="4">
        <v>5630000</v>
      </c>
      <c r="BC77" s="4">
        <v>6600000</v>
      </c>
      <c r="BD77" s="4">
        <f>Таблица14[[#This Row],[Средняя цена ₸]]/$BI$2</f>
        <v>13897.727272727272</v>
      </c>
      <c r="BE77" s="2">
        <f>Таблица14[[#This Row],[Перевод в USD из ₸]]/Таблица14[[#This Row],[Средняя цена (USD)]]-1</f>
        <v>0.38977272727272716</v>
      </c>
      <c r="BG77" s="4"/>
      <c r="BH77" s="4"/>
      <c r="BI77" s="4"/>
      <c r="BJ77" s="4"/>
    </row>
    <row r="78" spans="2:62">
      <c r="B78" t="s">
        <v>110</v>
      </c>
      <c r="C78" s="20">
        <v>12000</v>
      </c>
      <c r="D78" s="16">
        <v>0</v>
      </c>
      <c r="E78" s="16">
        <v>0</v>
      </c>
      <c r="F78" s="16">
        <v>5.5750007271740077E-3</v>
      </c>
      <c r="G78" s="16">
        <v>7.2142407135180539E-3</v>
      </c>
      <c r="H78" s="16">
        <v>9.3137631599170059E-3</v>
      </c>
      <c r="I78" s="16">
        <v>3.3918955795817496E-3</v>
      </c>
      <c r="J78" s="16"/>
      <c r="K78" s="13" t="s">
        <v>161</v>
      </c>
      <c r="L78">
        <v>2023</v>
      </c>
      <c r="M78">
        <v>2022</v>
      </c>
      <c r="N78">
        <v>2021</v>
      </c>
      <c r="O78">
        <v>2020</v>
      </c>
      <c r="P78">
        <v>2019</v>
      </c>
      <c r="Q78" t="s">
        <v>155</v>
      </c>
      <c r="T78" t="s">
        <v>1</v>
      </c>
      <c r="U78" t="s">
        <v>116</v>
      </c>
      <c r="V78" t="str">
        <f>VLOOKUP(Таблица15[[#This Row],[Модель]],Таблица14[#All],2,0)</f>
        <v>Внедорожник</v>
      </c>
      <c r="W78" s="20">
        <f>VLOOKUP(Таблица15[[#This Row],[Модель]],Таблица14[#All],3,0)</f>
        <v>15000</v>
      </c>
      <c r="X78" s="20">
        <f>VLOOKUP(Таблица15[[#This Row],[Модель]],Таблица14[#All],4,0)</f>
        <v>13000</v>
      </c>
      <c r="Y78" s="4">
        <f>VLOOKUP(Таблица15[[#This Row],[Модель]],Таблица14[#All],5,0)</f>
        <v>18000</v>
      </c>
      <c r="Z78" t="str">
        <f>VLOOKUP(Таблица15[[#This Row],[Модель]],Таблица14[#All],6,0)</f>
        <v>МКПП</v>
      </c>
      <c r="AA78" t="str">
        <f>VLOOKUP(Таблица15[[#This Row],[Модель]],Таблица14[#All],7,0)</f>
        <v>Бензин</v>
      </c>
      <c r="AB78" t="str">
        <f>VLOOKUP(Таблица15[[#This Row],[Модель]],Таблица14[#All],8,0)</f>
        <v>Комфорт</v>
      </c>
      <c r="AC78" t="str">
        <f>VLOOKUP(Таблица15[[#This Row],[Модель]],Таблица14[#All],9,0)</f>
        <v>Средний</v>
      </c>
      <c r="AD78">
        <f>VLOOKUP(Таблица15[[#This Row],[Модель]],Таблица14[#All],10,0)</f>
        <v>135</v>
      </c>
      <c r="AE78">
        <f>VLOOKUP(Таблица15[[#This Row],[Модель]],Таблица14[#All],11,0)</f>
        <v>14</v>
      </c>
      <c r="AF78">
        <v>2022</v>
      </c>
      <c r="AG78">
        <v>0</v>
      </c>
      <c r="AH78" s="22">
        <f>VLOOKUP(Таблица15[[#This Row],[Модель]],Таблица14[#All],12,0)/1000000</f>
        <v>7.59</v>
      </c>
      <c r="AI78" s="21">
        <f>VLOOKUP(Таблица15[[#This Row],[Модель]],Таблица14[#All],13,0)/1000000</f>
        <v>7.59</v>
      </c>
      <c r="AJ78" s="21">
        <f>VLOOKUP(Таблица15[[#This Row],[Модель]],Таблица14[#All],14,0)/1000000</f>
        <v>7.59</v>
      </c>
      <c r="AK78" s="21">
        <f>Таблица15[[#This Row],[Средняя цена (USD)]]*Таблица15[[#This Row],[Кол-во проданных]]/1000000</f>
        <v>0</v>
      </c>
      <c r="AL78" s="39">
        <f>Таблица15[[#This Row],[Средняя цена млн. ₸]]/440*Таблица15[[#This Row],[Кол-во проданных]]</f>
        <v>0</v>
      </c>
      <c r="AM78" s="39">
        <f>Таблица15[[#This Row],[Средняя цена млн. ₸]]*Таблица15[[#This Row],[Кол-во проданных]]/1000</f>
        <v>0</v>
      </c>
      <c r="AP78" s="18" t="s">
        <v>113</v>
      </c>
      <c r="AQ78" s="18" t="s">
        <v>199</v>
      </c>
      <c r="AR78" s="4">
        <v>22000</v>
      </c>
      <c r="AS78" s="4">
        <v>19000</v>
      </c>
      <c r="AT78" s="4">
        <v>25000</v>
      </c>
      <c r="AU78" s="18" t="s">
        <v>204</v>
      </c>
      <c r="AV78" s="18" t="s">
        <v>208</v>
      </c>
      <c r="AW78" s="18" t="s">
        <v>212</v>
      </c>
      <c r="AX78" s="18" t="s">
        <v>217</v>
      </c>
      <c r="AY78" s="20">
        <v>160</v>
      </c>
      <c r="AZ78" s="20">
        <v>13</v>
      </c>
      <c r="BA78" s="4">
        <f>AVERAGE(Таблица14[[#This Row],[Мин. ₸]],Таблица14[[#This Row],[Макс. ₸]])</f>
        <v>16420000</v>
      </c>
      <c r="BB78" s="4">
        <v>15990000</v>
      </c>
      <c r="BC78" s="4">
        <v>16850000</v>
      </c>
      <c r="BD78" s="4">
        <f>Таблица14[[#This Row],[Средняя цена ₸]]/$BI$2</f>
        <v>37318.181818181816</v>
      </c>
      <c r="BE78" s="2">
        <f>Таблица14[[#This Row],[Перевод в USD из ₸]]/Таблица14[[#This Row],[Средняя цена (USD)]]-1</f>
        <v>0.69628099173553704</v>
      </c>
      <c r="BG78" s="4"/>
      <c r="BH78" s="4"/>
      <c r="BI78" s="4"/>
      <c r="BJ78" s="4"/>
    </row>
    <row r="79" spans="2:62">
      <c r="B79" t="s">
        <v>115</v>
      </c>
      <c r="C79" s="20">
        <v>9000</v>
      </c>
      <c r="D79" s="16">
        <v>0</v>
      </c>
      <c r="E79" s="16">
        <v>0</v>
      </c>
      <c r="F79" s="16">
        <v>0</v>
      </c>
      <c r="G79" s="16">
        <v>1.3539054489753061E-2</v>
      </c>
      <c r="H79" s="16">
        <v>1.0097594712979328E-2</v>
      </c>
      <c r="I79" s="16">
        <v>3.3688345331483326E-3</v>
      </c>
      <c r="J79" s="16"/>
      <c r="K79" s="14" t="s">
        <v>258</v>
      </c>
      <c r="L79" s="16">
        <v>5.1140564421603099E-2</v>
      </c>
      <c r="M79" s="16">
        <v>7.7109445048551092E-2</v>
      </c>
      <c r="N79" s="16">
        <v>4.731478878018984E-2</v>
      </c>
      <c r="O79" s="16">
        <v>3.9394201430494991E-2</v>
      </c>
      <c r="P79" s="16">
        <v>7.4648428494582336E-2</v>
      </c>
      <c r="Q79" s="16">
        <v>5.6726330718466902E-2</v>
      </c>
      <c r="T79" t="s">
        <v>1</v>
      </c>
      <c r="U79" t="s">
        <v>116</v>
      </c>
      <c r="V79" t="str">
        <f>VLOOKUP(Таблица15[[#This Row],[Модель]],Таблица14[#All],2,0)</f>
        <v>Внедорожник</v>
      </c>
      <c r="W79" s="20">
        <f>VLOOKUP(Таблица15[[#This Row],[Модель]],Таблица14[#All],3,0)</f>
        <v>15000</v>
      </c>
      <c r="X79" s="20">
        <f>VLOOKUP(Таблица15[[#This Row],[Модель]],Таблица14[#All],4,0)</f>
        <v>13000</v>
      </c>
      <c r="Y79" s="4">
        <f>VLOOKUP(Таблица15[[#This Row],[Модель]],Таблица14[#All],5,0)</f>
        <v>18000</v>
      </c>
      <c r="Z79" t="str">
        <f>VLOOKUP(Таблица15[[#This Row],[Модель]],Таблица14[#All],6,0)</f>
        <v>МКПП</v>
      </c>
      <c r="AA79" t="str">
        <f>VLOOKUP(Таблица15[[#This Row],[Модель]],Таблица14[#All],7,0)</f>
        <v>Бензин</v>
      </c>
      <c r="AB79" t="str">
        <f>VLOOKUP(Таблица15[[#This Row],[Модель]],Таблица14[#All],8,0)</f>
        <v>Комфорт</v>
      </c>
      <c r="AC79" t="str">
        <f>VLOOKUP(Таблица15[[#This Row],[Модель]],Таблица14[#All],9,0)</f>
        <v>Средний</v>
      </c>
      <c r="AD79">
        <f>VLOOKUP(Таблица15[[#This Row],[Модель]],Таблица14[#All],10,0)</f>
        <v>135</v>
      </c>
      <c r="AE79">
        <f>VLOOKUP(Таблица15[[#This Row],[Модель]],Таблица14[#All],11,0)</f>
        <v>14</v>
      </c>
      <c r="AF79">
        <v>2021</v>
      </c>
      <c r="AG79">
        <v>0</v>
      </c>
      <c r="AH79" s="22">
        <f>VLOOKUP(Таблица15[[#This Row],[Модель]],Таблица14[#All],12,0)/1000000</f>
        <v>7.59</v>
      </c>
      <c r="AI79" s="21">
        <f>VLOOKUP(Таблица15[[#This Row],[Модель]],Таблица14[#All],13,0)/1000000</f>
        <v>7.59</v>
      </c>
      <c r="AJ79" s="21">
        <f>VLOOKUP(Таблица15[[#This Row],[Модель]],Таблица14[#All],14,0)/1000000</f>
        <v>7.59</v>
      </c>
      <c r="AK79" s="21">
        <f>Таблица15[[#This Row],[Средняя цена (USD)]]*Таблица15[[#This Row],[Кол-во проданных]]/1000000</f>
        <v>0</v>
      </c>
      <c r="AL79" s="39">
        <f>Таблица15[[#This Row],[Средняя цена млн. ₸]]/440*Таблица15[[#This Row],[Кол-во проданных]]</f>
        <v>0</v>
      </c>
      <c r="AM79" s="39">
        <f>Таблица15[[#This Row],[Средняя цена млн. ₸]]*Таблица15[[#This Row],[Кол-во проданных]]/1000</f>
        <v>0</v>
      </c>
      <c r="AP79" s="18" t="s">
        <v>69</v>
      </c>
      <c r="AQ79" s="18" t="s">
        <v>199</v>
      </c>
      <c r="AR79" s="4">
        <v>13000</v>
      </c>
      <c r="AS79" s="4">
        <v>11000</v>
      </c>
      <c r="AT79" s="4">
        <v>15000</v>
      </c>
      <c r="AU79" s="18" t="s">
        <v>206</v>
      </c>
      <c r="AV79" s="18" t="s">
        <v>208</v>
      </c>
      <c r="AW79" s="18" t="s">
        <v>213</v>
      </c>
      <c r="AX79" s="18" t="s">
        <v>216</v>
      </c>
      <c r="AY79" s="20">
        <v>110</v>
      </c>
      <c r="AZ79" s="20">
        <v>16</v>
      </c>
      <c r="BA79" s="4">
        <f>AVERAGE(Таблица14[[#This Row],[Мин. ₸]],Таблица14[[#This Row],[Макс. ₸]])</f>
        <v>7640000</v>
      </c>
      <c r="BB79" s="4">
        <v>7190000</v>
      </c>
      <c r="BC79" s="4">
        <v>8090000</v>
      </c>
      <c r="BD79" s="4">
        <f>Таблица14[[#This Row],[Средняя цена ₸]]/$BI$2</f>
        <v>17363.636363636364</v>
      </c>
      <c r="BE79" s="2">
        <f>Таблица14[[#This Row],[Перевод в USD из ₸]]/Таблица14[[#This Row],[Средняя цена (USD)]]-1</f>
        <v>0.33566433566433562</v>
      </c>
      <c r="BG79" s="4"/>
      <c r="BH79" s="4"/>
      <c r="BI79" s="4"/>
      <c r="BJ79" s="4"/>
    </row>
    <row r="80" spans="2:62">
      <c r="B80" t="s">
        <v>81</v>
      </c>
      <c r="C80" s="20">
        <v>20000</v>
      </c>
      <c r="D80" s="16">
        <v>7.3212514651519248E-3</v>
      </c>
      <c r="E80" s="16">
        <v>4.6071081096548958E-3</v>
      </c>
      <c r="F80" s="16">
        <v>0</v>
      </c>
      <c r="G80" s="16">
        <v>0</v>
      </c>
      <c r="H80" s="16">
        <v>0</v>
      </c>
      <c r="I80" s="16">
        <v>3.2689033319368587E-3</v>
      </c>
      <c r="J80" s="16"/>
      <c r="K80" s="14" t="s">
        <v>259</v>
      </c>
      <c r="L80" s="16">
        <v>0.60281309169596975</v>
      </c>
      <c r="M80" s="16">
        <v>0.49720521185066485</v>
      </c>
      <c r="N80" s="16">
        <v>0.4255616207254288</v>
      </c>
      <c r="O80" s="16">
        <v>0.42391076083062595</v>
      </c>
      <c r="P80" s="16">
        <v>0.54373318988703601</v>
      </c>
      <c r="Q80" s="16">
        <v>0.51118460752020722</v>
      </c>
      <c r="T80" t="s">
        <v>1</v>
      </c>
      <c r="U80" t="s">
        <v>116</v>
      </c>
      <c r="V80" t="str">
        <f>VLOOKUP(Таблица15[[#This Row],[Модель]],Таблица14[#All],2,0)</f>
        <v>Внедорожник</v>
      </c>
      <c r="W80" s="20">
        <f>VLOOKUP(Таблица15[[#This Row],[Модель]],Таблица14[#All],3,0)</f>
        <v>15000</v>
      </c>
      <c r="X80" s="20">
        <f>VLOOKUP(Таблица15[[#This Row],[Модель]],Таблица14[#All],4,0)</f>
        <v>13000</v>
      </c>
      <c r="Y80" s="4">
        <f>VLOOKUP(Таблица15[[#This Row],[Модель]],Таблица14[#All],5,0)</f>
        <v>18000</v>
      </c>
      <c r="Z80" t="str">
        <f>VLOOKUP(Таблица15[[#This Row],[Модель]],Таблица14[#All],6,0)</f>
        <v>МКПП</v>
      </c>
      <c r="AA80" t="str">
        <f>VLOOKUP(Таблица15[[#This Row],[Модель]],Таблица14[#All],7,0)</f>
        <v>Бензин</v>
      </c>
      <c r="AB80" t="str">
        <f>VLOOKUP(Таблица15[[#This Row],[Модель]],Таблица14[#All],8,0)</f>
        <v>Комфорт</v>
      </c>
      <c r="AC80" t="str">
        <f>VLOOKUP(Таблица15[[#This Row],[Модель]],Таблица14[#All],9,0)</f>
        <v>Средний</v>
      </c>
      <c r="AD80">
        <f>VLOOKUP(Таблица15[[#This Row],[Модель]],Таблица14[#All],10,0)</f>
        <v>135</v>
      </c>
      <c r="AE80">
        <f>VLOOKUP(Таблица15[[#This Row],[Модель]],Таблица14[#All],11,0)</f>
        <v>14</v>
      </c>
      <c r="AF80">
        <v>2020</v>
      </c>
      <c r="AG80">
        <v>686</v>
      </c>
      <c r="AH80" s="22">
        <f>VLOOKUP(Таблица15[[#This Row],[Модель]],Таблица14[#All],12,0)/1000000</f>
        <v>7.59</v>
      </c>
      <c r="AI80" s="21">
        <f>VLOOKUP(Таблица15[[#This Row],[Модель]],Таблица14[#All],13,0)/1000000</f>
        <v>7.59</v>
      </c>
      <c r="AJ80" s="21">
        <f>VLOOKUP(Таблица15[[#This Row],[Модель]],Таблица14[#All],14,0)/1000000</f>
        <v>7.59</v>
      </c>
      <c r="AK80" s="21">
        <f>Таблица15[[#This Row],[Средняя цена (USD)]]*Таблица15[[#This Row],[Кол-во проданных]]/1000000</f>
        <v>10.29</v>
      </c>
      <c r="AL80" s="39">
        <f>Таблица15[[#This Row],[Средняя цена млн. ₸]]/440*Таблица15[[#This Row],[Кол-во проданных]]</f>
        <v>11.833499999999999</v>
      </c>
      <c r="AM80" s="39">
        <f>Таблица15[[#This Row],[Средняя цена млн. ₸]]*Таблица15[[#This Row],[Кол-во проданных]]/1000</f>
        <v>5.2067399999999999</v>
      </c>
      <c r="AP80" s="18" t="s">
        <v>93</v>
      </c>
      <c r="AQ80" s="18" t="s">
        <v>202</v>
      </c>
      <c r="AR80" s="4">
        <v>25000</v>
      </c>
      <c r="AS80" s="4">
        <v>22000</v>
      </c>
      <c r="AT80" s="4">
        <v>30000</v>
      </c>
      <c r="AU80" s="18" t="s">
        <v>204</v>
      </c>
      <c r="AV80" s="18" t="s">
        <v>208</v>
      </c>
      <c r="AW80" s="18" t="s">
        <v>212</v>
      </c>
      <c r="AX80" s="18" t="s">
        <v>217</v>
      </c>
      <c r="AY80" s="20">
        <v>170</v>
      </c>
      <c r="AZ80" s="20">
        <v>12.5</v>
      </c>
      <c r="BA80" s="4">
        <f>AVERAGE(Таблица14[[#This Row],[Мин. ₸]],Таблица14[[#This Row],[Макс. ₸]])</f>
        <v>13995000</v>
      </c>
      <c r="BB80" s="4">
        <v>13490000</v>
      </c>
      <c r="BC80" s="4">
        <v>14500000</v>
      </c>
      <c r="BD80" s="4">
        <f>Таблица14[[#This Row],[Средняя цена ₸]]/$BI$2</f>
        <v>31806.81818181818</v>
      </c>
      <c r="BE80" s="2">
        <f>Таблица14[[#This Row],[Перевод в USD из ₸]]/Таблица14[[#This Row],[Средняя цена (USD)]]-1</f>
        <v>0.27227272727272722</v>
      </c>
      <c r="BG80" s="4"/>
      <c r="BH80" s="4"/>
      <c r="BI80" s="4"/>
      <c r="BJ80" s="4"/>
    </row>
    <row r="81" spans="2:62">
      <c r="B81" t="s">
        <v>71</v>
      </c>
      <c r="C81" s="20">
        <v>18000</v>
      </c>
      <c r="D81" s="16">
        <v>1.0164397559582846E-2</v>
      </c>
      <c r="E81" s="16">
        <v>0</v>
      </c>
      <c r="F81" s="16">
        <v>0</v>
      </c>
      <c r="G81" s="16">
        <v>0</v>
      </c>
      <c r="H81" s="16">
        <v>0</v>
      </c>
      <c r="I81" s="16">
        <v>3.2496857932423446E-3</v>
      </c>
      <c r="J81" s="16"/>
      <c r="K81" s="14" t="s">
        <v>260</v>
      </c>
      <c r="L81" s="16">
        <v>0.34604634388242722</v>
      </c>
      <c r="M81" s="16">
        <v>0.42568534310078404</v>
      </c>
      <c r="N81" s="16">
        <v>0.5271235904943814</v>
      </c>
      <c r="O81" s="16">
        <v>0.53669503773887905</v>
      </c>
      <c r="P81" s="16">
        <v>0.38161838161838163</v>
      </c>
      <c r="Q81" s="16">
        <v>0.43208906176132583</v>
      </c>
      <c r="T81" t="s">
        <v>1</v>
      </c>
      <c r="U81" t="s">
        <v>116</v>
      </c>
      <c r="V81" t="str">
        <f>VLOOKUP(Таблица15[[#This Row],[Модель]],Таблица14[#All],2,0)</f>
        <v>Внедорожник</v>
      </c>
      <c r="W81" s="20">
        <f>VLOOKUP(Таблица15[[#This Row],[Модель]],Таблица14[#All],3,0)</f>
        <v>15000</v>
      </c>
      <c r="X81" s="20">
        <f>VLOOKUP(Таблица15[[#This Row],[Модель]],Таблица14[#All],4,0)</f>
        <v>13000</v>
      </c>
      <c r="Y81" s="4">
        <f>VLOOKUP(Таблица15[[#This Row],[Модель]],Таблица14[#All],5,0)</f>
        <v>18000</v>
      </c>
      <c r="Z81" t="str">
        <f>VLOOKUP(Таблица15[[#This Row],[Модель]],Таблица14[#All],6,0)</f>
        <v>МКПП</v>
      </c>
      <c r="AA81" t="str">
        <f>VLOOKUP(Таблица15[[#This Row],[Модель]],Таблица14[#All],7,0)</f>
        <v>Бензин</v>
      </c>
      <c r="AB81" t="str">
        <f>VLOOKUP(Таблица15[[#This Row],[Модель]],Таблица14[#All],8,0)</f>
        <v>Комфорт</v>
      </c>
      <c r="AC81" t="str">
        <f>VLOOKUP(Таблица15[[#This Row],[Модель]],Таблица14[#All],9,0)</f>
        <v>Средний</v>
      </c>
      <c r="AD81">
        <f>VLOOKUP(Таблица15[[#This Row],[Модель]],Таблица14[#All],10,0)</f>
        <v>135</v>
      </c>
      <c r="AE81">
        <f>VLOOKUP(Таблица15[[#This Row],[Модель]],Таблица14[#All],11,0)</f>
        <v>14</v>
      </c>
      <c r="AF81">
        <v>2019</v>
      </c>
      <c r="AG81">
        <v>746</v>
      </c>
      <c r="AH81" s="22">
        <f>VLOOKUP(Таблица15[[#This Row],[Модель]],Таблица14[#All],12,0)/1000000</f>
        <v>7.59</v>
      </c>
      <c r="AI81" s="21">
        <f>VLOOKUP(Таблица15[[#This Row],[Модель]],Таблица14[#All],13,0)/1000000</f>
        <v>7.59</v>
      </c>
      <c r="AJ81" s="21">
        <f>VLOOKUP(Таблица15[[#This Row],[Модель]],Таблица14[#All],14,0)/1000000</f>
        <v>7.59</v>
      </c>
      <c r="AK81" s="21">
        <f>Таблица15[[#This Row],[Средняя цена (USD)]]*Таблица15[[#This Row],[Кол-во проданных]]/1000000</f>
        <v>11.19</v>
      </c>
      <c r="AL81" s="39">
        <f>Таблица15[[#This Row],[Средняя цена млн. ₸]]/440*Таблица15[[#This Row],[Кол-во проданных]]</f>
        <v>12.868499999999999</v>
      </c>
      <c r="AM81" s="39">
        <f>Таблица15[[#This Row],[Средняя цена млн. ₸]]*Таблица15[[#This Row],[Кол-во проданных]]/1000</f>
        <v>5.66214</v>
      </c>
      <c r="AP81" s="18" t="s">
        <v>88</v>
      </c>
      <c r="AQ81" s="18" t="s">
        <v>200</v>
      </c>
      <c r="AR81" s="4">
        <v>10000</v>
      </c>
      <c r="AS81" s="4">
        <v>8000</v>
      </c>
      <c r="AT81" s="4">
        <v>12000</v>
      </c>
      <c r="AU81" s="18" t="s">
        <v>205</v>
      </c>
      <c r="AV81" s="18" t="s">
        <v>208</v>
      </c>
      <c r="AW81" s="18" t="s">
        <v>213</v>
      </c>
      <c r="AX81" s="18" t="s">
        <v>216</v>
      </c>
      <c r="AY81" s="20">
        <v>80</v>
      </c>
      <c r="AZ81" s="20">
        <v>18</v>
      </c>
      <c r="BA81" s="4">
        <f>AVERAGE(Таблица14[[#This Row],[Мин. ₸]],Таблица14[[#This Row],[Макс. ₸]])</f>
        <v>4720000</v>
      </c>
      <c r="BB81" s="4">
        <v>4350000</v>
      </c>
      <c r="BC81" s="4">
        <v>5090000</v>
      </c>
      <c r="BD81" s="4">
        <f>Таблица14[[#This Row],[Средняя цена ₸]]/$BI$2</f>
        <v>10727.272727272728</v>
      </c>
      <c r="BE81" s="2">
        <f>Таблица14[[#This Row],[Перевод в USD из ₸]]/Таблица14[[#This Row],[Средняя цена (USD)]]-1</f>
        <v>7.2727272727272751E-2</v>
      </c>
      <c r="BG81" s="4"/>
      <c r="BH81" s="4"/>
      <c r="BI81" s="4"/>
      <c r="BJ81" s="4"/>
    </row>
    <row r="82" spans="2:62">
      <c r="B82" t="s">
        <v>105</v>
      </c>
      <c r="C82" s="20">
        <v>25000</v>
      </c>
      <c r="D82" s="16">
        <v>0</v>
      </c>
      <c r="E82" s="16">
        <v>0</v>
      </c>
      <c r="F82" s="16">
        <v>9.7053490920020555E-3</v>
      </c>
      <c r="G82" s="16">
        <v>4.7683166359896731E-3</v>
      </c>
      <c r="H82" s="16">
        <v>3.9806347498655189E-3</v>
      </c>
      <c r="I82" s="16">
        <v>3.163206869117031E-3</v>
      </c>
      <c r="J82" s="16"/>
      <c r="K82" s="14" t="s">
        <v>155</v>
      </c>
      <c r="L82" s="16">
        <v>1</v>
      </c>
      <c r="M82" s="16">
        <v>1</v>
      </c>
      <c r="N82" s="16">
        <v>1</v>
      </c>
      <c r="O82" s="16">
        <v>1</v>
      </c>
      <c r="P82" s="16">
        <v>1</v>
      </c>
      <c r="Q82" s="16">
        <v>1</v>
      </c>
      <c r="T82" t="s">
        <v>1</v>
      </c>
      <c r="U82" t="s">
        <v>50</v>
      </c>
      <c r="V82" t="str">
        <f>VLOOKUP(Таблица15[[#This Row],[Модель]],Таблица14[#All],2,0)</f>
        <v>Хэтчбэк</v>
      </c>
      <c r="W82" s="20">
        <f>VLOOKUP(Таблица15[[#This Row],[Модель]],Таблица14[#All],3,0)</f>
        <v>12000</v>
      </c>
      <c r="X82" s="20">
        <f>VLOOKUP(Таблица15[[#This Row],[Модель]],Таблица14[#All],4,0)</f>
        <v>10000</v>
      </c>
      <c r="Y82" s="4">
        <f>VLOOKUP(Таблица15[[#This Row],[Модель]],Таблица14[#All],5,0)</f>
        <v>14000</v>
      </c>
      <c r="Z82" t="str">
        <f>VLOOKUP(Таблица15[[#This Row],[Модель]],Таблица14[#All],6,0)</f>
        <v>МКПП, АКПП</v>
      </c>
      <c r="AA82" t="str">
        <f>VLOOKUP(Таблица15[[#This Row],[Модель]],Таблица14[#All],7,0)</f>
        <v>Бензин</v>
      </c>
      <c r="AB82" t="str">
        <f>VLOOKUP(Таблица15[[#This Row],[Модель]],Таблица14[#All],8,0)</f>
        <v>Эконом</v>
      </c>
      <c r="AC82" t="str">
        <f>VLOOKUP(Таблица15[[#This Row],[Модель]],Таблица14[#All],9,0)</f>
        <v>Маленький</v>
      </c>
      <c r="AD82">
        <f>VLOOKUP(Таблица15[[#This Row],[Модель]],Таблица14[#All],10,0)</f>
        <v>100</v>
      </c>
      <c r="AE82">
        <f>VLOOKUP(Таблица15[[#This Row],[Модель]],Таблица14[#All],11,0)</f>
        <v>16.5</v>
      </c>
      <c r="AF82">
        <v>2023</v>
      </c>
      <c r="AG82">
        <v>6003</v>
      </c>
      <c r="AH82" s="22">
        <f>VLOOKUP(Таблица15[[#This Row],[Модель]],Таблица14[#All],12,0)/1000000</f>
        <v>8.2899999999999991</v>
      </c>
      <c r="AI82" s="21">
        <f>VLOOKUP(Таблица15[[#This Row],[Модель]],Таблица14[#All],13,0)/1000000</f>
        <v>7.29</v>
      </c>
      <c r="AJ82" s="21">
        <f>VLOOKUP(Таблица15[[#This Row],[Модель]],Таблица14[#All],14,0)/1000000</f>
        <v>9.2899999999999991</v>
      </c>
      <c r="AK82" s="21">
        <f>Таблица15[[#This Row],[Средняя цена (USD)]]*Таблица15[[#This Row],[Кол-во проданных]]/1000000</f>
        <v>72.036000000000001</v>
      </c>
      <c r="AL82" s="39">
        <f>Таблица15[[#This Row],[Средняя цена млн. ₸]]/440*Таблица15[[#This Row],[Кол-во проданных]]</f>
        <v>113.10197727272725</v>
      </c>
      <c r="AM82" s="39">
        <f>Таблица15[[#This Row],[Средняя цена млн. ₸]]*Таблица15[[#This Row],[Кол-во проданных]]/1000</f>
        <v>49.764869999999995</v>
      </c>
      <c r="AP82" s="18" t="s">
        <v>25</v>
      </c>
      <c r="AQ82" s="18" t="s">
        <v>199</v>
      </c>
      <c r="AR82" s="4">
        <v>12000</v>
      </c>
      <c r="AS82" s="4">
        <v>10000</v>
      </c>
      <c r="AT82" s="4">
        <v>14000</v>
      </c>
      <c r="AU82" s="18" t="s">
        <v>206</v>
      </c>
      <c r="AV82" s="18" t="s">
        <v>208</v>
      </c>
      <c r="AW82" s="18" t="s">
        <v>213</v>
      </c>
      <c r="AX82" s="18" t="s">
        <v>216</v>
      </c>
      <c r="AY82" s="20">
        <v>105</v>
      </c>
      <c r="AZ82" s="20">
        <v>16.5</v>
      </c>
      <c r="BA82" s="4">
        <f>AVERAGE(Таблица14[[#This Row],[Мин. ₸]],Таблица14[[#This Row],[Макс. ₸]])</f>
        <v>7090000</v>
      </c>
      <c r="BB82" s="4">
        <v>6590000</v>
      </c>
      <c r="BC82" s="4">
        <v>7590000</v>
      </c>
      <c r="BD82" s="4">
        <f>Таблица14[[#This Row],[Средняя цена ₸]]/$BI$2</f>
        <v>16113.636363636364</v>
      </c>
      <c r="BE82" s="2">
        <f>Таблица14[[#This Row],[Перевод в USD из ₸]]/Таблица14[[#This Row],[Средняя цена (USD)]]-1</f>
        <v>0.34280303030303028</v>
      </c>
      <c r="BG82" s="4"/>
      <c r="BH82" s="4"/>
      <c r="BI82" s="4"/>
      <c r="BJ82" s="4"/>
    </row>
    <row r="83" spans="2:62">
      <c r="B83" t="s">
        <v>112</v>
      </c>
      <c r="C83" s="20">
        <v>14000</v>
      </c>
      <c r="D83" s="16">
        <v>0</v>
      </c>
      <c r="E83" s="16">
        <v>0</v>
      </c>
      <c r="F83" s="16">
        <v>4.4890875420548967E-3</v>
      </c>
      <c r="G83" s="16">
        <v>6.188929105261207E-3</v>
      </c>
      <c r="H83" s="16">
        <v>9.7287328056558826E-3</v>
      </c>
      <c r="I83" s="16">
        <v>3.0690409295139115E-3</v>
      </c>
      <c r="J83" s="16"/>
      <c r="T83" t="s">
        <v>1</v>
      </c>
      <c r="U83" t="s">
        <v>50</v>
      </c>
      <c r="V83" t="str">
        <f>VLOOKUP(Таблица15[[#This Row],[Модель]],Таблица14[#All],2,0)</f>
        <v>Хэтчбэк</v>
      </c>
      <c r="W83" s="20">
        <f>VLOOKUP(Таблица15[[#This Row],[Модель]],Таблица14[#All],3,0)</f>
        <v>12000</v>
      </c>
      <c r="X83" s="20">
        <f>VLOOKUP(Таблица15[[#This Row],[Модель]],Таблица14[#All],4,0)</f>
        <v>10000</v>
      </c>
      <c r="Y83" s="4">
        <f>VLOOKUP(Таблица15[[#This Row],[Модель]],Таблица14[#All],5,0)</f>
        <v>14000</v>
      </c>
      <c r="Z83" t="str">
        <f>VLOOKUP(Таблица15[[#This Row],[Модель]],Таблица14[#All],6,0)</f>
        <v>МКПП, АКПП</v>
      </c>
      <c r="AA83" t="str">
        <f>VLOOKUP(Таблица15[[#This Row],[Модель]],Таблица14[#All],7,0)</f>
        <v>Бензин</v>
      </c>
      <c r="AB83" t="str">
        <f>VLOOKUP(Таблица15[[#This Row],[Модель]],Таблица14[#All],8,0)</f>
        <v>Эконом</v>
      </c>
      <c r="AC83" t="str">
        <f>VLOOKUP(Таблица15[[#This Row],[Модель]],Таблица14[#All],9,0)</f>
        <v>Маленький</v>
      </c>
      <c r="AD83">
        <f>VLOOKUP(Таблица15[[#This Row],[Модель]],Таблица14[#All],10,0)</f>
        <v>100</v>
      </c>
      <c r="AE83">
        <f>VLOOKUP(Таблица15[[#This Row],[Модель]],Таблица14[#All],11,0)</f>
        <v>16.5</v>
      </c>
      <c r="AF83">
        <v>2022</v>
      </c>
      <c r="AG83">
        <v>0</v>
      </c>
      <c r="AH83" s="22">
        <f>VLOOKUP(Таблица15[[#This Row],[Модель]],Таблица14[#All],12,0)/1000000</f>
        <v>8.2899999999999991</v>
      </c>
      <c r="AI83" s="21">
        <f>VLOOKUP(Таблица15[[#This Row],[Модель]],Таблица14[#All],13,0)/1000000</f>
        <v>7.29</v>
      </c>
      <c r="AJ83" s="21">
        <f>VLOOKUP(Таблица15[[#This Row],[Модель]],Таблица14[#All],14,0)/1000000</f>
        <v>9.2899999999999991</v>
      </c>
      <c r="AK83" s="21">
        <f>Таблица15[[#This Row],[Средняя цена (USD)]]*Таблица15[[#This Row],[Кол-во проданных]]/1000000</f>
        <v>0</v>
      </c>
      <c r="AL83" s="39">
        <f>Таблица15[[#This Row],[Средняя цена млн. ₸]]/440*Таблица15[[#This Row],[Кол-во проданных]]</f>
        <v>0</v>
      </c>
      <c r="AM83" s="39">
        <f>Таблица15[[#This Row],[Средняя цена млн. ₸]]*Таблица15[[#This Row],[Кол-во проданных]]/1000</f>
        <v>0</v>
      </c>
      <c r="AP83" s="18" t="s">
        <v>70</v>
      </c>
      <c r="AQ83" s="18" t="s">
        <v>202</v>
      </c>
      <c r="AR83" s="4">
        <v>22000</v>
      </c>
      <c r="AS83" s="4">
        <v>19000</v>
      </c>
      <c r="AT83" s="4">
        <v>25000</v>
      </c>
      <c r="AU83" s="18" t="s">
        <v>204</v>
      </c>
      <c r="AV83" s="18" t="s">
        <v>208</v>
      </c>
      <c r="AW83" s="18" t="s">
        <v>212</v>
      </c>
      <c r="AX83" s="18" t="s">
        <v>217</v>
      </c>
      <c r="AY83" s="20">
        <v>170</v>
      </c>
      <c r="AZ83" s="20">
        <v>12.5</v>
      </c>
      <c r="BA83" s="4">
        <f>AVERAGE(Таблица14[[#This Row],[Мин. ₸]],Таблица14[[#This Row],[Макс. ₸]])</f>
        <v>14250000</v>
      </c>
      <c r="BB83" s="4">
        <v>13500000</v>
      </c>
      <c r="BC83" s="4">
        <v>15000000</v>
      </c>
      <c r="BD83" s="4">
        <f>Таблица14[[#This Row],[Средняя цена ₸]]/$BI$2</f>
        <v>32386.363636363636</v>
      </c>
      <c r="BE83" s="2">
        <f>Таблица14[[#This Row],[Перевод в USD из ₸]]/Таблица14[[#This Row],[Средняя цена (USD)]]-1</f>
        <v>0.47210743801652888</v>
      </c>
      <c r="BG83" s="4"/>
      <c r="BH83" s="4"/>
      <c r="BI83" s="4"/>
      <c r="BJ83" s="4"/>
    </row>
    <row r="84" spans="2:62">
      <c r="B84" t="s">
        <v>109</v>
      </c>
      <c r="C84" s="20">
        <v>10000</v>
      </c>
      <c r="D84" s="16">
        <v>0</v>
      </c>
      <c r="E84" s="16">
        <v>0</v>
      </c>
      <c r="F84" s="16">
        <v>6.0597833991021827E-3</v>
      </c>
      <c r="G84" s="16">
        <v>6.287754320514879E-3</v>
      </c>
      <c r="H84" s="16">
        <v>6.5319296088526858E-3</v>
      </c>
      <c r="I84" s="16">
        <v>2.996014282474758E-3</v>
      </c>
      <c r="J84" s="16"/>
      <c r="T84" t="s">
        <v>1</v>
      </c>
      <c r="U84" t="s">
        <v>50</v>
      </c>
      <c r="V84" t="str">
        <f>VLOOKUP(Таблица15[[#This Row],[Модель]],Таблица14[#All],2,0)</f>
        <v>Хэтчбэк</v>
      </c>
      <c r="W84" s="20">
        <f>VLOOKUP(Таблица15[[#This Row],[Модель]],Таблица14[#All],3,0)</f>
        <v>12000</v>
      </c>
      <c r="X84" s="20">
        <f>VLOOKUP(Таблица15[[#This Row],[Модель]],Таблица14[#All],4,0)</f>
        <v>10000</v>
      </c>
      <c r="Y84" s="4">
        <f>VLOOKUP(Таблица15[[#This Row],[Модель]],Таблица14[#All],5,0)</f>
        <v>14000</v>
      </c>
      <c r="Z84" t="str">
        <f>VLOOKUP(Таблица15[[#This Row],[Модель]],Таблица14[#All],6,0)</f>
        <v>МКПП, АКПП</v>
      </c>
      <c r="AA84" t="str">
        <f>VLOOKUP(Таблица15[[#This Row],[Модель]],Таблица14[#All],7,0)</f>
        <v>Бензин</v>
      </c>
      <c r="AB84" t="str">
        <f>VLOOKUP(Таблица15[[#This Row],[Модель]],Таблица14[#All],8,0)</f>
        <v>Эконом</v>
      </c>
      <c r="AC84" t="str">
        <f>VLOOKUP(Таблица15[[#This Row],[Модель]],Таблица14[#All],9,0)</f>
        <v>Маленький</v>
      </c>
      <c r="AD84">
        <f>VLOOKUP(Таблица15[[#This Row],[Модель]],Таблица14[#All],10,0)</f>
        <v>100</v>
      </c>
      <c r="AE84">
        <f>VLOOKUP(Таблица15[[#This Row],[Модель]],Таблица14[#All],11,0)</f>
        <v>16.5</v>
      </c>
      <c r="AF84">
        <v>2021</v>
      </c>
      <c r="AG84">
        <v>0</v>
      </c>
      <c r="AH84" s="22">
        <f>VLOOKUP(Таблица15[[#This Row],[Модель]],Таблица14[#All],12,0)/1000000</f>
        <v>8.2899999999999991</v>
      </c>
      <c r="AI84" s="21">
        <f>VLOOKUP(Таблица15[[#This Row],[Модель]],Таблица14[#All],13,0)/1000000</f>
        <v>7.29</v>
      </c>
      <c r="AJ84" s="21">
        <f>VLOOKUP(Таблица15[[#This Row],[Модель]],Таблица14[#All],14,0)/1000000</f>
        <v>9.2899999999999991</v>
      </c>
      <c r="AK84" s="21">
        <f>Таблица15[[#This Row],[Средняя цена (USD)]]*Таблица15[[#This Row],[Кол-во проданных]]/1000000</f>
        <v>0</v>
      </c>
      <c r="AL84" s="39">
        <f>Таблица15[[#This Row],[Средняя цена млн. ₸]]/440*Таблица15[[#This Row],[Кол-во проданных]]</f>
        <v>0</v>
      </c>
      <c r="AM84" s="39">
        <f>Таблица15[[#This Row],[Средняя цена млн. ₸]]*Таблица15[[#This Row],[Кол-во проданных]]/1000</f>
        <v>0</v>
      </c>
      <c r="AP84" s="18" t="s">
        <v>55</v>
      </c>
      <c r="AQ84" s="18" t="s">
        <v>202</v>
      </c>
      <c r="AR84" s="4">
        <v>18000</v>
      </c>
      <c r="AS84" s="4">
        <v>16000</v>
      </c>
      <c r="AT84" s="4">
        <v>22000</v>
      </c>
      <c r="AU84" s="18" t="s">
        <v>204</v>
      </c>
      <c r="AV84" s="18" t="s">
        <v>208</v>
      </c>
      <c r="AW84" s="18" t="s">
        <v>212</v>
      </c>
      <c r="AX84" s="18" t="s">
        <v>217</v>
      </c>
      <c r="AY84" s="20">
        <v>150</v>
      </c>
      <c r="AZ84" s="20">
        <v>13.5</v>
      </c>
      <c r="BA84" s="4">
        <f>AVERAGE(Таблица14[[#This Row],[Мин. ₸]],Таблица14[[#This Row],[Макс. ₸]])</f>
        <v>12095000</v>
      </c>
      <c r="BB84" s="4">
        <v>9990000</v>
      </c>
      <c r="BC84" s="4">
        <v>14200000</v>
      </c>
      <c r="BD84" s="4">
        <f>Таблица14[[#This Row],[Средняя цена ₸]]/$BI$2</f>
        <v>27488.636363636364</v>
      </c>
      <c r="BE84" s="2">
        <f>Таблица14[[#This Row],[Перевод в USD из ₸]]/Таблица14[[#This Row],[Средняя цена (USD)]]-1</f>
        <v>0.52714646464646475</v>
      </c>
      <c r="BG84" s="4"/>
      <c r="BH84" s="4"/>
      <c r="BI84" s="4"/>
      <c r="BJ84" s="4"/>
    </row>
    <row r="85" spans="2:62">
      <c r="B85" t="s">
        <v>93</v>
      </c>
      <c r="C85" s="20">
        <v>25000</v>
      </c>
      <c r="D85" s="16">
        <v>0</v>
      </c>
      <c r="E85" s="16">
        <v>7.2683568934928172E-3</v>
      </c>
      <c r="F85" s="16">
        <v>6.9711748223271509E-3</v>
      </c>
      <c r="G85" s="16">
        <v>0</v>
      </c>
      <c r="H85" s="16">
        <v>0</v>
      </c>
      <c r="I85" s="16">
        <v>2.8461174806575472E-3</v>
      </c>
      <c r="J85" s="16"/>
      <c r="T85" t="s">
        <v>1</v>
      </c>
      <c r="U85" t="s">
        <v>50</v>
      </c>
      <c r="V85" t="str">
        <f>VLOOKUP(Таблица15[[#This Row],[Модель]],Таблица14[#All],2,0)</f>
        <v>Хэтчбэк</v>
      </c>
      <c r="W85" s="20">
        <f>VLOOKUP(Таблица15[[#This Row],[Модель]],Таблица14[#All],3,0)</f>
        <v>12000</v>
      </c>
      <c r="X85" s="20">
        <f>VLOOKUP(Таблица15[[#This Row],[Модель]],Таблица14[#All],4,0)</f>
        <v>10000</v>
      </c>
      <c r="Y85" s="4">
        <f>VLOOKUP(Таблица15[[#This Row],[Модель]],Таблица14[#All],5,0)</f>
        <v>14000</v>
      </c>
      <c r="Z85" t="str">
        <f>VLOOKUP(Таблица15[[#This Row],[Модель]],Таблица14[#All],6,0)</f>
        <v>МКПП, АКПП</v>
      </c>
      <c r="AA85" t="str">
        <f>VLOOKUP(Таблица15[[#This Row],[Модель]],Таблица14[#All],7,0)</f>
        <v>Бензин</v>
      </c>
      <c r="AB85" t="str">
        <f>VLOOKUP(Таблица15[[#This Row],[Модель]],Таблица14[#All],8,0)</f>
        <v>Эконом</v>
      </c>
      <c r="AC85" t="str">
        <f>VLOOKUP(Таблица15[[#This Row],[Модель]],Таблица14[#All],9,0)</f>
        <v>Маленький</v>
      </c>
      <c r="AD85">
        <f>VLOOKUP(Таблица15[[#This Row],[Модель]],Таблица14[#All],10,0)</f>
        <v>100</v>
      </c>
      <c r="AE85">
        <f>VLOOKUP(Таблица15[[#This Row],[Модель]],Таблица14[#All],11,0)</f>
        <v>16.5</v>
      </c>
      <c r="AF85">
        <v>2020</v>
      </c>
      <c r="AG85">
        <v>0</v>
      </c>
      <c r="AH85" s="22">
        <f>VLOOKUP(Таблица15[[#This Row],[Модель]],Таблица14[#All],12,0)/1000000</f>
        <v>8.2899999999999991</v>
      </c>
      <c r="AI85" s="21">
        <f>VLOOKUP(Таблица15[[#This Row],[Модель]],Таблица14[#All],13,0)/1000000</f>
        <v>7.29</v>
      </c>
      <c r="AJ85" s="21">
        <f>VLOOKUP(Таблица15[[#This Row],[Модель]],Таблица14[#All],14,0)/1000000</f>
        <v>9.2899999999999991</v>
      </c>
      <c r="AK85" s="21">
        <f>Таблица15[[#This Row],[Средняя цена (USD)]]*Таблица15[[#This Row],[Кол-во проданных]]/1000000</f>
        <v>0</v>
      </c>
      <c r="AL85" s="39">
        <f>Таблица15[[#This Row],[Средняя цена млн. ₸]]/440*Таблица15[[#This Row],[Кол-во проданных]]</f>
        <v>0</v>
      </c>
      <c r="AM85" s="39">
        <f>Таблица15[[#This Row],[Средняя цена млн. ₸]]*Таблица15[[#This Row],[Кол-во проданных]]/1000</f>
        <v>0</v>
      </c>
      <c r="AP85" s="18" t="s">
        <v>64</v>
      </c>
      <c r="AQ85" s="18" t="s">
        <v>202</v>
      </c>
      <c r="AR85" s="4">
        <v>15000</v>
      </c>
      <c r="AS85" s="4">
        <v>13000</v>
      </c>
      <c r="AT85" s="4">
        <v>18000</v>
      </c>
      <c r="AU85" s="18" t="s">
        <v>206</v>
      </c>
      <c r="AV85" s="18" t="s">
        <v>208</v>
      </c>
      <c r="AW85" s="18" t="s">
        <v>213</v>
      </c>
      <c r="AX85" s="18" t="s">
        <v>216</v>
      </c>
      <c r="AY85" s="20">
        <v>120</v>
      </c>
      <c r="AZ85" s="20">
        <v>15</v>
      </c>
      <c r="BA85" s="4">
        <f>AVERAGE(Таблица14[[#This Row],[Мин. ₸]],Таблица14[[#This Row],[Макс. ₸]])</f>
        <v>9795000</v>
      </c>
      <c r="BB85" s="4">
        <v>8590000</v>
      </c>
      <c r="BC85" s="4">
        <v>11000000</v>
      </c>
      <c r="BD85" s="4">
        <f>Таблица14[[#This Row],[Средняя цена ₸]]/$BI$2</f>
        <v>22261.363636363636</v>
      </c>
      <c r="BE85" s="2">
        <f>Таблица14[[#This Row],[Перевод в USD из ₸]]/Таблица14[[#This Row],[Средняя цена (USD)]]-1</f>
        <v>0.48409090909090913</v>
      </c>
      <c r="BG85" s="4"/>
      <c r="BH85" s="4"/>
      <c r="BI85" s="4"/>
      <c r="BJ85" s="4"/>
    </row>
    <row r="86" spans="2:62">
      <c r="B86" t="s">
        <v>116</v>
      </c>
      <c r="C86" s="20">
        <v>15000</v>
      </c>
      <c r="D86" s="16">
        <v>0</v>
      </c>
      <c r="E86" s="16">
        <v>0</v>
      </c>
      <c r="F86" s="16">
        <v>0</v>
      </c>
      <c r="G86" s="16">
        <v>8.474262208002372E-3</v>
      </c>
      <c r="H86" s="16">
        <v>1.1465457619303773E-2</v>
      </c>
      <c r="I86" s="16">
        <v>2.7519515410544277E-3</v>
      </c>
      <c r="J86" s="16"/>
      <c r="T86" t="s">
        <v>1</v>
      </c>
      <c r="U86" t="s">
        <v>50</v>
      </c>
      <c r="V86" t="str">
        <f>VLOOKUP(Таблица15[[#This Row],[Модель]],Таблица14[#All],2,0)</f>
        <v>Хэтчбэк</v>
      </c>
      <c r="W86" s="20">
        <f>VLOOKUP(Таблица15[[#This Row],[Модель]],Таблица14[#All],3,0)</f>
        <v>12000</v>
      </c>
      <c r="X86" s="20">
        <f>VLOOKUP(Таблица15[[#This Row],[Модель]],Таблица14[#All],4,0)</f>
        <v>10000</v>
      </c>
      <c r="Y86" s="4">
        <f>VLOOKUP(Таблица15[[#This Row],[Модель]],Таблица14[#All],5,0)</f>
        <v>14000</v>
      </c>
      <c r="Z86" t="str">
        <f>VLOOKUP(Таблица15[[#This Row],[Модель]],Таблица14[#All],6,0)</f>
        <v>МКПП, АКПП</v>
      </c>
      <c r="AA86" t="str">
        <f>VLOOKUP(Таблица15[[#This Row],[Модель]],Таблица14[#All],7,0)</f>
        <v>Бензин</v>
      </c>
      <c r="AB86" t="str">
        <f>VLOOKUP(Таблица15[[#This Row],[Модель]],Таблица14[#All],8,0)</f>
        <v>Эконом</v>
      </c>
      <c r="AC86" t="str">
        <f>VLOOKUP(Таблица15[[#This Row],[Модель]],Таблица14[#All],9,0)</f>
        <v>Маленький</v>
      </c>
      <c r="AD86">
        <f>VLOOKUP(Таблица15[[#This Row],[Модель]],Таблица14[#All],10,0)</f>
        <v>100</v>
      </c>
      <c r="AE86">
        <f>VLOOKUP(Таблица15[[#This Row],[Модель]],Таблица14[#All],11,0)</f>
        <v>16.5</v>
      </c>
      <c r="AF86">
        <v>2019</v>
      </c>
      <c r="AG86">
        <v>0</v>
      </c>
      <c r="AH86" s="22">
        <f>VLOOKUP(Таблица15[[#This Row],[Модель]],Таблица14[#All],12,0)/1000000</f>
        <v>8.2899999999999991</v>
      </c>
      <c r="AI86" s="21">
        <f>VLOOKUP(Таблица15[[#This Row],[Модель]],Таблица14[#All],13,0)/1000000</f>
        <v>7.29</v>
      </c>
      <c r="AJ86" s="21">
        <f>VLOOKUP(Таблица15[[#This Row],[Модель]],Таблица14[#All],14,0)/1000000</f>
        <v>9.2899999999999991</v>
      </c>
      <c r="AK86" s="21">
        <f>Таблица15[[#This Row],[Средняя цена (USD)]]*Таблица15[[#This Row],[Кол-во проданных]]/1000000</f>
        <v>0</v>
      </c>
      <c r="AL86" s="39">
        <f>Таблица15[[#This Row],[Средняя цена млн. ₸]]/440*Таблица15[[#This Row],[Кол-во проданных]]</f>
        <v>0</v>
      </c>
      <c r="AM86" s="39">
        <f>Таблица15[[#This Row],[Средняя цена млн. ₸]]*Таблица15[[#This Row],[Кол-во проданных]]/1000</f>
        <v>0</v>
      </c>
      <c r="AP86" s="18" t="s">
        <v>57</v>
      </c>
      <c r="AQ86" s="18" t="s">
        <v>202</v>
      </c>
      <c r="AR86" s="4">
        <v>13000</v>
      </c>
      <c r="AS86" s="4">
        <v>11000</v>
      </c>
      <c r="AT86" s="4">
        <v>15000</v>
      </c>
      <c r="AU86" s="18" t="s">
        <v>206</v>
      </c>
      <c r="AV86" s="18" t="s">
        <v>208</v>
      </c>
      <c r="AW86" s="18" t="s">
        <v>213</v>
      </c>
      <c r="AX86" s="18" t="s">
        <v>216</v>
      </c>
      <c r="AY86" s="20">
        <v>100</v>
      </c>
      <c r="AZ86" s="20">
        <v>16</v>
      </c>
      <c r="BA86" s="4">
        <f>AVERAGE(Таблица14[[#This Row],[Мин. ₸]],Таблица14[[#This Row],[Макс. ₸]])</f>
        <v>7240000</v>
      </c>
      <c r="BB86" s="4">
        <v>6990000</v>
      </c>
      <c r="BC86" s="4">
        <v>7490000</v>
      </c>
      <c r="BD86" s="4">
        <f>Таблица14[[#This Row],[Средняя цена ₸]]/$BI$2</f>
        <v>16454.545454545456</v>
      </c>
      <c r="BE86" s="2">
        <f>Таблица14[[#This Row],[Перевод в USD из ₸]]/Таблица14[[#This Row],[Средняя цена (USD)]]-1</f>
        <v>0.26573426573426584</v>
      </c>
      <c r="BG86" s="4"/>
      <c r="BH86" s="4"/>
      <c r="BI86" s="4"/>
      <c r="BJ86" s="4"/>
    </row>
    <row r="87" spans="2:62">
      <c r="B87" t="s">
        <v>76</v>
      </c>
      <c r="C87" s="20">
        <v>22000</v>
      </c>
      <c r="D87" s="16">
        <v>8.3911880503711716E-3</v>
      </c>
      <c r="E87" s="16">
        <v>0</v>
      </c>
      <c r="F87" s="16">
        <v>0</v>
      </c>
      <c r="G87" s="16">
        <v>0</v>
      </c>
      <c r="H87" s="16">
        <v>0</v>
      </c>
      <c r="I87" s="16">
        <v>2.6827684017541771E-3</v>
      </c>
      <c r="J87" s="16"/>
      <c r="T87" t="s">
        <v>1</v>
      </c>
      <c r="U87" t="s">
        <v>85</v>
      </c>
      <c r="V87" t="str">
        <f>VLOOKUP(Таблица15[[#This Row],[Модель]],Таблица14[#All],2,0)</f>
        <v>Хэтчбэк</v>
      </c>
      <c r="W87" s="20">
        <f>VLOOKUP(Таблица15[[#This Row],[Модель]],Таблица14[#All],3,0)</f>
        <v>10000</v>
      </c>
      <c r="X87" s="20">
        <f>VLOOKUP(Таблица15[[#This Row],[Модель]],Таблица14[#All],4,0)</f>
        <v>8000</v>
      </c>
      <c r="Y87" s="4">
        <f>VLOOKUP(Таблица15[[#This Row],[Модель]],Таблица14[#All],5,0)</f>
        <v>12000</v>
      </c>
      <c r="Z87" t="str">
        <f>VLOOKUP(Таблица15[[#This Row],[Модель]],Таблица14[#All],6,0)</f>
        <v>МКПП, АКПП</v>
      </c>
      <c r="AA87" t="str">
        <f>VLOOKUP(Таблица15[[#This Row],[Модель]],Таблица14[#All],7,0)</f>
        <v>Бензин</v>
      </c>
      <c r="AB87" t="str">
        <f>VLOOKUP(Таблица15[[#This Row],[Модель]],Таблица14[#All],8,0)</f>
        <v>Эконом</v>
      </c>
      <c r="AC87" t="str">
        <f>VLOOKUP(Таблица15[[#This Row],[Модель]],Таблица14[#All],9,0)</f>
        <v>Маленький</v>
      </c>
      <c r="AD87">
        <f>VLOOKUP(Таблица15[[#This Row],[Модель]],Таблица14[#All],10,0)</f>
        <v>80</v>
      </c>
      <c r="AE87">
        <f>VLOOKUP(Таблица15[[#This Row],[Модель]],Таблица14[#All],11,0)</f>
        <v>18</v>
      </c>
      <c r="AF87">
        <v>2023</v>
      </c>
      <c r="AG87">
        <v>997</v>
      </c>
      <c r="AH87" s="22">
        <f>VLOOKUP(Таблица15[[#This Row],[Модель]],Таблица14[#All],12,0)/1000000</f>
        <v>5.6050000000000004</v>
      </c>
      <c r="AI87" s="21">
        <f>VLOOKUP(Таблица15[[#This Row],[Модель]],Таблица14[#All],13,0)/1000000</f>
        <v>5.32</v>
      </c>
      <c r="AJ87" s="21">
        <f>VLOOKUP(Таблица15[[#This Row],[Модель]],Таблица14[#All],14,0)/1000000</f>
        <v>5.89</v>
      </c>
      <c r="AK87" s="21">
        <f>Таблица15[[#This Row],[Средняя цена (USD)]]*Таблица15[[#This Row],[Кол-во проданных]]/1000000</f>
        <v>9.9700000000000006</v>
      </c>
      <c r="AL87" s="39">
        <f>Таблица15[[#This Row],[Средняя цена млн. ₸]]/440*Таблица15[[#This Row],[Кол-во проданных]]</f>
        <v>12.700420454545457</v>
      </c>
      <c r="AM87" s="39">
        <f>Таблица15[[#This Row],[Средняя цена млн. ₸]]*Таблица15[[#This Row],[Кол-во проданных]]/1000</f>
        <v>5.5881850000000002</v>
      </c>
      <c r="AP87" s="18" t="s">
        <v>76</v>
      </c>
      <c r="AQ87" s="18" t="s">
        <v>202</v>
      </c>
      <c r="AR87" s="4">
        <v>22000</v>
      </c>
      <c r="AS87" s="4">
        <v>19000</v>
      </c>
      <c r="AT87" s="4">
        <v>25000</v>
      </c>
      <c r="AU87" s="18" t="s">
        <v>204</v>
      </c>
      <c r="AV87" s="18" t="s">
        <v>208</v>
      </c>
      <c r="AW87" s="18" t="s">
        <v>212</v>
      </c>
      <c r="AX87" s="18" t="s">
        <v>217</v>
      </c>
      <c r="AY87" s="20">
        <v>170</v>
      </c>
      <c r="AZ87" s="20">
        <v>12.5</v>
      </c>
      <c r="BA87" s="4">
        <f>AVERAGE(Таблица14[[#This Row],[Мин. ₸]],Таблица14[[#This Row],[Макс. ₸]])</f>
        <v>13940000</v>
      </c>
      <c r="BB87" s="4">
        <v>12890000</v>
      </c>
      <c r="BC87" s="4">
        <v>14990000</v>
      </c>
      <c r="BD87" s="4">
        <f>Таблица14[[#This Row],[Средняя цена ₸]]/$BI$2</f>
        <v>31681.81818181818</v>
      </c>
      <c r="BE87" s="2">
        <f>Таблица14[[#This Row],[Перевод в USD из ₸]]/Таблица14[[#This Row],[Средняя цена (USD)]]-1</f>
        <v>0.44008264462809921</v>
      </c>
      <c r="BG87" s="4"/>
      <c r="BH87" s="4"/>
      <c r="BI87" s="4"/>
      <c r="BJ87" s="4"/>
    </row>
    <row r="88" spans="2:62">
      <c r="B88" t="s">
        <v>77</v>
      </c>
      <c r="C88" s="20">
        <v>18000</v>
      </c>
      <c r="D88" s="16">
        <v>8.1928290205271533E-3</v>
      </c>
      <c r="E88" s="16">
        <v>0</v>
      </c>
      <c r="F88" s="16">
        <v>0</v>
      </c>
      <c r="G88" s="16">
        <v>0</v>
      </c>
      <c r="H88" s="16">
        <v>0</v>
      </c>
      <c r="I88" s="16">
        <v>2.61935052406228E-3</v>
      </c>
      <c r="J88" s="16"/>
      <c r="T88" t="s">
        <v>1</v>
      </c>
      <c r="U88" t="s">
        <v>85</v>
      </c>
      <c r="V88" t="str">
        <f>VLOOKUP(Таблица15[[#This Row],[Модель]],Таблица14[#All],2,0)</f>
        <v>Хэтчбэк</v>
      </c>
      <c r="W88" s="20">
        <f>VLOOKUP(Таблица15[[#This Row],[Модель]],Таблица14[#All],3,0)</f>
        <v>10000</v>
      </c>
      <c r="X88" s="20">
        <f>VLOOKUP(Таблица15[[#This Row],[Модель]],Таблица14[#All],4,0)</f>
        <v>8000</v>
      </c>
      <c r="Y88" s="4">
        <f>VLOOKUP(Таблица15[[#This Row],[Модель]],Таблица14[#All],5,0)</f>
        <v>12000</v>
      </c>
      <c r="Z88" t="str">
        <f>VLOOKUP(Таблица15[[#This Row],[Модель]],Таблица14[#All],6,0)</f>
        <v>МКПП, АКПП</v>
      </c>
      <c r="AA88" t="str">
        <f>VLOOKUP(Таблица15[[#This Row],[Модель]],Таблица14[#All],7,0)</f>
        <v>Бензин</v>
      </c>
      <c r="AB88" t="str">
        <f>VLOOKUP(Таблица15[[#This Row],[Модель]],Таблица14[#All],8,0)</f>
        <v>Эконом</v>
      </c>
      <c r="AC88" t="str">
        <f>VLOOKUP(Таблица15[[#This Row],[Модель]],Таблица14[#All],9,0)</f>
        <v>Маленький</v>
      </c>
      <c r="AD88">
        <f>VLOOKUP(Таблица15[[#This Row],[Модель]],Таблица14[#All],10,0)</f>
        <v>80</v>
      </c>
      <c r="AE88">
        <f>VLOOKUP(Таблица15[[#This Row],[Модель]],Таблица14[#All],11,0)</f>
        <v>18</v>
      </c>
      <c r="AF88">
        <v>2022</v>
      </c>
      <c r="AG88">
        <v>956</v>
      </c>
      <c r="AH88" s="22">
        <f>VLOOKUP(Таблица15[[#This Row],[Модель]],Таблица14[#All],12,0)/1000000</f>
        <v>5.6050000000000004</v>
      </c>
      <c r="AI88" s="21">
        <f>VLOOKUP(Таблица15[[#This Row],[Модель]],Таблица14[#All],13,0)/1000000</f>
        <v>5.32</v>
      </c>
      <c r="AJ88" s="21">
        <f>VLOOKUP(Таблица15[[#This Row],[Модель]],Таблица14[#All],14,0)/1000000</f>
        <v>5.89</v>
      </c>
      <c r="AK88" s="21">
        <f>Таблица15[[#This Row],[Средняя цена (USD)]]*Таблица15[[#This Row],[Кол-во проданных]]/1000000</f>
        <v>9.56</v>
      </c>
      <c r="AL88" s="39">
        <f>Таблица15[[#This Row],[Средняя цена млн. ₸]]/440*Таблица15[[#This Row],[Кол-во проданных]]</f>
        <v>12.178136363636366</v>
      </c>
      <c r="AM88" s="39">
        <f>Таблица15[[#This Row],[Средняя цена млн. ₸]]*Таблица15[[#This Row],[Кол-во проданных]]/1000</f>
        <v>5.3583800000000004</v>
      </c>
      <c r="AP88" s="18" t="s">
        <v>58</v>
      </c>
      <c r="AQ88" s="18" t="s">
        <v>199</v>
      </c>
      <c r="AR88" s="4">
        <v>18000</v>
      </c>
      <c r="AS88" s="4">
        <v>16000</v>
      </c>
      <c r="AT88" s="4">
        <v>22000</v>
      </c>
      <c r="AU88" s="18" t="s">
        <v>206</v>
      </c>
      <c r="AV88" s="18" t="s">
        <v>208</v>
      </c>
      <c r="AW88" s="18" t="s">
        <v>212</v>
      </c>
      <c r="AX88" s="18" t="s">
        <v>217</v>
      </c>
      <c r="AY88" s="20">
        <v>150</v>
      </c>
      <c r="AZ88" s="20">
        <v>13.5</v>
      </c>
      <c r="BA88" s="4">
        <f>AVERAGE(Таблица14[[#This Row],[Мин. ₸]],Таблица14[[#This Row],[Макс. ₸]])</f>
        <v>10590000</v>
      </c>
      <c r="BB88" s="4">
        <v>9990000</v>
      </c>
      <c r="BC88" s="4">
        <v>11190000</v>
      </c>
      <c r="BD88" s="4">
        <f>Таблица14[[#This Row],[Средняя цена ₸]]/$BI$2</f>
        <v>24068.18181818182</v>
      </c>
      <c r="BE88" s="2">
        <f>Таблица14[[#This Row],[Перевод в USD из ₸]]/Таблица14[[#This Row],[Средняя цена (USD)]]-1</f>
        <v>0.33712121212121215</v>
      </c>
      <c r="BG88" s="4"/>
      <c r="BH88" s="4"/>
      <c r="BI88" s="4"/>
      <c r="BJ88" s="4"/>
    </row>
    <row r="89" spans="2:62">
      <c r="B89" t="s">
        <v>100</v>
      </c>
      <c r="C89" s="20">
        <v>22000</v>
      </c>
      <c r="D89" s="16">
        <v>0</v>
      </c>
      <c r="E89" s="16">
        <v>4.4163375875159771E-3</v>
      </c>
      <c r="F89" s="16">
        <v>8.3091749968489132E-3</v>
      </c>
      <c r="G89" s="16">
        <v>0</v>
      </c>
      <c r="H89" s="16">
        <v>0</v>
      </c>
      <c r="I89" s="16">
        <v>2.5367151076758692E-3</v>
      </c>
      <c r="J89" s="16"/>
      <c r="T89" t="s">
        <v>1</v>
      </c>
      <c r="U89" t="s">
        <v>85</v>
      </c>
      <c r="V89" t="str">
        <f>VLOOKUP(Таблица15[[#This Row],[Модель]],Таблица14[#All],2,0)</f>
        <v>Хэтчбэк</v>
      </c>
      <c r="W89" s="20">
        <f>VLOOKUP(Таблица15[[#This Row],[Модель]],Таблица14[#All],3,0)</f>
        <v>10000</v>
      </c>
      <c r="X89" s="20">
        <f>VLOOKUP(Таблица15[[#This Row],[Модель]],Таблица14[#All],4,0)</f>
        <v>8000</v>
      </c>
      <c r="Y89" s="4">
        <f>VLOOKUP(Таблица15[[#This Row],[Модель]],Таблица14[#All],5,0)</f>
        <v>12000</v>
      </c>
      <c r="Z89" t="str">
        <f>VLOOKUP(Таблица15[[#This Row],[Модель]],Таблица14[#All],6,0)</f>
        <v>МКПП, АКПП</v>
      </c>
      <c r="AA89" t="str">
        <f>VLOOKUP(Таблица15[[#This Row],[Модель]],Таблица14[#All],7,0)</f>
        <v>Бензин</v>
      </c>
      <c r="AB89" t="str">
        <f>VLOOKUP(Таблица15[[#This Row],[Модель]],Таблица14[#All],8,0)</f>
        <v>Эконом</v>
      </c>
      <c r="AC89" t="str">
        <f>VLOOKUP(Таблица15[[#This Row],[Модель]],Таблица14[#All],9,0)</f>
        <v>Маленький</v>
      </c>
      <c r="AD89">
        <f>VLOOKUP(Таблица15[[#This Row],[Модель]],Таблица14[#All],10,0)</f>
        <v>80</v>
      </c>
      <c r="AE89">
        <f>VLOOKUP(Таблица15[[#This Row],[Модель]],Таблица14[#All],11,0)</f>
        <v>18</v>
      </c>
      <c r="AF89">
        <v>2021</v>
      </c>
      <c r="AG89">
        <v>0</v>
      </c>
      <c r="AH89" s="22">
        <f>VLOOKUP(Таблица15[[#This Row],[Модель]],Таблица14[#All],12,0)/1000000</f>
        <v>5.6050000000000004</v>
      </c>
      <c r="AI89" s="21">
        <f>VLOOKUP(Таблица15[[#This Row],[Модель]],Таблица14[#All],13,0)/1000000</f>
        <v>5.32</v>
      </c>
      <c r="AJ89" s="21">
        <f>VLOOKUP(Таблица15[[#This Row],[Модель]],Таблица14[#All],14,0)/1000000</f>
        <v>5.89</v>
      </c>
      <c r="AK89" s="21">
        <f>Таблица15[[#This Row],[Средняя цена (USD)]]*Таблица15[[#This Row],[Кол-во проданных]]/1000000</f>
        <v>0</v>
      </c>
      <c r="AL89" s="39">
        <f>Таблица15[[#This Row],[Средняя цена млн. ₸]]/440*Таблица15[[#This Row],[Кол-во проданных]]</f>
        <v>0</v>
      </c>
      <c r="AM89" s="39">
        <f>Таблица15[[#This Row],[Средняя цена млн. ₸]]*Таблица15[[#This Row],[Кол-во проданных]]/1000</f>
        <v>0</v>
      </c>
      <c r="AP89" s="18" t="s">
        <v>89</v>
      </c>
      <c r="AQ89" s="18" t="s">
        <v>202</v>
      </c>
      <c r="AR89" s="4">
        <v>15000</v>
      </c>
      <c r="AS89" s="4">
        <v>13000</v>
      </c>
      <c r="AT89" s="4">
        <v>18000</v>
      </c>
      <c r="AU89" s="18" t="s">
        <v>206</v>
      </c>
      <c r="AV89" s="18" t="s">
        <v>208</v>
      </c>
      <c r="AW89" s="18" t="s">
        <v>213</v>
      </c>
      <c r="AX89" s="18" t="s">
        <v>216</v>
      </c>
      <c r="AY89" s="20">
        <v>120</v>
      </c>
      <c r="AZ89" s="20">
        <v>15</v>
      </c>
      <c r="BA89" s="4">
        <f>AVERAGE(Таблица14[[#This Row],[Мин. ₸]],Таблица14[[#This Row],[Макс. ₸]])</f>
        <v>9490000</v>
      </c>
      <c r="BB89" s="4">
        <v>8990000</v>
      </c>
      <c r="BC89" s="4">
        <v>9990000</v>
      </c>
      <c r="BD89" s="4">
        <f>Таблица14[[#This Row],[Средняя цена ₸]]/$BI$2</f>
        <v>21568.18181818182</v>
      </c>
      <c r="BE89" s="2">
        <f>Таблица14[[#This Row],[Перевод в USD из ₸]]/Таблица14[[#This Row],[Средняя цена (USD)]]-1</f>
        <v>0.43787878787878798</v>
      </c>
      <c r="BG89" s="4"/>
      <c r="BH89" s="4"/>
      <c r="BI89" s="4"/>
      <c r="BJ89" s="4"/>
    </row>
    <row r="90" spans="2:62">
      <c r="B90" t="s">
        <v>107</v>
      </c>
      <c r="C90" s="20">
        <v>20000</v>
      </c>
      <c r="D90" s="16">
        <v>0</v>
      </c>
      <c r="E90" s="16">
        <v>0</v>
      </c>
      <c r="F90" s="16">
        <v>6.9711748223271509E-3</v>
      </c>
      <c r="G90" s="16">
        <v>4.6818445726427094E-3</v>
      </c>
      <c r="H90" s="16">
        <v>3.2736494274955815E-3</v>
      </c>
      <c r="I90" s="16">
        <v>2.5194193228508066E-3</v>
      </c>
      <c r="J90" s="16"/>
      <c r="T90" t="s">
        <v>1</v>
      </c>
      <c r="U90" t="s">
        <v>85</v>
      </c>
      <c r="V90" t="str">
        <f>VLOOKUP(Таблица15[[#This Row],[Модель]],Таблица14[#All],2,0)</f>
        <v>Хэтчбэк</v>
      </c>
      <c r="W90" s="20">
        <f>VLOOKUP(Таблица15[[#This Row],[Модель]],Таблица14[#All],3,0)</f>
        <v>10000</v>
      </c>
      <c r="X90" s="20">
        <f>VLOOKUP(Таблица15[[#This Row],[Модель]],Таблица14[#All],4,0)</f>
        <v>8000</v>
      </c>
      <c r="Y90" s="4">
        <f>VLOOKUP(Таблица15[[#This Row],[Модель]],Таблица14[#All],5,0)</f>
        <v>12000</v>
      </c>
      <c r="Z90" t="str">
        <f>VLOOKUP(Таблица15[[#This Row],[Модель]],Таблица14[#All],6,0)</f>
        <v>МКПП, АКПП</v>
      </c>
      <c r="AA90" t="str">
        <f>VLOOKUP(Таблица15[[#This Row],[Модель]],Таблица14[#All],7,0)</f>
        <v>Бензин</v>
      </c>
      <c r="AB90" t="str">
        <f>VLOOKUP(Таблица15[[#This Row],[Модель]],Таблица14[#All],8,0)</f>
        <v>Эконом</v>
      </c>
      <c r="AC90" t="str">
        <f>VLOOKUP(Таблица15[[#This Row],[Модель]],Таблица14[#All],9,0)</f>
        <v>Маленький</v>
      </c>
      <c r="AD90">
        <f>VLOOKUP(Таблица15[[#This Row],[Модель]],Таблица14[#All],10,0)</f>
        <v>80</v>
      </c>
      <c r="AE90">
        <f>VLOOKUP(Таблица15[[#This Row],[Модель]],Таблица14[#All],11,0)</f>
        <v>18</v>
      </c>
      <c r="AF90">
        <v>2020</v>
      </c>
      <c r="AG90">
        <v>0</v>
      </c>
      <c r="AH90" s="22">
        <f>VLOOKUP(Таблица15[[#This Row],[Модель]],Таблица14[#All],12,0)/1000000</f>
        <v>5.6050000000000004</v>
      </c>
      <c r="AI90" s="21">
        <f>VLOOKUP(Таблица15[[#This Row],[Модель]],Таблица14[#All],13,0)/1000000</f>
        <v>5.32</v>
      </c>
      <c r="AJ90" s="21">
        <f>VLOOKUP(Таблица15[[#This Row],[Модель]],Таблица14[#All],14,0)/1000000</f>
        <v>5.89</v>
      </c>
      <c r="AK90" s="21">
        <f>Таблица15[[#This Row],[Средняя цена (USD)]]*Таблица15[[#This Row],[Кол-во проданных]]/1000000</f>
        <v>0</v>
      </c>
      <c r="AL90" s="39">
        <f>Таблица15[[#This Row],[Средняя цена млн. ₸]]/440*Таблица15[[#This Row],[Кол-во проданных]]</f>
        <v>0</v>
      </c>
      <c r="AM90" s="39">
        <f>Таблица15[[#This Row],[Средняя цена млн. ₸]]*Таблица15[[#This Row],[Кол-во проданных]]/1000</f>
        <v>0</v>
      </c>
      <c r="AP90" s="18" t="s">
        <v>42</v>
      </c>
      <c r="AQ90" s="18" t="s">
        <v>202</v>
      </c>
      <c r="AR90" s="4">
        <v>77000</v>
      </c>
      <c r="AS90" s="4">
        <v>65000</v>
      </c>
      <c r="AT90" s="4">
        <v>100000</v>
      </c>
      <c r="AU90" s="18" t="s">
        <v>204</v>
      </c>
      <c r="AV90" s="18" t="s">
        <v>210</v>
      </c>
      <c r="AW90" s="18" t="s">
        <v>214</v>
      </c>
      <c r="AX90" s="18" t="s">
        <v>215</v>
      </c>
      <c r="AY90" s="20">
        <v>375</v>
      </c>
      <c r="AZ90" s="20">
        <v>8.5</v>
      </c>
      <c r="BA90" s="4">
        <f>AVERAGE(Таблица14[[#This Row],[Мин. ₸]],Таблица14[[#This Row],[Макс. ₸]])</f>
        <v>77650000</v>
      </c>
      <c r="BB90" s="4">
        <v>69700000</v>
      </c>
      <c r="BC90" s="4">
        <v>85600000</v>
      </c>
      <c r="BD90" s="4">
        <f>Таблица14[[#This Row],[Средняя цена ₸]]/$BI$2</f>
        <v>176477.27272727274</v>
      </c>
      <c r="BE90" s="2">
        <f>Таблица14[[#This Row],[Перевод в USD из ₸]]/Таблица14[[#This Row],[Средняя цена (USD)]]-1</f>
        <v>1.2919126328217239</v>
      </c>
      <c r="BG90" s="4"/>
      <c r="BH90" s="4"/>
      <c r="BI90" s="4"/>
      <c r="BJ90" s="4"/>
    </row>
    <row r="91" spans="2:62">
      <c r="B91" t="s">
        <v>111</v>
      </c>
      <c r="C91" s="20">
        <v>20000</v>
      </c>
      <c r="D91" s="16">
        <v>0</v>
      </c>
      <c r="E91" s="16">
        <v>0</v>
      </c>
      <c r="F91" s="16">
        <v>5.1483919758772145E-3</v>
      </c>
      <c r="G91" s="16">
        <v>3.4712356857852281E-3</v>
      </c>
      <c r="H91" s="16">
        <v>4.7337278106508876E-3</v>
      </c>
      <c r="I91" s="16">
        <v>2.1523643337855859E-3</v>
      </c>
      <c r="J91" s="16"/>
      <c r="T91" t="s">
        <v>1</v>
      </c>
      <c r="U91" t="s">
        <v>85</v>
      </c>
      <c r="V91" t="str">
        <f>VLOOKUP(Таблица15[[#This Row],[Модель]],Таблица14[#All],2,0)</f>
        <v>Хэтчбэк</v>
      </c>
      <c r="W91" s="20">
        <f>VLOOKUP(Таблица15[[#This Row],[Модель]],Таблица14[#All],3,0)</f>
        <v>10000</v>
      </c>
      <c r="X91" s="20">
        <f>VLOOKUP(Таблица15[[#This Row],[Модель]],Таблица14[#All],4,0)</f>
        <v>8000</v>
      </c>
      <c r="Y91" s="4">
        <f>VLOOKUP(Таблица15[[#This Row],[Модель]],Таблица14[#All],5,0)</f>
        <v>12000</v>
      </c>
      <c r="Z91" t="str">
        <f>VLOOKUP(Таблица15[[#This Row],[Модель]],Таблица14[#All],6,0)</f>
        <v>МКПП, АКПП</v>
      </c>
      <c r="AA91" t="str">
        <f>VLOOKUP(Таблица15[[#This Row],[Модель]],Таблица14[#All],7,0)</f>
        <v>Бензин</v>
      </c>
      <c r="AB91" t="str">
        <f>VLOOKUP(Таблица15[[#This Row],[Модель]],Таблица14[#All],8,0)</f>
        <v>Эконом</v>
      </c>
      <c r="AC91" t="str">
        <f>VLOOKUP(Таблица15[[#This Row],[Модель]],Таблица14[#All],9,0)</f>
        <v>Маленький</v>
      </c>
      <c r="AD91">
        <f>VLOOKUP(Таблица15[[#This Row],[Модель]],Таблица14[#All],10,0)</f>
        <v>80</v>
      </c>
      <c r="AE91">
        <f>VLOOKUP(Таблица15[[#This Row],[Модель]],Таблица14[#All],11,0)</f>
        <v>18</v>
      </c>
      <c r="AF91">
        <v>2019</v>
      </c>
      <c r="AG91">
        <v>0</v>
      </c>
      <c r="AH91" s="22">
        <f>VLOOKUP(Таблица15[[#This Row],[Модель]],Таблица14[#All],12,0)/1000000</f>
        <v>5.6050000000000004</v>
      </c>
      <c r="AI91" s="21">
        <f>VLOOKUP(Таблица15[[#This Row],[Модель]],Таблица14[#All],13,0)/1000000</f>
        <v>5.32</v>
      </c>
      <c r="AJ91" s="21">
        <f>VLOOKUP(Таблица15[[#This Row],[Модель]],Таблица14[#All],14,0)/1000000</f>
        <v>5.89</v>
      </c>
      <c r="AK91" s="21">
        <f>Таблица15[[#This Row],[Средняя цена (USD)]]*Таблица15[[#This Row],[Кол-во проданных]]/1000000</f>
        <v>0</v>
      </c>
      <c r="AL91" s="39">
        <f>Таблица15[[#This Row],[Средняя цена млн. ₸]]/440*Таблица15[[#This Row],[Кол-во проданных]]</f>
        <v>0</v>
      </c>
      <c r="AM91" s="39">
        <f>Таблица15[[#This Row],[Средняя цена млн. ₸]]*Таблица15[[#This Row],[Кол-во проданных]]/1000</f>
        <v>0</v>
      </c>
      <c r="AP91" s="18" t="s">
        <v>43</v>
      </c>
      <c r="AQ91" s="18" t="s">
        <v>202</v>
      </c>
      <c r="AR91" s="4">
        <v>65000</v>
      </c>
      <c r="AS91" s="4">
        <v>55000</v>
      </c>
      <c r="AT91" s="4">
        <v>85000</v>
      </c>
      <c r="AU91" s="18" t="s">
        <v>204</v>
      </c>
      <c r="AV91" s="18" t="s">
        <v>210</v>
      </c>
      <c r="AW91" s="18" t="s">
        <v>214</v>
      </c>
      <c r="AX91" s="18" t="s">
        <v>217</v>
      </c>
      <c r="AY91" s="20">
        <v>335</v>
      </c>
      <c r="AZ91" s="20">
        <v>9.5</v>
      </c>
      <c r="BA91" s="4">
        <f>AVERAGE(Таблица14[[#This Row],[Мин. ₸]],Таблица14[[#This Row],[Макс. ₸]])</f>
        <v>51353291.5</v>
      </c>
      <c r="BB91" s="4">
        <v>45528375</v>
      </c>
      <c r="BC91" s="4">
        <v>57178208</v>
      </c>
      <c r="BD91" s="4">
        <f>Таблица14[[#This Row],[Средняя цена ₸]]/$BI$2</f>
        <v>116712.02613636364</v>
      </c>
      <c r="BE91" s="2">
        <f>Таблица14[[#This Row],[Перевод в USD из ₸]]/Таблица14[[#This Row],[Средняя цена (USD)]]-1</f>
        <v>0.79556963286713289</v>
      </c>
      <c r="BG91" s="4"/>
      <c r="BH91" s="4"/>
      <c r="BI91" s="4"/>
      <c r="BJ91" s="4"/>
    </row>
    <row r="92" spans="2:62">
      <c r="B92" t="s">
        <v>84</v>
      </c>
      <c r="C92" s="20">
        <v>22000</v>
      </c>
      <c r="D92" s="16">
        <v>6.1791843236257624E-3</v>
      </c>
      <c r="E92" s="16">
        <v>0</v>
      </c>
      <c r="F92" s="16">
        <v>0</v>
      </c>
      <c r="G92" s="16">
        <v>0</v>
      </c>
      <c r="H92" s="16">
        <v>0</v>
      </c>
      <c r="I92" s="16">
        <v>1.9755629777960556E-3</v>
      </c>
      <c r="J92" s="16"/>
      <c r="T92" t="s">
        <v>1</v>
      </c>
      <c r="U92" t="s">
        <v>83</v>
      </c>
      <c r="V92" t="str">
        <f>VLOOKUP(Таблица15[[#This Row],[Модель]],Таблица14[#All],2,0)</f>
        <v>Внедорожник</v>
      </c>
      <c r="W92" s="20">
        <f>VLOOKUP(Таблица15[[#This Row],[Модель]],Таблица14[#All],3,0)</f>
        <v>18000</v>
      </c>
      <c r="X92" s="20">
        <f>VLOOKUP(Таблица15[[#This Row],[Модель]],Таблица14[#All],4,0)</f>
        <v>16000</v>
      </c>
      <c r="Y92" s="4">
        <f>VLOOKUP(Таблица15[[#This Row],[Модель]],Таблица14[#All],5,0)</f>
        <v>22000</v>
      </c>
      <c r="Z92" t="str">
        <f>VLOOKUP(Таблица15[[#This Row],[Модель]],Таблица14[#All],6,0)</f>
        <v>АКПП</v>
      </c>
      <c r="AA92" t="str">
        <f>VLOOKUP(Таблица15[[#This Row],[Модель]],Таблица14[#All],7,0)</f>
        <v>Бензин</v>
      </c>
      <c r="AB92" t="str">
        <f>VLOOKUP(Таблица15[[#This Row],[Модель]],Таблица14[#All],8,0)</f>
        <v>Эконом</v>
      </c>
      <c r="AC92" t="str">
        <f>VLOOKUP(Таблица15[[#This Row],[Модель]],Таблица14[#All],9,0)</f>
        <v>Средний</v>
      </c>
      <c r="AD92">
        <f>VLOOKUP(Таблица15[[#This Row],[Модель]],Таблица14[#All],10,0)</f>
        <v>150</v>
      </c>
      <c r="AE92">
        <f>VLOOKUP(Таблица15[[#This Row],[Модель]],Таблица14[#All],11,0)</f>
        <v>13.5</v>
      </c>
      <c r="AF92">
        <v>2023</v>
      </c>
      <c r="AG92">
        <v>1072</v>
      </c>
      <c r="AH92" s="22">
        <f>VLOOKUP(Таблица15[[#This Row],[Модель]],Таблица14[#All],12,0)/1000000</f>
        <v>9.14</v>
      </c>
      <c r="AI92" s="21">
        <f>VLOOKUP(Таблица15[[#This Row],[Модель]],Таблица14[#All],13,0)/1000000</f>
        <v>8.59</v>
      </c>
      <c r="AJ92" s="21">
        <f>VLOOKUP(Таблица15[[#This Row],[Модель]],Таблица14[#All],14,0)/1000000</f>
        <v>9.69</v>
      </c>
      <c r="AK92" s="21">
        <f>Таблица15[[#This Row],[Средняя цена (USD)]]*Таблица15[[#This Row],[Кол-во проданных]]/1000000</f>
        <v>19.295999999999999</v>
      </c>
      <c r="AL92" s="39">
        <f>Таблица15[[#This Row],[Средняя цена млн. ₸]]/440*Таблица15[[#This Row],[Кол-во проданных]]</f>
        <v>22.268363636363635</v>
      </c>
      <c r="AM92" s="39">
        <f>Таблица15[[#This Row],[Средняя цена млн. ₸]]*Таблица15[[#This Row],[Кол-во проданных]]/1000</f>
        <v>9.7980800000000006</v>
      </c>
      <c r="AY92" s="18"/>
      <c r="AZ92" s="18"/>
    </row>
    <row r="93" spans="2:62">
      <c r="B93" t="s">
        <v>118</v>
      </c>
      <c r="C93" s="20">
        <v>12000</v>
      </c>
      <c r="D93" s="16">
        <v>0</v>
      </c>
      <c r="E93" s="16">
        <v>0</v>
      </c>
      <c r="F93" s="16">
        <v>0</v>
      </c>
      <c r="G93" s="16">
        <v>4.1877184963743496E-3</v>
      </c>
      <c r="H93" s="16">
        <v>9.7133635595174055E-3</v>
      </c>
      <c r="I93" s="16">
        <v>1.8660230072373252E-3</v>
      </c>
      <c r="J93" s="16"/>
      <c r="T93" t="s">
        <v>1</v>
      </c>
      <c r="U93" t="s">
        <v>83</v>
      </c>
      <c r="V93" t="str">
        <f>VLOOKUP(Таблица15[[#This Row],[Модель]],Таблица14[#All],2,0)</f>
        <v>Внедорожник</v>
      </c>
      <c r="W93" s="20">
        <f>VLOOKUP(Таблица15[[#This Row],[Модель]],Таблица14[#All],3,0)</f>
        <v>18000</v>
      </c>
      <c r="X93" s="20">
        <f>VLOOKUP(Таблица15[[#This Row],[Модель]],Таблица14[#All],4,0)</f>
        <v>16000</v>
      </c>
      <c r="Y93" s="4">
        <f>VLOOKUP(Таблица15[[#This Row],[Модель]],Таблица14[#All],5,0)</f>
        <v>22000</v>
      </c>
      <c r="Z93" t="str">
        <f>VLOOKUP(Таблица15[[#This Row],[Модель]],Таблица14[#All],6,0)</f>
        <v>АКПП</v>
      </c>
      <c r="AA93" t="str">
        <f>VLOOKUP(Таблица15[[#This Row],[Модель]],Таблица14[#All],7,0)</f>
        <v>Бензин</v>
      </c>
      <c r="AB93" t="str">
        <f>VLOOKUP(Таблица15[[#This Row],[Модель]],Таблица14[#All],8,0)</f>
        <v>Эконом</v>
      </c>
      <c r="AC93" t="str">
        <f>VLOOKUP(Таблица15[[#This Row],[Модель]],Таблица14[#All],9,0)</f>
        <v>Средний</v>
      </c>
      <c r="AD93">
        <f>VLOOKUP(Таблица15[[#This Row],[Модель]],Таблица14[#All],10,0)</f>
        <v>150</v>
      </c>
      <c r="AE93">
        <f>VLOOKUP(Таблица15[[#This Row],[Модель]],Таблица14[#All],11,0)</f>
        <v>13.5</v>
      </c>
      <c r="AF93">
        <v>2022</v>
      </c>
      <c r="AG93">
        <v>751</v>
      </c>
      <c r="AH93" s="22">
        <f>VLOOKUP(Таблица15[[#This Row],[Модель]],Таблица14[#All],12,0)/1000000</f>
        <v>9.14</v>
      </c>
      <c r="AI93" s="21">
        <f>VLOOKUP(Таблица15[[#This Row],[Модель]],Таблица14[#All],13,0)/1000000</f>
        <v>8.59</v>
      </c>
      <c r="AJ93" s="21">
        <f>VLOOKUP(Таблица15[[#This Row],[Модель]],Таблица14[#All],14,0)/1000000</f>
        <v>9.69</v>
      </c>
      <c r="AK93" s="21">
        <f>Таблица15[[#This Row],[Средняя цена (USD)]]*Таблица15[[#This Row],[Кол-во проданных]]/1000000</f>
        <v>13.518000000000001</v>
      </c>
      <c r="AL93" s="39">
        <f>Таблица15[[#This Row],[Средняя цена млн. ₸]]/440*Таблица15[[#This Row],[Кол-во проданных]]</f>
        <v>15.600318181818182</v>
      </c>
      <c r="AM93" s="39">
        <f>Таблица15[[#This Row],[Средняя цена млн. ₸]]*Таблица15[[#This Row],[Кол-во проданных]]/1000</f>
        <v>6.8641399999999999</v>
      </c>
      <c r="AR93" s="22"/>
      <c r="AS93" s="22"/>
      <c r="AT93" s="22"/>
    </row>
    <row r="94" spans="2:62">
      <c r="B94" t="s">
        <v>99</v>
      </c>
      <c r="C94" s="20">
        <v>20000</v>
      </c>
      <c r="D94" s="16">
        <v>0</v>
      </c>
      <c r="E94" s="16">
        <v>4.5975695835479505E-3</v>
      </c>
      <c r="F94" s="16">
        <v>0</v>
      </c>
      <c r="G94" s="16">
        <v>4.8918481550567624E-3</v>
      </c>
      <c r="H94" s="16">
        <v>0</v>
      </c>
      <c r="I94" s="16">
        <v>1.6872998973783435E-3</v>
      </c>
      <c r="J94" s="16"/>
      <c r="T94" t="s">
        <v>1</v>
      </c>
      <c r="U94" t="s">
        <v>83</v>
      </c>
      <c r="V94" t="str">
        <f>VLOOKUP(Таблица15[[#This Row],[Модель]],Таблица14[#All],2,0)</f>
        <v>Внедорожник</v>
      </c>
      <c r="W94" s="20">
        <f>VLOOKUP(Таблица15[[#This Row],[Модель]],Таблица14[#All],3,0)</f>
        <v>18000</v>
      </c>
      <c r="X94" s="20">
        <f>VLOOKUP(Таблица15[[#This Row],[Модель]],Таблица14[#All],4,0)</f>
        <v>16000</v>
      </c>
      <c r="Y94" s="4">
        <f>VLOOKUP(Таблица15[[#This Row],[Модель]],Таблица14[#All],5,0)</f>
        <v>22000</v>
      </c>
      <c r="Z94" t="str">
        <f>VLOOKUP(Таблица15[[#This Row],[Модель]],Таблица14[#All],6,0)</f>
        <v>АКПП</v>
      </c>
      <c r="AA94" t="str">
        <f>VLOOKUP(Таблица15[[#This Row],[Модель]],Таблица14[#All],7,0)</f>
        <v>Бензин</v>
      </c>
      <c r="AB94" t="str">
        <f>VLOOKUP(Таблица15[[#This Row],[Модель]],Таблица14[#All],8,0)</f>
        <v>Эконом</v>
      </c>
      <c r="AC94" t="str">
        <f>VLOOKUP(Таблица15[[#This Row],[Модель]],Таблица14[#All],9,0)</f>
        <v>Средний</v>
      </c>
      <c r="AD94">
        <f>VLOOKUP(Таблица15[[#This Row],[Модель]],Таблица14[#All],10,0)</f>
        <v>150</v>
      </c>
      <c r="AE94">
        <f>VLOOKUP(Таблица15[[#This Row],[Модель]],Таблица14[#All],11,0)</f>
        <v>13.5</v>
      </c>
      <c r="AF94">
        <v>2021</v>
      </c>
      <c r="AG94">
        <v>792</v>
      </c>
      <c r="AH94" s="22">
        <f>VLOOKUP(Таблица15[[#This Row],[Модель]],Таблица14[#All],12,0)/1000000</f>
        <v>9.14</v>
      </c>
      <c r="AI94" s="21">
        <f>VLOOKUP(Таблица15[[#This Row],[Модель]],Таблица14[#All],13,0)/1000000</f>
        <v>8.59</v>
      </c>
      <c r="AJ94" s="21">
        <f>VLOOKUP(Таблица15[[#This Row],[Модель]],Таблица14[#All],14,0)/1000000</f>
        <v>9.69</v>
      </c>
      <c r="AK94" s="21">
        <f>Таблица15[[#This Row],[Средняя цена (USD)]]*Таблица15[[#This Row],[Кол-во проданных]]/1000000</f>
        <v>14.256</v>
      </c>
      <c r="AL94" s="39">
        <f>Таблица15[[#This Row],[Средняя цена млн. ₸]]/440*Таблица15[[#This Row],[Кол-во проданных]]</f>
        <v>16.451999999999998</v>
      </c>
      <c r="AM94" s="39">
        <f>Таблица15[[#This Row],[Средняя цена млн. ₸]]*Таблица15[[#This Row],[Кол-во проданных]]/1000</f>
        <v>7.23888</v>
      </c>
      <c r="AR94" s="22"/>
      <c r="AS94" s="22"/>
      <c r="AT94" s="22"/>
    </row>
    <row r="95" spans="2:62">
      <c r="B95" t="s">
        <v>117</v>
      </c>
      <c r="C95" s="20">
        <v>25000</v>
      </c>
      <c r="D95" s="16">
        <v>0</v>
      </c>
      <c r="E95" s="16">
        <v>0</v>
      </c>
      <c r="F95" s="16">
        <v>0</v>
      </c>
      <c r="G95" s="16">
        <v>7.4489505997455251E-3</v>
      </c>
      <c r="H95" s="16">
        <v>3.4580803811573042E-3</v>
      </c>
      <c r="I95" s="16">
        <v>1.5912122039057725E-3</v>
      </c>
      <c r="J95" s="16"/>
      <c r="T95" t="s">
        <v>1</v>
      </c>
      <c r="U95" t="s">
        <v>83</v>
      </c>
      <c r="V95" t="str">
        <f>VLOOKUP(Таблица15[[#This Row],[Модель]],Таблица14[#All],2,0)</f>
        <v>Внедорожник</v>
      </c>
      <c r="W95" s="20">
        <f>VLOOKUP(Таблица15[[#This Row],[Модель]],Таблица14[#All],3,0)</f>
        <v>18000</v>
      </c>
      <c r="X95" s="20">
        <f>VLOOKUP(Таблица15[[#This Row],[Модель]],Таблица14[#All],4,0)</f>
        <v>16000</v>
      </c>
      <c r="Y95" s="4">
        <f>VLOOKUP(Таблица15[[#This Row],[Модель]],Таблица14[#All],5,0)</f>
        <v>22000</v>
      </c>
      <c r="Z95" t="str">
        <f>VLOOKUP(Таблица15[[#This Row],[Модель]],Таблица14[#All],6,0)</f>
        <v>АКПП</v>
      </c>
      <c r="AA95" t="str">
        <f>VLOOKUP(Таблица15[[#This Row],[Модель]],Таблица14[#All],7,0)</f>
        <v>Бензин</v>
      </c>
      <c r="AB95" t="str">
        <f>VLOOKUP(Таблица15[[#This Row],[Модель]],Таблица14[#All],8,0)</f>
        <v>Эконом</v>
      </c>
      <c r="AC95" t="str">
        <f>VLOOKUP(Таблица15[[#This Row],[Модель]],Таблица14[#All],9,0)</f>
        <v>Средний</v>
      </c>
      <c r="AD95">
        <f>VLOOKUP(Таблица15[[#This Row],[Модель]],Таблица14[#All],10,0)</f>
        <v>150</v>
      </c>
      <c r="AE95">
        <f>VLOOKUP(Таблица15[[#This Row],[Модель]],Таблица14[#All],11,0)</f>
        <v>13.5</v>
      </c>
      <c r="AF95">
        <v>2020</v>
      </c>
      <c r="AG95">
        <v>358</v>
      </c>
      <c r="AH95" s="22">
        <f>VLOOKUP(Таблица15[[#This Row],[Модель]],Таблица14[#All],12,0)/1000000</f>
        <v>9.14</v>
      </c>
      <c r="AI95" s="21">
        <f>VLOOKUP(Таблица15[[#This Row],[Модель]],Таблица14[#All],13,0)/1000000</f>
        <v>8.59</v>
      </c>
      <c r="AJ95" s="21">
        <f>VLOOKUP(Таблица15[[#This Row],[Модель]],Таблица14[#All],14,0)/1000000</f>
        <v>9.69</v>
      </c>
      <c r="AK95" s="21">
        <f>Таблица15[[#This Row],[Средняя цена (USD)]]*Таблица15[[#This Row],[Кол-во проданных]]/1000000</f>
        <v>6.444</v>
      </c>
      <c r="AL95" s="39">
        <f>Таблица15[[#This Row],[Средняя цена млн. ₸]]/440*Таблица15[[#This Row],[Кол-во проданных]]</f>
        <v>7.4366363636363637</v>
      </c>
      <c r="AM95" s="39">
        <f>Таблица15[[#This Row],[Средняя цена млн. ₸]]*Таблица15[[#This Row],[Кол-во проданных]]/1000</f>
        <v>3.2721200000000001</v>
      </c>
      <c r="AR95" s="22"/>
      <c r="AS95" s="22"/>
      <c r="AT95" s="22"/>
    </row>
    <row r="96" spans="2:62">
      <c r="B96" t="s">
        <v>86</v>
      </c>
      <c r="C96" s="20">
        <v>18000</v>
      </c>
      <c r="D96" s="16">
        <v>4.9289213476392266E-3</v>
      </c>
      <c r="E96" s="16">
        <v>0</v>
      </c>
      <c r="F96" s="16">
        <v>0</v>
      </c>
      <c r="G96" s="16">
        <v>0</v>
      </c>
      <c r="H96" s="16">
        <v>0</v>
      </c>
      <c r="I96" s="16">
        <v>1.5758381729501613E-3</v>
      </c>
      <c r="J96" s="16"/>
      <c r="T96" t="s">
        <v>1</v>
      </c>
      <c r="U96" t="s">
        <v>83</v>
      </c>
      <c r="V96" t="str">
        <f>VLOOKUP(Таблица15[[#This Row],[Модель]],Таблица14[#All],2,0)</f>
        <v>Внедорожник</v>
      </c>
      <c r="W96" s="20">
        <f>VLOOKUP(Таблица15[[#This Row],[Модель]],Таблица14[#All],3,0)</f>
        <v>18000</v>
      </c>
      <c r="X96" s="20">
        <f>VLOOKUP(Таблица15[[#This Row],[Модель]],Таблица14[#All],4,0)</f>
        <v>16000</v>
      </c>
      <c r="Y96" s="4">
        <f>VLOOKUP(Таблица15[[#This Row],[Модель]],Таблица14[#All],5,0)</f>
        <v>22000</v>
      </c>
      <c r="Z96" t="str">
        <f>VLOOKUP(Таблица15[[#This Row],[Модель]],Таблица14[#All],6,0)</f>
        <v>АКПП</v>
      </c>
      <c r="AA96" t="str">
        <f>VLOOKUP(Таблица15[[#This Row],[Модель]],Таблица14[#All],7,0)</f>
        <v>Бензин</v>
      </c>
      <c r="AB96" t="str">
        <f>VLOOKUP(Таблица15[[#This Row],[Модель]],Таблица14[#All],8,0)</f>
        <v>Эконом</v>
      </c>
      <c r="AC96" t="str">
        <f>VLOOKUP(Таблица15[[#This Row],[Модель]],Таблица14[#All],9,0)</f>
        <v>Средний</v>
      </c>
      <c r="AD96">
        <f>VLOOKUP(Таблица15[[#This Row],[Модель]],Таблица14[#All],10,0)</f>
        <v>150</v>
      </c>
      <c r="AE96">
        <f>VLOOKUP(Таблица15[[#This Row],[Модель]],Таблица14[#All],11,0)</f>
        <v>13.5</v>
      </c>
      <c r="AF96">
        <v>2019</v>
      </c>
      <c r="AG96">
        <v>0</v>
      </c>
      <c r="AH96" s="22">
        <f>VLOOKUP(Таблица15[[#This Row],[Модель]],Таблица14[#All],12,0)/1000000</f>
        <v>9.14</v>
      </c>
      <c r="AI96" s="21">
        <f>VLOOKUP(Таблица15[[#This Row],[Модель]],Таблица14[#All],13,0)/1000000</f>
        <v>8.59</v>
      </c>
      <c r="AJ96" s="21">
        <f>VLOOKUP(Таблица15[[#This Row],[Модель]],Таблица14[#All],14,0)/1000000</f>
        <v>9.69</v>
      </c>
      <c r="AK96" s="21">
        <f>Таблица15[[#This Row],[Средняя цена (USD)]]*Таблица15[[#This Row],[Кол-во проданных]]/1000000</f>
        <v>0</v>
      </c>
      <c r="AL96" s="39">
        <f>Таблица15[[#This Row],[Средняя цена млн. ₸]]/440*Таблица15[[#This Row],[Кол-во проданных]]</f>
        <v>0</v>
      </c>
      <c r="AM96" s="39">
        <f>Таблица15[[#This Row],[Средняя цена млн. ₸]]*Таблица15[[#This Row],[Кол-во проданных]]/1000</f>
        <v>0</v>
      </c>
      <c r="AR96" s="22"/>
      <c r="AS96" s="22"/>
      <c r="AT96" s="22"/>
    </row>
    <row r="97" spans="2:46">
      <c r="B97" t="s">
        <v>87</v>
      </c>
      <c r="C97" s="20">
        <v>28000</v>
      </c>
      <c r="D97" s="16">
        <v>4.8087037537943682E-3</v>
      </c>
      <c r="E97" s="16">
        <v>0</v>
      </c>
      <c r="F97" s="16">
        <v>0</v>
      </c>
      <c r="G97" s="16">
        <v>0</v>
      </c>
      <c r="H97" s="16">
        <v>0</v>
      </c>
      <c r="I97" s="16">
        <v>1.5374030955611329E-3</v>
      </c>
      <c r="J97" s="16"/>
      <c r="T97" t="s">
        <v>18</v>
      </c>
      <c r="U97" t="s">
        <v>77</v>
      </c>
      <c r="V97" t="str">
        <f>VLOOKUP(Таблица15[[#This Row],[Модель]],Таблица14[#All],2,0)</f>
        <v>Кроссовер</v>
      </c>
      <c r="W97" s="20">
        <f>VLOOKUP(Таблица15[[#This Row],[Модель]],Таблица14[#All],3,0)</f>
        <v>18000</v>
      </c>
      <c r="X97" s="20">
        <f>VLOOKUP(Таблица15[[#This Row],[Модель]],Таблица14[#All],4,0)</f>
        <v>16000</v>
      </c>
      <c r="Y97" s="4">
        <f>VLOOKUP(Таблица15[[#This Row],[Модель]],Таблица14[#All],5,0)</f>
        <v>22000</v>
      </c>
      <c r="Z97" t="str">
        <f>VLOOKUP(Таблица15[[#This Row],[Модель]],Таблица14[#All],6,0)</f>
        <v>АКПП</v>
      </c>
      <c r="AA97" t="str">
        <f>VLOOKUP(Таблица15[[#This Row],[Модель]],Таблица14[#All],7,0)</f>
        <v>Бензин</v>
      </c>
      <c r="AB97" t="str">
        <f>VLOOKUP(Таблица15[[#This Row],[Модель]],Таблица14[#All],8,0)</f>
        <v>Комфорт</v>
      </c>
      <c r="AC97" t="str">
        <f>VLOOKUP(Таблица15[[#This Row],[Модель]],Таблица14[#All],9,0)</f>
        <v>Средний</v>
      </c>
      <c r="AD97">
        <f>VLOOKUP(Таблица15[[#This Row],[Модель]],Таблица14[#All],10,0)</f>
        <v>155</v>
      </c>
      <c r="AE97">
        <f>VLOOKUP(Таблица15[[#This Row],[Модель]],Таблица14[#All],11,0)</f>
        <v>13</v>
      </c>
      <c r="AF97">
        <v>2023</v>
      </c>
      <c r="AG97">
        <v>1363</v>
      </c>
      <c r="AH97" s="22">
        <f>VLOOKUP(Таблица15[[#This Row],[Модель]],Таблица14[#All],12,0)/1000000</f>
        <v>12.865</v>
      </c>
      <c r="AI97" s="21">
        <f>VLOOKUP(Таблица15[[#This Row],[Модель]],Таблица14[#All],13,0)/1000000</f>
        <v>11.99</v>
      </c>
      <c r="AJ97" s="21">
        <f>VLOOKUP(Таблица15[[#This Row],[Модель]],Таблица14[#All],14,0)/1000000</f>
        <v>13.74</v>
      </c>
      <c r="AK97" s="21">
        <f>Таблица15[[#This Row],[Средняя цена (USD)]]*Таблица15[[#This Row],[Кол-во проданных]]/1000000</f>
        <v>24.533999999999999</v>
      </c>
      <c r="AL97" s="39">
        <f>Таблица15[[#This Row],[Средняя цена млн. ₸]]/440*Таблица15[[#This Row],[Кол-во проданных]]</f>
        <v>39.852261363636359</v>
      </c>
      <c r="AM97" s="39">
        <f>Таблица15[[#This Row],[Средняя цена млн. ₸]]*Таблица15[[#This Row],[Кол-во проданных]]/1000</f>
        <v>17.534994999999999</v>
      </c>
      <c r="AR97" s="22"/>
      <c r="AS97" s="22"/>
      <c r="AT97" s="22"/>
    </row>
    <row r="98" spans="2:46">
      <c r="B98" t="s">
        <v>92</v>
      </c>
      <c r="C98" s="20">
        <v>18000</v>
      </c>
      <c r="D98" s="16">
        <v>0</v>
      </c>
      <c r="E98" s="16">
        <v>7.3351265762414391E-3</v>
      </c>
      <c r="F98" s="16">
        <v>0</v>
      </c>
      <c r="G98" s="16">
        <v>0</v>
      </c>
      <c r="H98" s="16">
        <v>0</v>
      </c>
      <c r="I98" s="16">
        <v>1.4778287256081389E-3</v>
      </c>
      <c r="J98" s="16"/>
      <c r="T98" t="s">
        <v>18</v>
      </c>
      <c r="U98" t="s">
        <v>77</v>
      </c>
      <c r="V98" t="str">
        <f>VLOOKUP(Таблица15[[#This Row],[Модель]],Таблица14[#All],2,0)</f>
        <v>Кроссовер</v>
      </c>
      <c r="W98" s="20">
        <f>VLOOKUP(Таблица15[[#This Row],[Модель]],Таблица14[#All],3,0)</f>
        <v>18000</v>
      </c>
      <c r="X98" s="20">
        <f>VLOOKUP(Таблица15[[#This Row],[Модель]],Таблица14[#All],4,0)</f>
        <v>16000</v>
      </c>
      <c r="Y98" s="4">
        <f>VLOOKUP(Таблица15[[#This Row],[Модель]],Таблица14[#All],5,0)</f>
        <v>22000</v>
      </c>
      <c r="Z98" t="str">
        <f>VLOOKUP(Таблица15[[#This Row],[Модель]],Таблица14[#All],6,0)</f>
        <v>АКПП</v>
      </c>
      <c r="AA98" t="str">
        <f>VLOOKUP(Таблица15[[#This Row],[Модель]],Таблица14[#All],7,0)</f>
        <v>Бензин</v>
      </c>
      <c r="AB98" t="str">
        <f>VLOOKUP(Таблица15[[#This Row],[Модель]],Таблица14[#All],8,0)</f>
        <v>Комфорт</v>
      </c>
      <c r="AC98" t="str">
        <f>VLOOKUP(Таблица15[[#This Row],[Модель]],Таблица14[#All],9,0)</f>
        <v>Средний</v>
      </c>
      <c r="AD98">
        <f>VLOOKUP(Таблица15[[#This Row],[Модель]],Таблица14[#All],10,0)</f>
        <v>155</v>
      </c>
      <c r="AE98">
        <f>VLOOKUP(Таблица15[[#This Row],[Модель]],Таблица14[#All],11,0)</f>
        <v>13</v>
      </c>
      <c r="AF98">
        <v>2022</v>
      </c>
      <c r="AG98">
        <v>0</v>
      </c>
      <c r="AH98" s="22">
        <f>VLOOKUP(Таблица15[[#This Row],[Модель]],Таблица14[#All],12,0)/1000000</f>
        <v>12.865</v>
      </c>
      <c r="AI98" s="21">
        <f>VLOOKUP(Таблица15[[#This Row],[Модель]],Таблица14[#All],13,0)/1000000</f>
        <v>11.99</v>
      </c>
      <c r="AJ98" s="21">
        <f>VLOOKUP(Таблица15[[#This Row],[Модель]],Таблица14[#All],14,0)/1000000</f>
        <v>13.74</v>
      </c>
      <c r="AK98" s="21">
        <f>Таблица15[[#This Row],[Средняя цена (USD)]]*Таблица15[[#This Row],[Кол-во проданных]]/1000000</f>
        <v>0</v>
      </c>
      <c r="AL98" s="39">
        <f>Таблица15[[#This Row],[Средняя цена млн. ₸]]/440*Таблица15[[#This Row],[Кол-во проданных]]</f>
        <v>0</v>
      </c>
      <c r="AM98" s="39">
        <f>Таблица15[[#This Row],[Средняя цена млн. ₸]]*Таблица15[[#This Row],[Кол-во проданных]]/1000</f>
        <v>0</v>
      </c>
      <c r="AR98" s="22"/>
      <c r="AS98" s="22"/>
      <c r="AT98" s="22"/>
    </row>
    <row r="99" spans="2:46">
      <c r="B99" t="s">
        <v>89</v>
      </c>
      <c r="C99" s="20">
        <v>15000</v>
      </c>
      <c r="D99" s="16">
        <v>4.4660836113365188E-3</v>
      </c>
      <c r="E99" s="16">
        <v>0</v>
      </c>
      <c r="F99" s="16">
        <v>0</v>
      </c>
      <c r="G99" s="16">
        <v>0</v>
      </c>
      <c r="H99" s="16">
        <v>0</v>
      </c>
      <c r="I99" s="16">
        <v>1.4278631250024022E-3</v>
      </c>
      <c r="J99" s="16"/>
      <c r="T99" t="s">
        <v>18</v>
      </c>
      <c r="U99" t="s">
        <v>77</v>
      </c>
      <c r="V99" t="str">
        <f>VLOOKUP(Таблица15[[#This Row],[Модель]],Таблица14[#All],2,0)</f>
        <v>Кроссовер</v>
      </c>
      <c r="W99" s="20">
        <f>VLOOKUP(Таблица15[[#This Row],[Модель]],Таблица14[#All],3,0)</f>
        <v>18000</v>
      </c>
      <c r="X99" s="20">
        <f>VLOOKUP(Таблица15[[#This Row],[Модель]],Таблица14[#All],4,0)</f>
        <v>16000</v>
      </c>
      <c r="Y99" s="4">
        <f>VLOOKUP(Таблица15[[#This Row],[Модель]],Таблица14[#All],5,0)</f>
        <v>22000</v>
      </c>
      <c r="Z99" t="str">
        <f>VLOOKUP(Таблица15[[#This Row],[Модель]],Таблица14[#All],6,0)</f>
        <v>АКПП</v>
      </c>
      <c r="AA99" t="str">
        <f>VLOOKUP(Таблица15[[#This Row],[Модель]],Таблица14[#All],7,0)</f>
        <v>Бензин</v>
      </c>
      <c r="AB99" t="str">
        <f>VLOOKUP(Таблица15[[#This Row],[Модель]],Таблица14[#All],8,0)</f>
        <v>Комфорт</v>
      </c>
      <c r="AC99" t="str">
        <f>VLOOKUP(Таблица15[[#This Row],[Модель]],Таблица14[#All],9,0)</f>
        <v>Средний</v>
      </c>
      <c r="AD99">
        <f>VLOOKUP(Таблица15[[#This Row],[Модель]],Таблица14[#All],10,0)</f>
        <v>155</v>
      </c>
      <c r="AE99">
        <f>VLOOKUP(Таблица15[[#This Row],[Модель]],Таблица14[#All],11,0)</f>
        <v>13</v>
      </c>
      <c r="AF99">
        <v>2021</v>
      </c>
      <c r="AG99">
        <v>0</v>
      </c>
      <c r="AH99" s="22">
        <f>VLOOKUP(Таблица15[[#This Row],[Модель]],Таблица14[#All],12,0)/1000000</f>
        <v>12.865</v>
      </c>
      <c r="AI99" s="21">
        <f>VLOOKUP(Таблица15[[#This Row],[Модель]],Таблица14[#All],13,0)/1000000</f>
        <v>11.99</v>
      </c>
      <c r="AJ99" s="21">
        <f>VLOOKUP(Таблица15[[#This Row],[Модель]],Таблица14[#All],14,0)/1000000</f>
        <v>13.74</v>
      </c>
      <c r="AK99" s="21">
        <f>Таблица15[[#This Row],[Средняя цена (USD)]]*Таблица15[[#This Row],[Кол-во проданных]]/1000000</f>
        <v>0</v>
      </c>
      <c r="AL99" s="39">
        <f>Таблица15[[#This Row],[Средняя цена млн. ₸]]/440*Таблица15[[#This Row],[Кол-во проданных]]</f>
        <v>0</v>
      </c>
      <c r="AM99" s="39">
        <f>Таблица15[[#This Row],[Средняя цена млн. ₸]]*Таблица15[[#This Row],[Кол-во проданных]]/1000</f>
        <v>0</v>
      </c>
      <c r="AR99" s="22"/>
      <c r="AS99" s="22"/>
      <c r="AT99" s="22"/>
    </row>
    <row r="100" spans="2:46">
      <c r="B100" t="s">
        <v>94</v>
      </c>
      <c r="C100" s="20">
        <v>12000</v>
      </c>
      <c r="D100" s="16">
        <v>0</v>
      </c>
      <c r="E100" s="16">
        <v>6.4098895438676811E-3</v>
      </c>
      <c r="F100" s="16">
        <v>0</v>
      </c>
      <c r="G100" s="16">
        <v>0</v>
      </c>
      <c r="H100" s="16">
        <v>0</v>
      </c>
      <c r="I100" s="16">
        <v>1.2914186002713516E-3</v>
      </c>
      <c r="J100" s="16"/>
      <c r="T100" t="s">
        <v>18</v>
      </c>
      <c r="U100" t="s">
        <v>77</v>
      </c>
      <c r="V100" t="str">
        <f>VLOOKUP(Таблица15[[#This Row],[Модель]],Таблица14[#All],2,0)</f>
        <v>Кроссовер</v>
      </c>
      <c r="W100" s="20">
        <f>VLOOKUP(Таблица15[[#This Row],[Модель]],Таблица14[#All],3,0)</f>
        <v>18000</v>
      </c>
      <c r="X100" s="20">
        <f>VLOOKUP(Таблица15[[#This Row],[Модель]],Таблица14[#All],4,0)</f>
        <v>16000</v>
      </c>
      <c r="Y100" s="4">
        <f>VLOOKUP(Таблица15[[#This Row],[Модель]],Таблица14[#All],5,0)</f>
        <v>22000</v>
      </c>
      <c r="Z100" t="str">
        <f>VLOOKUP(Таблица15[[#This Row],[Модель]],Таблица14[#All],6,0)</f>
        <v>АКПП</v>
      </c>
      <c r="AA100" t="str">
        <f>VLOOKUP(Таблица15[[#This Row],[Модель]],Таблица14[#All],7,0)</f>
        <v>Бензин</v>
      </c>
      <c r="AB100" t="str">
        <f>VLOOKUP(Таблица15[[#This Row],[Модель]],Таблица14[#All],8,0)</f>
        <v>Комфорт</v>
      </c>
      <c r="AC100" t="str">
        <f>VLOOKUP(Таблица15[[#This Row],[Модель]],Таблица14[#All],9,0)</f>
        <v>Средний</v>
      </c>
      <c r="AD100">
        <f>VLOOKUP(Таблица15[[#This Row],[Модель]],Таблица14[#All],10,0)</f>
        <v>155</v>
      </c>
      <c r="AE100">
        <f>VLOOKUP(Таблица15[[#This Row],[Модель]],Таблица14[#All],11,0)</f>
        <v>13</v>
      </c>
      <c r="AF100">
        <v>2020</v>
      </c>
      <c r="AG100">
        <v>0</v>
      </c>
      <c r="AH100" s="22">
        <f>VLOOKUP(Таблица15[[#This Row],[Модель]],Таблица14[#All],12,0)/1000000</f>
        <v>12.865</v>
      </c>
      <c r="AI100" s="21">
        <f>VLOOKUP(Таблица15[[#This Row],[Модель]],Таблица14[#All],13,0)/1000000</f>
        <v>11.99</v>
      </c>
      <c r="AJ100" s="21">
        <f>VLOOKUP(Таблица15[[#This Row],[Модель]],Таблица14[#All],14,0)/1000000</f>
        <v>13.74</v>
      </c>
      <c r="AK100" s="21">
        <f>Таблица15[[#This Row],[Средняя цена (USD)]]*Таблица15[[#This Row],[Кол-во проданных]]/1000000</f>
        <v>0</v>
      </c>
      <c r="AL100" s="39">
        <f>Таблица15[[#This Row],[Средняя цена млн. ₸]]/440*Таблица15[[#This Row],[Кол-во проданных]]</f>
        <v>0</v>
      </c>
      <c r="AM100" s="39">
        <f>Таблица15[[#This Row],[Средняя цена млн. ₸]]*Таблица15[[#This Row],[Кол-во проданных]]/1000</f>
        <v>0</v>
      </c>
      <c r="AR100" s="22"/>
      <c r="AS100" s="22"/>
      <c r="AT100" s="22"/>
    </row>
    <row r="101" spans="2:46">
      <c r="B101" t="s">
        <v>113</v>
      </c>
      <c r="C101" s="20">
        <v>22000</v>
      </c>
      <c r="D101" s="16">
        <v>0</v>
      </c>
      <c r="E101" s="16">
        <v>0</v>
      </c>
      <c r="F101" s="16">
        <v>3.3450004363044048E-3</v>
      </c>
      <c r="G101" s="16">
        <v>3.7924176353596622E-3</v>
      </c>
      <c r="H101" s="16">
        <v>0</v>
      </c>
      <c r="I101" s="16">
        <v>1.2529835228823234E-3</v>
      </c>
      <c r="J101" s="16"/>
      <c r="T101" t="s">
        <v>18</v>
      </c>
      <c r="U101" t="s">
        <v>77</v>
      </c>
      <c r="V101" t="str">
        <f>VLOOKUP(Таблица15[[#This Row],[Модель]],Таблица14[#All],2,0)</f>
        <v>Кроссовер</v>
      </c>
      <c r="W101" s="20">
        <f>VLOOKUP(Таблица15[[#This Row],[Модель]],Таблица14[#All],3,0)</f>
        <v>18000</v>
      </c>
      <c r="X101" s="20">
        <f>VLOOKUP(Таблица15[[#This Row],[Модель]],Таблица14[#All],4,0)</f>
        <v>16000</v>
      </c>
      <c r="Y101" s="4">
        <f>VLOOKUP(Таблица15[[#This Row],[Модель]],Таблица14[#All],5,0)</f>
        <v>22000</v>
      </c>
      <c r="Z101" t="str">
        <f>VLOOKUP(Таблица15[[#This Row],[Модель]],Таблица14[#All],6,0)</f>
        <v>АКПП</v>
      </c>
      <c r="AA101" t="str">
        <f>VLOOKUP(Таблица15[[#This Row],[Модель]],Таблица14[#All],7,0)</f>
        <v>Бензин</v>
      </c>
      <c r="AB101" t="str">
        <f>VLOOKUP(Таблица15[[#This Row],[Модель]],Таблица14[#All],8,0)</f>
        <v>Комфорт</v>
      </c>
      <c r="AC101" t="str">
        <f>VLOOKUP(Таблица15[[#This Row],[Модель]],Таблица14[#All],9,0)</f>
        <v>Средний</v>
      </c>
      <c r="AD101">
        <f>VLOOKUP(Таблица15[[#This Row],[Модель]],Таблица14[#All],10,0)</f>
        <v>155</v>
      </c>
      <c r="AE101">
        <f>VLOOKUP(Таблица15[[#This Row],[Модель]],Таблица14[#All],11,0)</f>
        <v>13</v>
      </c>
      <c r="AF101">
        <v>2019</v>
      </c>
      <c r="AG101">
        <v>0</v>
      </c>
      <c r="AH101" s="22">
        <f>VLOOKUP(Таблица15[[#This Row],[Модель]],Таблица14[#All],12,0)/1000000</f>
        <v>12.865</v>
      </c>
      <c r="AI101" s="21">
        <f>VLOOKUP(Таблица15[[#This Row],[Модель]],Таблица14[#All],13,0)/1000000</f>
        <v>11.99</v>
      </c>
      <c r="AJ101" s="21">
        <f>VLOOKUP(Таблица15[[#This Row],[Модель]],Таблица14[#All],14,0)/1000000</f>
        <v>13.74</v>
      </c>
      <c r="AK101" s="21">
        <f>Таблица15[[#This Row],[Средняя цена (USD)]]*Таблица15[[#This Row],[Кол-во проданных]]/1000000</f>
        <v>0</v>
      </c>
      <c r="AL101" s="39">
        <f>Таблица15[[#This Row],[Средняя цена млн. ₸]]/440*Таблица15[[#This Row],[Кол-во проданных]]</f>
        <v>0</v>
      </c>
      <c r="AM101" s="39">
        <f>Таблица15[[#This Row],[Средняя цена млн. ₸]]*Таблица15[[#This Row],[Кол-во проданных]]/1000</f>
        <v>0</v>
      </c>
      <c r="AR101" s="22"/>
      <c r="AS101" s="22"/>
      <c r="AT101" s="22"/>
    </row>
    <row r="102" spans="2:46">
      <c r="B102" t="s">
        <v>43</v>
      </c>
      <c r="C102" s="20">
        <v>65000</v>
      </c>
      <c r="D102" s="16">
        <v>0</v>
      </c>
      <c r="E102" s="16">
        <v>0</v>
      </c>
      <c r="F102" s="16">
        <v>3.3546960897429682E-3</v>
      </c>
      <c r="G102" s="16">
        <v>0</v>
      </c>
      <c r="H102" s="16">
        <v>3.9037885191731347E-3</v>
      </c>
      <c r="I102" s="16">
        <v>1.1530523216708498E-3</v>
      </c>
      <c r="J102" s="16"/>
      <c r="T102" t="s">
        <v>6</v>
      </c>
      <c r="U102" t="s">
        <v>81</v>
      </c>
      <c r="V102" t="str">
        <f>VLOOKUP(Таблица15[[#This Row],[Модель]],Таблица14[#All],2,0)</f>
        <v>Внедорожник</v>
      </c>
      <c r="W102" s="20">
        <f>VLOOKUP(Таблица15[[#This Row],[Модель]],Таблица14[#All],3,0)</f>
        <v>20000</v>
      </c>
      <c r="X102" s="20">
        <f>VLOOKUP(Таблица15[[#This Row],[Модель]],Таблица14[#All],4,0)</f>
        <v>18000</v>
      </c>
      <c r="Y102" s="4">
        <f>VLOOKUP(Таблица15[[#This Row],[Модель]],Таблица14[#All],5,0)</f>
        <v>24000</v>
      </c>
      <c r="Z102" t="str">
        <f>VLOOKUP(Таблица15[[#This Row],[Модель]],Таблица14[#All],6,0)</f>
        <v>АКПП</v>
      </c>
      <c r="AA102" t="str">
        <f>VLOOKUP(Таблица15[[#This Row],[Модель]],Таблица14[#All],7,0)</f>
        <v>Бензин</v>
      </c>
      <c r="AB102" t="str">
        <f>VLOOKUP(Таблица15[[#This Row],[Модель]],Таблица14[#All],8,0)</f>
        <v>Комфорт</v>
      </c>
      <c r="AC102" t="str">
        <f>VLOOKUP(Таблица15[[#This Row],[Модель]],Таблица14[#All],9,0)</f>
        <v>Средний</v>
      </c>
      <c r="AD102">
        <f>VLOOKUP(Таблица15[[#This Row],[Модель]],Таблица14[#All],10,0)</f>
        <v>160</v>
      </c>
      <c r="AE102">
        <f>VLOOKUP(Таблица15[[#This Row],[Модель]],Таблица14[#All],11,0)</f>
        <v>12.5</v>
      </c>
      <c r="AF102">
        <v>2023</v>
      </c>
      <c r="AG102">
        <v>1218</v>
      </c>
      <c r="AH102" s="22">
        <f>VLOOKUP(Таблица15[[#This Row],[Модель]],Таблица14[#All],12,0)/1000000</f>
        <v>15.94</v>
      </c>
      <c r="AI102" s="21">
        <f>VLOOKUP(Таблица15[[#This Row],[Модель]],Таблица14[#All],13,0)/1000000</f>
        <v>13.09</v>
      </c>
      <c r="AJ102" s="21">
        <f>VLOOKUP(Таблица15[[#This Row],[Модель]],Таблица14[#All],14,0)/1000000</f>
        <v>18.79</v>
      </c>
      <c r="AK102" s="21">
        <f>Таблица15[[#This Row],[Средняя цена (USD)]]*Таблица15[[#This Row],[Кол-во проданных]]/1000000</f>
        <v>24.36</v>
      </c>
      <c r="AL102" s="39">
        <f>Таблица15[[#This Row],[Средняя цена млн. ₸]]/440*Таблица15[[#This Row],[Кол-во проданных]]</f>
        <v>44.124818181818178</v>
      </c>
      <c r="AM102" s="39">
        <f>Таблица15[[#This Row],[Средняя цена млн. ₸]]*Таблица15[[#This Row],[Кол-во проданных]]/1000</f>
        <v>19.414919999999999</v>
      </c>
      <c r="AR102" s="22"/>
      <c r="AS102" s="22"/>
      <c r="AT102" s="22"/>
    </row>
    <row r="103" spans="2:46">
      <c r="B103" t="s">
        <v>119</v>
      </c>
      <c r="C103" s="20">
        <v>22000</v>
      </c>
      <c r="D103" s="16">
        <v>0</v>
      </c>
      <c r="E103" s="16">
        <v>0</v>
      </c>
      <c r="F103" s="16">
        <v>0</v>
      </c>
      <c r="G103" s="16">
        <v>0</v>
      </c>
      <c r="H103" s="16">
        <v>9.0985937139783299E-3</v>
      </c>
      <c r="I103" s="16">
        <v>1.1376782907152384E-3</v>
      </c>
      <c r="J103" s="16"/>
      <c r="K103" s="13" t="s">
        <v>218</v>
      </c>
      <c r="L103" s="13" t="s">
        <v>151</v>
      </c>
      <c r="T103" t="s">
        <v>6</v>
      </c>
      <c r="U103" t="s">
        <v>81</v>
      </c>
      <c r="V103" t="str">
        <f>VLOOKUP(Таблица15[[#This Row],[Модель]],Таблица14[#All],2,0)</f>
        <v>Внедорожник</v>
      </c>
      <c r="W103" s="20">
        <f>VLOOKUP(Таблица15[[#This Row],[Модель]],Таблица14[#All],3,0)</f>
        <v>20000</v>
      </c>
      <c r="X103" s="20">
        <f>VLOOKUP(Таблица15[[#This Row],[Модель]],Таблица14[#All],4,0)</f>
        <v>18000</v>
      </c>
      <c r="Y103" s="4">
        <f>VLOOKUP(Таблица15[[#This Row],[Модель]],Таблица14[#All],5,0)</f>
        <v>24000</v>
      </c>
      <c r="Z103" t="str">
        <f>VLOOKUP(Таблица15[[#This Row],[Модель]],Таблица14[#All],6,0)</f>
        <v>АКПП</v>
      </c>
      <c r="AA103" t="str">
        <f>VLOOKUP(Таблица15[[#This Row],[Модель]],Таблица14[#All],7,0)</f>
        <v>Бензин</v>
      </c>
      <c r="AB103" t="str">
        <f>VLOOKUP(Таблица15[[#This Row],[Модель]],Таблица14[#All],8,0)</f>
        <v>Комфорт</v>
      </c>
      <c r="AC103" t="str">
        <f>VLOOKUP(Таблица15[[#This Row],[Модель]],Таблица14[#All],9,0)</f>
        <v>Средний</v>
      </c>
      <c r="AD103">
        <f>VLOOKUP(Таблица15[[#This Row],[Модель]],Таблица14[#All],10,0)</f>
        <v>160</v>
      </c>
      <c r="AE103">
        <f>VLOOKUP(Таблица15[[#This Row],[Модель]],Таблица14[#All],11,0)</f>
        <v>12.5</v>
      </c>
      <c r="AF103">
        <v>2022</v>
      </c>
      <c r="AG103">
        <v>483</v>
      </c>
      <c r="AH103" s="22">
        <f>VLOOKUP(Таблица15[[#This Row],[Модель]],Таблица14[#All],12,0)/1000000</f>
        <v>15.94</v>
      </c>
      <c r="AI103" s="21">
        <f>VLOOKUP(Таблица15[[#This Row],[Модель]],Таблица14[#All],13,0)/1000000</f>
        <v>13.09</v>
      </c>
      <c r="AJ103" s="21">
        <f>VLOOKUP(Таблица15[[#This Row],[Модель]],Таблица14[#All],14,0)/1000000</f>
        <v>18.79</v>
      </c>
      <c r="AK103" s="21">
        <f>Таблица15[[#This Row],[Средняя цена (USD)]]*Таблица15[[#This Row],[Кол-во проданных]]/1000000</f>
        <v>9.66</v>
      </c>
      <c r="AL103" s="39">
        <f>Таблица15[[#This Row],[Средняя цена млн. ₸]]/440*Таблица15[[#This Row],[Кол-во проданных]]</f>
        <v>17.497772727272725</v>
      </c>
      <c r="AM103" s="39">
        <f>Таблица15[[#This Row],[Средняя цена млн. ₸]]*Таблица15[[#This Row],[Кол-во проданных]]/1000</f>
        <v>7.6990199999999991</v>
      </c>
      <c r="AR103" s="22"/>
      <c r="AS103" s="22"/>
      <c r="AT103" s="22"/>
    </row>
    <row r="104" spans="2:46">
      <c r="B104" t="s">
        <v>96</v>
      </c>
      <c r="C104" s="20">
        <v>30000</v>
      </c>
      <c r="D104" s="16">
        <v>0</v>
      </c>
      <c r="E104" s="16">
        <v>5.1221885194299779E-3</v>
      </c>
      <c r="F104" s="16">
        <v>0</v>
      </c>
      <c r="G104" s="16">
        <v>0</v>
      </c>
      <c r="H104" s="16">
        <v>0</v>
      </c>
      <c r="I104" s="16">
        <v>1.0319818278954104E-3</v>
      </c>
      <c r="J104" s="16"/>
      <c r="K104" s="13" t="s">
        <v>161</v>
      </c>
      <c r="L104">
        <v>2023</v>
      </c>
      <c r="M104">
        <v>2022</v>
      </c>
      <c r="N104">
        <v>2021</v>
      </c>
      <c r="O104">
        <v>2020</v>
      </c>
      <c r="P104">
        <v>2019</v>
      </c>
      <c r="Q104" t="s">
        <v>155</v>
      </c>
      <c r="T104" t="s">
        <v>6</v>
      </c>
      <c r="U104" t="s">
        <v>81</v>
      </c>
      <c r="V104" t="str">
        <f>VLOOKUP(Таблица15[[#This Row],[Модель]],Таблица14[#All],2,0)</f>
        <v>Внедорожник</v>
      </c>
      <c r="W104" s="20">
        <f>VLOOKUP(Таблица15[[#This Row],[Модель]],Таблица14[#All],3,0)</f>
        <v>20000</v>
      </c>
      <c r="X104" s="20">
        <f>VLOOKUP(Таблица15[[#This Row],[Модель]],Таблица14[#All],4,0)</f>
        <v>18000</v>
      </c>
      <c r="Y104" s="4">
        <f>VLOOKUP(Таблица15[[#This Row],[Модель]],Таблица14[#All],5,0)</f>
        <v>24000</v>
      </c>
      <c r="Z104" t="str">
        <f>VLOOKUP(Таблица15[[#This Row],[Модель]],Таблица14[#All],6,0)</f>
        <v>АКПП</v>
      </c>
      <c r="AA104" t="str">
        <f>VLOOKUP(Таблица15[[#This Row],[Модель]],Таблица14[#All],7,0)</f>
        <v>Бензин</v>
      </c>
      <c r="AB104" t="str">
        <f>VLOOKUP(Таблица15[[#This Row],[Модель]],Таблица14[#All],8,0)</f>
        <v>Комфорт</v>
      </c>
      <c r="AC104" t="str">
        <f>VLOOKUP(Таблица15[[#This Row],[Модель]],Таблица14[#All],9,0)</f>
        <v>Средний</v>
      </c>
      <c r="AD104">
        <f>VLOOKUP(Таблица15[[#This Row],[Модель]],Таблица14[#All],10,0)</f>
        <v>160</v>
      </c>
      <c r="AE104">
        <f>VLOOKUP(Таблица15[[#This Row],[Модель]],Таблица14[#All],11,0)</f>
        <v>12.5</v>
      </c>
      <c r="AF104">
        <v>2021</v>
      </c>
      <c r="AG104">
        <v>0</v>
      </c>
      <c r="AH104" s="22">
        <f>VLOOKUP(Таблица15[[#This Row],[Модель]],Таблица14[#All],12,0)/1000000</f>
        <v>15.94</v>
      </c>
      <c r="AI104" s="21">
        <f>VLOOKUP(Таблица15[[#This Row],[Модель]],Таблица14[#All],13,0)/1000000</f>
        <v>13.09</v>
      </c>
      <c r="AJ104" s="21">
        <f>VLOOKUP(Таблица15[[#This Row],[Модель]],Таблица14[#All],14,0)/1000000</f>
        <v>18.79</v>
      </c>
      <c r="AK104" s="21">
        <f>Таблица15[[#This Row],[Средняя цена (USD)]]*Таблица15[[#This Row],[Кол-во проданных]]/1000000</f>
        <v>0</v>
      </c>
      <c r="AL104" s="39">
        <f>Таблица15[[#This Row],[Средняя цена млн. ₸]]/440*Таблица15[[#This Row],[Кол-во проданных]]</f>
        <v>0</v>
      </c>
      <c r="AM104" s="39">
        <f>Таблица15[[#This Row],[Средняя цена млн. ₸]]*Таблица15[[#This Row],[Кол-во проданных]]/1000</f>
        <v>0</v>
      </c>
      <c r="AR104" s="22"/>
      <c r="AS104" s="22"/>
      <c r="AT104" s="22"/>
    </row>
    <row r="105" spans="2:46">
      <c r="B105" t="s">
        <v>42</v>
      </c>
      <c r="C105" s="20">
        <v>77000</v>
      </c>
      <c r="D105" s="16">
        <v>0</v>
      </c>
      <c r="E105" s="16">
        <v>0</v>
      </c>
      <c r="F105" s="16">
        <v>3.9461309494953408E-3</v>
      </c>
      <c r="G105" s="16">
        <v>0</v>
      </c>
      <c r="H105" s="16">
        <v>0</v>
      </c>
      <c r="I105" s="16">
        <v>7.8215382486672641E-4</v>
      </c>
      <c r="J105" s="16"/>
      <c r="K105" s="14" t="s">
        <v>271</v>
      </c>
      <c r="L105" s="16">
        <v>0.42596700027048956</v>
      </c>
      <c r="M105" s="16">
        <v>0.4320189244357962</v>
      </c>
      <c r="N105" s="16">
        <v>0.48561649812389107</v>
      </c>
      <c r="O105" s="16">
        <v>0.53928919963928801</v>
      </c>
      <c r="P105" s="16">
        <v>0.4111119649581188</v>
      </c>
      <c r="Q105" s="16">
        <v>0.45478113145180815</v>
      </c>
      <c r="T105" t="s">
        <v>6</v>
      </c>
      <c r="U105" t="s">
        <v>81</v>
      </c>
      <c r="V105" t="str">
        <f>VLOOKUP(Таблица15[[#This Row],[Модель]],Таблица14[#All],2,0)</f>
        <v>Внедорожник</v>
      </c>
      <c r="W105" s="20">
        <f>VLOOKUP(Таблица15[[#This Row],[Модель]],Таблица14[#All],3,0)</f>
        <v>20000</v>
      </c>
      <c r="X105" s="20">
        <f>VLOOKUP(Таблица15[[#This Row],[Модель]],Таблица14[#All],4,0)</f>
        <v>18000</v>
      </c>
      <c r="Y105" s="4">
        <f>VLOOKUP(Таблица15[[#This Row],[Модель]],Таблица14[#All],5,0)</f>
        <v>24000</v>
      </c>
      <c r="Z105" t="str">
        <f>VLOOKUP(Таблица15[[#This Row],[Модель]],Таблица14[#All],6,0)</f>
        <v>АКПП</v>
      </c>
      <c r="AA105" t="str">
        <f>VLOOKUP(Таблица15[[#This Row],[Модель]],Таблица14[#All],7,0)</f>
        <v>Бензин</v>
      </c>
      <c r="AB105" t="str">
        <f>VLOOKUP(Таблица15[[#This Row],[Модель]],Таблица14[#All],8,0)</f>
        <v>Комфорт</v>
      </c>
      <c r="AC105" t="str">
        <f>VLOOKUP(Таблица15[[#This Row],[Модель]],Таблица14[#All],9,0)</f>
        <v>Средний</v>
      </c>
      <c r="AD105">
        <f>VLOOKUP(Таблица15[[#This Row],[Модель]],Таблица14[#All],10,0)</f>
        <v>160</v>
      </c>
      <c r="AE105">
        <f>VLOOKUP(Таблица15[[#This Row],[Модель]],Таблица14[#All],11,0)</f>
        <v>12.5</v>
      </c>
      <c r="AF105">
        <v>2020</v>
      </c>
      <c r="AG105">
        <v>0</v>
      </c>
      <c r="AH105" s="22">
        <f>VLOOKUP(Таблица15[[#This Row],[Модель]],Таблица14[#All],12,0)/1000000</f>
        <v>15.94</v>
      </c>
      <c r="AI105" s="21">
        <f>VLOOKUP(Таблица15[[#This Row],[Модель]],Таблица14[#All],13,0)/1000000</f>
        <v>13.09</v>
      </c>
      <c r="AJ105" s="21">
        <f>VLOOKUP(Таблица15[[#This Row],[Модель]],Таблица14[#All],14,0)/1000000</f>
        <v>18.79</v>
      </c>
      <c r="AK105" s="21">
        <f>Таблица15[[#This Row],[Средняя цена (USD)]]*Таблица15[[#This Row],[Кол-во проданных]]/1000000</f>
        <v>0</v>
      </c>
      <c r="AL105" s="39">
        <f>Таблица15[[#This Row],[Средняя цена млн. ₸]]/440*Таблица15[[#This Row],[Кол-во проданных]]</f>
        <v>0</v>
      </c>
      <c r="AM105" s="39">
        <f>Таблица15[[#This Row],[Средняя цена млн. ₸]]*Таблица15[[#This Row],[Кол-во проданных]]/1000</f>
        <v>0</v>
      </c>
      <c r="AR105" s="22"/>
      <c r="AS105" s="22"/>
      <c r="AT105" s="22"/>
    </row>
    <row r="106" spans="2:46">
      <c r="B106" t="s">
        <v>120</v>
      </c>
      <c r="C106" s="20">
        <v>35000</v>
      </c>
      <c r="D106" s="16">
        <v>0</v>
      </c>
      <c r="E106" s="16">
        <v>0</v>
      </c>
      <c r="F106" s="16">
        <v>0</v>
      </c>
      <c r="G106" s="16">
        <v>0</v>
      </c>
      <c r="H106" s="16">
        <v>4.4570813801583032E-3</v>
      </c>
      <c r="I106" s="16">
        <v>5.5730862214091069E-4</v>
      </c>
      <c r="J106" s="16"/>
      <c r="K106" s="14" t="s">
        <v>272</v>
      </c>
      <c r="L106" s="16">
        <v>0.25011871487392179</v>
      </c>
      <c r="M106" s="16">
        <v>0.25962914210496196</v>
      </c>
      <c r="N106" s="16">
        <v>0.23845490066803052</v>
      </c>
      <c r="O106" s="16">
        <v>0.18656965324702598</v>
      </c>
      <c r="P106" s="16">
        <v>0.21232613540305847</v>
      </c>
      <c r="Q106" s="16">
        <v>0.23511121189642514</v>
      </c>
      <c r="T106" t="s">
        <v>6</v>
      </c>
      <c r="U106" t="s">
        <v>81</v>
      </c>
      <c r="V106" t="str">
        <f>VLOOKUP(Таблица15[[#This Row],[Модель]],Таблица14[#All],2,0)</f>
        <v>Внедорожник</v>
      </c>
      <c r="W106" s="20">
        <f>VLOOKUP(Таблица15[[#This Row],[Модель]],Таблица14[#All],3,0)</f>
        <v>20000</v>
      </c>
      <c r="X106" s="20">
        <f>VLOOKUP(Таблица15[[#This Row],[Модель]],Таблица14[#All],4,0)</f>
        <v>18000</v>
      </c>
      <c r="Y106" s="4">
        <f>VLOOKUP(Таблица15[[#This Row],[Модель]],Таблица14[#All],5,0)</f>
        <v>24000</v>
      </c>
      <c r="Z106" t="str">
        <f>VLOOKUP(Таблица15[[#This Row],[Модель]],Таблица14[#All],6,0)</f>
        <v>АКПП</v>
      </c>
      <c r="AA106" t="str">
        <f>VLOOKUP(Таблица15[[#This Row],[Модель]],Таблица14[#All],7,0)</f>
        <v>Бензин</v>
      </c>
      <c r="AB106" t="str">
        <f>VLOOKUP(Таблица15[[#This Row],[Модель]],Таблица14[#All],8,0)</f>
        <v>Комфорт</v>
      </c>
      <c r="AC106" t="str">
        <f>VLOOKUP(Таблица15[[#This Row],[Модель]],Таблица14[#All],9,0)</f>
        <v>Средний</v>
      </c>
      <c r="AD106">
        <f>VLOOKUP(Таблица15[[#This Row],[Модель]],Таблица14[#All],10,0)</f>
        <v>160</v>
      </c>
      <c r="AE106">
        <f>VLOOKUP(Таблица15[[#This Row],[Модель]],Таблица14[#All],11,0)</f>
        <v>12.5</v>
      </c>
      <c r="AF106">
        <v>2019</v>
      </c>
      <c r="AG106">
        <v>0</v>
      </c>
      <c r="AH106" s="22">
        <f>VLOOKUP(Таблица15[[#This Row],[Модель]],Таблица14[#All],12,0)/1000000</f>
        <v>15.94</v>
      </c>
      <c r="AI106" s="21">
        <f>VLOOKUP(Таблица15[[#This Row],[Модель]],Таблица14[#All],13,0)/1000000</f>
        <v>13.09</v>
      </c>
      <c r="AJ106" s="21">
        <f>VLOOKUP(Таблица15[[#This Row],[Модель]],Таблица14[#All],14,0)/1000000</f>
        <v>18.79</v>
      </c>
      <c r="AK106" s="21">
        <f>Таблица15[[#This Row],[Средняя цена (USD)]]*Таблица15[[#This Row],[Кол-во проданных]]/1000000</f>
        <v>0</v>
      </c>
      <c r="AL106" s="39">
        <f>Таблица15[[#This Row],[Средняя цена млн. ₸]]/440*Таблица15[[#This Row],[Кол-во проданных]]</f>
        <v>0</v>
      </c>
      <c r="AM106" s="39">
        <f>Таблица15[[#This Row],[Средняя цена млн. ₸]]*Таблица15[[#This Row],[Кол-во проданных]]/1000</f>
        <v>0</v>
      </c>
      <c r="AR106" s="22"/>
      <c r="AS106" s="22"/>
      <c r="AT106" s="22"/>
    </row>
    <row r="107" spans="2:46">
      <c r="B107" t="s">
        <v>46</v>
      </c>
      <c r="C107" s="20">
        <v>40000</v>
      </c>
      <c r="D107" s="16">
        <v>0</v>
      </c>
      <c r="E107" s="16">
        <v>0</v>
      </c>
      <c r="F107" s="16">
        <v>0</v>
      </c>
      <c r="G107" s="16">
        <v>0</v>
      </c>
      <c r="H107" s="16">
        <v>4.0574809805579036E-3</v>
      </c>
      <c r="I107" s="16">
        <v>5.0734302153517387E-4</v>
      </c>
      <c r="J107" s="16"/>
      <c r="K107" s="14" t="s">
        <v>273</v>
      </c>
      <c r="L107" s="16">
        <v>0.2195473807591741</v>
      </c>
      <c r="M107" s="16">
        <v>0.17957229248936454</v>
      </c>
      <c r="N107" s="16">
        <v>0.17032354395524488</v>
      </c>
      <c r="O107" s="16">
        <v>0.18790379365295054</v>
      </c>
      <c r="P107" s="16">
        <v>0.23639437485591333</v>
      </c>
      <c r="Q107" s="16">
        <v>0.19892074302691609</v>
      </c>
      <c r="T107" t="s">
        <v>6</v>
      </c>
      <c r="U107" t="s">
        <v>100</v>
      </c>
      <c r="V107" t="str">
        <f>VLOOKUP(Таблица15[[#This Row],[Модель]],Таблица14[#All],2,0)</f>
        <v>Кроссовер</v>
      </c>
      <c r="W107" s="20">
        <f>VLOOKUP(Таблица15[[#This Row],[Модель]],Таблица14[#All],3,0)</f>
        <v>22000</v>
      </c>
      <c r="X107" s="20">
        <f>VLOOKUP(Таблица15[[#This Row],[Модель]],Таблица14[#All],4,0)</f>
        <v>19000</v>
      </c>
      <c r="Y107" s="4">
        <f>VLOOKUP(Таблица15[[#This Row],[Модель]],Таблица14[#All],5,0)</f>
        <v>25000</v>
      </c>
      <c r="Z107" t="str">
        <f>VLOOKUP(Таблица15[[#This Row],[Модель]],Таблица14[#All],6,0)</f>
        <v>АКПП</v>
      </c>
      <c r="AA107" t="str">
        <f>VLOOKUP(Таблица15[[#This Row],[Модель]],Таблица14[#All],7,0)</f>
        <v>Бензин</v>
      </c>
      <c r="AB107" t="str">
        <f>VLOOKUP(Таблица15[[#This Row],[Модель]],Таблица14[#All],8,0)</f>
        <v>Комфорт</v>
      </c>
      <c r="AC107" t="str">
        <f>VLOOKUP(Таблица15[[#This Row],[Модель]],Таблица14[#All],9,0)</f>
        <v>Средний</v>
      </c>
      <c r="AD107">
        <f>VLOOKUP(Таблица15[[#This Row],[Модель]],Таблица14[#All],10,0)</f>
        <v>170</v>
      </c>
      <c r="AE107">
        <f>VLOOKUP(Таблица15[[#This Row],[Модель]],Таблица14[#All],11,0)</f>
        <v>12</v>
      </c>
      <c r="AF107">
        <v>2023</v>
      </c>
      <c r="AG107">
        <v>0</v>
      </c>
      <c r="AH107" s="22">
        <f>VLOOKUP(Таблица15[[#This Row],[Модель]],Таблица14[#All],12,0)/1000000</f>
        <v>11.170999999999999</v>
      </c>
      <c r="AI107" s="21">
        <f>VLOOKUP(Таблица15[[#This Row],[Модель]],Таблица14[#All],13,0)/1000000</f>
        <v>11.170999999999999</v>
      </c>
      <c r="AJ107" s="21">
        <f>VLOOKUP(Таблица15[[#This Row],[Модель]],Таблица14[#All],14,0)/1000000</f>
        <v>11.170999999999999</v>
      </c>
      <c r="AK107" s="21">
        <f>Таблица15[[#This Row],[Средняя цена (USD)]]*Таблица15[[#This Row],[Кол-во проданных]]/1000000</f>
        <v>0</v>
      </c>
      <c r="AL107" s="39">
        <f>Таблица15[[#This Row],[Средняя цена млн. ₸]]/440*Таблица15[[#This Row],[Кол-во проданных]]</f>
        <v>0</v>
      </c>
      <c r="AM107" s="39">
        <f>Таблица15[[#This Row],[Средняя цена млн. ₸]]*Таблица15[[#This Row],[Кол-во проданных]]/1000</f>
        <v>0</v>
      </c>
      <c r="AR107" s="22"/>
      <c r="AS107" s="22"/>
      <c r="AT107" s="22"/>
    </row>
    <row r="108" spans="2:46">
      <c r="B108" t="s">
        <v>121</v>
      </c>
      <c r="C108" s="20">
        <v>25000</v>
      </c>
      <c r="D108" s="16">
        <v>0</v>
      </c>
      <c r="E108" s="16">
        <v>0</v>
      </c>
      <c r="F108" s="16">
        <v>0</v>
      </c>
      <c r="G108" s="16">
        <v>0</v>
      </c>
      <c r="H108" s="16">
        <v>3.8576807807577038E-3</v>
      </c>
      <c r="I108" s="16">
        <v>4.8236022123230546E-4</v>
      </c>
      <c r="J108" s="16"/>
      <c r="K108" s="14" t="s">
        <v>274</v>
      </c>
      <c r="L108" s="16">
        <v>7.6404291768100263E-2</v>
      </c>
      <c r="M108" s="16">
        <v>9.4316946145481598E-2</v>
      </c>
      <c r="N108" s="16">
        <v>8.0386662659129915E-2</v>
      </c>
      <c r="O108" s="16">
        <v>6.6114069004706552E-2</v>
      </c>
      <c r="P108" s="16">
        <v>0.10514101283332053</v>
      </c>
      <c r="Q108" s="16">
        <v>8.279492195757536E-2</v>
      </c>
      <c r="T108" t="s">
        <v>6</v>
      </c>
      <c r="U108" t="s">
        <v>100</v>
      </c>
      <c r="V108" t="str">
        <f>VLOOKUP(Таблица15[[#This Row],[Модель]],Таблица14[#All],2,0)</f>
        <v>Кроссовер</v>
      </c>
      <c r="W108" s="20">
        <f>VLOOKUP(Таблица15[[#This Row],[Модель]],Таблица14[#All],3,0)</f>
        <v>22000</v>
      </c>
      <c r="X108" s="20">
        <f>VLOOKUP(Таблица15[[#This Row],[Модель]],Таблица14[#All],4,0)</f>
        <v>19000</v>
      </c>
      <c r="Y108" s="4">
        <f>VLOOKUP(Таблица15[[#This Row],[Модель]],Таблица14[#All],5,0)</f>
        <v>25000</v>
      </c>
      <c r="Z108" t="str">
        <f>VLOOKUP(Таблица15[[#This Row],[Модель]],Таблица14[#All],6,0)</f>
        <v>АКПП</v>
      </c>
      <c r="AA108" t="str">
        <f>VLOOKUP(Таблица15[[#This Row],[Модель]],Таблица14[#All],7,0)</f>
        <v>Бензин</v>
      </c>
      <c r="AB108" t="str">
        <f>VLOOKUP(Таблица15[[#This Row],[Модель]],Таблица14[#All],8,0)</f>
        <v>Комфорт</v>
      </c>
      <c r="AC108" t="str">
        <f>VLOOKUP(Таблица15[[#This Row],[Модель]],Таблица14[#All],9,0)</f>
        <v>Средний</v>
      </c>
      <c r="AD108">
        <f>VLOOKUP(Таблица15[[#This Row],[Модель]],Таблица14[#All],10,0)</f>
        <v>170</v>
      </c>
      <c r="AE108">
        <f>VLOOKUP(Таблица15[[#This Row],[Модель]],Таблица14[#All],11,0)</f>
        <v>12</v>
      </c>
      <c r="AF108">
        <v>2022</v>
      </c>
      <c r="AG108">
        <v>463</v>
      </c>
      <c r="AH108" s="22">
        <f>VLOOKUP(Таблица15[[#This Row],[Модель]],Таблица14[#All],12,0)/1000000</f>
        <v>11.170999999999999</v>
      </c>
      <c r="AI108" s="21">
        <f>VLOOKUP(Таблица15[[#This Row],[Модель]],Таблица14[#All],13,0)/1000000</f>
        <v>11.170999999999999</v>
      </c>
      <c r="AJ108" s="21">
        <f>VLOOKUP(Таблица15[[#This Row],[Модель]],Таблица14[#All],14,0)/1000000</f>
        <v>11.170999999999999</v>
      </c>
      <c r="AK108" s="21">
        <f>Таблица15[[#This Row],[Средняя цена (USD)]]*Таблица15[[#This Row],[Кол-во проданных]]/1000000</f>
        <v>10.186</v>
      </c>
      <c r="AL108" s="39">
        <f>Таблица15[[#This Row],[Средняя цена млн. ₸]]/440*Таблица15[[#This Row],[Кол-во проданных]]</f>
        <v>11.754938636363637</v>
      </c>
      <c r="AM108" s="39">
        <f>Таблица15[[#This Row],[Средняя цена млн. ₸]]*Таблица15[[#This Row],[Кол-во проданных]]/1000</f>
        <v>5.1721729999999999</v>
      </c>
      <c r="AR108" s="22"/>
      <c r="AS108" s="22"/>
      <c r="AT108" s="22"/>
    </row>
    <row r="109" spans="2:46">
      <c r="B109" t="s">
        <v>44</v>
      </c>
      <c r="C109" s="20">
        <v>45000</v>
      </c>
      <c r="D109" s="16">
        <v>0</v>
      </c>
      <c r="E109" s="16">
        <v>0</v>
      </c>
      <c r="F109" s="16">
        <v>0</v>
      </c>
      <c r="G109" s="16">
        <v>0</v>
      </c>
      <c r="H109" s="16">
        <v>3.7193575655114115E-3</v>
      </c>
      <c r="I109" s="16">
        <v>4.650644364072427E-4</v>
      </c>
      <c r="J109" s="16"/>
      <c r="K109" s="14" t="s">
        <v>275</v>
      </c>
      <c r="L109" s="16">
        <v>2.7962612328314249E-2</v>
      </c>
      <c r="M109" s="16">
        <v>3.4462694824395734E-2</v>
      </c>
      <c r="N109" s="16">
        <v>2.5218394593703643E-2</v>
      </c>
      <c r="O109" s="16">
        <v>2.0123284456028956E-2</v>
      </c>
      <c r="P109" s="16">
        <v>3.5026511949588876E-2</v>
      </c>
      <c r="Q109" s="16">
        <v>2.8391991667275223E-2</v>
      </c>
      <c r="T109" t="s">
        <v>6</v>
      </c>
      <c r="U109" t="s">
        <v>100</v>
      </c>
      <c r="V109" t="str">
        <f>VLOOKUP(Таблица15[[#This Row],[Модель]],Таблица14[#All],2,0)</f>
        <v>Кроссовер</v>
      </c>
      <c r="W109" s="20">
        <f>VLOOKUP(Таблица15[[#This Row],[Модель]],Таблица14[#All],3,0)</f>
        <v>22000</v>
      </c>
      <c r="X109" s="20">
        <f>VLOOKUP(Таблица15[[#This Row],[Модель]],Таблица14[#All],4,0)</f>
        <v>19000</v>
      </c>
      <c r="Y109" s="4">
        <f>VLOOKUP(Таблица15[[#This Row],[Модель]],Таблица14[#All],5,0)</f>
        <v>25000</v>
      </c>
      <c r="Z109" t="str">
        <f>VLOOKUP(Таблица15[[#This Row],[Модель]],Таблица14[#All],6,0)</f>
        <v>АКПП</v>
      </c>
      <c r="AA109" t="str">
        <f>VLOOKUP(Таблица15[[#This Row],[Модель]],Таблица14[#All],7,0)</f>
        <v>Бензин</v>
      </c>
      <c r="AB109" t="str">
        <f>VLOOKUP(Таблица15[[#This Row],[Модель]],Таблица14[#All],8,0)</f>
        <v>Комфорт</v>
      </c>
      <c r="AC109" t="str">
        <f>VLOOKUP(Таблица15[[#This Row],[Модель]],Таблица14[#All],9,0)</f>
        <v>Средний</v>
      </c>
      <c r="AD109">
        <f>VLOOKUP(Таблица15[[#This Row],[Модель]],Таблица14[#All],10,0)</f>
        <v>170</v>
      </c>
      <c r="AE109">
        <f>VLOOKUP(Таблица15[[#This Row],[Модель]],Таблица14[#All],11,0)</f>
        <v>12</v>
      </c>
      <c r="AF109">
        <v>2021</v>
      </c>
      <c r="AG109">
        <v>857</v>
      </c>
      <c r="AH109" s="22">
        <f>VLOOKUP(Таблица15[[#This Row],[Модель]],Таблица14[#All],12,0)/1000000</f>
        <v>11.170999999999999</v>
      </c>
      <c r="AI109" s="21">
        <f>VLOOKUP(Таблица15[[#This Row],[Модель]],Таблица14[#All],13,0)/1000000</f>
        <v>11.170999999999999</v>
      </c>
      <c r="AJ109" s="21">
        <f>VLOOKUP(Таблица15[[#This Row],[Модель]],Таблица14[#All],14,0)/1000000</f>
        <v>11.170999999999999</v>
      </c>
      <c r="AK109" s="21">
        <f>Таблица15[[#This Row],[Средняя цена (USD)]]*Таблица15[[#This Row],[Кол-во проданных]]/1000000</f>
        <v>18.853999999999999</v>
      </c>
      <c r="AL109" s="39">
        <f>Таблица15[[#This Row],[Средняя цена млн. ₸]]/440*Таблица15[[#This Row],[Кол-во проданных]]</f>
        <v>21.758061363636362</v>
      </c>
      <c r="AM109" s="39">
        <f>Таблица15[[#This Row],[Средняя цена млн. ₸]]*Таблица15[[#This Row],[Кол-во проданных]]/1000</f>
        <v>9.5735469999999978</v>
      </c>
      <c r="AR109" s="22"/>
      <c r="AS109" s="22"/>
      <c r="AT109" s="22"/>
    </row>
    <row r="110" spans="2:46">
      <c r="B110" t="s">
        <v>122</v>
      </c>
      <c r="C110" s="20">
        <v>12000</v>
      </c>
      <c r="D110" s="16">
        <v>0</v>
      </c>
      <c r="E110" s="16">
        <v>0</v>
      </c>
      <c r="F110" s="16">
        <v>0</v>
      </c>
      <c r="G110" s="16">
        <v>0</v>
      </c>
      <c r="H110" s="16">
        <v>3.335126412049489E-3</v>
      </c>
      <c r="I110" s="16">
        <v>4.1702058967095729E-4</v>
      </c>
      <c r="J110" s="16"/>
      <c r="K110" s="14" t="s">
        <v>155</v>
      </c>
      <c r="L110" s="16">
        <v>1</v>
      </c>
      <c r="M110" s="16">
        <v>1</v>
      </c>
      <c r="N110" s="16">
        <v>1</v>
      </c>
      <c r="O110" s="16">
        <v>1</v>
      </c>
      <c r="P110" s="16">
        <v>1</v>
      </c>
      <c r="Q110" s="16">
        <v>1</v>
      </c>
      <c r="T110" t="s">
        <v>6</v>
      </c>
      <c r="U110" t="s">
        <v>100</v>
      </c>
      <c r="V110" t="str">
        <f>VLOOKUP(Таблица15[[#This Row],[Модель]],Таблица14[#All],2,0)</f>
        <v>Кроссовер</v>
      </c>
      <c r="W110" s="20">
        <f>VLOOKUP(Таблица15[[#This Row],[Модель]],Таблица14[#All],3,0)</f>
        <v>22000</v>
      </c>
      <c r="X110" s="20">
        <f>VLOOKUP(Таблица15[[#This Row],[Модель]],Таблица14[#All],4,0)</f>
        <v>19000</v>
      </c>
      <c r="Y110" s="4">
        <f>VLOOKUP(Таблица15[[#This Row],[Модель]],Таблица14[#All],5,0)</f>
        <v>25000</v>
      </c>
      <c r="Z110" t="str">
        <f>VLOOKUP(Таблица15[[#This Row],[Модель]],Таблица14[#All],6,0)</f>
        <v>АКПП</v>
      </c>
      <c r="AA110" t="str">
        <f>VLOOKUP(Таблица15[[#This Row],[Модель]],Таблица14[#All],7,0)</f>
        <v>Бензин</v>
      </c>
      <c r="AB110" t="str">
        <f>VLOOKUP(Таблица15[[#This Row],[Модель]],Таблица14[#All],8,0)</f>
        <v>Комфорт</v>
      </c>
      <c r="AC110" t="str">
        <f>VLOOKUP(Таблица15[[#This Row],[Модель]],Таблица14[#All],9,0)</f>
        <v>Средний</v>
      </c>
      <c r="AD110">
        <f>VLOOKUP(Таблица15[[#This Row],[Модель]],Таблица14[#All],10,0)</f>
        <v>170</v>
      </c>
      <c r="AE110">
        <f>VLOOKUP(Таблица15[[#This Row],[Модель]],Таблица14[#All],11,0)</f>
        <v>12</v>
      </c>
      <c r="AF110">
        <v>2020</v>
      </c>
      <c r="AG110">
        <v>0</v>
      </c>
      <c r="AH110" s="22">
        <f>VLOOKUP(Таблица15[[#This Row],[Модель]],Таблица14[#All],12,0)/1000000</f>
        <v>11.170999999999999</v>
      </c>
      <c r="AI110" s="21">
        <f>VLOOKUP(Таблица15[[#This Row],[Модель]],Таблица14[#All],13,0)/1000000</f>
        <v>11.170999999999999</v>
      </c>
      <c r="AJ110" s="21">
        <f>VLOOKUP(Таблица15[[#This Row],[Модель]],Таблица14[#All],14,0)/1000000</f>
        <v>11.170999999999999</v>
      </c>
      <c r="AK110" s="21">
        <f>Таблица15[[#This Row],[Средняя цена (USD)]]*Таблица15[[#This Row],[Кол-во проданных]]/1000000</f>
        <v>0</v>
      </c>
      <c r="AL110" s="39">
        <f>Таблица15[[#This Row],[Средняя цена млн. ₸]]/440*Таблица15[[#This Row],[Кол-во проданных]]</f>
        <v>0</v>
      </c>
      <c r="AM110" s="39">
        <f>Таблица15[[#This Row],[Средняя цена млн. ₸]]*Таблица15[[#This Row],[Кол-во проданных]]/1000</f>
        <v>0</v>
      </c>
      <c r="AR110" s="22"/>
      <c r="AS110" s="22"/>
      <c r="AT110" s="22"/>
    </row>
    <row r="111" spans="2:46">
      <c r="B111" t="s">
        <v>155</v>
      </c>
      <c r="D111" s="16">
        <v>1</v>
      </c>
      <c r="E111" s="16">
        <v>1</v>
      </c>
      <c r="F111" s="16">
        <v>1</v>
      </c>
      <c r="G111" s="16">
        <v>1</v>
      </c>
      <c r="H111" s="16">
        <v>1</v>
      </c>
      <c r="I111" s="16">
        <v>1</v>
      </c>
      <c r="J111" s="16"/>
      <c r="T111" t="s">
        <v>6</v>
      </c>
      <c r="U111" t="s">
        <v>100</v>
      </c>
      <c r="V111" t="str">
        <f>VLOOKUP(Таблица15[[#This Row],[Модель]],Таблица14[#All],2,0)</f>
        <v>Кроссовер</v>
      </c>
      <c r="W111" s="20">
        <f>VLOOKUP(Таблица15[[#This Row],[Модель]],Таблица14[#All],3,0)</f>
        <v>22000</v>
      </c>
      <c r="X111" s="20">
        <f>VLOOKUP(Таблица15[[#This Row],[Модель]],Таблица14[#All],4,0)</f>
        <v>19000</v>
      </c>
      <c r="Y111" s="4">
        <f>VLOOKUP(Таблица15[[#This Row],[Модель]],Таблица14[#All],5,0)</f>
        <v>25000</v>
      </c>
      <c r="Z111" t="str">
        <f>VLOOKUP(Таблица15[[#This Row],[Модель]],Таблица14[#All],6,0)</f>
        <v>АКПП</v>
      </c>
      <c r="AA111" t="str">
        <f>VLOOKUP(Таблица15[[#This Row],[Модель]],Таблица14[#All],7,0)</f>
        <v>Бензин</v>
      </c>
      <c r="AB111" t="str">
        <f>VLOOKUP(Таблица15[[#This Row],[Модель]],Таблица14[#All],8,0)</f>
        <v>Комфорт</v>
      </c>
      <c r="AC111" t="str">
        <f>VLOOKUP(Таблица15[[#This Row],[Модель]],Таблица14[#All],9,0)</f>
        <v>Средний</v>
      </c>
      <c r="AD111">
        <f>VLOOKUP(Таблица15[[#This Row],[Модель]],Таблица14[#All],10,0)</f>
        <v>170</v>
      </c>
      <c r="AE111">
        <f>VLOOKUP(Таблица15[[#This Row],[Модель]],Таблица14[#All],11,0)</f>
        <v>12</v>
      </c>
      <c r="AF111">
        <v>2019</v>
      </c>
      <c r="AG111">
        <v>0</v>
      </c>
      <c r="AH111" s="22">
        <f>VLOOKUP(Таблица15[[#This Row],[Модель]],Таблица14[#All],12,0)/1000000</f>
        <v>11.170999999999999</v>
      </c>
      <c r="AI111" s="21">
        <f>VLOOKUP(Таблица15[[#This Row],[Модель]],Таблица14[#All],13,0)/1000000</f>
        <v>11.170999999999999</v>
      </c>
      <c r="AJ111" s="21">
        <f>VLOOKUP(Таблица15[[#This Row],[Модель]],Таблица14[#All],14,0)/1000000</f>
        <v>11.170999999999999</v>
      </c>
      <c r="AK111" s="21">
        <f>Таблица15[[#This Row],[Средняя цена (USD)]]*Таблица15[[#This Row],[Кол-во проданных]]/1000000</f>
        <v>0</v>
      </c>
      <c r="AL111" s="39">
        <f>Таблица15[[#This Row],[Средняя цена млн. ₸]]/440*Таблица15[[#This Row],[Кол-во проданных]]</f>
        <v>0</v>
      </c>
      <c r="AM111" s="39">
        <f>Таблица15[[#This Row],[Средняя цена млн. ₸]]*Таблица15[[#This Row],[Кол-во проданных]]/1000</f>
        <v>0</v>
      </c>
      <c r="AR111" s="22"/>
      <c r="AS111" s="22"/>
      <c r="AT111" s="22"/>
    </row>
    <row r="112" spans="2:46">
      <c r="J112" s="16"/>
      <c r="T112" t="s">
        <v>6</v>
      </c>
      <c r="U112" t="s">
        <v>66</v>
      </c>
      <c r="V112" t="str">
        <f>VLOOKUP(Таблица15[[#This Row],[Модель]],Таблица14[#All],2,0)</f>
        <v>Внедорожник</v>
      </c>
      <c r="W112" s="20">
        <f>VLOOKUP(Таблица15[[#This Row],[Модель]],Таблица14[#All],3,0)</f>
        <v>20000</v>
      </c>
      <c r="X112" s="20">
        <f>VLOOKUP(Таблица15[[#This Row],[Модель]],Таблица14[#All],4,0)</f>
        <v>18000</v>
      </c>
      <c r="Y112" s="4">
        <f>VLOOKUP(Таблица15[[#This Row],[Модель]],Таблица14[#All],5,0)</f>
        <v>24000</v>
      </c>
      <c r="Z112" t="str">
        <f>VLOOKUP(Таблица15[[#This Row],[Модель]],Таблица14[#All],6,0)</f>
        <v>АКПП</v>
      </c>
      <c r="AA112" t="str">
        <f>VLOOKUP(Таблица15[[#This Row],[Модель]],Таблица14[#All],7,0)</f>
        <v>Бензин</v>
      </c>
      <c r="AB112" t="str">
        <f>VLOOKUP(Таблица15[[#This Row],[Модель]],Таблица14[#All],8,0)</f>
        <v>Комфорт</v>
      </c>
      <c r="AC112" t="str">
        <f>VLOOKUP(Таблица15[[#This Row],[Модель]],Таблица14[#All],9,0)</f>
        <v>Средний</v>
      </c>
      <c r="AD112">
        <f>VLOOKUP(Таблица15[[#This Row],[Модель]],Таблица14[#All],10,0)</f>
        <v>160</v>
      </c>
      <c r="AE112">
        <f>VLOOKUP(Таблица15[[#This Row],[Модель]],Таблица14[#All],11,0)</f>
        <v>12.5</v>
      </c>
      <c r="AF112">
        <v>2023</v>
      </c>
      <c r="AG112">
        <v>2246</v>
      </c>
      <c r="AH112" s="22">
        <f>VLOOKUP(Таблица15[[#This Row],[Модель]],Таблица14[#All],12,0)/1000000</f>
        <v>11.14</v>
      </c>
      <c r="AI112" s="21">
        <f>VLOOKUP(Таблица15[[#This Row],[Модель]],Таблица14[#All],13,0)/1000000</f>
        <v>10.69</v>
      </c>
      <c r="AJ112" s="21">
        <f>VLOOKUP(Таблица15[[#This Row],[Модель]],Таблица14[#All],14,0)/1000000</f>
        <v>11.59</v>
      </c>
      <c r="AK112" s="21">
        <f>Таблица15[[#This Row],[Средняя цена (USD)]]*Таблица15[[#This Row],[Кол-во проданных]]/1000000</f>
        <v>44.92</v>
      </c>
      <c r="AL112" s="39">
        <f>Таблица15[[#This Row],[Средняя цена млн. ₸]]/440*Таблица15[[#This Row],[Кол-во проданных]]</f>
        <v>56.864636363636365</v>
      </c>
      <c r="AM112" s="39">
        <f>Таблица15[[#This Row],[Средняя цена млн. ₸]]*Таблица15[[#This Row],[Кол-во проданных]]/1000</f>
        <v>25.020440000000001</v>
      </c>
      <c r="AR112" s="22"/>
      <c r="AS112" s="22"/>
      <c r="AT112" s="22"/>
    </row>
    <row r="113" spans="2:46">
      <c r="J113" s="16"/>
      <c r="T113" t="s">
        <v>6</v>
      </c>
      <c r="U113" t="s">
        <v>66</v>
      </c>
      <c r="V113" t="str">
        <f>VLOOKUP(Таблица15[[#This Row],[Модель]],Таблица14[#All],2,0)</f>
        <v>Внедорожник</v>
      </c>
      <c r="W113" s="20">
        <f>VLOOKUP(Таблица15[[#This Row],[Модель]],Таблица14[#All],3,0)</f>
        <v>20000</v>
      </c>
      <c r="X113" s="20">
        <f>VLOOKUP(Таблица15[[#This Row],[Модель]],Таблица14[#All],4,0)</f>
        <v>18000</v>
      </c>
      <c r="Y113" s="4">
        <f>VLOOKUP(Таблица15[[#This Row],[Модель]],Таблица14[#All],5,0)</f>
        <v>24000</v>
      </c>
      <c r="Z113" t="str">
        <f>VLOOKUP(Таблица15[[#This Row],[Модель]],Таблица14[#All],6,0)</f>
        <v>АКПП</v>
      </c>
      <c r="AA113" t="str">
        <f>VLOOKUP(Таблица15[[#This Row],[Модель]],Таблица14[#All],7,0)</f>
        <v>Бензин</v>
      </c>
      <c r="AB113" t="str">
        <f>VLOOKUP(Таблица15[[#This Row],[Модель]],Таблица14[#All],8,0)</f>
        <v>Комфорт</v>
      </c>
      <c r="AC113" t="str">
        <f>VLOOKUP(Таблица15[[#This Row],[Модель]],Таблица14[#All],9,0)</f>
        <v>Средний</v>
      </c>
      <c r="AD113">
        <f>VLOOKUP(Таблица15[[#This Row],[Модель]],Таблица14[#All],10,0)</f>
        <v>160</v>
      </c>
      <c r="AE113">
        <f>VLOOKUP(Таблица15[[#This Row],[Модель]],Таблица14[#All],11,0)</f>
        <v>12.5</v>
      </c>
      <c r="AF113">
        <v>2022</v>
      </c>
      <c r="AG113">
        <v>0</v>
      </c>
      <c r="AH113" s="22">
        <f>VLOOKUP(Таблица15[[#This Row],[Модель]],Таблица14[#All],12,0)/1000000</f>
        <v>11.14</v>
      </c>
      <c r="AI113" s="21">
        <f>VLOOKUP(Таблица15[[#This Row],[Модель]],Таблица14[#All],13,0)/1000000</f>
        <v>10.69</v>
      </c>
      <c r="AJ113" s="21">
        <f>VLOOKUP(Таблица15[[#This Row],[Модель]],Таблица14[#All],14,0)/1000000</f>
        <v>11.59</v>
      </c>
      <c r="AK113" s="21">
        <f>Таблица15[[#This Row],[Средняя цена (USD)]]*Таблица15[[#This Row],[Кол-во проданных]]/1000000</f>
        <v>0</v>
      </c>
      <c r="AL113" s="39">
        <f>Таблица15[[#This Row],[Средняя цена млн. ₸]]/440*Таблица15[[#This Row],[Кол-во проданных]]</f>
        <v>0</v>
      </c>
      <c r="AM113" s="39">
        <f>Таблица15[[#This Row],[Средняя цена млн. ₸]]*Таблица15[[#This Row],[Кол-во проданных]]/1000</f>
        <v>0</v>
      </c>
      <c r="AR113" s="22"/>
      <c r="AS113" s="22"/>
      <c r="AT113" s="22"/>
    </row>
    <row r="114" spans="2:46">
      <c r="J114" s="16"/>
      <c r="T114" t="s">
        <v>6</v>
      </c>
      <c r="U114" t="s">
        <v>66</v>
      </c>
      <c r="V114" t="str">
        <f>VLOOKUP(Таблица15[[#This Row],[Модель]],Таблица14[#All],2,0)</f>
        <v>Внедорожник</v>
      </c>
      <c r="W114" s="20">
        <f>VLOOKUP(Таблица15[[#This Row],[Модель]],Таблица14[#All],3,0)</f>
        <v>20000</v>
      </c>
      <c r="X114" s="20">
        <f>VLOOKUP(Таблица15[[#This Row],[Модель]],Таблица14[#All],4,0)</f>
        <v>18000</v>
      </c>
      <c r="Y114" s="4">
        <f>VLOOKUP(Таблица15[[#This Row],[Модель]],Таблица14[#All],5,0)</f>
        <v>24000</v>
      </c>
      <c r="Z114" t="str">
        <f>VLOOKUP(Таблица15[[#This Row],[Модель]],Таблица14[#All],6,0)</f>
        <v>АКПП</v>
      </c>
      <c r="AA114" t="str">
        <f>VLOOKUP(Таблица15[[#This Row],[Модель]],Таблица14[#All],7,0)</f>
        <v>Бензин</v>
      </c>
      <c r="AB114" t="str">
        <f>VLOOKUP(Таблица15[[#This Row],[Модель]],Таблица14[#All],8,0)</f>
        <v>Комфорт</v>
      </c>
      <c r="AC114" t="str">
        <f>VLOOKUP(Таблица15[[#This Row],[Модель]],Таблица14[#All],9,0)</f>
        <v>Средний</v>
      </c>
      <c r="AD114">
        <f>VLOOKUP(Таблица15[[#This Row],[Модель]],Таблица14[#All],10,0)</f>
        <v>160</v>
      </c>
      <c r="AE114">
        <f>VLOOKUP(Таблица15[[#This Row],[Модель]],Таблица14[#All],11,0)</f>
        <v>12.5</v>
      </c>
      <c r="AF114">
        <v>2021</v>
      </c>
      <c r="AG114">
        <v>0</v>
      </c>
      <c r="AH114" s="22">
        <f>VLOOKUP(Таблица15[[#This Row],[Модель]],Таблица14[#All],12,0)/1000000</f>
        <v>11.14</v>
      </c>
      <c r="AI114" s="21">
        <f>VLOOKUP(Таблица15[[#This Row],[Модель]],Таблица14[#All],13,0)/1000000</f>
        <v>10.69</v>
      </c>
      <c r="AJ114" s="21">
        <f>VLOOKUP(Таблица15[[#This Row],[Модель]],Таблица14[#All],14,0)/1000000</f>
        <v>11.59</v>
      </c>
      <c r="AK114" s="21">
        <f>Таблица15[[#This Row],[Средняя цена (USD)]]*Таблица15[[#This Row],[Кол-во проданных]]/1000000</f>
        <v>0</v>
      </c>
      <c r="AL114" s="39">
        <f>Таблица15[[#This Row],[Средняя цена млн. ₸]]/440*Таблица15[[#This Row],[Кол-во проданных]]</f>
        <v>0</v>
      </c>
      <c r="AM114" s="39">
        <f>Таблица15[[#This Row],[Средняя цена млн. ₸]]*Таблица15[[#This Row],[Кол-во проданных]]/1000</f>
        <v>0</v>
      </c>
      <c r="AR114" s="22"/>
      <c r="AS114" s="22"/>
      <c r="AT114" s="22"/>
    </row>
    <row r="115" spans="2:46">
      <c r="J115" s="16"/>
      <c r="T115" t="s">
        <v>6</v>
      </c>
      <c r="U115" t="s">
        <v>66</v>
      </c>
      <c r="V115" t="str">
        <f>VLOOKUP(Таблица15[[#This Row],[Модель]],Таблица14[#All],2,0)</f>
        <v>Внедорожник</v>
      </c>
      <c r="W115" s="20">
        <f>VLOOKUP(Таблица15[[#This Row],[Модель]],Таблица14[#All],3,0)</f>
        <v>20000</v>
      </c>
      <c r="X115" s="20">
        <f>VLOOKUP(Таблица15[[#This Row],[Модель]],Таблица14[#All],4,0)</f>
        <v>18000</v>
      </c>
      <c r="Y115" s="4">
        <f>VLOOKUP(Таблица15[[#This Row],[Модель]],Таблица14[#All],5,0)</f>
        <v>24000</v>
      </c>
      <c r="Z115" t="str">
        <f>VLOOKUP(Таблица15[[#This Row],[Модель]],Таблица14[#All],6,0)</f>
        <v>АКПП</v>
      </c>
      <c r="AA115" t="str">
        <f>VLOOKUP(Таблица15[[#This Row],[Модель]],Таблица14[#All],7,0)</f>
        <v>Бензин</v>
      </c>
      <c r="AB115" t="str">
        <f>VLOOKUP(Таблица15[[#This Row],[Модель]],Таблица14[#All],8,0)</f>
        <v>Комфорт</v>
      </c>
      <c r="AC115" t="str">
        <f>VLOOKUP(Таблица15[[#This Row],[Модель]],Таблица14[#All],9,0)</f>
        <v>Средний</v>
      </c>
      <c r="AD115">
        <f>VLOOKUP(Таблица15[[#This Row],[Модель]],Таблица14[#All],10,0)</f>
        <v>160</v>
      </c>
      <c r="AE115">
        <f>VLOOKUP(Таблица15[[#This Row],[Модель]],Таблица14[#All],11,0)</f>
        <v>12.5</v>
      </c>
      <c r="AF115">
        <v>2020</v>
      </c>
      <c r="AG115">
        <v>0</v>
      </c>
      <c r="AH115" s="22">
        <f>VLOOKUP(Таблица15[[#This Row],[Модель]],Таблица14[#All],12,0)/1000000</f>
        <v>11.14</v>
      </c>
      <c r="AI115" s="21">
        <f>VLOOKUP(Таблица15[[#This Row],[Модель]],Таблица14[#All],13,0)/1000000</f>
        <v>10.69</v>
      </c>
      <c r="AJ115" s="21">
        <f>VLOOKUP(Таблица15[[#This Row],[Модель]],Таблица14[#All],14,0)/1000000</f>
        <v>11.59</v>
      </c>
      <c r="AK115" s="21">
        <f>Таблица15[[#This Row],[Средняя цена (USD)]]*Таблица15[[#This Row],[Кол-во проданных]]/1000000</f>
        <v>0</v>
      </c>
      <c r="AL115" s="39">
        <f>Таблица15[[#This Row],[Средняя цена млн. ₸]]/440*Таблица15[[#This Row],[Кол-во проданных]]</f>
        <v>0</v>
      </c>
      <c r="AM115" s="39">
        <f>Таблица15[[#This Row],[Средняя цена млн. ₸]]*Таблица15[[#This Row],[Кол-во проданных]]/1000</f>
        <v>0</v>
      </c>
      <c r="AR115" s="22"/>
      <c r="AS115" s="22"/>
      <c r="AT115" s="22"/>
    </row>
    <row r="116" spans="2:46">
      <c r="C116" s="13" t="s">
        <v>151</v>
      </c>
      <c r="T116" t="s">
        <v>6</v>
      </c>
      <c r="U116" t="s">
        <v>66</v>
      </c>
      <c r="V116" t="str">
        <f>VLOOKUP(Таблица15[[#This Row],[Модель]],Таблица14[#All],2,0)</f>
        <v>Внедорожник</v>
      </c>
      <c r="W116" s="20">
        <f>VLOOKUP(Таблица15[[#This Row],[Модель]],Таблица14[#All],3,0)</f>
        <v>20000</v>
      </c>
      <c r="X116" s="20">
        <f>VLOOKUP(Таблица15[[#This Row],[Модель]],Таблица14[#All],4,0)</f>
        <v>18000</v>
      </c>
      <c r="Y116" s="4">
        <f>VLOOKUP(Таблица15[[#This Row],[Модель]],Таблица14[#All],5,0)</f>
        <v>24000</v>
      </c>
      <c r="Z116" t="str">
        <f>VLOOKUP(Таблица15[[#This Row],[Модель]],Таблица14[#All],6,0)</f>
        <v>АКПП</v>
      </c>
      <c r="AA116" t="str">
        <f>VLOOKUP(Таблица15[[#This Row],[Модель]],Таблица14[#All],7,0)</f>
        <v>Бензин</v>
      </c>
      <c r="AB116" t="str">
        <f>VLOOKUP(Таблица15[[#This Row],[Модель]],Таблица14[#All],8,0)</f>
        <v>Комфорт</v>
      </c>
      <c r="AC116" t="str">
        <f>VLOOKUP(Таблица15[[#This Row],[Модель]],Таблица14[#All],9,0)</f>
        <v>Средний</v>
      </c>
      <c r="AD116">
        <f>VLOOKUP(Таблица15[[#This Row],[Модель]],Таблица14[#All],10,0)</f>
        <v>160</v>
      </c>
      <c r="AE116">
        <f>VLOOKUP(Таблица15[[#This Row],[Модель]],Таблица14[#All],11,0)</f>
        <v>12.5</v>
      </c>
      <c r="AF116">
        <v>2019</v>
      </c>
      <c r="AG116">
        <v>0</v>
      </c>
      <c r="AH116" s="22">
        <f>VLOOKUP(Таблица15[[#This Row],[Модель]],Таблица14[#All],12,0)/1000000</f>
        <v>11.14</v>
      </c>
      <c r="AI116" s="21">
        <f>VLOOKUP(Таблица15[[#This Row],[Модель]],Таблица14[#All],13,0)/1000000</f>
        <v>10.69</v>
      </c>
      <c r="AJ116" s="21">
        <f>VLOOKUP(Таблица15[[#This Row],[Модель]],Таблица14[#All],14,0)/1000000</f>
        <v>11.59</v>
      </c>
      <c r="AK116" s="21">
        <f>Таблица15[[#This Row],[Средняя цена (USD)]]*Таблица15[[#This Row],[Кол-во проданных]]/1000000</f>
        <v>0</v>
      </c>
      <c r="AL116" s="39">
        <f>Таблица15[[#This Row],[Средняя цена млн. ₸]]/440*Таблица15[[#This Row],[Кол-во проданных]]</f>
        <v>0</v>
      </c>
      <c r="AM116" s="39">
        <f>Таблица15[[#This Row],[Средняя цена млн. ₸]]*Таблица15[[#This Row],[Кол-во проданных]]/1000</f>
        <v>0</v>
      </c>
      <c r="AR116" s="22"/>
      <c r="AS116" s="22"/>
      <c r="AT116" s="22"/>
    </row>
    <row r="117" spans="2:46">
      <c r="C117">
        <v>2023</v>
      </c>
      <c r="D117">
        <v>2022</v>
      </c>
      <c r="E117">
        <v>2021</v>
      </c>
      <c r="F117">
        <v>2020</v>
      </c>
      <c r="G117">
        <v>2019</v>
      </c>
      <c r="H117" t="s">
        <v>155</v>
      </c>
      <c r="T117" t="s">
        <v>6</v>
      </c>
      <c r="U117" t="s">
        <v>71</v>
      </c>
      <c r="V117" t="str">
        <f>VLOOKUP(Таблица15[[#This Row],[Модель]],Таблица14[#All],2,0)</f>
        <v>Кроссовер</v>
      </c>
      <c r="W117" s="20">
        <f>VLOOKUP(Таблица15[[#This Row],[Модель]],Таблица14[#All],3,0)</f>
        <v>18000</v>
      </c>
      <c r="X117" s="20">
        <f>VLOOKUP(Таблица15[[#This Row],[Модель]],Таблица14[#All],4,0)</f>
        <v>16000</v>
      </c>
      <c r="Y117" s="4">
        <f>VLOOKUP(Таблица15[[#This Row],[Модель]],Таблица14[#All],5,0)</f>
        <v>22000</v>
      </c>
      <c r="Z117" t="str">
        <f>VLOOKUP(Таблица15[[#This Row],[Модель]],Таблица14[#All],6,0)</f>
        <v>АКПП</v>
      </c>
      <c r="AA117" t="str">
        <f>VLOOKUP(Таблица15[[#This Row],[Модель]],Таблица14[#All],7,0)</f>
        <v>Бензин</v>
      </c>
      <c r="AB117" t="str">
        <f>VLOOKUP(Таблица15[[#This Row],[Модель]],Таблица14[#All],8,0)</f>
        <v>Комфорт</v>
      </c>
      <c r="AC117" t="str">
        <f>VLOOKUP(Таблица15[[#This Row],[Модель]],Таблица14[#All],9,0)</f>
        <v>Средний</v>
      </c>
      <c r="AD117">
        <f>VLOOKUP(Таблица15[[#This Row],[Модель]],Таблица14[#All],10,0)</f>
        <v>150</v>
      </c>
      <c r="AE117">
        <f>VLOOKUP(Таблица15[[#This Row],[Модель]],Таблица14[#All],11,0)</f>
        <v>13.5</v>
      </c>
      <c r="AF117">
        <v>2023</v>
      </c>
      <c r="AG117">
        <v>1691</v>
      </c>
      <c r="AH117" s="22">
        <f>VLOOKUP(Таблица15[[#This Row],[Модель]],Таблица14[#All],12,0)/1000000</f>
        <v>9.99</v>
      </c>
      <c r="AI117" s="21">
        <f>VLOOKUP(Таблица15[[#This Row],[Модель]],Таблица14[#All],13,0)/1000000</f>
        <v>8.99</v>
      </c>
      <c r="AJ117" s="21">
        <f>VLOOKUP(Таблица15[[#This Row],[Модель]],Таблица14[#All],14,0)/1000000</f>
        <v>10.99</v>
      </c>
      <c r="AK117" s="21">
        <f>Таблица15[[#This Row],[Средняя цена (USD)]]*Таблица15[[#This Row],[Кол-во проданных]]/1000000</f>
        <v>30.437999999999999</v>
      </c>
      <c r="AL117" s="39">
        <f>Таблица15[[#This Row],[Средняя цена млн. ₸]]/440*Таблица15[[#This Row],[Кол-во проданных]]</f>
        <v>38.393386363636367</v>
      </c>
      <c r="AM117" s="39">
        <f>Таблица15[[#This Row],[Средняя цена млн. ₸]]*Таблица15[[#This Row],[Кол-во проданных]]/1000</f>
        <v>16.893090000000001</v>
      </c>
      <c r="AR117" s="22"/>
      <c r="AS117" s="22"/>
      <c r="AT117" s="22"/>
    </row>
    <row r="118" spans="2:46">
      <c r="B118" t="s">
        <v>628</v>
      </c>
      <c r="C118">
        <v>166365</v>
      </c>
      <c r="D118">
        <v>104838</v>
      </c>
      <c r="E118">
        <v>103139</v>
      </c>
      <c r="F118">
        <v>80951</v>
      </c>
      <c r="G118">
        <v>65065</v>
      </c>
      <c r="H118">
        <v>520358</v>
      </c>
      <c r="T118" t="s">
        <v>6</v>
      </c>
      <c r="U118" t="s">
        <v>71</v>
      </c>
      <c r="V118" t="str">
        <f>VLOOKUP(Таблица15[[#This Row],[Модель]],Таблица14[#All],2,0)</f>
        <v>Кроссовер</v>
      </c>
      <c r="W118" s="20">
        <f>VLOOKUP(Таблица15[[#This Row],[Модель]],Таблица14[#All],3,0)</f>
        <v>18000</v>
      </c>
      <c r="X118" s="20">
        <f>VLOOKUP(Таблица15[[#This Row],[Модель]],Таблица14[#All],4,0)</f>
        <v>16000</v>
      </c>
      <c r="Y118" s="4">
        <f>VLOOKUP(Таблица15[[#This Row],[Модель]],Таблица14[#All],5,0)</f>
        <v>22000</v>
      </c>
      <c r="Z118" t="str">
        <f>VLOOKUP(Таблица15[[#This Row],[Модель]],Таблица14[#All],6,0)</f>
        <v>АКПП</v>
      </c>
      <c r="AA118" t="str">
        <f>VLOOKUP(Таблица15[[#This Row],[Модель]],Таблица14[#All],7,0)</f>
        <v>Бензин</v>
      </c>
      <c r="AB118" t="str">
        <f>VLOOKUP(Таблица15[[#This Row],[Модель]],Таблица14[#All],8,0)</f>
        <v>Комфорт</v>
      </c>
      <c r="AC118" t="str">
        <f>VLOOKUP(Таблица15[[#This Row],[Модель]],Таблица14[#All],9,0)</f>
        <v>Средний</v>
      </c>
      <c r="AD118">
        <f>VLOOKUP(Таблица15[[#This Row],[Модель]],Таблица14[#All],10,0)</f>
        <v>150</v>
      </c>
      <c r="AE118">
        <f>VLOOKUP(Таблица15[[#This Row],[Модель]],Таблица14[#All],11,0)</f>
        <v>13.5</v>
      </c>
      <c r="AF118">
        <v>2022</v>
      </c>
      <c r="AG118">
        <v>0</v>
      </c>
      <c r="AH118" s="22">
        <f>VLOOKUP(Таблица15[[#This Row],[Модель]],Таблица14[#All],12,0)/1000000</f>
        <v>9.99</v>
      </c>
      <c r="AI118" s="21">
        <f>VLOOKUP(Таблица15[[#This Row],[Модель]],Таблица14[#All],13,0)/1000000</f>
        <v>8.99</v>
      </c>
      <c r="AJ118" s="21">
        <f>VLOOKUP(Таблица15[[#This Row],[Модель]],Таблица14[#All],14,0)/1000000</f>
        <v>10.99</v>
      </c>
      <c r="AK118" s="21">
        <f>Таблица15[[#This Row],[Средняя цена (USD)]]*Таблица15[[#This Row],[Кол-во проданных]]/1000000</f>
        <v>0</v>
      </c>
      <c r="AL118" s="39">
        <f>Таблица15[[#This Row],[Средняя цена млн. ₸]]/440*Таблица15[[#This Row],[Кол-во проданных]]</f>
        <v>0</v>
      </c>
      <c r="AM118" s="39">
        <f>Таблица15[[#This Row],[Средняя цена млн. ₸]]*Таблица15[[#This Row],[Кол-во проданных]]/1000</f>
        <v>0</v>
      </c>
      <c r="AR118" s="22"/>
      <c r="AS118" s="22"/>
      <c r="AT118" s="22"/>
    </row>
    <row r="119" spans="2:46">
      <c r="T119" t="s">
        <v>6</v>
      </c>
      <c r="U119" t="s">
        <v>71</v>
      </c>
      <c r="V119" t="str">
        <f>VLOOKUP(Таблица15[[#This Row],[Модель]],Таблица14[#All],2,0)</f>
        <v>Кроссовер</v>
      </c>
      <c r="W119" s="20">
        <f>VLOOKUP(Таблица15[[#This Row],[Модель]],Таблица14[#All],3,0)</f>
        <v>18000</v>
      </c>
      <c r="X119" s="20">
        <f>VLOOKUP(Таблица15[[#This Row],[Модель]],Таблица14[#All],4,0)</f>
        <v>16000</v>
      </c>
      <c r="Y119" s="4">
        <f>VLOOKUP(Таблица15[[#This Row],[Модель]],Таблица14[#All],5,0)</f>
        <v>22000</v>
      </c>
      <c r="Z119" t="str">
        <f>VLOOKUP(Таблица15[[#This Row],[Модель]],Таблица14[#All],6,0)</f>
        <v>АКПП</v>
      </c>
      <c r="AA119" t="str">
        <f>VLOOKUP(Таблица15[[#This Row],[Модель]],Таблица14[#All],7,0)</f>
        <v>Бензин</v>
      </c>
      <c r="AB119" t="str">
        <f>VLOOKUP(Таблица15[[#This Row],[Модель]],Таблица14[#All],8,0)</f>
        <v>Комфорт</v>
      </c>
      <c r="AC119" t="str">
        <f>VLOOKUP(Таблица15[[#This Row],[Модель]],Таблица14[#All],9,0)</f>
        <v>Средний</v>
      </c>
      <c r="AD119">
        <f>VLOOKUP(Таблица15[[#This Row],[Модель]],Таблица14[#All],10,0)</f>
        <v>150</v>
      </c>
      <c r="AE119">
        <f>VLOOKUP(Таблица15[[#This Row],[Модель]],Таблица14[#All],11,0)</f>
        <v>13.5</v>
      </c>
      <c r="AF119">
        <v>2021</v>
      </c>
      <c r="AG119">
        <v>0</v>
      </c>
      <c r="AH119" s="22">
        <f>VLOOKUP(Таблица15[[#This Row],[Модель]],Таблица14[#All],12,0)/1000000</f>
        <v>9.99</v>
      </c>
      <c r="AI119" s="21">
        <f>VLOOKUP(Таблица15[[#This Row],[Модель]],Таблица14[#All],13,0)/1000000</f>
        <v>8.99</v>
      </c>
      <c r="AJ119" s="21">
        <f>VLOOKUP(Таблица15[[#This Row],[Модель]],Таблица14[#All],14,0)/1000000</f>
        <v>10.99</v>
      </c>
      <c r="AK119" s="21">
        <f>Таблица15[[#This Row],[Средняя цена (USD)]]*Таблица15[[#This Row],[Кол-во проданных]]/1000000</f>
        <v>0</v>
      </c>
      <c r="AL119" s="39">
        <f>Таблица15[[#This Row],[Средняя цена млн. ₸]]/440*Таблица15[[#This Row],[Кол-во проданных]]</f>
        <v>0</v>
      </c>
      <c r="AM119" s="39">
        <f>Таблица15[[#This Row],[Средняя цена млн. ₸]]*Таблица15[[#This Row],[Кол-во проданных]]/1000</f>
        <v>0</v>
      </c>
      <c r="AR119" s="22"/>
      <c r="AS119" s="22"/>
      <c r="AT119" s="22"/>
    </row>
    <row r="120" spans="2:46">
      <c r="T120" t="s">
        <v>6</v>
      </c>
      <c r="U120" t="s">
        <v>71</v>
      </c>
      <c r="V120" t="str">
        <f>VLOOKUP(Таблица15[[#This Row],[Модель]],Таблица14[#All],2,0)</f>
        <v>Кроссовер</v>
      </c>
      <c r="W120" s="20">
        <f>VLOOKUP(Таблица15[[#This Row],[Модель]],Таблица14[#All],3,0)</f>
        <v>18000</v>
      </c>
      <c r="X120" s="20">
        <f>VLOOKUP(Таблица15[[#This Row],[Модель]],Таблица14[#All],4,0)</f>
        <v>16000</v>
      </c>
      <c r="Y120" s="4">
        <f>VLOOKUP(Таблица15[[#This Row],[Модель]],Таблица14[#All],5,0)</f>
        <v>22000</v>
      </c>
      <c r="Z120" t="str">
        <f>VLOOKUP(Таблица15[[#This Row],[Модель]],Таблица14[#All],6,0)</f>
        <v>АКПП</v>
      </c>
      <c r="AA120" t="str">
        <f>VLOOKUP(Таблица15[[#This Row],[Модель]],Таблица14[#All],7,0)</f>
        <v>Бензин</v>
      </c>
      <c r="AB120" t="str">
        <f>VLOOKUP(Таблица15[[#This Row],[Модель]],Таблица14[#All],8,0)</f>
        <v>Комфорт</v>
      </c>
      <c r="AC120" t="str">
        <f>VLOOKUP(Таблица15[[#This Row],[Модель]],Таблица14[#All],9,0)</f>
        <v>Средний</v>
      </c>
      <c r="AD120">
        <f>VLOOKUP(Таблица15[[#This Row],[Модель]],Таблица14[#All],10,0)</f>
        <v>150</v>
      </c>
      <c r="AE120">
        <f>VLOOKUP(Таблица15[[#This Row],[Модель]],Таблица14[#All],11,0)</f>
        <v>13.5</v>
      </c>
      <c r="AF120">
        <v>2020</v>
      </c>
      <c r="AG120">
        <v>0</v>
      </c>
      <c r="AH120" s="22">
        <f>VLOOKUP(Таблица15[[#This Row],[Модель]],Таблица14[#All],12,0)/1000000</f>
        <v>9.99</v>
      </c>
      <c r="AI120" s="21">
        <f>VLOOKUP(Таблица15[[#This Row],[Модель]],Таблица14[#All],13,0)/1000000</f>
        <v>8.99</v>
      </c>
      <c r="AJ120" s="21">
        <f>VLOOKUP(Таблица15[[#This Row],[Модель]],Таблица14[#All],14,0)/1000000</f>
        <v>10.99</v>
      </c>
      <c r="AK120" s="21">
        <f>Таблица15[[#This Row],[Средняя цена (USD)]]*Таблица15[[#This Row],[Кол-во проданных]]/1000000</f>
        <v>0</v>
      </c>
      <c r="AL120" s="39">
        <f>Таблица15[[#This Row],[Средняя цена млн. ₸]]/440*Таблица15[[#This Row],[Кол-во проданных]]</f>
        <v>0</v>
      </c>
      <c r="AM120" s="39">
        <f>Таблица15[[#This Row],[Средняя цена млн. ₸]]*Таблица15[[#This Row],[Кол-во проданных]]/1000</f>
        <v>0</v>
      </c>
      <c r="AR120" s="22"/>
      <c r="AS120" s="22"/>
      <c r="AT120" s="22"/>
    </row>
    <row r="121" spans="2:46">
      <c r="T121" t="s">
        <v>6</v>
      </c>
      <c r="U121" t="s">
        <v>71</v>
      </c>
      <c r="V121" t="str">
        <f>VLOOKUP(Таблица15[[#This Row],[Модель]],Таблица14[#All],2,0)</f>
        <v>Кроссовер</v>
      </c>
      <c r="W121" s="20">
        <f>VLOOKUP(Таблица15[[#This Row],[Модель]],Таблица14[#All],3,0)</f>
        <v>18000</v>
      </c>
      <c r="X121" s="20">
        <f>VLOOKUP(Таблица15[[#This Row],[Модель]],Таблица14[#All],4,0)</f>
        <v>16000</v>
      </c>
      <c r="Y121" s="4">
        <f>VLOOKUP(Таблица15[[#This Row],[Модель]],Таблица14[#All],5,0)</f>
        <v>22000</v>
      </c>
      <c r="Z121" t="str">
        <f>VLOOKUP(Таблица15[[#This Row],[Модель]],Таблица14[#All],6,0)</f>
        <v>АКПП</v>
      </c>
      <c r="AA121" t="str">
        <f>VLOOKUP(Таблица15[[#This Row],[Модель]],Таблица14[#All],7,0)</f>
        <v>Бензин</v>
      </c>
      <c r="AB121" t="str">
        <f>VLOOKUP(Таблица15[[#This Row],[Модель]],Таблица14[#All],8,0)</f>
        <v>Комфорт</v>
      </c>
      <c r="AC121" t="str">
        <f>VLOOKUP(Таблица15[[#This Row],[Модель]],Таблица14[#All],9,0)</f>
        <v>Средний</v>
      </c>
      <c r="AD121">
        <f>VLOOKUP(Таблица15[[#This Row],[Модель]],Таблица14[#All],10,0)</f>
        <v>150</v>
      </c>
      <c r="AE121">
        <f>VLOOKUP(Таблица15[[#This Row],[Модель]],Таблица14[#All],11,0)</f>
        <v>13.5</v>
      </c>
      <c r="AF121">
        <v>2019</v>
      </c>
      <c r="AG121">
        <v>0</v>
      </c>
      <c r="AH121" s="22">
        <f>VLOOKUP(Таблица15[[#This Row],[Модель]],Таблица14[#All],12,0)/1000000</f>
        <v>9.99</v>
      </c>
      <c r="AI121" s="21">
        <f>VLOOKUP(Таблица15[[#This Row],[Модель]],Таблица14[#All],13,0)/1000000</f>
        <v>8.99</v>
      </c>
      <c r="AJ121" s="21">
        <f>VLOOKUP(Таблица15[[#This Row],[Модель]],Таблица14[#All],14,0)/1000000</f>
        <v>10.99</v>
      </c>
      <c r="AK121" s="21">
        <f>Таблица15[[#This Row],[Средняя цена (USD)]]*Таблица15[[#This Row],[Кол-во проданных]]/1000000</f>
        <v>0</v>
      </c>
      <c r="AL121" s="39">
        <f>Таблица15[[#This Row],[Средняя цена млн. ₸]]/440*Таблица15[[#This Row],[Кол-во проданных]]</f>
        <v>0</v>
      </c>
      <c r="AM121" s="39">
        <f>Таблица15[[#This Row],[Средняя цена млн. ₸]]*Таблица15[[#This Row],[Кол-во проданных]]/1000</f>
        <v>0</v>
      </c>
      <c r="AR121" s="22"/>
      <c r="AS121" s="22"/>
      <c r="AT121" s="22"/>
    </row>
    <row r="122" spans="2:46">
      <c r="T122" t="s">
        <v>6</v>
      </c>
      <c r="U122" t="s">
        <v>63</v>
      </c>
      <c r="V122" t="str">
        <f>VLOOKUP(Таблица15[[#This Row],[Модель]],Таблица14[#All],2,0)</f>
        <v>Внедорожник</v>
      </c>
      <c r="W122" s="20">
        <f>VLOOKUP(Таблица15[[#This Row],[Модель]],Таблица14[#All],3,0)</f>
        <v>18000</v>
      </c>
      <c r="X122" s="20">
        <f>VLOOKUP(Таблица15[[#This Row],[Модель]],Таблица14[#All],4,0)</f>
        <v>16000</v>
      </c>
      <c r="Y122" s="4">
        <f>VLOOKUP(Таблица15[[#This Row],[Модель]],Таблица14[#All],5,0)</f>
        <v>22000</v>
      </c>
      <c r="Z122" t="str">
        <f>VLOOKUP(Таблица15[[#This Row],[Модель]],Таблица14[#All],6,0)</f>
        <v>АКПП</v>
      </c>
      <c r="AA122" t="str">
        <f>VLOOKUP(Таблица15[[#This Row],[Модель]],Таблица14[#All],7,0)</f>
        <v>Бензин</v>
      </c>
      <c r="AB122" t="str">
        <f>VLOOKUP(Таблица15[[#This Row],[Модель]],Таблица14[#All],8,0)</f>
        <v>Эконом</v>
      </c>
      <c r="AC122" t="str">
        <f>VLOOKUP(Таблица15[[#This Row],[Модель]],Таблица14[#All],9,0)</f>
        <v>Средний</v>
      </c>
      <c r="AD122">
        <f>VLOOKUP(Таблица15[[#This Row],[Модель]],Таблица14[#All],10,0)</f>
        <v>150</v>
      </c>
      <c r="AE122">
        <f>VLOOKUP(Таблица15[[#This Row],[Модель]],Таблица14[#All],11,0)</f>
        <v>13.5</v>
      </c>
      <c r="AF122">
        <v>2023</v>
      </c>
      <c r="AG122">
        <v>2395</v>
      </c>
      <c r="AH122" s="22">
        <f>VLOOKUP(Таблица15[[#This Row],[Модель]],Таблица14[#All],12,0)/1000000</f>
        <v>8.69</v>
      </c>
      <c r="AI122" s="21">
        <f>VLOOKUP(Таблица15[[#This Row],[Модель]],Таблица14[#All],13,0)/1000000</f>
        <v>7.99</v>
      </c>
      <c r="AJ122" s="21">
        <f>VLOOKUP(Таблица15[[#This Row],[Модель]],Таблица14[#All],14,0)/1000000</f>
        <v>9.39</v>
      </c>
      <c r="AK122" s="21">
        <f>Таблица15[[#This Row],[Средняя цена (USD)]]*Таблица15[[#This Row],[Кол-во проданных]]/1000000</f>
        <v>43.11</v>
      </c>
      <c r="AL122" s="39">
        <f>Таблица15[[#This Row],[Средняя цена млн. ₸]]/440*Таблица15[[#This Row],[Кол-во проданных]]</f>
        <v>47.301250000000003</v>
      </c>
      <c r="AM122" s="39">
        <f>Таблица15[[#This Row],[Средняя цена млн. ₸]]*Таблица15[[#This Row],[Кол-во проданных]]/1000</f>
        <v>20.812549999999998</v>
      </c>
      <c r="AR122" s="22"/>
      <c r="AS122" s="22"/>
      <c r="AT122" s="22"/>
    </row>
    <row r="123" spans="2:46">
      <c r="C123" s="13" t="s">
        <v>151</v>
      </c>
      <c r="T123" t="s">
        <v>6</v>
      </c>
      <c r="U123" t="s">
        <v>63</v>
      </c>
      <c r="V123" t="str">
        <f>VLOOKUP(Таблица15[[#This Row],[Модель]],Таблица14[#All],2,0)</f>
        <v>Внедорожник</v>
      </c>
      <c r="W123" s="20">
        <f>VLOOKUP(Таблица15[[#This Row],[Модель]],Таблица14[#All],3,0)</f>
        <v>18000</v>
      </c>
      <c r="X123" s="20">
        <f>VLOOKUP(Таблица15[[#This Row],[Модель]],Таблица14[#All],4,0)</f>
        <v>16000</v>
      </c>
      <c r="Y123" s="4">
        <f>VLOOKUP(Таблица15[[#This Row],[Модель]],Таблица14[#All],5,0)</f>
        <v>22000</v>
      </c>
      <c r="Z123" t="str">
        <f>VLOOKUP(Таблица15[[#This Row],[Модель]],Таблица14[#All],6,0)</f>
        <v>АКПП</v>
      </c>
      <c r="AA123" t="str">
        <f>VLOOKUP(Таблица15[[#This Row],[Модель]],Таблица14[#All],7,0)</f>
        <v>Бензин</v>
      </c>
      <c r="AB123" t="str">
        <f>VLOOKUP(Таблица15[[#This Row],[Модель]],Таблица14[#All],8,0)</f>
        <v>Эконом</v>
      </c>
      <c r="AC123" t="str">
        <f>VLOOKUP(Таблица15[[#This Row],[Модель]],Таблица14[#All],9,0)</f>
        <v>Средний</v>
      </c>
      <c r="AD123">
        <f>VLOOKUP(Таблица15[[#This Row],[Модель]],Таблица14[#All],10,0)</f>
        <v>150</v>
      </c>
      <c r="AE123">
        <f>VLOOKUP(Таблица15[[#This Row],[Модель]],Таблица14[#All],11,0)</f>
        <v>13.5</v>
      </c>
      <c r="AF123">
        <v>2022</v>
      </c>
      <c r="AG123">
        <v>0</v>
      </c>
      <c r="AH123" s="22">
        <f>VLOOKUP(Таблица15[[#This Row],[Модель]],Таблица14[#All],12,0)/1000000</f>
        <v>8.69</v>
      </c>
      <c r="AI123" s="21">
        <f>VLOOKUP(Таблица15[[#This Row],[Модель]],Таблица14[#All],13,0)/1000000</f>
        <v>7.99</v>
      </c>
      <c r="AJ123" s="21">
        <f>VLOOKUP(Таблица15[[#This Row],[Модель]],Таблица14[#All],14,0)/1000000</f>
        <v>9.39</v>
      </c>
      <c r="AK123" s="21">
        <f>Таблица15[[#This Row],[Средняя цена (USD)]]*Таблица15[[#This Row],[Кол-во проданных]]/1000000</f>
        <v>0</v>
      </c>
      <c r="AL123" s="39">
        <f>Таблица15[[#This Row],[Средняя цена млн. ₸]]/440*Таблица15[[#This Row],[Кол-во проданных]]</f>
        <v>0</v>
      </c>
      <c r="AM123" s="39">
        <f>Таблица15[[#This Row],[Средняя цена млн. ₸]]*Таблица15[[#This Row],[Кол-во проданных]]/1000</f>
        <v>0</v>
      </c>
      <c r="AR123" s="22"/>
      <c r="AS123" s="22"/>
      <c r="AT123" s="22"/>
    </row>
    <row r="124" spans="2:46">
      <c r="C124">
        <v>2023</v>
      </c>
      <c r="D124">
        <v>2022</v>
      </c>
      <c r="E124">
        <v>2021</v>
      </c>
      <c r="F124">
        <v>2020</v>
      </c>
      <c r="G124">
        <v>2019</v>
      </c>
      <c r="H124" t="s">
        <v>155</v>
      </c>
      <c r="K124" s="13" t="s">
        <v>191</v>
      </c>
      <c r="L124" t="s">
        <v>370</v>
      </c>
      <c r="T124" t="s">
        <v>6</v>
      </c>
      <c r="U124" t="s">
        <v>63</v>
      </c>
      <c r="V124" t="str">
        <f>VLOOKUP(Таблица15[[#This Row],[Модель]],Таблица14[#All],2,0)</f>
        <v>Внедорожник</v>
      </c>
      <c r="W124" s="20">
        <f>VLOOKUP(Таблица15[[#This Row],[Модель]],Таблица14[#All],3,0)</f>
        <v>18000</v>
      </c>
      <c r="X124" s="20">
        <f>VLOOKUP(Таблица15[[#This Row],[Модель]],Таблица14[#All],4,0)</f>
        <v>16000</v>
      </c>
      <c r="Y124" s="4">
        <f>VLOOKUP(Таблица15[[#This Row],[Модель]],Таблица14[#All],5,0)</f>
        <v>22000</v>
      </c>
      <c r="Z124" t="str">
        <f>VLOOKUP(Таблица15[[#This Row],[Модель]],Таблица14[#All],6,0)</f>
        <v>АКПП</v>
      </c>
      <c r="AA124" t="str">
        <f>VLOOKUP(Таблица15[[#This Row],[Модель]],Таблица14[#All],7,0)</f>
        <v>Бензин</v>
      </c>
      <c r="AB124" t="str">
        <f>VLOOKUP(Таблица15[[#This Row],[Модель]],Таблица14[#All],8,0)</f>
        <v>Эконом</v>
      </c>
      <c r="AC124" t="str">
        <f>VLOOKUP(Таблица15[[#This Row],[Модель]],Таблица14[#All],9,0)</f>
        <v>Средний</v>
      </c>
      <c r="AD124">
        <f>VLOOKUP(Таблица15[[#This Row],[Модель]],Таблица14[#All],10,0)</f>
        <v>150</v>
      </c>
      <c r="AE124">
        <f>VLOOKUP(Таблица15[[#This Row],[Модель]],Таблица14[#All],11,0)</f>
        <v>13.5</v>
      </c>
      <c r="AF124">
        <v>2021</v>
      </c>
      <c r="AG124">
        <v>0</v>
      </c>
      <c r="AH124" s="22">
        <f>VLOOKUP(Таблица15[[#This Row],[Модель]],Таблица14[#All],12,0)/1000000</f>
        <v>8.69</v>
      </c>
      <c r="AI124" s="21">
        <f>VLOOKUP(Таблица15[[#This Row],[Модель]],Таблица14[#All],13,0)/1000000</f>
        <v>7.99</v>
      </c>
      <c r="AJ124" s="21">
        <f>VLOOKUP(Таблица15[[#This Row],[Модель]],Таблица14[#All],14,0)/1000000</f>
        <v>9.39</v>
      </c>
      <c r="AK124" s="21">
        <f>Таблица15[[#This Row],[Средняя цена (USD)]]*Таблица15[[#This Row],[Кол-во проданных]]/1000000</f>
        <v>0</v>
      </c>
      <c r="AL124" s="39">
        <f>Таблица15[[#This Row],[Средняя цена млн. ₸]]/440*Таблица15[[#This Row],[Кол-во проданных]]</f>
        <v>0</v>
      </c>
      <c r="AM124" s="39">
        <f>Таблица15[[#This Row],[Средняя цена млн. ₸]]*Таблица15[[#This Row],[Кол-во проданных]]/1000</f>
        <v>0</v>
      </c>
      <c r="AR124" s="22"/>
      <c r="AS124" s="22"/>
      <c r="AT124" s="22"/>
    </row>
    <row r="125" spans="2:46">
      <c r="B125" t="s">
        <v>279</v>
      </c>
      <c r="C125" s="11">
        <v>2224.1386536000005</v>
      </c>
      <c r="D125" s="11">
        <v>1418.0014825000001</v>
      </c>
      <c r="E125" s="11">
        <v>1283.5681142589997</v>
      </c>
      <c r="F125" s="11">
        <v>958.23777350000012</v>
      </c>
      <c r="G125" s="11">
        <v>920.03167454100003</v>
      </c>
      <c r="H125" s="11">
        <v>6803.9776984000009</v>
      </c>
      <c r="T125" t="s">
        <v>6</v>
      </c>
      <c r="U125" t="s">
        <v>63</v>
      </c>
      <c r="V125" t="str">
        <f>VLOOKUP(Таблица15[[#This Row],[Модель]],Таблица14[#All],2,0)</f>
        <v>Внедорожник</v>
      </c>
      <c r="W125" s="20">
        <f>VLOOKUP(Таблица15[[#This Row],[Модель]],Таблица14[#All],3,0)</f>
        <v>18000</v>
      </c>
      <c r="X125" s="20">
        <f>VLOOKUP(Таблица15[[#This Row],[Модель]],Таблица14[#All],4,0)</f>
        <v>16000</v>
      </c>
      <c r="Y125" s="4">
        <f>VLOOKUP(Таблица15[[#This Row],[Модель]],Таблица14[#All],5,0)</f>
        <v>22000</v>
      </c>
      <c r="Z125" t="str">
        <f>VLOOKUP(Таблица15[[#This Row],[Модель]],Таблица14[#All],6,0)</f>
        <v>АКПП</v>
      </c>
      <c r="AA125" t="str">
        <f>VLOOKUP(Таблица15[[#This Row],[Модель]],Таблица14[#All],7,0)</f>
        <v>Бензин</v>
      </c>
      <c r="AB125" t="str">
        <f>VLOOKUP(Таблица15[[#This Row],[Модель]],Таблица14[#All],8,0)</f>
        <v>Эконом</v>
      </c>
      <c r="AC125" t="str">
        <f>VLOOKUP(Таблица15[[#This Row],[Модель]],Таблица14[#All],9,0)</f>
        <v>Средний</v>
      </c>
      <c r="AD125">
        <f>VLOOKUP(Таблица15[[#This Row],[Модель]],Таблица14[#All],10,0)</f>
        <v>150</v>
      </c>
      <c r="AE125">
        <f>VLOOKUP(Таблица15[[#This Row],[Модель]],Таблица14[#All],11,0)</f>
        <v>13.5</v>
      </c>
      <c r="AF125">
        <v>2020</v>
      </c>
      <c r="AG125">
        <v>0</v>
      </c>
      <c r="AH125" s="22">
        <f>VLOOKUP(Таблица15[[#This Row],[Модель]],Таблица14[#All],12,0)/1000000</f>
        <v>8.69</v>
      </c>
      <c r="AI125" s="21">
        <f>VLOOKUP(Таблица15[[#This Row],[Модель]],Таблица14[#All],13,0)/1000000</f>
        <v>7.99</v>
      </c>
      <c r="AJ125" s="21">
        <f>VLOOKUP(Таблица15[[#This Row],[Модель]],Таблица14[#All],14,0)/1000000</f>
        <v>9.39</v>
      </c>
      <c r="AK125" s="21">
        <f>Таблица15[[#This Row],[Средняя цена (USD)]]*Таблица15[[#This Row],[Кол-во проданных]]/1000000</f>
        <v>0</v>
      </c>
      <c r="AL125" s="39">
        <f>Таблица15[[#This Row],[Средняя цена млн. ₸]]/440*Таблица15[[#This Row],[Кол-во проданных]]</f>
        <v>0</v>
      </c>
      <c r="AM125" s="39">
        <f>Таблица15[[#This Row],[Средняя цена млн. ₸]]*Таблица15[[#This Row],[Кол-во проданных]]/1000</f>
        <v>0</v>
      </c>
      <c r="AR125" s="22"/>
      <c r="AS125" s="22"/>
      <c r="AT125" s="22"/>
    </row>
    <row r="126" spans="2:46">
      <c r="K126" s="13" t="s">
        <v>218</v>
      </c>
      <c r="L126" s="13" t="s">
        <v>151</v>
      </c>
      <c r="T126" t="s">
        <v>6</v>
      </c>
      <c r="U126" t="s">
        <v>63</v>
      </c>
      <c r="V126" t="str">
        <f>VLOOKUP(Таблица15[[#This Row],[Модель]],Таблица14[#All],2,0)</f>
        <v>Внедорожник</v>
      </c>
      <c r="W126" s="20">
        <f>VLOOKUP(Таблица15[[#This Row],[Модель]],Таблица14[#All],3,0)</f>
        <v>18000</v>
      </c>
      <c r="X126" s="20">
        <f>VLOOKUP(Таблица15[[#This Row],[Модель]],Таблица14[#All],4,0)</f>
        <v>16000</v>
      </c>
      <c r="Y126" s="4">
        <f>VLOOKUP(Таблица15[[#This Row],[Модель]],Таблица14[#All],5,0)</f>
        <v>22000</v>
      </c>
      <c r="Z126" t="str">
        <f>VLOOKUP(Таблица15[[#This Row],[Модель]],Таблица14[#All],6,0)</f>
        <v>АКПП</v>
      </c>
      <c r="AA126" t="str">
        <f>VLOOKUP(Таблица15[[#This Row],[Модель]],Таблица14[#All],7,0)</f>
        <v>Бензин</v>
      </c>
      <c r="AB126" t="str">
        <f>VLOOKUP(Таблица15[[#This Row],[Модель]],Таблица14[#All],8,0)</f>
        <v>Эконом</v>
      </c>
      <c r="AC126" t="str">
        <f>VLOOKUP(Таблица15[[#This Row],[Модель]],Таблица14[#All],9,0)</f>
        <v>Средний</v>
      </c>
      <c r="AD126">
        <f>VLOOKUP(Таблица15[[#This Row],[Модель]],Таблица14[#All],10,0)</f>
        <v>150</v>
      </c>
      <c r="AE126">
        <f>VLOOKUP(Таблица15[[#This Row],[Модель]],Таблица14[#All],11,0)</f>
        <v>13.5</v>
      </c>
      <c r="AF126">
        <v>2019</v>
      </c>
      <c r="AG126">
        <v>0</v>
      </c>
      <c r="AH126" s="22">
        <f>VLOOKUP(Таблица15[[#This Row],[Модель]],Таблица14[#All],12,0)/1000000</f>
        <v>8.69</v>
      </c>
      <c r="AI126" s="21">
        <f>VLOOKUP(Таблица15[[#This Row],[Модель]],Таблица14[#All],13,0)/1000000</f>
        <v>7.99</v>
      </c>
      <c r="AJ126" s="21">
        <f>VLOOKUP(Таблица15[[#This Row],[Модель]],Таблица14[#All],14,0)/1000000</f>
        <v>9.39</v>
      </c>
      <c r="AK126" s="21">
        <f>Таблица15[[#This Row],[Средняя цена (USD)]]*Таблица15[[#This Row],[Кол-во проданных]]/1000000</f>
        <v>0</v>
      </c>
      <c r="AL126" s="39">
        <f>Таблица15[[#This Row],[Средняя цена млн. ₸]]/440*Таблица15[[#This Row],[Кол-во проданных]]</f>
        <v>0</v>
      </c>
      <c r="AM126" s="39">
        <f>Таблица15[[#This Row],[Средняя цена млн. ₸]]*Таблица15[[#This Row],[Кол-во проданных]]/1000</f>
        <v>0</v>
      </c>
      <c r="AR126" s="22"/>
      <c r="AS126" s="22"/>
      <c r="AT126" s="22"/>
    </row>
    <row r="127" spans="2:46">
      <c r="K127" s="13" t="s">
        <v>161</v>
      </c>
      <c r="L127">
        <v>2023</v>
      </c>
      <c r="M127">
        <v>2022</v>
      </c>
      <c r="N127">
        <v>2021</v>
      </c>
      <c r="O127">
        <v>2020</v>
      </c>
      <c r="P127">
        <v>2019</v>
      </c>
      <c r="Q127" t="s">
        <v>155</v>
      </c>
      <c r="T127" t="s">
        <v>0</v>
      </c>
      <c r="U127" t="s">
        <v>27</v>
      </c>
      <c r="V127" t="str">
        <f>VLOOKUP(Таблица15[[#This Row],[Модель]],Таблица14[#All],2,0)</f>
        <v>Седан</v>
      </c>
      <c r="W127" s="20">
        <f>VLOOKUP(Таблица15[[#This Row],[Модель]],Таблица14[#All],3,0)</f>
        <v>15000</v>
      </c>
      <c r="X127" s="20">
        <f>VLOOKUP(Таблица15[[#This Row],[Модель]],Таблица14[#All],4,0)</f>
        <v>13000</v>
      </c>
      <c r="Y127" s="4">
        <f>VLOOKUP(Таблица15[[#This Row],[Модель]],Таблица14[#All],5,0)</f>
        <v>18000</v>
      </c>
      <c r="Z127" t="str">
        <f>VLOOKUP(Таблица15[[#This Row],[Модель]],Таблица14[#All],6,0)</f>
        <v>МКПП, АКПП</v>
      </c>
      <c r="AA127" t="str">
        <f>VLOOKUP(Таблица15[[#This Row],[Модель]],Таблица14[#All],7,0)</f>
        <v>Бензин</v>
      </c>
      <c r="AB127" t="str">
        <f>VLOOKUP(Таблица15[[#This Row],[Модель]],Таблица14[#All],8,0)</f>
        <v>Эконом</v>
      </c>
      <c r="AC127" t="str">
        <f>VLOOKUP(Таблица15[[#This Row],[Модель]],Таблица14[#All],9,0)</f>
        <v>Маленький</v>
      </c>
      <c r="AD127">
        <f>VLOOKUP(Таблица15[[#This Row],[Модель]],Таблица14[#All],10,0)</f>
        <v>120</v>
      </c>
      <c r="AE127">
        <f>VLOOKUP(Таблица15[[#This Row],[Модель]],Таблица14[#All],11,0)</f>
        <v>15</v>
      </c>
      <c r="AF127">
        <v>2023</v>
      </c>
      <c r="AG127">
        <v>2722</v>
      </c>
      <c r="AH127" s="22">
        <f>VLOOKUP(Таблица15[[#This Row],[Модель]],Таблица14[#All],12,0)/1000000</f>
        <v>10.445</v>
      </c>
      <c r="AI127" s="21">
        <f>VLOOKUP(Таблица15[[#This Row],[Модель]],Таблица14[#All],13,0)/1000000</f>
        <v>9.89</v>
      </c>
      <c r="AJ127" s="21">
        <f>VLOOKUP(Таблица15[[#This Row],[Модель]],Таблица14[#All],14,0)/1000000</f>
        <v>11</v>
      </c>
      <c r="AK127" s="21">
        <f>Таблица15[[#This Row],[Средняя цена (USD)]]*Таблица15[[#This Row],[Кол-во проданных]]/1000000</f>
        <v>40.83</v>
      </c>
      <c r="AL127" s="39">
        <f>Таблица15[[#This Row],[Средняя цена млн. ₸]]/440*Таблица15[[#This Row],[Кол-во проданных]]</f>
        <v>64.616568181818181</v>
      </c>
      <c r="AM127" s="39">
        <f>Таблица15[[#This Row],[Средняя цена млн. ₸]]*Таблица15[[#This Row],[Кол-во проданных]]/1000</f>
        <v>28.431290000000001</v>
      </c>
      <c r="AR127" s="22"/>
      <c r="AS127" s="22"/>
      <c r="AT127" s="22"/>
    </row>
    <row r="128" spans="2:46">
      <c r="K128" s="14" t="s">
        <v>199</v>
      </c>
      <c r="L128" s="16">
        <v>0.41243651008325066</v>
      </c>
      <c r="M128" s="16">
        <v>0.51595795417692059</v>
      </c>
      <c r="N128" s="16">
        <v>0.54413946227906029</v>
      </c>
      <c r="O128" s="16">
        <v>0.50300799248928363</v>
      </c>
      <c r="P128" s="16">
        <v>0.43193729347575499</v>
      </c>
      <c r="Q128" s="16">
        <v>0.47592618927738212</v>
      </c>
      <c r="T128" t="s">
        <v>0</v>
      </c>
      <c r="U128" t="s">
        <v>27</v>
      </c>
      <c r="V128" t="str">
        <f>VLOOKUP(Таблица15[[#This Row],[Модель]],Таблица14[#All],2,0)</f>
        <v>Седан</v>
      </c>
      <c r="W128" s="20">
        <f>VLOOKUP(Таблица15[[#This Row],[Модель]],Таблица14[#All],3,0)</f>
        <v>15000</v>
      </c>
      <c r="X128" s="20">
        <f>VLOOKUP(Таблица15[[#This Row],[Модель]],Таблица14[#All],4,0)</f>
        <v>13000</v>
      </c>
      <c r="Y128" s="4">
        <f>VLOOKUP(Таблица15[[#This Row],[Модель]],Таблица14[#All],5,0)</f>
        <v>18000</v>
      </c>
      <c r="Z128" t="str">
        <f>VLOOKUP(Таблица15[[#This Row],[Модель]],Таблица14[#All],6,0)</f>
        <v>МКПП, АКПП</v>
      </c>
      <c r="AA128" t="str">
        <f>VLOOKUP(Таблица15[[#This Row],[Модель]],Таблица14[#All],7,0)</f>
        <v>Бензин</v>
      </c>
      <c r="AB128" t="str">
        <f>VLOOKUP(Таблица15[[#This Row],[Модель]],Таблица14[#All],8,0)</f>
        <v>Эконом</v>
      </c>
      <c r="AC128" t="str">
        <f>VLOOKUP(Таблица15[[#This Row],[Модель]],Таблица14[#All],9,0)</f>
        <v>Маленький</v>
      </c>
      <c r="AD128">
        <f>VLOOKUP(Таблица15[[#This Row],[Модель]],Таблица14[#All],10,0)</f>
        <v>120</v>
      </c>
      <c r="AE128">
        <f>VLOOKUP(Таблица15[[#This Row],[Модель]],Таблица14[#All],11,0)</f>
        <v>15</v>
      </c>
      <c r="AF128">
        <v>2022</v>
      </c>
      <c r="AG128">
        <v>2957</v>
      </c>
      <c r="AH128" s="22">
        <f>VLOOKUP(Таблица15[[#This Row],[Модель]],Таблица14[#All],12,0)/1000000</f>
        <v>10.445</v>
      </c>
      <c r="AI128" s="21">
        <f>VLOOKUP(Таблица15[[#This Row],[Модель]],Таблица14[#All],13,0)/1000000</f>
        <v>9.89</v>
      </c>
      <c r="AJ128" s="21">
        <f>VLOOKUP(Таблица15[[#This Row],[Модель]],Таблица14[#All],14,0)/1000000</f>
        <v>11</v>
      </c>
      <c r="AK128" s="21">
        <f>Таблица15[[#This Row],[Средняя цена (USD)]]*Таблица15[[#This Row],[Кол-во проданных]]/1000000</f>
        <v>44.354999999999997</v>
      </c>
      <c r="AL128" s="39">
        <f>Таблица15[[#This Row],[Средняя цена млн. ₸]]/440*Таблица15[[#This Row],[Кол-во проданных]]</f>
        <v>70.195147727272726</v>
      </c>
      <c r="AM128" s="39">
        <f>Таблица15[[#This Row],[Средняя цена млн. ₸]]*Таблица15[[#This Row],[Кол-во проданных]]/1000</f>
        <v>30.885865000000003</v>
      </c>
      <c r="AR128" s="22"/>
      <c r="AS128" s="22"/>
      <c r="AT128" s="22"/>
    </row>
    <row r="129" spans="2:46">
      <c r="C129" s="13" t="s">
        <v>151</v>
      </c>
      <c r="K129" s="14" t="s">
        <v>202</v>
      </c>
      <c r="L129" s="16">
        <v>0.42310582153698195</v>
      </c>
      <c r="M129" s="16">
        <v>0.3429004750186001</v>
      </c>
      <c r="N129" s="16">
        <v>0.25799164234673594</v>
      </c>
      <c r="O129" s="16">
        <v>0.29590740077330729</v>
      </c>
      <c r="P129" s="16">
        <v>0.37547068316299087</v>
      </c>
      <c r="Q129" s="16">
        <v>0.34847547265536422</v>
      </c>
      <c r="T129" t="s">
        <v>0</v>
      </c>
      <c r="U129" t="s">
        <v>27</v>
      </c>
      <c r="V129" t="str">
        <f>VLOOKUP(Таблица15[[#This Row],[Модель]],Таблица14[#All],2,0)</f>
        <v>Седан</v>
      </c>
      <c r="W129" s="20">
        <f>VLOOKUP(Таблица15[[#This Row],[Модель]],Таблица14[#All],3,0)</f>
        <v>15000</v>
      </c>
      <c r="X129" s="20">
        <f>VLOOKUP(Таблица15[[#This Row],[Модель]],Таблица14[#All],4,0)</f>
        <v>13000</v>
      </c>
      <c r="Y129" s="4">
        <f>VLOOKUP(Таблица15[[#This Row],[Модель]],Таблица14[#All],5,0)</f>
        <v>18000</v>
      </c>
      <c r="Z129" t="str">
        <f>VLOOKUP(Таблица15[[#This Row],[Модель]],Таблица14[#All],6,0)</f>
        <v>МКПП, АКПП</v>
      </c>
      <c r="AA129" t="str">
        <f>VLOOKUP(Таблица15[[#This Row],[Модель]],Таблица14[#All],7,0)</f>
        <v>Бензин</v>
      </c>
      <c r="AB129" t="str">
        <f>VLOOKUP(Таблица15[[#This Row],[Модель]],Таблица14[#All],8,0)</f>
        <v>Эконом</v>
      </c>
      <c r="AC129" t="str">
        <f>VLOOKUP(Таблица15[[#This Row],[Модель]],Таблица14[#All],9,0)</f>
        <v>Маленький</v>
      </c>
      <c r="AD129">
        <f>VLOOKUP(Таблица15[[#This Row],[Модель]],Таблица14[#All],10,0)</f>
        <v>120</v>
      </c>
      <c r="AE129">
        <f>VLOOKUP(Таблица15[[#This Row],[Модель]],Таблица14[#All],11,0)</f>
        <v>15</v>
      </c>
      <c r="AF129">
        <v>2021</v>
      </c>
      <c r="AG129">
        <v>9083</v>
      </c>
      <c r="AH129" s="22">
        <f>VLOOKUP(Таблица15[[#This Row],[Модель]],Таблица14[#All],12,0)/1000000</f>
        <v>10.445</v>
      </c>
      <c r="AI129" s="21">
        <f>VLOOKUP(Таблица15[[#This Row],[Модель]],Таблица14[#All],13,0)/1000000</f>
        <v>9.89</v>
      </c>
      <c r="AJ129" s="21">
        <f>VLOOKUP(Таблица15[[#This Row],[Модель]],Таблица14[#All],14,0)/1000000</f>
        <v>11</v>
      </c>
      <c r="AK129" s="21">
        <f>Таблица15[[#This Row],[Средняя цена (USD)]]*Таблица15[[#This Row],[Кол-во проданных]]/1000000</f>
        <v>136.245</v>
      </c>
      <c r="AL129" s="39">
        <f>Таблица15[[#This Row],[Средняя цена млн. ₸]]/440*Таблица15[[#This Row],[Кол-во проданных]]</f>
        <v>215.61803409090911</v>
      </c>
      <c r="AM129" s="39">
        <f>Таблица15[[#This Row],[Средняя цена млн. ₸]]*Таблица15[[#This Row],[Кол-во проданных]]/1000</f>
        <v>94.871934999999993</v>
      </c>
      <c r="AR129" s="22"/>
      <c r="AS129" s="22"/>
      <c r="AT129" s="22"/>
    </row>
    <row r="130" spans="2:46">
      <c r="C130">
        <v>2023</v>
      </c>
      <c r="D130">
        <v>2022</v>
      </c>
      <c r="E130">
        <v>2021</v>
      </c>
      <c r="F130">
        <v>2020</v>
      </c>
      <c r="G130">
        <v>2019</v>
      </c>
      <c r="H130" t="s">
        <v>155</v>
      </c>
      <c r="K130" s="14" t="s">
        <v>197</v>
      </c>
      <c r="L130" s="16">
        <v>0.11573347759444595</v>
      </c>
      <c r="M130" s="16">
        <v>6.6626604857017491E-2</v>
      </c>
      <c r="N130" s="16">
        <v>8.6436750404793525E-2</v>
      </c>
      <c r="O130" s="16">
        <v>9.0140949463255543E-2</v>
      </c>
      <c r="P130" s="16">
        <v>7.6631061246445864E-2</v>
      </c>
      <c r="Q130" s="16">
        <v>9.1162238305166829E-2</v>
      </c>
      <c r="T130" t="s">
        <v>0</v>
      </c>
      <c r="U130" t="s">
        <v>27</v>
      </c>
      <c r="V130" t="str">
        <f>VLOOKUP(Таблица15[[#This Row],[Модель]],Таблица14[#All],2,0)</f>
        <v>Седан</v>
      </c>
      <c r="W130" s="20">
        <f>VLOOKUP(Таблица15[[#This Row],[Модель]],Таблица14[#All],3,0)</f>
        <v>15000</v>
      </c>
      <c r="X130" s="20">
        <f>VLOOKUP(Таблица15[[#This Row],[Модель]],Таблица14[#All],4,0)</f>
        <v>13000</v>
      </c>
      <c r="Y130" s="4">
        <f>VLOOKUP(Таблица15[[#This Row],[Модель]],Таблица14[#All],5,0)</f>
        <v>18000</v>
      </c>
      <c r="Z130" t="str">
        <f>VLOOKUP(Таблица15[[#This Row],[Модель]],Таблица14[#All],6,0)</f>
        <v>МКПП, АКПП</v>
      </c>
      <c r="AA130" t="str">
        <f>VLOOKUP(Таблица15[[#This Row],[Модель]],Таблица14[#All],7,0)</f>
        <v>Бензин</v>
      </c>
      <c r="AB130" t="str">
        <f>VLOOKUP(Таблица15[[#This Row],[Модель]],Таблица14[#All],8,0)</f>
        <v>Эконом</v>
      </c>
      <c r="AC130" t="str">
        <f>VLOOKUP(Таблица15[[#This Row],[Модель]],Таблица14[#All],9,0)</f>
        <v>Маленький</v>
      </c>
      <c r="AD130">
        <f>VLOOKUP(Таблица15[[#This Row],[Модель]],Таблица14[#All],10,0)</f>
        <v>120</v>
      </c>
      <c r="AE130">
        <f>VLOOKUP(Таблица15[[#This Row],[Модель]],Таблица14[#All],11,0)</f>
        <v>15</v>
      </c>
      <c r="AF130">
        <v>2020</v>
      </c>
      <c r="AG130">
        <v>5169</v>
      </c>
      <c r="AH130" s="22">
        <f>VLOOKUP(Таблица15[[#This Row],[Модель]],Таблица14[#All],12,0)/1000000</f>
        <v>10.445</v>
      </c>
      <c r="AI130" s="21">
        <f>VLOOKUP(Таблица15[[#This Row],[Модель]],Таблица14[#All],13,0)/1000000</f>
        <v>9.89</v>
      </c>
      <c r="AJ130" s="21">
        <f>VLOOKUP(Таблица15[[#This Row],[Модель]],Таблица14[#All],14,0)/1000000</f>
        <v>11</v>
      </c>
      <c r="AK130" s="21">
        <f>Таблица15[[#This Row],[Средняя цена (USD)]]*Таблица15[[#This Row],[Кол-во проданных]]/1000000</f>
        <v>77.534999999999997</v>
      </c>
      <c r="AL130" s="39">
        <f>Таблица15[[#This Row],[Средняя цена млн. ₸]]/440*Таблица15[[#This Row],[Кол-во проданных]]</f>
        <v>122.70501136363637</v>
      </c>
      <c r="AM130" s="39">
        <f>Таблица15[[#This Row],[Средняя цена млн. ₸]]*Таблица15[[#This Row],[Кол-во проданных]]/1000</f>
        <v>53.990205000000003</v>
      </c>
      <c r="AR130" s="22"/>
      <c r="AS130" s="22"/>
      <c r="AT130" s="22"/>
    </row>
    <row r="131" spans="2:46">
      <c r="B131" t="s">
        <v>280</v>
      </c>
      <c r="C131" s="11">
        <v>5054.8605763636351</v>
      </c>
      <c r="D131" s="11">
        <v>3222.7306420454538</v>
      </c>
      <c r="E131" s="11">
        <v>2917.2002596795451</v>
      </c>
      <c r="F131" s="11">
        <v>2177.8131215909098</v>
      </c>
      <c r="G131" s="11">
        <v>2090.9810785022723</v>
      </c>
      <c r="H131" s="11">
        <v>15463.585678181817</v>
      </c>
      <c r="K131" s="14" t="s">
        <v>203</v>
      </c>
      <c r="L131" s="16">
        <v>3.2464761217804228E-2</v>
      </c>
      <c r="M131" s="16">
        <v>3.3556534844235868E-2</v>
      </c>
      <c r="N131" s="16">
        <v>7.0225617855515371E-2</v>
      </c>
      <c r="O131" s="16">
        <v>5.973984262084471E-2</v>
      </c>
      <c r="P131" s="16">
        <v>6.3013909167755316E-2</v>
      </c>
      <c r="Q131" s="16">
        <v>4.8232178615491644E-2</v>
      </c>
      <c r="T131" t="s">
        <v>0</v>
      </c>
      <c r="U131" t="s">
        <v>27</v>
      </c>
      <c r="V131" t="str">
        <f>VLOOKUP(Таблица15[[#This Row],[Модель]],Таблица14[#All],2,0)</f>
        <v>Седан</v>
      </c>
      <c r="W131" s="20">
        <f>VLOOKUP(Таблица15[[#This Row],[Модель]],Таблица14[#All],3,0)</f>
        <v>15000</v>
      </c>
      <c r="X131" s="20">
        <f>VLOOKUP(Таблица15[[#This Row],[Модель]],Таблица14[#All],4,0)</f>
        <v>13000</v>
      </c>
      <c r="Y131" s="4">
        <f>VLOOKUP(Таблица15[[#This Row],[Модель]],Таблица14[#All],5,0)</f>
        <v>18000</v>
      </c>
      <c r="Z131" t="str">
        <f>VLOOKUP(Таблица15[[#This Row],[Модель]],Таблица14[#All],6,0)</f>
        <v>МКПП, АКПП</v>
      </c>
      <c r="AA131" t="str">
        <f>VLOOKUP(Таблица15[[#This Row],[Модель]],Таблица14[#All],7,0)</f>
        <v>Бензин</v>
      </c>
      <c r="AB131" t="str">
        <f>VLOOKUP(Таблица15[[#This Row],[Модель]],Таблица14[#All],8,0)</f>
        <v>Эконом</v>
      </c>
      <c r="AC131" t="str">
        <f>VLOOKUP(Таблица15[[#This Row],[Модель]],Таблица14[#All],9,0)</f>
        <v>Маленький</v>
      </c>
      <c r="AD131">
        <f>VLOOKUP(Таблица15[[#This Row],[Модель]],Таблица14[#All],10,0)</f>
        <v>120</v>
      </c>
      <c r="AE131">
        <f>VLOOKUP(Таблица15[[#This Row],[Модель]],Таблица14[#All],11,0)</f>
        <v>15</v>
      </c>
      <c r="AF131">
        <v>2019</v>
      </c>
      <c r="AG131">
        <v>3494</v>
      </c>
      <c r="AH131" s="22">
        <f>VLOOKUP(Таблица15[[#This Row],[Модель]],Таблица14[#All],12,0)/1000000</f>
        <v>10.445</v>
      </c>
      <c r="AI131" s="21">
        <f>VLOOKUP(Таблица15[[#This Row],[Модель]],Таблица14[#All],13,0)/1000000</f>
        <v>9.89</v>
      </c>
      <c r="AJ131" s="21">
        <f>VLOOKUP(Таблица15[[#This Row],[Модель]],Таблица14[#All],14,0)/1000000</f>
        <v>11</v>
      </c>
      <c r="AK131" s="21">
        <f>Таблица15[[#This Row],[Средняя цена (USD)]]*Таблица15[[#This Row],[Кол-во проданных]]/1000000</f>
        <v>52.41</v>
      </c>
      <c r="AL131" s="39">
        <f>Таблица15[[#This Row],[Средняя цена млн. ₸]]/440*Таблица15[[#This Row],[Кол-во проданных]]</f>
        <v>82.942795454545461</v>
      </c>
      <c r="AM131" s="39">
        <f>Таблица15[[#This Row],[Средняя цена млн. ₸]]*Таблица15[[#This Row],[Кол-во проданных]]/1000</f>
        <v>36.49483</v>
      </c>
      <c r="AR131" s="22"/>
      <c r="AS131" s="22"/>
      <c r="AT131" s="22"/>
    </row>
    <row r="132" spans="2:46">
      <c r="K132" s="14" t="s">
        <v>201</v>
      </c>
      <c r="L132" s="16">
        <v>0</v>
      </c>
      <c r="M132" s="16">
        <v>1.1160075545126767E-2</v>
      </c>
      <c r="N132" s="16">
        <v>2.2658742085922882E-2</v>
      </c>
      <c r="O132" s="16">
        <v>2.8301071018270313E-2</v>
      </c>
      <c r="P132" s="16">
        <v>3.3843079996926151E-2</v>
      </c>
      <c r="Q132" s="16">
        <v>1.537403095561133E-2</v>
      </c>
      <c r="T132" t="s">
        <v>0</v>
      </c>
      <c r="U132" t="s">
        <v>52</v>
      </c>
      <c r="V132" t="str">
        <f>VLOOKUP(Таблица15[[#This Row],[Модель]],Таблица14[#All],2,0)</f>
        <v>Седан</v>
      </c>
      <c r="W132" s="20">
        <f>VLOOKUP(Таблица15[[#This Row],[Модель]],Таблица14[#All],3,0)</f>
        <v>18000</v>
      </c>
      <c r="X132" s="20">
        <f>VLOOKUP(Таблица15[[#This Row],[Модель]],Таблица14[#All],4,0)</f>
        <v>16000</v>
      </c>
      <c r="Y132" s="4">
        <f>VLOOKUP(Таблица15[[#This Row],[Модель]],Таблица14[#All],5,0)</f>
        <v>22000</v>
      </c>
      <c r="Z132" t="str">
        <f>VLOOKUP(Таблица15[[#This Row],[Модель]],Таблица14[#All],6,0)</f>
        <v>АКПП</v>
      </c>
      <c r="AA132" t="str">
        <f>VLOOKUP(Таблица15[[#This Row],[Модель]],Таблица14[#All],7,0)</f>
        <v>Бензин</v>
      </c>
      <c r="AB132" t="str">
        <f>VLOOKUP(Таблица15[[#This Row],[Модель]],Таблица14[#All],8,0)</f>
        <v>Комфорт</v>
      </c>
      <c r="AC132" t="str">
        <f>VLOOKUP(Таблица15[[#This Row],[Модель]],Таблица14[#All],9,0)</f>
        <v>Средний</v>
      </c>
      <c r="AD132">
        <f>VLOOKUP(Таблица15[[#This Row],[Модель]],Таблица14[#All],10,0)</f>
        <v>150</v>
      </c>
      <c r="AE132">
        <f>VLOOKUP(Таблица15[[#This Row],[Модель]],Таблица14[#All],11,0)</f>
        <v>13.5</v>
      </c>
      <c r="AF132">
        <v>2023</v>
      </c>
      <c r="AG132">
        <v>5984</v>
      </c>
      <c r="AH132" s="22">
        <f>VLOOKUP(Таблица15[[#This Row],[Модель]],Таблица14[#All],12,0)/1000000</f>
        <v>11</v>
      </c>
      <c r="AI132" s="21">
        <f>VLOOKUP(Таблица15[[#This Row],[Модель]],Таблица14[#All],13,0)/1000000</f>
        <v>10.8</v>
      </c>
      <c r="AJ132" s="21">
        <f>VLOOKUP(Таблица15[[#This Row],[Модель]],Таблица14[#All],14,0)/1000000</f>
        <v>11.2</v>
      </c>
      <c r="AK132" s="21">
        <f>Таблица15[[#This Row],[Средняя цена (USD)]]*Таблица15[[#This Row],[Кол-во проданных]]/1000000</f>
        <v>107.712</v>
      </c>
      <c r="AL132" s="39">
        <f>Таблица15[[#This Row],[Средняя цена млн. ₸]]/440*Таблица15[[#This Row],[Кол-во проданных]]</f>
        <v>149.6</v>
      </c>
      <c r="AM132" s="39">
        <f>Таблица15[[#This Row],[Средняя цена млн. ₸]]*Таблица15[[#This Row],[Кол-во проданных]]/1000</f>
        <v>65.823999999999998</v>
      </c>
      <c r="AR132" s="22"/>
      <c r="AS132" s="22"/>
      <c r="AT132" s="22"/>
    </row>
    <row r="133" spans="2:46">
      <c r="K133" s="14" t="s">
        <v>198</v>
      </c>
      <c r="L133" s="16">
        <v>6.756228774081087E-3</v>
      </c>
      <c r="M133" s="16">
        <v>1.6816421526545718E-2</v>
      </c>
      <c r="N133" s="16">
        <v>1.141178409718923E-2</v>
      </c>
      <c r="O133" s="16">
        <v>9.1413324109646584E-3</v>
      </c>
      <c r="P133" s="16">
        <v>1.5645892568969491E-2</v>
      </c>
      <c r="Q133" s="16">
        <v>1.1188451027946144E-2</v>
      </c>
      <c r="T133" t="s">
        <v>0</v>
      </c>
      <c r="U133" t="s">
        <v>52</v>
      </c>
      <c r="V133" t="str">
        <f>VLOOKUP(Таблица15[[#This Row],[Модель]],Таблица14[#All],2,0)</f>
        <v>Седан</v>
      </c>
      <c r="W133" s="20">
        <f>VLOOKUP(Таблица15[[#This Row],[Модель]],Таблица14[#All],3,0)</f>
        <v>18000</v>
      </c>
      <c r="X133" s="20">
        <f>VLOOKUP(Таблица15[[#This Row],[Модель]],Таблица14[#All],4,0)</f>
        <v>16000</v>
      </c>
      <c r="Y133" s="4">
        <f>VLOOKUP(Таблица15[[#This Row],[Модель]],Таблица14[#All],5,0)</f>
        <v>22000</v>
      </c>
      <c r="Z133" t="str">
        <f>VLOOKUP(Таблица15[[#This Row],[Модель]],Таблица14[#All],6,0)</f>
        <v>АКПП</v>
      </c>
      <c r="AA133" t="str">
        <f>VLOOKUP(Таблица15[[#This Row],[Модель]],Таблица14[#All],7,0)</f>
        <v>Бензин</v>
      </c>
      <c r="AB133" t="str">
        <f>VLOOKUP(Таблица15[[#This Row],[Модель]],Таблица14[#All],8,0)</f>
        <v>Комфорт</v>
      </c>
      <c r="AC133" t="str">
        <f>VLOOKUP(Таблица15[[#This Row],[Модель]],Таблица14[#All],9,0)</f>
        <v>Средний</v>
      </c>
      <c r="AD133">
        <f>VLOOKUP(Таблица15[[#This Row],[Модель]],Таблица14[#All],10,0)</f>
        <v>150</v>
      </c>
      <c r="AE133">
        <f>VLOOKUP(Таблица15[[#This Row],[Модель]],Таблица14[#All],11,0)</f>
        <v>13.5</v>
      </c>
      <c r="AF133">
        <v>2022</v>
      </c>
      <c r="AG133">
        <v>4981</v>
      </c>
      <c r="AH133" s="22">
        <f>VLOOKUP(Таблица15[[#This Row],[Модель]],Таблица14[#All],12,0)/1000000</f>
        <v>11</v>
      </c>
      <c r="AI133" s="21">
        <f>VLOOKUP(Таблица15[[#This Row],[Модель]],Таблица14[#All],13,0)/1000000</f>
        <v>10.8</v>
      </c>
      <c r="AJ133" s="21">
        <f>VLOOKUP(Таблица15[[#This Row],[Модель]],Таблица14[#All],14,0)/1000000</f>
        <v>11.2</v>
      </c>
      <c r="AK133" s="21">
        <f>Таблица15[[#This Row],[Средняя цена (USD)]]*Таблица15[[#This Row],[Кол-во проданных]]/1000000</f>
        <v>89.658000000000001</v>
      </c>
      <c r="AL133" s="39">
        <f>Таблица15[[#This Row],[Средняя цена млн. ₸]]/440*Таблица15[[#This Row],[Кол-во проданных]]</f>
        <v>124.52500000000001</v>
      </c>
      <c r="AM133" s="39">
        <f>Таблица15[[#This Row],[Средняя цена млн. ₸]]*Таблица15[[#This Row],[Кол-во проданных]]/1000</f>
        <v>54.790999999999997</v>
      </c>
      <c r="AR133" s="22"/>
      <c r="AS133" s="22"/>
      <c r="AT133" s="22"/>
    </row>
    <row r="134" spans="2:46">
      <c r="K134" s="14" t="s">
        <v>200</v>
      </c>
      <c r="L134" s="16">
        <v>9.5032007934361187E-3</v>
      </c>
      <c r="M134" s="16">
        <v>1.2981934031553444E-2</v>
      </c>
      <c r="N134" s="16">
        <v>7.1360009307827304E-3</v>
      </c>
      <c r="O134" s="16">
        <v>6.3124606243282972E-3</v>
      </c>
      <c r="P134" s="16">
        <v>0</v>
      </c>
      <c r="Q134" s="16">
        <v>8.0502269591319828E-3</v>
      </c>
      <c r="T134" t="s">
        <v>0</v>
      </c>
      <c r="U134" t="s">
        <v>52</v>
      </c>
      <c r="V134" t="str">
        <f>VLOOKUP(Таблица15[[#This Row],[Модель]],Таблица14[#All],2,0)</f>
        <v>Седан</v>
      </c>
      <c r="W134" s="20">
        <f>VLOOKUP(Таблица15[[#This Row],[Модель]],Таблица14[#All],3,0)</f>
        <v>18000</v>
      </c>
      <c r="X134" s="20">
        <f>VLOOKUP(Таблица15[[#This Row],[Модель]],Таблица14[#All],4,0)</f>
        <v>16000</v>
      </c>
      <c r="Y134" s="4">
        <f>VLOOKUP(Таблица15[[#This Row],[Модель]],Таблица14[#All],5,0)</f>
        <v>22000</v>
      </c>
      <c r="Z134" t="str">
        <f>VLOOKUP(Таблица15[[#This Row],[Модель]],Таблица14[#All],6,0)</f>
        <v>АКПП</v>
      </c>
      <c r="AA134" t="str">
        <f>VLOOKUP(Таблица15[[#This Row],[Модель]],Таблица14[#All],7,0)</f>
        <v>Бензин</v>
      </c>
      <c r="AB134" t="str">
        <f>VLOOKUP(Таблица15[[#This Row],[Модель]],Таблица14[#All],8,0)</f>
        <v>Комфорт</v>
      </c>
      <c r="AC134" t="str">
        <f>VLOOKUP(Таблица15[[#This Row],[Модель]],Таблица14[#All],9,0)</f>
        <v>Средний</v>
      </c>
      <c r="AD134">
        <f>VLOOKUP(Таблица15[[#This Row],[Модель]],Таблица14[#All],10,0)</f>
        <v>150</v>
      </c>
      <c r="AE134">
        <f>VLOOKUP(Таблица15[[#This Row],[Модель]],Таблица14[#All],11,0)</f>
        <v>13.5</v>
      </c>
      <c r="AF134">
        <v>2021</v>
      </c>
      <c r="AG134">
        <v>3466</v>
      </c>
      <c r="AH134" s="22">
        <f>VLOOKUP(Таблица15[[#This Row],[Модель]],Таблица14[#All],12,0)/1000000</f>
        <v>11</v>
      </c>
      <c r="AI134" s="21">
        <f>VLOOKUP(Таблица15[[#This Row],[Модель]],Таблица14[#All],13,0)/1000000</f>
        <v>10.8</v>
      </c>
      <c r="AJ134" s="21">
        <f>VLOOKUP(Таблица15[[#This Row],[Модель]],Таблица14[#All],14,0)/1000000</f>
        <v>11.2</v>
      </c>
      <c r="AK134" s="21">
        <f>Таблица15[[#This Row],[Средняя цена (USD)]]*Таблица15[[#This Row],[Кол-во проданных]]/1000000</f>
        <v>62.387999999999998</v>
      </c>
      <c r="AL134" s="39">
        <f>Таблица15[[#This Row],[Средняя цена млн. ₸]]/440*Таблица15[[#This Row],[Кол-во проданных]]</f>
        <v>86.65</v>
      </c>
      <c r="AM134" s="39">
        <f>Таблица15[[#This Row],[Средняя цена млн. ₸]]*Таблица15[[#This Row],[Кол-во проданных]]/1000</f>
        <v>38.125999999999998</v>
      </c>
      <c r="AR134" s="22"/>
      <c r="AS134" s="22"/>
      <c r="AT134" s="22"/>
    </row>
    <row r="135" spans="2:46">
      <c r="C135" s="13" t="s">
        <v>151</v>
      </c>
      <c r="K135" s="14" t="s">
        <v>415</v>
      </c>
      <c r="L135" s="16">
        <v>0</v>
      </c>
      <c r="M135" s="16">
        <v>0</v>
      </c>
      <c r="N135" s="16">
        <v>0</v>
      </c>
      <c r="O135" s="16">
        <v>7.4489505997455251E-3</v>
      </c>
      <c r="P135" s="16">
        <v>3.4580803811573042E-3</v>
      </c>
      <c r="Q135" s="16">
        <v>1.5912122039057725E-3</v>
      </c>
      <c r="T135" t="s">
        <v>0</v>
      </c>
      <c r="U135" t="s">
        <v>52</v>
      </c>
      <c r="V135" t="str">
        <f>VLOOKUP(Таблица15[[#This Row],[Модель]],Таблица14[#All],2,0)</f>
        <v>Седан</v>
      </c>
      <c r="W135" s="20">
        <f>VLOOKUP(Таблица15[[#This Row],[Модель]],Таблица14[#All],3,0)</f>
        <v>18000</v>
      </c>
      <c r="X135" s="20">
        <f>VLOOKUP(Таблица15[[#This Row],[Модель]],Таблица14[#All],4,0)</f>
        <v>16000</v>
      </c>
      <c r="Y135" s="4">
        <f>VLOOKUP(Таблица15[[#This Row],[Модель]],Таблица14[#All],5,0)</f>
        <v>22000</v>
      </c>
      <c r="Z135" t="str">
        <f>VLOOKUP(Таблица15[[#This Row],[Модель]],Таблица14[#All],6,0)</f>
        <v>АКПП</v>
      </c>
      <c r="AA135" t="str">
        <f>VLOOKUP(Таблица15[[#This Row],[Модель]],Таблица14[#All],7,0)</f>
        <v>Бензин</v>
      </c>
      <c r="AB135" t="str">
        <f>VLOOKUP(Таблица15[[#This Row],[Модель]],Таблица14[#All],8,0)</f>
        <v>Комфорт</v>
      </c>
      <c r="AC135" t="str">
        <f>VLOOKUP(Таблица15[[#This Row],[Модель]],Таблица14[#All],9,0)</f>
        <v>Средний</v>
      </c>
      <c r="AD135">
        <f>VLOOKUP(Таблица15[[#This Row],[Модель]],Таблица14[#All],10,0)</f>
        <v>150</v>
      </c>
      <c r="AE135">
        <f>VLOOKUP(Таблица15[[#This Row],[Модель]],Таблица14[#All],11,0)</f>
        <v>13.5</v>
      </c>
      <c r="AF135">
        <v>2020</v>
      </c>
      <c r="AG135">
        <v>2045</v>
      </c>
      <c r="AH135" s="22">
        <f>VLOOKUP(Таблица15[[#This Row],[Модель]],Таблица14[#All],12,0)/1000000</f>
        <v>11</v>
      </c>
      <c r="AI135" s="21">
        <f>VLOOKUP(Таблица15[[#This Row],[Модель]],Таблица14[#All],13,0)/1000000</f>
        <v>10.8</v>
      </c>
      <c r="AJ135" s="21">
        <f>VLOOKUP(Таблица15[[#This Row],[Модель]],Таблица14[#All],14,0)/1000000</f>
        <v>11.2</v>
      </c>
      <c r="AK135" s="21">
        <f>Таблица15[[#This Row],[Средняя цена (USD)]]*Таблица15[[#This Row],[Кол-во проданных]]/1000000</f>
        <v>36.81</v>
      </c>
      <c r="AL135" s="39">
        <f>Таблица15[[#This Row],[Средняя цена млн. ₸]]/440*Таблица15[[#This Row],[Кол-во проданных]]</f>
        <v>51.125</v>
      </c>
      <c r="AM135" s="39">
        <f>Таблица15[[#This Row],[Средняя цена млн. ₸]]*Таблица15[[#This Row],[Кол-во проданных]]/1000</f>
        <v>22.495000000000001</v>
      </c>
      <c r="AR135" s="22"/>
      <c r="AS135" s="22"/>
      <c r="AT135" s="22"/>
    </row>
    <row r="136" spans="2:46">
      <c r="C136">
        <v>2023</v>
      </c>
      <c r="D136">
        <v>2022</v>
      </c>
      <c r="E136">
        <v>2021</v>
      </c>
      <c r="F136">
        <v>2020</v>
      </c>
      <c r="G136">
        <v>2019</v>
      </c>
      <c r="H136" t="s">
        <v>155</v>
      </c>
      <c r="K136" s="14" t="s">
        <v>155</v>
      </c>
      <c r="L136" s="16">
        <v>1</v>
      </c>
      <c r="M136" s="16">
        <v>1</v>
      </c>
      <c r="N136" s="16">
        <v>1</v>
      </c>
      <c r="O136" s="16">
        <v>1</v>
      </c>
      <c r="P136" s="16">
        <v>1</v>
      </c>
      <c r="Q136" s="16">
        <v>1</v>
      </c>
      <c r="T136" t="s">
        <v>0</v>
      </c>
      <c r="U136" t="s">
        <v>52</v>
      </c>
      <c r="V136" t="str">
        <f>VLOOKUP(Таблица15[[#This Row],[Модель]],Таблица14[#All],2,0)</f>
        <v>Седан</v>
      </c>
      <c r="W136" s="20">
        <f>VLOOKUP(Таблица15[[#This Row],[Модель]],Таблица14[#All],3,0)</f>
        <v>18000</v>
      </c>
      <c r="X136" s="20">
        <f>VLOOKUP(Таблица15[[#This Row],[Модель]],Таблица14[#All],4,0)</f>
        <v>16000</v>
      </c>
      <c r="Y136" s="4">
        <f>VLOOKUP(Таблица15[[#This Row],[Модель]],Таблица14[#All],5,0)</f>
        <v>22000</v>
      </c>
      <c r="Z136" t="str">
        <f>VLOOKUP(Таблица15[[#This Row],[Модель]],Таблица14[#All],6,0)</f>
        <v>АКПП</v>
      </c>
      <c r="AA136" t="str">
        <f>VLOOKUP(Таблица15[[#This Row],[Модель]],Таблица14[#All],7,0)</f>
        <v>Бензин</v>
      </c>
      <c r="AB136" t="str">
        <f>VLOOKUP(Таблица15[[#This Row],[Модель]],Таблица14[#All],8,0)</f>
        <v>Комфорт</v>
      </c>
      <c r="AC136" t="str">
        <f>VLOOKUP(Таблица15[[#This Row],[Модель]],Таблица14[#All],9,0)</f>
        <v>Средний</v>
      </c>
      <c r="AD136">
        <f>VLOOKUP(Таблица15[[#This Row],[Модель]],Таблица14[#All],10,0)</f>
        <v>150</v>
      </c>
      <c r="AE136">
        <f>VLOOKUP(Таблица15[[#This Row],[Модель]],Таблица14[#All],11,0)</f>
        <v>13.5</v>
      </c>
      <c r="AF136">
        <v>2019</v>
      </c>
      <c r="AG136">
        <v>2652</v>
      </c>
      <c r="AH136" s="22">
        <f>VLOOKUP(Таблица15[[#This Row],[Модель]],Таблица14[#All],12,0)/1000000</f>
        <v>11</v>
      </c>
      <c r="AI136" s="21">
        <f>VLOOKUP(Таблица15[[#This Row],[Модель]],Таблица14[#All],13,0)/1000000</f>
        <v>10.8</v>
      </c>
      <c r="AJ136" s="21">
        <f>VLOOKUP(Таблица15[[#This Row],[Модель]],Таблица14[#All],14,0)/1000000</f>
        <v>11.2</v>
      </c>
      <c r="AK136" s="21">
        <f>Таблица15[[#This Row],[Средняя цена (USD)]]*Таблица15[[#This Row],[Кол-во проданных]]/1000000</f>
        <v>47.735999999999997</v>
      </c>
      <c r="AL136" s="39">
        <f>Таблица15[[#This Row],[Средняя цена млн. ₸]]/440*Таблица15[[#This Row],[Кол-во проданных]]</f>
        <v>66.3</v>
      </c>
      <c r="AM136" s="39">
        <f>Таблица15[[#This Row],[Средняя цена млн. ₸]]*Таблица15[[#This Row],[Кол-во проданных]]/1000</f>
        <v>29.172000000000001</v>
      </c>
      <c r="AR136" s="22"/>
      <c r="AS136" s="22"/>
      <c r="AT136" s="22"/>
    </row>
    <row r="137" spans="2:46">
      <c r="B137" t="s">
        <v>281</v>
      </c>
      <c r="C137" s="11">
        <v>3298.313000000001</v>
      </c>
      <c r="D137" s="11">
        <v>2126.9380000000001</v>
      </c>
      <c r="E137" s="11">
        <v>1877.35</v>
      </c>
      <c r="F137" s="11">
        <v>1375.405</v>
      </c>
      <c r="G137" s="11">
        <v>1298.2710000000002</v>
      </c>
      <c r="H137" s="11">
        <v>9976.2770000000019</v>
      </c>
      <c r="T137" t="s">
        <v>0</v>
      </c>
      <c r="U137" t="s">
        <v>54</v>
      </c>
      <c r="V137" t="str">
        <f>VLOOKUP(Таблица15[[#This Row],[Модель]],Таблица14[#All],2,0)</f>
        <v>Хэтчбэк</v>
      </c>
      <c r="W137" s="20">
        <f>VLOOKUP(Таблица15[[#This Row],[Модель]],Таблица14[#All],3,0)</f>
        <v>16000</v>
      </c>
      <c r="X137" s="20">
        <f>VLOOKUP(Таблица15[[#This Row],[Модель]],Таблица14[#All],4,0)</f>
        <v>14000</v>
      </c>
      <c r="Y137" s="4">
        <f>VLOOKUP(Таблица15[[#This Row],[Модель]],Таблица14[#All],5,0)</f>
        <v>19000</v>
      </c>
      <c r="Z137" t="str">
        <f>VLOOKUP(Таблица15[[#This Row],[Модель]],Таблица14[#All],6,0)</f>
        <v>МКПП, АКПП</v>
      </c>
      <c r="AA137" t="str">
        <f>VLOOKUP(Таблица15[[#This Row],[Модель]],Таблица14[#All],7,0)</f>
        <v>Бензин</v>
      </c>
      <c r="AB137" t="str">
        <f>VLOOKUP(Таблица15[[#This Row],[Модель]],Таблица14[#All],8,0)</f>
        <v>Эконом</v>
      </c>
      <c r="AC137" t="str">
        <f>VLOOKUP(Таблица15[[#This Row],[Модель]],Таблица14[#All],9,0)</f>
        <v>Маленький</v>
      </c>
      <c r="AD137">
        <f>VLOOKUP(Таблица15[[#This Row],[Модель]],Таблица14[#All],10,0)</f>
        <v>125</v>
      </c>
      <c r="AE137">
        <f>VLOOKUP(Таблица15[[#This Row],[Модель]],Таблица14[#All],11,0)</f>
        <v>14.5</v>
      </c>
      <c r="AF137">
        <v>2023</v>
      </c>
      <c r="AG137">
        <v>4740</v>
      </c>
      <c r="AH137" s="22">
        <f>VLOOKUP(Таблица15[[#This Row],[Модель]],Таблица14[#All],12,0)/1000000</f>
        <v>9.7899999999999991</v>
      </c>
      <c r="AI137" s="21">
        <f>VLOOKUP(Таблица15[[#This Row],[Модель]],Таблица14[#All],13,0)/1000000</f>
        <v>8.89</v>
      </c>
      <c r="AJ137" s="21">
        <f>VLOOKUP(Таблица15[[#This Row],[Модель]],Таблица14[#All],14,0)/1000000</f>
        <v>10.69</v>
      </c>
      <c r="AK137" s="21">
        <f>Таблица15[[#This Row],[Средняя цена (USD)]]*Таблица15[[#This Row],[Кол-во проданных]]/1000000</f>
        <v>75.84</v>
      </c>
      <c r="AL137" s="39">
        <f>Таблица15[[#This Row],[Средняя цена млн. ₸]]/440*Таблица15[[#This Row],[Кол-во проданных]]</f>
        <v>105.46499999999999</v>
      </c>
      <c r="AM137" s="39">
        <f>Таблица15[[#This Row],[Средняя цена млн. ₸]]*Таблица15[[#This Row],[Кол-во проданных]]/1000</f>
        <v>46.404600000000002</v>
      </c>
      <c r="AR137" s="22"/>
      <c r="AS137" s="22"/>
      <c r="AT137" s="22"/>
    </row>
    <row r="138" spans="2:46">
      <c r="T138" t="s">
        <v>0</v>
      </c>
      <c r="U138" t="s">
        <v>54</v>
      </c>
      <c r="V138" t="str">
        <f>VLOOKUP(Таблица15[[#This Row],[Модель]],Таблица14[#All],2,0)</f>
        <v>Хэтчбэк</v>
      </c>
      <c r="W138" s="20">
        <f>VLOOKUP(Таблица15[[#This Row],[Модель]],Таблица14[#All],3,0)</f>
        <v>16000</v>
      </c>
      <c r="X138" s="20">
        <f>VLOOKUP(Таблица15[[#This Row],[Модель]],Таблица14[#All],4,0)</f>
        <v>14000</v>
      </c>
      <c r="Y138" s="4">
        <f>VLOOKUP(Таблица15[[#This Row],[Модель]],Таблица14[#All],5,0)</f>
        <v>19000</v>
      </c>
      <c r="Z138" t="str">
        <f>VLOOKUP(Таблица15[[#This Row],[Модель]],Таблица14[#All],6,0)</f>
        <v>МКПП, АКПП</v>
      </c>
      <c r="AA138" t="str">
        <f>VLOOKUP(Таблица15[[#This Row],[Модель]],Таблица14[#All],7,0)</f>
        <v>Бензин</v>
      </c>
      <c r="AB138" t="str">
        <f>VLOOKUP(Таблица15[[#This Row],[Модель]],Таблица14[#All],8,0)</f>
        <v>Эконом</v>
      </c>
      <c r="AC138" t="str">
        <f>VLOOKUP(Таблица15[[#This Row],[Модель]],Таблица14[#All],9,0)</f>
        <v>Маленький</v>
      </c>
      <c r="AD138">
        <f>VLOOKUP(Таблица15[[#This Row],[Модель]],Таблица14[#All],10,0)</f>
        <v>125</v>
      </c>
      <c r="AE138">
        <f>VLOOKUP(Таблица15[[#This Row],[Модель]],Таблица14[#All],11,0)</f>
        <v>14.5</v>
      </c>
      <c r="AF138">
        <v>2022</v>
      </c>
      <c r="AG138">
        <v>552</v>
      </c>
      <c r="AH138" s="22">
        <f>VLOOKUP(Таблица15[[#This Row],[Модель]],Таблица14[#All],12,0)/1000000</f>
        <v>9.7899999999999991</v>
      </c>
      <c r="AI138" s="21">
        <f>VLOOKUP(Таблица15[[#This Row],[Модель]],Таблица14[#All],13,0)/1000000</f>
        <v>8.89</v>
      </c>
      <c r="AJ138" s="21">
        <f>VLOOKUP(Таблица15[[#This Row],[Модель]],Таблица14[#All],14,0)/1000000</f>
        <v>10.69</v>
      </c>
      <c r="AK138" s="21">
        <f>Таблица15[[#This Row],[Средняя цена (USD)]]*Таблица15[[#This Row],[Кол-во проданных]]/1000000</f>
        <v>8.8320000000000007</v>
      </c>
      <c r="AL138" s="39">
        <f>Таблица15[[#This Row],[Средняя цена млн. ₸]]/440*Таблица15[[#This Row],[Кол-во проданных]]</f>
        <v>12.282</v>
      </c>
      <c r="AM138" s="39">
        <f>Таблица15[[#This Row],[Средняя цена млн. ₸]]*Таблица15[[#This Row],[Кол-во проданных]]/1000</f>
        <v>5.4040799999999996</v>
      </c>
      <c r="AR138" s="22"/>
      <c r="AS138" s="22"/>
      <c r="AT138" s="22"/>
    </row>
    <row r="139" spans="2:46">
      <c r="T139" t="s">
        <v>0</v>
      </c>
      <c r="U139" t="s">
        <v>54</v>
      </c>
      <c r="V139" t="str">
        <f>VLOOKUP(Таблица15[[#This Row],[Модель]],Таблица14[#All],2,0)</f>
        <v>Хэтчбэк</v>
      </c>
      <c r="W139" s="20">
        <f>VLOOKUP(Таблица15[[#This Row],[Модель]],Таблица14[#All],3,0)</f>
        <v>16000</v>
      </c>
      <c r="X139" s="20">
        <f>VLOOKUP(Таблица15[[#This Row],[Модель]],Таблица14[#All],4,0)</f>
        <v>14000</v>
      </c>
      <c r="Y139" s="4">
        <f>VLOOKUP(Таблица15[[#This Row],[Модель]],Таблица14[#All],5,0)</f>
        <v>19000</v>
      </c>
      <c r="Z139" t="str">
        <f>VLOOKUP(Таблица15[[#This Row],[Модель]],Таблица14[#All],6,0)</f>
        <v>МКПП, АКПП</v>
      </c>
      <c r="AA139" t="str">
        <f>VLOOKUP(Таблица15[[#This Row],[Модель]],Таблица14[#All],7,0)</f>
        <v>Бензин</v>
      </c>
      <c r="AB139" t="str">
        <f>VLOOKUP(Таблица15[[#This Row],[Модель]],Таблица14[#All],8,0)</f>
        <v>Эконом</v>
      </c>
      <c r="AC139" t="str">
        <f>VLOOKUP(Таблица15[[#This Row],[Модель]],Таблица14[#All],9,0)</f>
        <v>Маленький</v>
      </c>
      <c r="AD139">
        <f>VLOOKUP(Таблица15[[#This Row],[Модель]],Таблица14[#All],10,0)</f>
        <v>125</v>
      </c>
      <c r="AE139">
        <f>VLOOKUP(Таблица15[[#This Row],[Модель]],Таблица14[#All],11,0)</f>
        <v>14.5</v>
      </c>
      <c r="AF139">
        <v>2021</v>
      </c>
      <c r="AG139">
        <v>0</v>
      </c>
      <c r="AH139" s="22">
        <f>VLOOKUP(Таблица15[[#This Row],[Модель]],Таблица14[#All],12,0)/1000000</f>
        <v>9.7899999999999991</v>
      </c>
      <c r="AI139" s="21">
        <f>VLOOKUP(Таблица15[[#This Row],[Модель]],Таблица14[#All],13,0)/1000000</f>
        <v>8.89</v>
      </c>
      <c r="AJ139" s="21">
        <f>VLOOKUP(Таблица15[[#This Row],[Модель]],Таблица14[#All],14,0)/1000000</f>
        <v>10.69</v>
      </c>
      <c r="AK139" s="21">
        <f>Таблица15[[#This Row],[Средняя цена (USD)]]*Таблица15[[#This Row],[Кол-во проданных]]/1000000</f>
        <v>0</v>
      </c>
      <c r="AL139" s="39">
        <f>Таблица15[[#This Row],[Средняя цена млн. ₸]]/440*Таблица15[[#This Row],[Кол-во проданных]]</f>
        <v>0</v>
      </c>
      <c r="AM139" s="39">
        <f>Таблица15[[#This Row],[Средняя цена млн. ₸]]*Таблица15[[#This Row],[Кол-во проданных]]/1000</f>
        <v>0</v>
      </c>
      <c r="AR139" s="22"/>
      <c r="AS139" s="22"/>
      <c r="AT139" s="22"/>
    </row>
    <row r="140" spans="2:46">
      <c r="B140" s="148" t="s">
        <v>629</v>
      </c>
      <c r="C140" s="149">
        <v>191988</v>
      </c>
      <c r="D140" s="149">
        <v>119796</v>
      </c>
      <c r="E140" s="149">
        <v>114478</v>
      </c>
      <c r="F140" s="149">
        <v>88148</v>
      </c>
      <c r="G140" s="149">
        <v>71516</v>
      </c>
      <c r="T140" t="s">
        <v>0</v>
      </c>
      <c r="U140" t="s">
        <v>54</v>
      </c>
      <c r="V140" t="str">
        <f>VLOOKUP(Таблица15[[#This Row],[Модель]],Таблица14[#All],2,0)</f>
        <v>Хэтчбэк</v>
      </c>
      <c r="W140" s="20">
        <f>VLOOKUP(Таблица15[[#This Row],[Модель]],Таблица14[#All],3,0)</f>
        <v>16000</v>
      </c>
      <c r="X140" s="20">
        <f>VLOOKUP(Таблица15[[#This Row],[Модель]],Таблица14[#All],4,0)</f>
        <v>14000</v>
      </c>
      <c r="Y140" s="4">
        <f>VLOOKUP(Таблица15[[#This Row],[Модель]],Таблица14[#All],5,0)</f>
        <v>19000</v>
      </c>
      <c r="Z140" t="str">
        <f>VLOOKUP(Таблица15[[#This Row],[Модель]],Таблица14[#All],6,0)</f>
        <v>МКПП, АКПП</v>
      </c>
      <c r="AA140" t="str">
        <f>VLOOKUP(Таблица15[[#This Row],[Модель]],Таблица14[#All],7,0)</f>
        <v>Бензин</v>
      </c>
      <c r="AB140" t="str">
        <f>VLOOKUP(Таблица15[[#This Row],[Модель]],Таблица14[#All],8,0)</f>
        <v>Эконом</v>
      </c>
      <c r="AC140" t="str">
        <f>VLOOKUP(Таблица15[[#This Row],[Модель]],Таблица14[#All],9,0)</f>
        <v>Маленький</v>
      </c>
      <c r="AD140">
        <f>VLOOKUP(Таблица15[[#This Row],[Модель]],Таблица14[#All],10,0)</f>
        <v>125</v>
      </c>
      <c r="AE140">
        <f>VLOOKUP(Таблица15[[#This Row],[Модель]],Таблица14[#All],11,0)</f>
        <v>14.5</v>
      </c>
      <c r="AF140">
        <v>2020</v>
      </c>
      <c r="AG140">
        <v>0</v>
      </c>
      <c r="AH140" s="22">
        <f>VLOOKUP(Таблица15[[#This Row],[Модель]],Таблица14[#All],12,0)/1000000</f>
        <v>9.7899999999999991</v>
      </c>
      <c r="AI140" s="21">
        <f>VLOOKUP(Таблица15[[#This Row],[Модель]],Таблица14[#All],13,0)/1000000</f>
        <v>8.89</v>
      </c>
      <c r="AJ140" s="21">
        <f>VLOOKUP(Таблица15[[#This Row],[Модель]],Таблица14[#All],14,0)/1000000</f>
        <v>10.69</v>
      </c>
      <c r="AK140" s="21">
        <f>Таблица15[[#This Row],[Средняя цена (USD)]]*Таблица15[[#This Row],[Кол-во проданных]]/1000000</f>
        <v>0</v>
      </c>
      <c r="AL140" s="39">
        <f>Таблица15[[#This Row],[Средняя цена млн. ₸]]/440*Таблица15[[#This Row],[Кол-во проданных]]</f>
        <v>0</v>
      </c>
      <c r="AM140" s="39">
        <f>Таблица15[[#This Row],[Средняя цена млн. ₸]]*Таблица15[[#This Row],[Кол-во проданных]]/1000</f>
        <v>0</v>
      </c>
      <c r="AR140" s="22"/>
      <c r="AS140" s="22"/>
      <c r="AT140" s="22"/>
    </row>
    <row r="141" spans="2:46">
      <c r="B141" s="148" t="s">
        <v>630</v>
      </c>
      <c r="C141" s="149">
        <v>166365</v>
      </c>
      <c r="D141" s="149">
        <v>104838</v>
      </c>
      <c r="E141" s="149">
        <v>103139</v>
      </c>
      <c r="F141" s="149">
        <v>80951</v>
      </c>
      <c r="G141" s="149">
        <v>65065</v>
      </c>
      <c r="T141" t="s">
        <v>0</v>
      </c>
      <c r="U141" t="s">
        <v>54</v>
      </c>
      <c r="V141" t="str">
        <f>VLOOKUP(Таблица15[[#This Row],[Модель]],Таблица14[#All],2,0)</f>
        <v>Хэтчбэк</v>
      </c>
      <c r="W141" s="20">
        <f>VLOOKUP(Таблица15[[#This Row],[Модель]],Таблица14[#All],3,0)</f>
        <v>16000</v>
      </c>
      <c r="X141" s="20">
        <f>VLOOKUP(Таблица15[[#This Row],[Модель]],Таблица14[#All],4,0)</f>
        <v>14000</v>
      </c>
      <c r="Y141" s="4">
        <f>VLOOKUP(Таблица15[[#This Row],[Модель]],Таблица14[#All],5,0)</f>
        <v>19000</v>
      </c>
      <c r="Z141" t="str">
        <f>VLOOKUP(Таблица15[[#This Row],[Модель]],Таблица14[#All],6,0)</f>
        <v>МКПП, АКПП</v>
      </c>
      <c r="AA141" t="str">
        <f>VLOOKUP(Таблица15[[#This Row],[Модель]],Таблица14[#All],7,0)</f>
        <v>Бензин</v>
      </c>
      <c r="AB141" t="str">
        <f>VLOOKUP(Таблица15[[#This Row],[Модель]],Таблица14[#All],8,0)</f>
        <v>Эконом</v>
      </c>
      <c r="AC141" t="str">
        <f>VLOOKUP(Таблица15[[#This Row],[Модель]],Таблица14[#All],9,0)</f>
        <v>Маленький</v>
      </c>
      <c r="AD141">
        <f>VLOOKUP(Таблица15[[#This Row],[Модель]],Таблица14[#All],10,0)</f>
        <v>125</v>
      </c>
      <c r="AE141">
        <f>VLOOKUP(Таблица15[[#This Row],[Модель]],Таблица14[#All],11,0)</f>
        <v>14.5</v>
      </c>
      <c r="AF141">
        <v>2019</v>
      </c>
      <c r="AG141">
        <v>0</v>
      </c>
      <c r="AH141" s="22">
        <f>VLOOKUP(Таблица15[[#This Row],[Модель]],Таблица14[#All],12,0)/1000000</f>
        <v>9.7899999999999991</v>
      </c>
      <c r="AI141" s="21">
        <f>VLOOKUP(Таблица15[[#This Row],[Модель]],Таблица14[#All],13,0)/1000000</f>
        <v>8.89</v>
      </c>
      <c r="AJ141" s="21">
        <f>VLOOKUP(Таблица15[[#This Row],[Модель]],Таблица14[#All],14,0)/1000000</f>
        <v>10.69</v>
      </c>
      <c r="AK141" s="21">
        <f>Таблица15[[#This Row],[Средняя цена (USD)]]*Таблица15[[#This Row],[Кол-во проданных]]/1000000</f>
        <v>0</v>
      </c>
      <c r="AL141" s="39">
        <f>Таблица15[[#This Row],[Средняя цена млн. ₸]]/440*Таблица15[[#This Row],[Кол-во проданных]]</f>
        <v>0</v>
      </c>
      <c r="AM141" s="39">
        <f>Таблица15[[#This Row],[Средняя цена млн. ₸]]*Таблица15[[#This Row],[Кол-во проданных]]/1000</f>
        <v>0</v>
      </c>
      <c r="AR141" s="22"/>
      <c r="AS141" s="22"/>
      <c r="AT141" s="22"/>
    </row>
    <row r="142" spans="2:46">
      <c r="B142" s="148" t="s">
        <v>631</v>
      </c>
      <c r="C142" s="149">
        <f>C140-C141</f>
        <v>25623</v>
      </c>
      <c r="D142" s="149">
        <f t="shared" ref="D142:G142" si="0">D140-D141</f>
        <v>14958</v>
      </c>
      <c r="E142" s="149">
        <f t="shared" si="0"/>
        <v>11339</v>
      </c>
      <c r="F142" s="149">
        <f t="shared" si="0"/>
        <v>7197</v>
      </c>
      <c r="G142" s="149">
        <f t="shared" si="0"/>
        <v>6451</v>
      </c>
      <c r="T142" t="s">
        <v>0</v>
      </c>
      <c r="U142" t="s">
        <v>30</v>
      </c>
      <c r="V142" t="str">
        <f>VLOOKUP(Таблица15[[#This Row],[Модель]],Таблица14[#All],2,0)</f>
        <v>Кроссовер</v>
      </c>
      <c r="W142" s="20">
        <f>VLOOKUP(Таблица15[[#This Row],[Модель]],Таблица14[#All],3,0)</f>
        <v>18000</v>
      </c>
      <c r="X142" s="20">
        <f>VLOOKUP(Таблица15[[#This Row],[Модель]],Таблица14[#All],4,0)</f>
        <v>16000</v>
      </c>
      <c r="Y142" s="4">
        <f>VLOOKUP(Таблица15[[#This Row],[Модель]],Таблица14[#All],5,0)</f>
        <v>22000</v>
      </c>
      <c r="Z142" t="str">
        <f>VLOOKUP(Таблица15[[#This Row],[Модель]],Таблица14[#All],6,0)</f>
        <v>АКПП</v>
      </c>
      <c r="AA142" t="str">
        <f>VLOOKUP(Таблица15[[#This Row],[Модель]],Таблица14[#All],7,0)</f>
        <v>Бензин</v>
      </c>
      <c r="AB142" t="str">
        <f>VLOOKUP(Таблица15[[#This Row],[Модель]],Таблица14[#All],8,0)</f>
        <v>Комфорт</v>
      </c>
      <c r="AC142" t="str">
        <f>VLOOKUP(Таблица15[[#This Row],[Модель]],Таблица14[#All],9,0)</f>
        <v>Средний</v>
      </c>
      <c r="AD142">
        <f>VLOOKUP(Таблица15[[#This Row],[Модель]],Таблица14[#All],10,0)</f>
        <v>150</v>
      </c>
      <c r="AE142">
        <f>VLOOKUP(Таблица15[[#This Row],[Модель]],Таблица14[#All],11,0)</f>
        <v>13.5</v>
      </c>
      <c r="AF142">
        <v>2023</v>
      </c>
      <c r="AG142">
        <v>0</v>
      </c>
      <c r="AH142" s="22">
        <f>VLOOKUP(Таблица15[[#This Row],[Модель]],Таблица14[#All],12,0)/1000000</f>
        <v>11.09</v>
      </c>
      <c r="AI142" s="21">
        <f>VLOOKUP(Таблица15[[#This Row],[Модель]],Таблица14[#All],13,0)/1000000</f>
        <v>9.09</v>
      </c>
      <c r="AJ142" s="21">
        <f>VLOOKUP(Таблица15[[#This Row],[Модель]],Таблица14[#All],14,0)/1000000</f>
        <v>13.09</v>
      </c>
      <c r="AK142" s="21">
        <f>Таблица15[[#This Row],[Средняя цена (USD)]]*Таблица15[[#This Row],[Кол-во проданных]]/1000000</f>
        <v>0</v>
      </c>
      <c r="AL142" s="39">
        <f>Таблица15[[#This Row],[Средняя цена млн. ₸]]/440*Таблица15[[#This Row],[Кол-во проданных]]</f>
        <v>0</v>
      </c>
      <c r="AM142" s="39">
        <f>Таблица15[[#This Row],[Средняя цена млн. ₸]]*Таблица15[[#This Row],[Кол-во проданных]]/1000</f>
        <v>0</v>
      </c>
      <c r="AR142" s="22"/>
      <c r="AS142" s="22"/>
      <c r="AT142" s="22"/>
    </row>
    <row r="143" spans="2:46">
      <c r="B143" s="148" t="s">
        <v>279</v>
      </c>
      <c r="C143" s="149">
        <v>2224.1386536000005</v>
      </c>
      <c r="D143" s="149">
        <v>1418.0014825000001</v>
      </c>
      <c r="E143" s="149">
        <v>1283.5681142589997</v>
      </c>
      <c r="F143" s="149">
        <v>958.23777350000012</v>
      </c>
      <c r="G143" s="149">
        <v>920.03167454100003</v>
      </c>
      <c r="T143" t="s">
        <v>0</v>
      </c>
      <c r="U143" t="s">
        <v>30</v>
      </c>
      <c r="V143" t="str">
        <f>VLOOKUP(Таблица15[[#This Row],[Модель]],Таблица14[#All],2,0)</f>
        <v>Кроссовер</v>
      </c>
      <c r="W143" s="20">
        <f>VLOOKUP(Таблица15[[#This Row],[Модель]],Таблица14[#All],3,0)</f>
        <v>18000</v>
      </c>
      <c r="X143" s="20">
        <f>VLOOKUP(Таблица15[[#This Row],[Модель]],Таблица14[#All],4,0)</f>
        <v>16000</v>
      </c>
      <c r="Y143" s="4">
        <f>VLOOKUP(Таблица15[[#This Row],[Модель]],Таблица14[#All],5,0)</f>
        <v>22000</v>
      </c>
      <c r="Z143" t="str">
        <f>VLOOKUP(Таблица15[[#This Row],[Модель]],Таблица14[#All],6,0)</f>
        <v>АКПП</v>
      </c>
      <c r="AA143" t="str">
        <f>VLOOKUP(Таблица15[[#This Row],[Модель]],Таблица14[#All],7,0)</f>
        <v>Бензин</v>
      </c>
      <c r="AB143" t="str">
        <f>VLOOKUP(Таблица15[[#This Row],[Модель]],Таблица14[#All],8,0)</f>
        <v>Комфорт</v>
      </c>
      <c r="AC143" t="str">
        <f>VLOOKUP(Таблица15[[#This Row],[Модель]],Таблица14[#All],9,0)</f>
        <v>Средний</v>
      </c>
      <c r="AD143">
        <f>VLOOKUP(Таблица15[[#This Row],[Модель]],Таблица14[#All],10,0)</f>
        <v>150</v>
      </c>
      <c r="AE143">
        <f>VLOOKUP(Таблица15[[#This Row],[Модель]],Таблица14[#All],11,0)</f>
        <v>13.5</v>
      </c>
      <c r="AF143">
        <v>2022</v>
      </c>
      <c r="AG143">
        <v>1850</v>
      </c>
      <c r="AH143" s="22">
        <f>VLOOKUP(Таблица15[[#This Row],[Модель]],Таблица14[#All],12,0)/1000000</f>
        <v>11.09</v>
      </c>
      <c r="AI143" s="21">
        <f>VLOOKUP(Таблица15[[#This Row],[Модель]],Таблица14[#All],13,0)/1000000</f>
        <v>9.09</v>
      </c>
      <c r="AJ143" s="21">
        <f>VLOOKUP(Таблица15[[#This Row],[Модель]],Таблица14[#All],14,0)/1000000</f>
        <v>13.09</v>
      </c>
      <c r="AK143" s="21">
        <f>Таблица15[[#This Row],[Средняя цена (USD)]]*Таблица15[[#This Row],[Кол-во проданных]]/1000000</f>
        <v>33.299999999999997</v>
      </c>
      <c r="AL143" s="39">
        <f>Таблица15[[#This Row],[Средняя цена млн. ₸]]/440*Таблица15[[#This Row],[Кол-во проданных]]</f>
        <v>46.628409090909095</v>
      </c>
      <c r="AM143" s="39">
        <f>Таблица15[[#This Row],[Средняя цена млн. ₸]]*Таблица15[[#This Row],[Кол-во проданных]]/1000</f>
        <v>20.516500000000001</v>
      </c>
      <c r="AR143" s="22"/>
      <c r="AS143" s="22"/>
      <c r="AT143" s="22"/>
    </row>
    <row r="144" spans="2:46">
      <c r="B144" s="148" t="s">
        <v>280</v>
      </c>
      <c r="C144" s="149">
        <v>5054.8605763636351</v>
      </c>
      <c r="D144" s="149">
        <v>3222.7306420454538</v>
      </c>
      <c r="E144" s="149">
        <v>2917.2002596795451</v>
      </c>
      <c r="F144" s="149">
        <v>2177.8131215909098</v>
      </c>
      <c r="G144" s="149">
        <v>2090.9810785022723</v>
      </c>
      <c r="T144" t="s">
        <v>0</v>
      </c>
      <c r="U144" t="s">
        <v>30</v>
      </c>
      <c r="V144" t="str">
        <f>VLOOKUP(Таблица15[[#This Row],[Модель]],Таблица14[#All],2,0)</f>
        <v>Кроссовер</v>
      </c>
      <c r="W144" s="20">
        <f>VLOOKUP(Таблица15[[#This Row],[Модель]],Таблица14[#All],3,0)</f>
        <v>18000</v>
      </c>
      <c r="X144" s="20">
        <f>VLOOKUP(Таблица15[[#This Row],[Модель]],Таблица14[#All],4,0)</f>
        <v>16000</v>
      </c>
      <c r="Y144" s="4">
        <f>VLOOKUP(Таблица15[[#This Row],[Модель]],Таблица14[#All],5,0)</f>
        <v>22000</v>
      </c>
      <c r="Z144" t="str">
        <f>VLOOKUP(Таблица15[[#This Row],[Модель]],Таблица14[#All],6,0)</f>
        <v>АКПП</v>
      </c>
      <c r="AA144" t="str">
        <f>VLOOKUP(Таблица15[[#This Row],[Модель]],Таблица14[#All],7,0)</f>
        <v>Бензин</v>
      </c>
      <c r="AB144" t="str">
        <f>VLOOKUP(Таблица15[[#This Row],[Модель]],Таблица14[#All],8,0)</f>
        <v>Комфорт</v>
      </c>
      <c r="AC144" t="str">
        <f>VLOOKUP(Таблица15[[#This Row],[Модель]],Таблица14[#All],9,0)</f>
        <v>Средний</v>
      </c>
      <c r="AD144">
        <f>VLOOKUP(Таблица15[[#This Row],[Модель]],Таблица14[#All],10,0)</f>
        <v>150</v>
      </c>
      <c r="AE144">
        <f>VLOOKUP(Таблица15[[#This Row],[Модель]],Таблица14[#All],11,0)</f>
        <v>13.5</v>
      </c>
      <c r="AF144">
        <v>2021</v>
      </c>
      <c r="AG144">
        <v>3693</v>
      </c>
      <c r="AH144" s="22">
        <f>VLOOKUP(Таблица15[[#This Row],[Модель]],Таблица14[#All],12,0)/1000000</f>
        <v>11.09</v>
      </c>
      <c r="AI144" s="21">
        <f>VLOOKUP(Таблица15[[#This Row],[Модель]],Таблица14[#All],13,0)/1000000</f>
        <v>9.09</v>
      </c>
      <c r="AJ144" s="21">
        <f>VLOOKUP(Таблица15[[#This Row],[Модель]],Таблица14[#All],14,0)/1000000</f>
        <v>13.09</v>
      </c>
      <c r="AK144" s="21">
        <f>Таблица15[[#This Row],[Средняя цена (USD)]]*Таблица15[[#This Row],[Кол-во проданных]]/1000000</f>
        <v>66.474000000000004</v>
      </c>
      <c r="AL144" s="39">
        <f>Таблица15[[#This Row],[Средняя цена млн. ₸]]/440*Таблица15[[#This Row],[Кол-во проданных]]</f>
        <v>93.080386363636364</v>
      </c>
      <c r="AM144" s="39">
        <f>Таблица15[[#This Row],[Средняя цена млн. ₸]]*Таблица15[[#This Row],[Кол-во проданных]]/1000</f>
        <v>40.955370000000002</v>
      </c>
      <c r="AR144" s="22"/>
      <c r="AS144" s="22"/>
      <c r="AT144" s="22"/>
    </row>
    <row r="145" spans="2:46">
      <c r="B145" s="148" t="s">
        <v>634</v>
      </c>
      <c r="C145" s="149">
        <f>C$143/C$141*C$142</f>
        <v>342.55465224772524</v>
      </c>
      <c r="D145" s="149">
        <f t="shared" ref="D145:G145" si="1">D$143/D$141*D$142</f>
        <v>202.31658535297319</v>
      </c>
      <c r="E145" s="149">
        <f t="shared" si="1"/>
        <v>141.1142133197219</v>
      </c>
      <c r="F145" s="149">
        <f t="shared" si="1"/>
        <v>85.192737036966818</v>
      </c>
      <c r="G145" s="149">
        <f t="shared" si="1"/>
        <v>91.21838672810253</v>
      </c>
      <c r="T145" t="s">
        <v>0</v>
      </c>
      <c r="U145" t="s">
        <v>30</v>
      </c>
      <c r="V145" t="str">
        <f>VLOOKUP(Таблица15[[#This Row],[Модель]],Таблица14[#All],2,0)</f>
        <v>Кроссовер</v>
      </c>
      <c r="W145" s="20">
        <f>VLOOKUP(Таблица15[[#This Row],[Модель]],Таблица14[#All],3,0)</f>
        <v>18000</v>
      </c>
      <c r="X145" s="20">
        <f>VLOOKUP(Таблица15[[#This Row],[Модель]],Таблица14[#All],4,0)</f>
        <v>16000</v>
      </c>
      <c r="Y145" s="4">
        <f>VLOOKUP(Таблица15[[#This Row],[Модель]],Таблица14[#All],5,0)</f>
        <v>22000</v>
      </c>
      <c r="Z145" t="str">
        <f>VLOOKUP(Таблица15[[#This Row],[Модель]],Таблица14[#All],6,0)</f>
        <v>АКПП</v>
      </c>
      <c r="AA145" t="str">
        <f>VLOOKUP(Таблица15[[#This Row],[Модель]],Таблица14[#All],7,0)</f>
        <v>Бензин</v>
      </c>
      <c r="AB145" t="str">
        <f>VLOOKUP(Таблица15[[#This Row],[Модель]],Таблица14[#All],8,0)</f>
        <v>Комфорт</v>
      </c>
      <c r="AC145" t="str">
        <f>VLOOKUP(Таблица15[[#This Row],[Модель]],Таблица14[#All],9,0)</f>
        <v>Средний</v>
      </c>
      <c r="AD145">
        <f>VLOOKUP(Таблица15[[#This Row],[Модель]],Таблица14[#All],10,0)</f>
        <v>150</v>
      </c>
      <c r="AE145">
        <f>VLOOKUP(Таблица15[[#This Row],[Модель]],Таблица14[#All],11,0)</f>
        <v>13.5</v>
      </c>
      <c r="AF145">
        <v>2020</v>
      </c>
      <c r="AG145">
        <v>3492</v>
      </c>
      <c r="AH145" s="22">
        <f>VLOOKUP(Таблица15[[#This Row],[Модель]],Таблица14[#All],12,0)/1000000</f>
        <v>11.09</v>
      </c>
      <c r="AI145" s="21">
        <f>VLOOKUP(Таблица15[[#This Row],[Модель]],Таблица14[#All],13,0)/1000000</f>
        <v>9.09</v>
      </c>
      <c r="AJ145" s="21">
        <f>VLOOKUP(Таблица15[[#This Row],[Модель]],Таблица14[#All],14,0)/1000000</f>
        <v>13.09</v>
      </c>
      <c r="AK145" s="21">
        <f>Таблица15[[#This Row],[Средняя цена (USD)]]*Таблица15[[#This Row],[Кол-во проданных]]/1000000</f>
        <v>62.856000000000002</v>
      </c>
      <c r="AL145" s="39">
        <f>Таблица15[[#This Row],[Средняя цена млн. ₸]]/440*Таблица15[[#This Row],[Кол-во проданных]]</f>
        <v>88.014272727272726</v>
      </c>
      <c r="AM145" s="39">
        <f>Таблица15[[#This Row],[Средняя цена млн. ₸]]*Таблица15[[#This Row],[Кол-во проданных]]/1000</f>
        <v>38.726279999999996</v>
      </c>
      <c r="AR145" s="22"/>
      <c r="AS145" s="22"/>
      <c r="AT145" s="22"/>
    </row>
    <row r="146" spans="2:46">
      <c r="B146" s="148" t="s">
        <v>635</v>
      </c>
      <c r="C146" s="149">
        <f>C$144/C$141*C$142</f>
        <v>778.53330056301161</v>
      </c>
      <c r="D146" s="149">
        <f t="shared" ref="D146:G146" si="2">D$144/D$141*D$142</f>
        <v>459.81042125675708</v>
      </c>
      <c r="E146" s="149">
        <f t="shared" si="2"/>
        <v>320.71412118118616</v>
      </c>
      <c r="F146" s="149">
        <f t="shared" si="2"/>
        <v>193.61985690219737</v>
      </c>
      <c r="G146" s="149">
        <f t="shared" si="2"/>
        <v>207.31451529114204</v>
      </c>
      <c r="T146" t="s">
        <v>0</v>
      </c>
      <c r="U146" t="s">
        <v>30</v>
      </c>
      <c r="V146" t="str">
        <f>VLOOKUP(Таблица15[[#This Row],[Модель]],Таблица14[#All],2,0)</f>
        <v>Кроссовер</v>
      </c>
      <c r="W146" s="20">
        <f>VLOOKUP(Таблица15[[#This Row],[Модель]],Таблица14[#All],3,0)</f>
        <v>18000</v>
      </c>
      <c r="X146" s="20">
        <f>VLOOKUP(Таблица15[[#This Row],[Модель]],Таблица14[#All],4,0)</f>
        <v>16000</v>
      </c>
      <c r="Y146" s="4">
        <f>VLOOKUP(Таблица15[[#This Row],[Модель]],Таблица14[#All],5,0)</f>
        <v>22000</v>
      </c>
      <c r="Z146" t="str">
        <f>VLOOKUP(Таблица15[[#This Row],[Модель]],Таблица14[#All],6,0)</f>
        <v>АКПП</v>
      </c>
      <c r="AA146" t="str">
        <f>VLOOKUP(Таблица15[[#This Row],[Модель]],Таблица14[#All],7,0)</f>
        <v>Бензин</v>
      </c>
      <c r="AB146" t="str">
        <f>VLOOKUP(Таблица15[[#This Row],[Модель]],Таблица14[#All],8,0)</f>
        <v>Комфорт</v>
      </c>
      <c r="AC146" t="str">
        <f>VLOOKUP(Таблица15[[#This Row],[Модель]],Таблица14[#All],9,0)</f>
        <v>Средний</v>
      </c>
      <c r="AD146">
        <f>VLOOKUP(Таблица15[[#This Row],[Модель]],Таблица14[#All],10,0)</f>
        <v>150</v>
      </c>
      <c r="AE146">
        <f>VLOOKUP(Таблица15[[#This Row],[Модель]],Таблица14[#All],11,0)</f>
        <v>13.5</v>
      </c>
      <c r="AF146">
        <v>2019</v>
      </c>
      <c r="AG146">
        <v>2738</v>
      </c>
      <c r="AH146" s="22">
        <f>VLOOKUP(Таблица15[[#This Row],[Модель]],Таблица14[#All],12,0)/1000000</f>
        <v>11.09</v>
      </c>
      <c r="AI146" s="21">
        <f>VLOOKUP(Таблица15[[#This Row],[Модель]],Таблица14[#All],13,0)/1000000</f>
        <v>9.09</v>
      </c>
      <c r="AJ146" s="21">
        <f>VLOOKUP(Таблица15[[#This Row],[Модель]],Таблица14[#All],14,0)/1000000</f>
        <v>13.09</v>
      </c>
      <c r="AK146" s="21">
        <f>Таблица15[[#This Row],[Средняя цена (USD)]]*Таблица15[[#This Row],[Кол-во проданных]]/1000000</f>
        <v>49.283999999999999</v>
      </c>
      <c r="AL146" s="39">
        <f>Таблица15[[#This Row],[Средняя цена млн. ₸]]/440*Таблица15[[#This Row],[Кол-во проданных]]</f>
        <v>69.010045454545462</v>
      </c>
      <c r="AM146" s="39">
        <f>Таблица15[[#This Row],[Средняя цена млн. ₸]]*Таблица15[[#This Row],[Кол-во проданных]]/1000</f>
        <v>30.364419999999999</v>
      </c>
      <c r="AR146" s="22"/>
      <c r="AS146" s="22"/>
      <c r="AT146" s="22"/>
    </row>
    <row r="147" spans="2:46">
      <c r="B147" s="121" t="s">
        <v>632</v>
      </c>
      <c r="C147" s="147">
        <f>C143+C145</f>
        <v>2566.6933058477257</v>
      </c>
      <c r="D147" s="147">
        <f t="shared" ref="D147:G147" si="3">D143+D145</f>
        <v>1620.3180678529732</v>
      </c>
      <c r="E147" s="147">
        <f t="shared" si="3"/>
        <v>1424.6823275787215</v>
      </c>
      <c r="F147" s="147">
        <f t="shared" si="3"/>
        <v>1043.4305105369669</v>
      </c>
      <c r="G147" s="147">
        <f t="shared" si="3"/>
        <v>1011.2500612691026</v>
      </c>
      <c r="T147" t="s">
        <v>0</v>
      </c>
      <c r="U147" t="s">
        <v>117</v>
      </c>
      <c r="V147" t="str">
        <f>VLOOKUP(Таблица15[[#This Row],[Модель]],Таблица14[#All],2,0)</f>
        <v>Микроавтобус</v>
      </c>
      <c r="W147" s="20">
        <f>VLOOKUP(Таблица15[[#This Row],[Модель]],Таблица14[#All],3,0)</f>
        <v>25000</v>
      </c>
      <c r="X147" s="20">
        <f>VLOOKUP(Таблица15[[#This Row],[Модель]],Таблица14[#All],4,0)</f>
        <v>22000</v>
      </c>
      <c r="Y147" s="4">
        <f>VLOOKUP(Таблица15[[#This Row],[Модель]],Таблица14[#All],5,0)</f>
        <v>30000</v>
      </c>
      <c r="Z147" t="str">
        <f>VLOOKUP(Таблица15[[#This Row],[Модель]],Таблица14[#All],6,0)</f>
        <v>МКПП, АКПП</v>
      </c>
      <c r="AA147" t="str">
        <f>VLOOKUP(Таблица15[[#This Row],[Модель]],Таблица14[#All],7,0)</f>
        <v>Дизель</v>
      </c>
      <c r="AB147" t="str">
        <f>VLOOKUP(Таблица15[[#This Row],[Модель]],Таблица14[#All],8,0)</f>
        <v>Комфорт</v>
      </c>
      <c r="AC147" t="str">
        <f>VLOOKUP(Таблица15[[#This Row],[Модель]],Таблица14[#All],9,0)</f>
        <v>Большой</v>
      </c>
      <c r="AD147">
        <f>VLOOKUP(Таблица15[[#This Row],[Модель]],Таблица14[#All],10,0)</f>
        <v>170</v>
      </c>
      <c r="AE147">
        <f>VLOOKUP(Таблица15[[#This Row],[Модель]],Таблица14[#All],11,0)</f>
        <v>12</v>
      </c>
      <c r="AF147">
        <v>2023</v>
      </c>
      <c r="AG147">
        <v>0</v>
      </c>
      <c r="AH147" s="22">
        <f>VLOOKUP(Таблица15[[#This Row],[Модель]],Таблица14[#All],12,0)/1000000</f>
        <v>18.600000000000001</v>
      </c>
      <c r="AI147" s="21">
        <f>VLOOKUP(Таблица15[[#This Row],[Модель]],Таблица14[#All],13,0)/1000000</f>
        <v>18.600000000000001</v>
      </c>
      <c r="AJ147" s="21">
        <f>VLOOKUP(Таблица15[[#This Row],[Модель]],Таблица14[#All],14,0)/1000000</f>
        <v>18.600000000000001</v>
      </c>
      <c r="AK147" s="21">
        <f>Таблица15[[#This Row],[Средняя цена (USD)]]*Таблица15[[#This Row],[Кол-во проданных]]/1000000</f>
        <v>0</v>
      </c>
      <c r="AL147" s="39">
        <f>Таблица15[[#This Row],[Средняя цена млн. ₸]]/440*Таблица15[[#This Row],[Кол-во проданных]]</f>
        <v>0</v>
      </c>
      <c r="AM147" s="39">
        <f>Таблица15[[#This Row],[Средняя цена млн. ₸]]*Таблица15[[#This Row],[Кол-во проданных]]/1000</f>
        <v>0</v>
      </c>
      <c r="AR147" s="22"/>
      <c r="AS147" s="22"/>
      <c r="AT147" s="22"/>
    </row>
    <row r="148" spans="2:46">
      <c r="B148" s="121" t="s">
        <v>633</v>
      </c>
      <c r="C148" s="150">
        <f>(C144+C146)/1000</f>
        <v>5.8333938769266469</v>
      </c>
      <c r="D148" s="150">
        <f t="shared" ref="D148:G148" si="4">(D144+D146)/1000</f>
        <v>3.6825410633022111</v>
      </c>
      <c r="E148" s="150">
        <f t="shared" si="4"/>
        <v>3.2379143808607314</v>
      </c>
      <c r="F148" s="150">
        <f t="shared" si="4"/>
        <v>2.371432978493107</v>
      </c>
      <c r="G148" s="150">
        <f t="shared" si="4"/>
        <v>2.2982955937934144</v>
      </c>
      <c r="T148" t="s">
        <v>0</v>
      </c>
      <c r="U148" t="s">
        <v>117</v>
      </c>
      <c r="V148" t="str">
        <f>VLOOKUP(Таблица15[[#This Row],[Модель]],Таблица14[#All],2,0)</f>
        <v>Микроавтобус</v>
      </c>
      <c r="W148" s="20">
        <f>VLOOKUP(Таблица15[[#This Row],[Модель]],Таблица14[#All],3,0)</f>
        <v>25000</v>
      </c>
      <c r="X148" s="20">
        <f>VLOOKUP(Таблица15[[#This Row],[Модель]],Таблица14[#All],4,0)</f>
        <v>22000</v>
      </c>
      <c r="Y148" s="4">
        <f>VLOOKUP(Таблица15[[#This Row],[Модель]],Таблица14[#All],5,0)</f>
        <v>30000</v>
      </c>
      <c r="Z148" t="str">
        <f>VLOOKUP(Таблица15[[#This Row],[Модель]],Таблица14[#All],6,0)</f>
        <v>МКПП, АКПП</v>
      </c>
      <c r="AA148" t="str">
        <f>VLOOKUP(Таблица15[[#This Row],[Модель]],Таблица14[#All],7,0)</f>
        <v>Дизель</v>
      </c>
      <c r="AB148" t="str">
        <f>VLOOKUP(Таблица15[[#This Row],[Модель]],Таблица14[#All],8,0)</f>
        <v>Комфорт</v>
      </c>
      <c r="AC148" t="str">
        <f>VLOOKUP(Таблица15[[#This Row],[Модель]],Таблица14[#All],9,0)</f>
        <v>Большой</v>
      </c>
      <c r="AD148">
        <f>VLOOKUP(Таблица15[[#This Row],[Модель]],Таблица14[#All],10,0)</f>
        <v>170</v>
      </c>
      <c r="AE148">
        <f>VLOOKUP(Таблица15[[#This Row],[Модель]],Таблица14[#All],11,0)</f>
        <v>12</v>
      </c>
      <c r="AF148">
        <v>2022</v>
      </c>
      <c r="AG148">
        <v>0</v>
      </c>
      <c r="AH148" s="22">
        <f>VLOOKUP(Таблица15[[#This Row],[Модель]],Таблица14[#All],12,0)/1000000</f>
        <v>18.600000000000001</v>
      </c>
      <c r="AI148" s="21">
        <f>VLOOKUP(Таблица15[[#This Row],[Модель]],Таблица14[#All],13,0)/1000000</f>
        <v>18.600000000000001</v>
      </c>
      <c r="AJ148" s="21">
        <f>VLOOKUP(Таблица15[[#This Row],[Модель]],Таблица14[#All],14,0)/1000000</f>
        <v>18.600000000000001</v>
      </c>
      <c r="AK148" s="21">
        <f>Таблица15[[#This Row],[Средняя цена (USD)]]*Таблица15[[#This Row],[Кол-во проданных]]/1000000</f>
        <v>0</v>
      </c>
      <c r="AL148" s="39">
        <f>Таблица15[[#This Row],[Средняя цена млн. ₸]]/440*Таблица15[[#This Row],[Кол-во проданных]]</f>
        <v>0</v>
      </c>
      <c r="AM148" s="39">
        <f>Таблица15[[#This Row],[Средняя цена млн. ₸]]*Таблица15[[#This Row],[Кол-во проданных]]/1000</f>
        <v>0</v>
      </c>
      <c r="AR148" s="22"/>
      <c r="AS148" s="22"/>
      <c r="AT148" s="22"/>
    </row>
    <row r="149" spans="2:46">
      <c r="T149" t="s">
        <v>0</v>
      </c>
      <c r="U149" t="s">
        <v>117</v>
      </c>
      <c r="V149" t="str">
        <f>VLOOKUP(Таблица15[[#This Row],[Модель]],Таблица14[#All],2,0)</f>
        <v>Микроавтобус</v>
      </c>
      <c r="W149" s="20">
        <f>VLOOKUP(Таблица15[[#This Row],[Модель]],Таблица14[#All],3,0)</f>
        <v>25000</v>
      </c>
      <c r="X149" s="20">
        <f>VLOOKUP(Таблица15[[#This Row],[Модель]],Таблица14[#All],4,0)</f>
        <v>22000</v>
      </c>
      <c r="Y149" s="4">
        <f>VLOOKUP(Таблица15[[#This Row],[Модель]],Таблица14[#All],5,0)</f>
        <v>30000</v>
      </c>
      <c r="Z149" t="str">
        <f>VLOOKUP(Таблица15[[#This Row],[Модель]],Таблица14[#All],6,0)</f>
        <v>МКПП, АКПП</v>
      </c>
      <c r="AA149" t="str">
        <f>VLOOKUP(Таблица15[[#This Row],[Модель]],Таблица14[#All],7,0)</f>
        <v>Дизель</v>
      </c>
      <c r="AB149" t="str">
        <f>VLOOKUP(Таблица15[[#This Row],[Модель]],Таблица14[#All],8,0)</f>
        <v>Комфорт</v>
      </c>
      <c r="AC149" t="str">
        <f>VLOOKUP(Таблица15[[#This Row],[Модель]],Таблица14[#All],9,0)</f>
        <v>Большой</v>
      </c>
      <c r="AD149">
        <f>VLOOKUP(Таблица15[[#This Row],[Модель]],Таблица14[#All],10,0)</f>
        <v>170</v>
      </c>
      <c r="AE149">
        <f>VLOOKUP(Таблица15[[#This Row],[Модель]],Таблица14[#All],11,0)</f>
        <v>12</v>
      </c>
      <c r="AF149">
        <v>2021</v>
      </c>
      <c r="AG149">
        <v>0</v>
      </c>
      <c r="AH149" s="22">
        <f>VLOOKUP(Таблица15[[#This Row],[Модель]],Таблица14[#All],12,0)/1000000</f>
        <v>18.600000000000001</v>
      </c>
      <c r="AI149" s="21">
        <f>VLOOKUP(Таблица15[[#This Row],[Модель]],Таблица14[#All],13,0)/1000000</f>
        <v>18.600000000000001</v>
      </c>
      <c r="AJ149" s="21">
        <f>VLOOKUP(Таблица15[[#This Row],[Модель]],Таблица14[#All],14,0)/1000000</f>
        <v>18.600000000000001</v>
      </c>
      <c r="AK149" s="21">
        <f>Таблица15[[#This Row],[Средняя цена (USD)]]*Таблица15[[#This Row],[Кол-во проданных]]/1000000</f>
        <v>0</v>
      </c>
      <c r="AL149" s="39">
        <f>Таблица15[[#This Row],[Средняя цена млн. ₸]]/440*Таблица15[[#This Row],[Кол-во проданных]]</f>
        <v>0</v>
      </c>
      <c r="AM149" s="39">
        <f>Таблица15[[#This Row],[Средняя цена млн. ₸]]*Таблица15[[#This Row],[Кол-во проданных]]/1000</f>
        <v>0</v>
      </c>
      <c r="AR149" s="22"/>
      <c r="AS149" s="22"/>
      <c r="AT149" s="22"/>
    </row>
    <row r="150" spans="2:46">
      <c r="T150" t="s">
        <v>0</v>
      </c>
      <c r="U150" t="s">
        <v>117</v>
      </c>
      <c r="V150" t="str">
        <f>VLOOKUP(Таблица15[[#This Row],[Модель]],Таблица14[#All],2,0)</f>
        <v>Микроавтобус</v>
      </c>
      <c r="W150" s="20">
        <f>VLOOKUP(Таблица15[[#This Row],[Модель]],Таблица14[#All],3,0)</f>
        <v>25000</v>
      </c>
      <c r="X150" s="20">
        <f>VLOOKUP(Таблица15[[#This Row],[Модель]],Таблица14[#All],4,0)</f>
        <v>22000</v>
      </c>
      <c r="Y150" s="4">
        <f>VLOOKUP(Таблица15[[#This Row],[Модель]],Таблица14[#All],5,0)</f>
        <v>30000</v>
      </c>
      <c r="Z150" t="str">
        <f>VLOOKUP(Таблица15[[#This Row],[Модель]],Таблица14[#All],6,0)</f>
        <v>МКПП, АКПП</v>
      </c>
      <c r="AA150" t="str">
        <f>VLOOKUP(Таблица15[[#This Row],[Модель]],Таблица14[#All],7,0)</f>
        <v>Дизель</v>
      </c>
      <c r="AB150" t="str">
        <f>VLOOKUP(Таблица15[[#This Row],[Модель]],Таблица14[#All],8,0)</f>
        <v>Комфорт</v>
      </c>
      <c r="AC150" t="str">
        <f>VLOOKUP(Таблица15[[#This Row],[Модель]],Таблица14[#All],9,0)</f>
        <v>Большой</v>
      </c>
      <c r="AD150">
        <f>VLOOKUP(Таблица15[[#This Row],[Модель]],Таблица14[#All],10,0)</f>
        <v>170</v>
      </c>
      <c r="AE150">
        <f>VLOOKUP(Таблица15[[#This Row],[Модель]],Таблица14[#All],11,0)</f>
        <v>12</v>
      </c>
      <c r="AF150">
        <v>2020</v>
      </c>
      <c r="AG150">
        <v>603</v>
      </c>
      <c r="AH150" s="22">
        <f>VLOOKUP(Таблица15[[#This Row],[Модель]],Таблица14[#All],12,0)/1000000</f>
        <v>18.600000000000001</v>
      </c>
      <c r="AI150" s="21">
        <f>VLOOKUP(Таблица15[[#This Row],[Модель]],Таблица14[#All],13,0)/1000000</f>
        <v>18.600000000000001</v>
      </c>
      <c r="AJ150" s="21">
        <f>VLOOKUP(Таблица15[[#This Row],[Модель]],Таблица14[#All],14,0)/1000000</f>
        <v>18.600000000000001</v>
      </c>
      <c r="AK150" s="21">
        <f>Таблица15[[#This Row],[Средняя цена (USD)]]*Таблица15[[#This Row],[Кол-во проданных]]/1000000</f>
        <v>15.074999999999999</v>
      </c>
      <c r="AL150" s="39">
        <f>Таблица15[[#This Row],[Средняя цена млн. ₸]]/440*Таблица15[[#This Row],[Кол-во проданных]]</f>
        <v>25.490454545454547</v>
      </c>
      <c r="AM150" s="39">
        <f>Таблица15[[#This Row],[Средняя цена млн. ₸]]*Таблица15[[#This Row],[Кол-во проданных]]/1000</f>
        <v>11.215800000000002</v>
      </c>
      <c r="AR150" s="22"/>
      <c r="AS150" s="22"/>
      <c r="AT150" s="22"/>
    </row>
    <row r="151" spans="2:46">
      <c r="T151" t="s">
        <v>0</v>
      </c>
      <c r="U151" t="s">
        <v>117</v>
      </c>
      <c r="V151" t="str">
        <f>VLOOKUP(Таблица15[[#This Row],[Модель]],Таблица14[#All],2,0)</f>
        <v>Микроавтобус</v>
      </c>
      <c r="W151" s="20">
        <f>VLOOKUP(Таблица15[[#This Row],[Модель]],Таблица14[#All],3,0)</f>
        <v>25000</v>
      </c>
      <c r="X151" s="20">
        <f>VLOOKUP(Таблица15[[#This Row],[Модель]],Таблица14[#All],4,0)</f>
        <v>22000</v>
      </c>
      <c r="Y151" s="4">
        <f>VLOOKUP(Таблица15[[#This Row],[Модель]],Таблица14[#All],5,0)</f>
        <v>30000</v>
      </c>
      <c r="Z151" t="str">
        <f>VLOOKUP(Таблица15[[#This Row],[Модель]],Таблица14[#All],6,0)</f>
        <v>МКПП, АКПП</v>
      </c>
      <c r="AA151" t="str">
        <f>VLOOKUP(Таблица15[[#This Row],[Модель]],Таблица14[#All],7,0)</f>
        <v>Дизель</v>
      </c>
      <c r="AB151" t="str">
        <f>VLOOKUP(Таблица15[[#This Row],[Модель]],Таблица14[#All],8,0)</f>
        <v>Комфорт</v>
      </c>
      <c r="AC151" t="str">
        <f>VLOOKUP(Таблица15[[#This Row],[Модель]],Таблица14[#All],9,0)</f>
        <v>Большой</v>
      </c>
      <c r="AD151">
        <f>VLOOKUP(Таблица15[[#This Row],[Модель]],Таблица14[#All],10,0)</f>
        <v>170</v>
      </c>
      <c r="AE151">
        <f>VLOOKUP(Таблица15[[#This Row],[Модель]],Таблица14[#All],11,0)</f>
        <v>12</v>
      </c>
      <c r="AF151">
        <v>2019</v>
      </c>
      <c r="AG151">
        <v>225</v>
      </c>
      <c r="AH151" s="22">
        <f>VLOOKUP(Таблица15[[#This Row],[Модель]],Таблица14[#All],12,0)/1000000</f>
        <v>18.600000000000001</v>
      </c>
      <c r="AI151" s="21">
        <f>VLOOKUP(Таблица15[[#This Row],[Модель]],Таблица14[#All],13,0)/1000000</f>
        <v>18.600000000000001</v>
      </c>
      <c r="AJ151" s="21">
        <f>VLOOKUP(Таблица15[[#This Row],[Модель]],Таблица14[#All],14,0)/1000000</f>
        <v>18.600000000000001</v>
      </c>
      <c r="AK151" s="21">
        <f>Таблица15[[#This Row],[Средняя цена (USD)]]*Таблица15[[#This Row],[Кол-во проданных]]/1000000</f>
        <v>5.625</v>
      </c>
      <c r="AL151" s="39">
        <f>Таблица15[[#This Row],[Средняя цена млн. ₸]]/440*Таблица15[[#This Row],[Кол-во проданных]]</f>
        <v>9.5113636363636367</v>
      </c>
      <c r="AM151" s="39">
        <f>Таблица15[[#This Row],[Средняя цена млн. ₸]]*Таблица15[[#This Row],[Кол-во проданных]]/1000</f>
        <v>4.1849999999999996</v>
      </c>
      <c r="AR151" s="22"/>
      <c r="AS151" s="22"/>
      <c r="AT151" s="22"/>
    </row>
    <row r="152" spans="2:46">
      <c r="T152" t="s">
        <v>0</v>
      </c>
      <c r="U152" t="s">
        <v>62</v>
      </c>
      <c r="V152" t="str">
        <f>VLOOKUP(Таблица15[[#This Row],[Модель]],Таблица14[#All],2,0)</f>
        <v>Хэтчбэк</v>
      </c>
      <c r="W152" s="20">
        <f>VLOOKUP(Таблица15[[#This Row],[Модель]],Таблица14[#All],3,0)</f>
        <v>14000</v>
      </c>
      <c r="X152" s="20">
        <f>VLOOKUP(Таблица15[[#This Row],[Модель]],Таблица14[#All],4,0)</f>
        <v>12000</v>
      </c>
      <c r="Y152" s="4">
        <f>VLOOKUP(Таблица15[[#This Row],[Модель]],Таблица14[#All],5,0)</f>
        <v>16000</v>
      </c>
      <c r="Z152" t="str">
        <f>VLOOKUP(Таблица15[[#This Row],[Модель]],Таблица14[#All],6,0)</f>
        <v>МКПП, АКПП</v>
      </c>
      <c r="AA152" t="str">
        <f>VLOOKUP(Таблица15[[#This Row],[Модель]],Таблица14[#All],7,0)</f>
        <v>Бензин</v>
      </c>
      <c r="AB152" t="str">
        <f>VLOOKUP(Таблица15[[#This Row],[Модель]],Таблица14[#All],8,0)</f>
        <v>Эконом</v>
      </c>
      <c r="AC152" t="str">
        <f>VLOOKUP(Таблица15[[#This Row],[Модель]],Таблица14[#All],9,0)</f>
        <v>Маленький</v>
      </c>
      <c r="AD152">
        <f>VLOOKUP(Таблица15[[#This Row],[Модель]],Таблица14[#All],10,0)</f>
        <v>115</v>
      </c>
      <c r="AE152">
        <f>VLOOKUP(Таблица15[[#This Row],[Модель]],Таблица14[#All],11,0)</f>
        <v>15.5</v>
      </c>
      <c r="AF152">
        <v>2023</v>
      </c>
      <c r="AG152">
        <v>2679</v>
      </c>
      <c r="AH152" s="22">
        <f>VLOOKUP(Таблица15[[#This Row],[Модель]],Таблица14[#All],12,0)/1000000</f>
        <v>8.5399999999999991</v>
      </c>
      <c r="AI152" s="21">
        <f>VLOOKUP(Таблица15[[#This Row],[Модель]],Таблица14[#All],13,0)/1000000</f>
        <v>7.99</v>
      </c>
      <c r="AJ152" s="21">
        <f>VLOOKUP(Таблица15[[#This Row],[Модель]],Таблица14[#All],14,0)/1000000</f>
        <v>9.09</v>
      </c>
      <c r="AK152" s="21">
        <f>Таблица15[[#This Row],[Средняя цена (USD)]]*Таблица15[[#This Row],[Кол-во проданных]]/1000000</f>
        <v>37.506</v>
      </c>
      <c r="AL152" s="39">
        <f>Таблица15[[#This Row],[Средняя цена млн. ₸]]/440*Таблица15[[#This Row],[Кол-во проданных]]</f>
        <v>51.996954545454543</v>
      </c>
      <c r="AM152" s="39">
        <f>Таблица15[[#This Row],[Средняя цена млн. ₸]]*Таблица15[[#This Row],[Кол-во проданных]]/1000</f>
        <v>22.878659999999996</v>
      </c>
      <c r="AR152" s="22"/>
      <c r="AS152" s="22"/>
      <c r="AT152" s="22"/>
    </row>
    <row r="153" spans="2:46">
      <c r="T153" t="s">
        <v>0</v>
      </c>
      <c r="U153" t="s">
        <v>62</v>
      </c>
      <c r="V153" t="str">
        <f>VLOOKUP(Таблица15[[#This Row],[Модель]],Таблица14[#All],2,0)</f>
        <v>Хэтчбэк</v>
      </c>
      <c r="W153" s="20">
        <f>VLOOKUP(Таблица15[[#This Row],[Модель]],Таблица14[#All],3,0)</f>
        <v>14000</v>
      </c>
      <c r="X153" s="20">
        <f>VLOOKUP(Таблица15[[#This Row],[Модель]],Таблица14[#All],4,0)</f>
        <v>12000</v>
      </c>
      <c r="Y153" s="4">
        <f>VLOOKUP(Таблица15[[#This Row],[Модель]],Таблица14[#All],5,0)</f>
        <v>16000</v>
      </c>
      <c r="Z153" t="str">
        <f>VLOOKUP(Таблица15[[#This Row],[Модель]],Таблица14[#All],6,0)</f>
        <v>МКПП, АКПП</v>
      </c>
      <c r="AA153" t="str">
        <f>VLOOKUP(Таблица15[[#This Row],[Модель]],Таблица14[#All],7,0)</f>
        <v>Бензин</v>
      </c>
      <c r="AB153" t="str">
        <f>VLOOKUP(Таблица15[[#This Row],[Модель]],Таблица14[#All],8,0)</f>
        <v>Эконом</v>
      </c>
      <c r="AC153" t="str">
        <f>VLOOKUP(Таблица15[[#This Row],[Модель]],Таблица14[#All],9,0)</f>
        <v>Маленький</v>
      </c>
      <c r="AD153">
        <f>VLOOKUP(Таблица15[[#This Row],[Модель]],Таблица14[#All],10,0)</f>
        <v>115</v>
      </c>
      <c r="AE153">
        <f>VLOOKUP(Таблица15[[#This Row],[Модель]],Таблица14[#All],11,0)</f>
        <v>15.5</v>
      </c>
      <c r="AF153">
        <v>2022</v>
      </c>
      <c r="AG153">
        <v>0</v>
      </c>
      <c r="AH153" s="22">
        <f>VLOOKUP(Таблица15[[#This Row],[Модель]],Таблица14[#All],12,0)/1000000</f>
        <v>8.5399999999999991</v>
      </c>
      <c r="AI153" s="21">
        <f>VLOOKUP(Таблица15[[#This Row],[Модель]],Таблица14[#All],13,0)/1000000</f>
        <v>7.99</v>
      </c>
      <c r="AJ153" s="21">
        <f>VLOOKUP(Таблица15[[#This Row],[Модель]],Таблица14[#All],14,0)/1000000</f>
        <v>9.09</v>
      </c>
      <c r="AK153" s="21">
        <f>Таблица15[[#This Row],[Средняя цена (USD)]]*Таблица15[[#This Row],[Кол-во проданных]]/1000000</f>
        <v>0</v>
      </c>
      <c r="AL153" s="39">
        <f>Таблица15[[#This Row],[Средняя цена млн. ₸]]/440*Таблица15[[#This Row],[Кол-во проданных]]</f>
        <v>0</v>
      </c>
      <c r="AM153" s="39">
        <f>Таблица15[[#This Row],[Средняя цена млн. ₸]]*Таблица15[[#This Row],[Кол-во проданных]]/1000</f>
        <v>0</v>
      </c>
      <c r="AR153" s="22"/>
      <c r="AS153" s="22"/>
      <c r="AT153" s="22"/>
    </row>
    <row r="154" spans="2:46">
      <c r="T154" t="s">
        <v>0</v>
      </c>
      <c r="U154" t="s">
        <v>62</v>
      </c>
      <c r="V154" t="str">
        <f>VLOOKUP(Таблица15[[#This Row],[Модель]],Таблица14[#All],2,0)</f>
        <v>Хэтчбэк</v>
      </c>
      <c r="W154" s="20">
        <f>VLOOKUP(Таблица15[[#This Row],[Модель]],Таблица14[#All],3,0)</f>
        <v>14000</v>
      </c>
      <c r="X154" s="20">
        <f>VLOOKUP(Таблица15[[#This Row],[Модель]],Таблица14[#All],4,0)</f>
        <v>12000</v>
      </c>
      <c r="Y154" s="4">
        <f>VLOOKUP(Таблица15[[#This Row],[Модель]],Таблица14[#All],5,0)</f>
        <v>16000</v>
      </c>
      <c r="Z154" t="str">
        <f>VLOOKUP(Таблица15[[#This Row],[Модель]],Таблица14[#All],6,0)</f>
        <v>МКПП, АКПП</v>
      </c>
      <c r="AA154" t="str">
        <f>VLOOKUP(Таблица15[[#This Row],[Модель]],Таблица14[#All],7,0)</f>
        <v>Бензин</v>
      </c>
      <c r="AB154" t="str">
        <f>VLOOKUP(Таблица15[[#This Row],[Модель]],Таблица14[#All],8,0)</f>
        <v>Эконом</v>
      </c>
      <c r="AC154" t="str">
        <f>VLOOKUP(Таблица15[[#This Row],[Модель]],Таблица14[#All],9,0)</f>
        <v>Маленький</v>
      </c>
      <c r="AD154">
        <f>VLOOKUP(Таблица15[[#This Row],[Модель]],Таблица14[#All],10,0)</f>
        <v>115</v>
      </c>
      <c r="AE154">
        <f>VLOOKUP(Таблица15[[#This Row],[Модель]],Таблица14[#All],11,0)</f>
        <v>15.5</v>
      </c>
      <c r="AF154">
        <v>2021</v>
      </c>
      <c r="AG154">
        <v>0</v>
      </c>
      <c r="AH154" s="22">
        <f>VLOOKUP(Таблица15[[#This Row],[Модель]],Таблица14[#All],12,0)/1000000</f>
        <v>8.5399999999999991</v>
      </c>
      <c r="AI154" s="21">
        <f>VLOOKUP(Таблица15[[#This Row],[Модель]],Таблица14[#All],13,0)/1000000</f>
        <v>7.99</v>
      </c>
      <c r="AJ154" s="21">
        <f>VLOOKUP(Таблица15[[#This Row],[Модель]],Таблица14[#All],14,0)/1000000</f>
        <v>9.09</v>
      </c>
      <c r="AK154" s="21">
        <f>Таблица15[[#This Row],[Средняя цена (USD)]]*Таблица15[[#This Row],[Кол-во проданных]]/1000000</f>
        <v>0</v>
      </c>
      <c r="AL154" s="39">
        <f>Таблица15[[#This Row],[Средняя цена млн. ₸]]/440*Таблица15[[#This Row],[Кол-во проданных]]</f>
        <v>0</v>
      </c>
      <c r="AM154" s="39">
        <f>Таблица15[[#This Row],[Средняя цена млн. ₸]]*Таблица15[[#This Row],[Кол-во проданных]]/1000</f>
        <v>0</v>
      </c>
      <c r="AR154" s="22"/>
      <c r="AS154" s="22"/>
      <c r="AT154" s="22"/>
    </row>
    <row r="155" spans="2:46">
      <c r="T155" t="s">
        <v>0</v>
      </c>
      <c r="U155" t="s">
        <v>62</v>
      </c>
      <c r="V155" t="str">
        <f>VLOOKUP(Таблица15[[#This Row],[Модель]],Таблица14[#All],2,0)</f>
        <v>Хэтчбэк</v>
      </c>
      <c r="W155" s="20">
        <f>VLOOKUP(Таблица15[[#This Row],[Модель]],Таблица14[#All],3,0)</f>
        <v>14000</v>
      </c>
      <c r="X155" s="20">
        <f>VLOOKUP(Таблица15[[#This Row],[Модель]],Таблица14[#All],4,0)</f>
        <v>12000</v>
      </c>
      <c r="Y155" s="4">
        <f>VLOOKUP(Таблица15[[#This Row],[Модель]],Таблица14[#All],5,0)</f>
        <v>16000</v>
      </c>
      <c r="Z155" t="str">
        <f>VLOOKUP(Таблица15[[#This Row],[Модель]],Таблица14[#All],6,0)</f>
        <v>МКПП, АКПП</v>
      </c>
      <c r="AA155" t="str">
        <f>VLOOKUP(Таблица15[[#This Row],[Модель]],Таблица14[#All],7,0)</f>
        <v>Бензин</v>
      </c>
      <c r="AB155" t="str">
        <f>VLOOKUP(Таблица15[[#This Row],[Модель]],Таблица14[#All],8,0)</f>
        <v>Эконом</v>
      </c>
      <c r="AC155" t="str">
        <f>VLOOKUP(Таблица15[[#This Row],[Модель]],Таблица14[#All],9,0)</f>
        <v>Маленький</v>
      </c>
      <c r="AD155">
        <f>VLOOKUP(Таблица15[[#This Row],[Модель]],Таблица14[#All],10,0)</f>
        <v>115</v>
      </c>
      <c r="AE155">
        <f>VLOOKUP(Таблица15[[#This Row],[Модель]],Таблица14[#All],11,0)</f>
        <v>15.5</v>
      </c>
      <c r="AF155">
        <v>2020</v>
      </c>
      <c r="AG155">
        <v>0</v>
      </c>
      <c r="AH155" s="22">
        <f>VLOOKUP(Таблица15[[#This Row],[Модель]],Таблица14[#All],12,0)/1000000</f>
        <v>8.5399999999999991</v>
      </c>
      <c r="AI155" s="21">
        <f>VLOOKUP(Таблица15[[#This Row],[Модель]],Таблица14[#All],13,0)/1000000</f>
        <v>7.99</v>
      </c>
      <c r="AJ155" s="21">
        <f>VLOOKUP(Таблица15[[#This Row],[Модель]],Таблица14[#All],14,0)/1000000</f>
        <v>9.09</v>
      </c>
      <c r="AK155" s="21">
        <f>Таблица15[[#This Row],[Средняя цена (USD)]]*Таблица15[[#This Row],[Кол-во проданных]]/1000000</f>
        <v>0</v>
      </c>
      <c r="AL155" s="39">
        <f>Таблица15[[#This Row],[Средняя цена млн. ₸]]/440*Таблица15[[#This Row],[Кол-во проданных]]</f>
        <v>0</v>
      </c>
      <c r="AM155" s="39">
        <f>Таблица15[[#This Row],[Средняя цена млн. ₸]]*Таблица15[[#This Row],[Кол-во проданных]]/1000</f>
        <v>0</v>
      </c>
      <c r="AR155" s="22"/>
      <c r="AS155" s="22"/>
      <c r="AT155" s="22"/>
    </row>
    <row r="156" spans="2:46">
      <c r="T156" t="s">
        <v>0</v>
      </c>
      <c r="U156" t="s">
        <v>62</v>
      </c>
      <c r="V156" t="str">
        <f>VLOOKUP(Таблица15[[#This Row],[Модель]],Таблица14[#All],2,0)</f>
        <v>Хэтчбэк</v>
      </c>
      <c r="W156" s="20">
        <f>VLOOKUP(Таблица15[[#This Row],[Модель]],Таблица14[#All],3,0)</f>
        <v>14000</v>
      </c>
      <c r="X156" s="20">
        <f>VLOOKUP(Таблица15[[#This Row],[Модель]],Таблица14[#All],4,0)</f>
        <v>12000</v>
      </c>
      <c r="Y156" s="4">
        <f>VLOOKUP(Таблица15[[#This Row],[Модель]],Таблица14[#All],5,0)</f>
        <v>16000</v>
      </c>
      <c r="Z156" t="str">
        <f>VLOOKUP(Таблица15[[#This Row],[Модель]],Таблица14[#All],6,0)</f>
        <v>МКПП, АКПП</v>
      </c>
      <c r="AA156" t="str">
        <f>VLOOKUP(Таблица15[[#This Row],[Модель]],Таблица14[#All],7,0)</f>
        <v>Бензин</v>
      </c>
      <c r="AB156" t="str">
        <f>VLOOKUP(Таблица15[[#This Row],[Модель]],Таблица14[#All],8,0)</f>
        <v>Эконом</v>
      </c>
      <c r="AC156" t="str">
        <f>VLOOKUP(Таблица15[[#This Row],[Модель]],Таблица14[#All],9,0)</f>
        <v>Маленький</v>
      </c>
      <c r="AD156">
        <f>VLOOKUP(Таблица15[[#This Row],[Модель]],Таблица14[#All],10,0)</f>
        <v>115</v>
      </c>
      <c r="AE156">
        <f>VLOOKUP(Таблица15[[#This Row],[Модель]],Таблица14[#All],11,0)</f>
        <v>15.5</v>
      </c>
      <c r="AF156">
        <v>2019</v>
      </c>
      <c r="AG156">
        <v>0</v>
      </c>
      <c r="AH156" s="22">
        <f>VLOOKUP(Таблица15[[#This Row],[Модель]],Таблица14[#All],12,0)/1000000</f>
        <v>8.5399999999999991</v>
      </c>
      <c r="AI156" s="21">
        <f>VLOOKUP(Таблица15[[#This Row],[Модель]],Таблица14[#All],13,0)/1000000</f>
        <v>7.99</v>
      </c>
      <c r="AJ156" s="21">
        <f>VLOOKUP(Таблица15[[#This Row],[Модель]],Таблица14[#All],14,0)/1000000</f>
        <v>9.09</v>
      </c>
      <c r="AK156" s="21">
        <f>Таблица15[[#This Row],[Средняя цена (USD)]]*Таблица15[[#This Row],[Кол-во проданных]]/1000000</f>
        <v>0</v>
      </c>
      <c r="AL156" s="39">
        <f>Таблица15[[#This Row],[Средняя цена млн. ₸]]/440*Таблица15[[#This Row],[Кол-во проданных]]</f>
        <v>0</v>
      </c>
      <c r="AM156" s="39">
        <f>Таблица15[[#This Row],[Средняя цена млн. ₸]]*Таблица15[[#This Row],[Кол-во проданных]]/1000</f>
        <v>0</v>
      </c>
      <c r="AR156" s="22"/>
      <c r="AS156" s="22"/>
      <c r="AT156" s="22"/>
    </row>
    <row r="157" spans="2:46">
      <c r="T157" t="s">
        <v>0</v>
      </c>
      <c r="U157" t="s">
        <v>68</v>
      </c>
      <c r="V157" t="str">
        <f>VLOOKUP(Таблица15[[#This Row],[Модель]],Таблица14[#All],2,0)</f>
        <v>Хэтчбэк</v>
      </c>
      <c r="W157" s="20">
        <f>VLOOKUP(Таблица15[[#This Row],[Модель]],Таблица14[#All],3,0)</f>
        <v>18000</v>
      </c>
      <c r="X157" s="20">
        <f>VLOOKUP(Таблица15[[#This Row],[Модель]],Таблица14[#All],4,0)</f>
        <v>16000</v>
      </c>
      <c r="Y157" s="4">
        <f>VLOOKUP(Таблица15[[#This Row],[Модель]],Таблица14[#All],5,0)</f>
        <v>22000</v>
      </c>
      <c r="Z157" t="str">
        <f>VLOOKUP(Таблица15[[#This Row],[Модель]],Таблица14[#All],6,0)</f>
        <v>МКПП, АКПП</v>
      </c>
      <c r="AA157" t="str">
        <f>VLOOKUP(Таблица15[[#This Row],[Модель]],Таблица14[#All],7,0)</f>
        <v>Бензин</v>
      </c>
      <c r="AB157" t="str">
        <f>VLOOKUP(Таблица15[[#This Row],[Модель]],Таблица14[#All],8,0)</f>
        <v>Комфорт</v>
      </c>
      <c r="AC157" t="str">
        <f>VLOOKUP(Таблица15[[#This Row],[Модель]],Таблица14[#All],9,0)</f>
        <v>Средний</v>
      </c>
      <c r="AD157">
        <f>VLOOKUP(Таблица15[[#This Row],[Модель]],Таблица14[#All],10,0)</f>
        <v>150</v>
      </c>
      <c r="AE157">
        <f>VLOOKUP(Таблица15[[#This Row],[Модель]],Таблица14[#All],11,0)</f>
        <v>13.5</v>
      </c>
      <c r="AF157">
        <v>2023</v>
      </c>
      <c r="AG157">
        <v>1976</v>
      </c>
      <c r="AH157" s="22">
        <f>VLOOKUP(Таблица15[[#This Row],[Модель]],Таблица14[#All],12,0)/1000000</f>
        <v>11.54</v>
      </c>
      <c r="AI157" s="21">
        <f>VLOOKUP(Таблица15[[#This Row],[Модель]],Таблица14[#All],13,0)/1000000</f>
        <v>10.79</v>
      </c>
      <c r="AJ157" s="21">
        <f>VLOOKUP(Таблица15[[#This Row],[Модель]],Таблица14[#All],14,0)/1000000</f>
        <v>12.29</v>
      </c>
      <c r="AK157" s="21">
        <f>Таблица15[[#This Row],[Средняя цена (USD)]]*Таблица15[[#This Row],[Кол-во проданных]]/1000000</f>
        <v>35.567999999999998</v>
      </c>
      <c r="AL157" s="39">
        <f>Таблица15[[#This Row],[Средняя цена млн. ₸]]/440*Таблица15[[#This Row],[Кол-во проданных]]</f>
        <v>51.825090909090903</v>
      </c>
      <c r="AM157" s="39">
        <f>Таблица15[[#This Row],[Средняя цена млн. ₸]]*Таблица15[[#This Row],[Кол-во проданных]]/1000</f>
        <v>22.803039999999996</v>
      </c>
      <c r="AR157" s="22"/>
      <c r="AS157" s="22"/>
      <c r="AT157" s="22"/>
    </row>
    <row r="158" spans="2:46">
      <c r="T158" t="s">
        <v>0</v>
      </c>
      <c r="U158" t="s">
        <v>68</v>
      </c>
      <c r="V158" t="str">
        <f>VLOOKUP(Таблица15[[#This Row],[Модель]],Таблица14[#All],2,0)</f>
        <v>Хэтчбэк</v>
      </c>
      <c r="W158" s="20">
        <f>VLOOKUP(Таблица15[[#This Row],[Модель]],Таблица14[#All],3,0)</f>
        <v>18000</v>
      </c>
      <c r="X158" s="20">
        <f>VLOOKUP(Таблица15[[#This Row],[Модель]],Таблица14[#All],4,0)</f>
        <v>16000</v>
      </c>
      <c r="Y158" s="4">
        <f>VLOOKUP(Таблица15[[#This Row],[Модель]],Таблица14[#All],5,0)</f>
        <v>22000</v>
      </c>
      <c r="Z158" t="str">
        <f>VLOOKUP(Таблица15[[#This Row],[Модель]],Таблица14[#All],6,0)</f>
        <v>МКПП, АКПП</v>
      </c>
      <c r="AA158" t="str">
        <f>VLOOKUP(Таблица15[[#This Row],[Модель]],Таблица14[#All],7,0)</f>
        <v>Бензин</v>
      </c>
      <c r="AB158" t="str">
        <f>VLOOKUP(Таблица15[[#This Row],[Модель]],Таблица14[#All],8,0)</f>
        <v>Комфорт</v>
      </c>
      <c r="AC158" t="str">
        <f>VLOOKUP(Таблица15[[#This Row],[Модель]],Таблица14[#All],9,0)</f>
        <v>Средний</v>
      </c>
      <c r="AD158">
        <f>VLOOKUP(Таблица15[[#This Row],[Модель]],Таблица14[#All],10,0)</f>
        <v>150</v>
      </c>
      <c r="AE158">
        <f>VLOOKUP(Таблица15[[#This Row],[Модель]],Таблица14[#All],11,0)</f>
        <v>13.5</v>
      </c>
      <c r="AF158">
        <v>2022</v>
      </c>
      <c r="AG158">
        <v>651</v>
      </c>
      <c r="AH158" s="22">
        <f>VLOOKUP(Таблица15[[#This Row],[Модель]],Таблица14[#All],12,0)/1000000</f>
        <v>11.54</v>
      </c>
      <c r="AI158" s="21">
        <f>VLOOKUP(Таблица15[[#This Row],[Модель]],Таблица14[#All],13,0)/1000000</f>
        <v>10.79</v>
      </c>
      <c r="AJ158" s="21">
        <f>VLOOKUP(Таблица15[[#This Row],[Модель]],Таблица14[#All],14,0)/1000000</f>
        <v>12.29</v>
      </c>
      <c r="AK158" s="21">
        <f>Таблица15[[#This Row],[Средняя цена (USD)]]*Таблица15[[#This Row],[Кол-во проданных]]/1000000</f>
        <v>11.718</v>
      </c>
      <c r="AL158" s="39">
        <f>Таблица15[[#This Row],[Средняя цена млн. ₸]]/440*Таблица15[[#This Row],[Кол-во проданных]]</f>
        <v>17.073954545454544</v>
      </c>
      <c r="AM158" s="39">
        <f>Таблица15[[#This Row],[Средняя цена млн. ₸]]*Таблица15[[#This Row],[Кол-во проданных]]/1000</f>
        <v>7.5125399999999987</v>
      </c>
      <c r="AR158" s="22"/>
      <c r="AS158" s="22"/>
      <c r="AT158" s="22"/>
    </row>
    <row r="159" spans="2:46">
      <c r="T159" t="s">
        <v>0</v>
      </c>
      <c r="U159" t="s">
        <v>68</v>
      </c>
      <c r="V159" t="str">
        <f>VLOOKUP(Таблица15[[#This Row],[Модель]],Таблица14[#All],2,0)</f>
        <v>Хэтчбэк</v>
      </c>
      <c r="W159" s="20">
        <f>VLOOKUP(Таблица15[[#This Row],[Модель]],Таблица14[#All],3,0)</f>
        <v>18000</v>
      </c>
      <c r="X159" s="20">
        <f>VLOOKUP(Таблица15[[#This Row],[Модель]],Таблица14[#All],4,0)</f>
        <v>16000</v>
      </c>
      <c r="Y159" s="4">
        <f>VLOOKUP(Таблица15[[#This Row],[Модель]],Таблица14[#All],5,0)</f>
        <v>22000</v>
      </c>
      <c r="Z159" t="str">
        <f>VLOOKUP(Таблица15[[#This Row],[Модель]],Таблица14[#All],6,0)</f>
        <v>МКПП, АКПП</v>
      </c>
      <c r="AA159" t="str">
        <f>VLOOKUP(Таблица15[[#This Row],[Модель]],Таблица14[#All],7,0)</f>
        <v>Бензин</v>
      </c>
      <c r="AB159" t="str">
        <f>VLOOKUP(Таблица15[[#This Row],[Модель]],Таблица14[#All],8,0)</f>
        <v>Комфорт</v>
      </c>
      <c r="AC159" t="str">
        <f>VLOOKUP(Таблица15[[#This Row],[Модель]],Таблица14[#All],9,0)</f>
        <v>Средний</v>
      </c>
      <c r="AD159">
        <f>VLOOKUP(Таблица15[[#This Row],[Модель]],Таблица14[#All],10,0)</f>
        <v>150</v>
      </c>
      <c r="AE159">
        <f>VLOOKUP(Таблица15[[#This Row],[Модель]],Таблица14[#All],11,0)</f>
        <v>13.5</v>
      </c>
      <c r="AF159">
        <v>2021</v>
      </c>
      <c r="AG159">
        <v>0</v>
      </c>
      <c r="AH159" s="22">
        <f>VLOOKUP(Таблица15[[#This Row],[Модель]],Таблица14[#All],12,0)/1000000</f>
        <v>11.54</v>
      </c>
      <c r="AI159" s="21">
        <f>VLOOKUP(Таблица15[[#This Row],[Модель]],Таблица14[#All],13,0)/1000000</f>
        <v>10.79</v>
      </c>
      <c r="AJ159" s="21">
        <f>VLOOKUP(Таблица15[[#This Row],[Модель]],Таблица14[#All],14,0)/1000000</f>
        <v>12.29</v>
      </c>
      <c r="AK159" s="21">
        <f>Таблица15[[#This Row],[Средняя цена (USD)]]*Таблица15[[#This Row],[Кол-во проданных]]/1000000</f>
        <v>0</v>
      </c>
      <c r="AL159" s="39">
        <f>Таблица15[[#This Row],[Средняя цена млн. ₸]]/440*Таблица15[[#This Row],[Кол-во проданных]]</f>
        <v>0</v>
      </c>
      <c r="AM159" s="39">
        <f>Таблица15[[#This Row],[Средняя цена млн. ₸]]*Таблица15[[#This Row],[Кол-во проданных]]/1000</f>
        <v>0</v>
      </c>
      <c r="AR159" s="22"/>
      <c r="AS159" s="22"/>
      <c r="AT159" s="22"/>
    </row>
    <row r="160" spans="2:46">
      <c r="T160" t="s">
        <v>0</v>
      </c>
      <c r="U160" t="s">
        <v>68</v>
      </c>
      <c r="V160" t="str">
        <f>VLOOKUP(Таблица15[[#This Row],[Модель]],Таблица14[#All],2,0)</f>
        <v>Хэтчбэк</v>
      </c>
      <c r="W160" s="20">
        <f>VLOOKUP(Таблица15[[#This Row],[Модель]],Таблица14[#All],3,0)</f>
        <v>18000</v>
      </c>
      <c r="X160" s="20">
        <f>VLOOKUP(Таблица15[[#This Row],[Модель]],Таблица14[#All],4,0)</f>
        <v>16000</v>
      </c>
      <c r="Y160" s="4">
        <f>VLOOKUP(Таблица15[[#This Row],[Модель]],Таблица14[#All],5,0)</f>
        <v>22000</v>
      </c>
      <c r="Z160" t="str">
        <f>VLOOKUP(Таблица15[[#This Row],[Модель]],Таблица14[#All],6,0)</f>
        <v>МКПП, АКПП</v>
      </c>
      <c r="AA160" t="str">
        <f>VLOOKUP(Таблица15[[#This Row],[Модель]],Таблица14[#All],7,0)</f>
        <v>Бензин</v>
      </c>
      <c r="AB160" t="str">
        <f>VLOOKUP(Таблица15[[#This Row],[Модель]],Таблица14[#All],8,0)</f>
        <v>Комфорт</v>
      </c>
      <c r="AC160" t="str">
        <f>VLOOKUP(Таблица15[[#This Row],[Модель]],Таблица14[#All],9,0)</f>
        <v>Средний</v>
      </c>
      <c r="AD160">
        <f>VLOOKUP(Таблица15[[#This Row],[Модель]],Таблица14[#All],10,0)</f>
        <v>150</v>
      </c>
      <c r="AE160">
        <f>VLOOKUP(Таблица15[[#This Row],[Модель]],Таблица14[#All],11,0)</f>
        <v>13.5</v>
      </c>
      <c r="AF160">
        <v>2020</v>
      </c>
      <c r="AG160">
        <v>0</v>
      </c>
      <c r="AH160" s="22">
        <f>VLOOKUP(Таблица15[[#This Row],[Модель]],Таблица14[#All],12,0)/1000000</f>
        <v>11.54</v>
      </c>
      <c r="AI160" s="21">
        <f>VLOOKUP(Таблица15[[#This Row],[Модель]],Таблица14[#All],13,0)/1000000</f>
        <v>10.79</v>
      </c>
      <c r="AJ160" s="21">
        <f>VLOOKUP(Таблица15[[#This Row],[Модель]],Таблица14[#All],14,0)/1000000</f>
        <v>12.29</v>
      </c>
      <c r="AK160" s="21">
        <f>Таблица15[[#This Row],[Средняя цена (USD)]]*Таблица15[[#This Row],[Кол-во проданных]]/1000000</f>
        <v>0</v>
      </c>
      <c r="AL160" s="39">
        <f>Таблица15[[#This Row],[Средняя цена млн. ₸]]/440*Таблица15[[#This Row],[Кол-во проданных]]</f>
        <v>0</v>
      </c>
      <c r="AM160" s="39">
        <f>Таблица15[[#This Row],[Средняя цена млн. ₸]]*Таблица15[[#This Row],[Кол-во проданных]]/1000</f>
        <v>0</v>
      </c>
      <c r="AR160" s="22"/>
      <c r="AS160" s="22"/>
      <c r="AT160" s="22"/>
    </row>
    <row r="161" spans="20:46">
      <c r="T161" t="s">
        <v>0</v>
      </c>
      <c r="U161" t="s">
        <v>68</v>
      </c>
      <c r="V161" t="str">
        <f>VLOOKUP(Таблица15[[#This Row],[Модель]],Таблица14[#All],2,0)</f>
        <v>Хэтчбэк</v>
      </c>
      <c r="W161" s="20">
        <f>VLOOKUP(Таблица15[[#This Row],[Модель]],Таблица14[#All],3,0)</f>
        <v>18000</v>
      </c>
      <c r="X161" s="20">
        <f>VLOOKUP(Таблица15[[#This Row],[Модель]],Таблица14[#All],4,0)</f>
        <v>16000</v>
      </c>
      <c r="Y161" s="4">
        <f>VLOOKUP(Таблица15[[#This Row],[Модель]],Таблица14[#All],5,0)</f>
        <v>22000</v>
      </c>
      <c r="Z161" t="str">
        <f>VLOOKUP(Таблица15[[#This Row],[Модель]],Таблица14[#All],6,0)</f>
        <v>МКПП, АКПП</v>
      </c>
      <c r="AA161" t="str">
        <f>VLOOKUP(Таблица15[[#This Row],[Модель]],Таблица14[#All],7,0)</f>
        <v>Бензин</v>
      </c>
      <c r="AB161" t="str">
        <f>VLOOKUP(Таблица15[[#This Row],[Модель]],Таблица14[#All],8,0)</f>
        <v>Комфорт</v>
      </c>
      <c r="AC161" t="str">
        <f>VLOOKUP(Таблица15[[#This Row],[Модель]],Таблица14[#All],9,0)</f>
        <v>Средний</v>
      </c>
      <c r="AD161">
        <f>VLOOKUP(Таблица15[[#This Row],[Модель]],Таблица14[#All],10,0)</f>
        <v>150</v>
      </c>
      <c r="AE161">
        <f>VLOOKUP(Таблица15[[#This Row],[Модель]],Таблица14[#All],11,0)</f>
        <v>13.5</v>
      </c>
      <c r="AF161">
        <v>2019</v>
      </c>
      <c r="AG161">
        <v>0</v>
      </c>
      <c r="AH161" s="22">
        <f>VLOOKUP(Таблица15[[#This Row],[Модель]],Таблица14[#All],12,0)/1000000</f>
        <v>11.54</v>
      </c>
      <c r="AI161" s="21">
        <f>VLOOKUP(Таблица15[[#This Row],[Модель]],Таблица14[#All],13,0)/1000000</f>
        <v>10.79</v>
      </c>
      <c r="AJ161" s="21">
        <f>VLOOKUP(Таблица15[[#This Row],[Модель]],Таблица14[#All],14,0)/1000000</f>
        <v>12.29</v>
      </c>
      <c r="AK161" s="21">
        <f>Таблица15[[#This Row],[Средняя цена (USD)]]*Таблица15[[#This Row],[Кол-во проданных]]/1000000</f>
        <v>0</v>
      </c>
      <c r="AL161" s="39">
        <f>Таблица15[[#This Row],[Средняя цена млн. ₸]]/440*Таблица15[[#This Row],[Кол-во проданных]]</f>
        <v>0</v>
      </c>
      <c r="AM161" s="39">
        <f>Таблица15[[#This Row],[Средняя цена млн. ₸]]*Таблица15[[#This Row],[Кол-во проданных]]/1000</f>
        <v>0</v>
      </c>
      <c r="AR161" s="22"/>
      <c r="AS161" s="22"/>
      <c r="AT161" s="22"/>
    </row>
    <row r="162" spans="20:46">
      <c r="T162" t="s">
        <v>0</v>
      </c>
      <c r="U162" t="s">
        <v>72</v>
      </c>
      <c r="V162" t="str">
        <f>VLOOKUP(Таблица15[[#This Row],[Модель]],Таблица14[#All],2,0)</f>
        <v>Внедорожник</v>
      </c>
      <c r="W162" s="20">
        <f>VLOOKUP(Таблица15[[#This Row],[Модель]],Таблица14[#All],3,0)</f>
        <v>35000</v>
      </c>
      <c r="X162" s="20">
        <f>VLOOKUP(Таблица15[[#This Row],[Модель]],Таблица14[#All],4,0)</f>
        <v>30000</v>
      </c>
      <c r="Y162" s="4">
        <f>VLOOKUP(Таблица15[[#This Row],[Модель]],Таблица14[#All],5,0)</f>
        <v>45000</v>
      </c>
      <c r="Z162" t="str">
        <f>VLOOKUP(Таблица15[[#This Row],[Модель]],Таблица14[#All],6,0)</f>
        <v>АКПП</v>
      </c>
      <c r="AA162" t="str">
        <f>VLOOKUP(Таблица15[[#This Row],[Модель]],Таблица14[#All],7,0)</f>
        <v>Бензин, Гибрид</v>
      </c>
      <c r="AB162" t="str">
        <f>VLOOKUP(Таблица15[[#This Row],[Модель]],Таблица14[#All],8,0)</f>
        <v>Люкс</v>
      </c>
      <c r="AC162" t="str">
        <f>VLOOKUP(Таблица15[[#This Row],[Модель]],Таблица14[#All],9,0)</f>
        <v>Большой</v>
      </c>
      <c r="AD162">
        <f>VLOOKUP(Таблица15[[#This Row],[Модель]],Таблица14[#All],10,0)</f>
        <v>290</v>
      </c>
      <c r="AE162">
        <f>VLOOKUP(Таблица15[[#This Row],[Модель]],Таблица14[#All],11,0)</f>
        <v>10</v>
      </c>
      <c r="AF162">
        <v>2023</v>
      </c>
      <c r="AG162">
        <v>1603</v>
      </c>
      <c r="AH162" s="22">
        <f>VLOOKUP(Таблица15[[#This Row],[Модель]],Таблица14[#All],12,0)/1000000</f>
        <v>29.74</v>
      </c>
      <c r="AI162" s="21">
        <f>VLOOKUP(Таблица15[[#This Row],[Модель]],Таблица14[#All],13,0)/1000000</f>
        <v>27.99</v>
      </c>
      <c r="AJ162" s="21">
        <f>VLOOKUP(Таблица15[[#This Row],[Модель]],Таблица14[#All],14,0)/1000000</f>
        <v>31.49</v>
      </c>
      <c r="AK162" s="21">
        <f>Таблица15[[#This Row],[Средняя цена (USD)]]*Таблица15[[#This Row],[Кол-во проданных]]/1000000</f>
        <v>56.104999999999997</v>
      </c>
      <c r="AL162" s="39">
        <f>Таблица15[[#This Row],[Средняя цена млн. ₸]]/440*Таблица15[[#This Row],[Кол-во проданных]]</f>
        <v>108.34822727272727</v>
      </c>
      <c r="AM162" s="39">
        <f>Таблица15[[#This Row],[Средняя цена млн. ₸]]*Таблица15[[#This Row],[Кол-во проданных]]/1000</f>
        <v>47.673219999999993</v>
      </c>
      <c r="AR162" s="22"/>
      <c r="AS162" s="22"/>
      <c r="AT162" s="22"/>
    </row>
    <row r="163" spans="20:46">
      <c r="T163" t="s">
        <v>0</v>
      </c>
      <c r="U163" t="s">
        <v>72</v>
      </c>
      <c r="V163" t="str">
        <f>VLOOKUP(Таблица15[[#This Row],[Модель]],Таблица14[#All],2,0)</f>
        <v>Внедорожник</v>
      </c>
      <c r="W163" s="20">
        <f>VLOOKUP(Таблица15[[#This Row],[Модель]],Таблица14[#All],3,0)</f>
        <v>35000</v>
      </c>
      <c r="X163" s="20">
        <f>VLOOKUP(Таблица15[[#This Row],[Модель]],Таблица14[#All],4,0)</f>
        <v>30000</v>
      </c>
      <c r="Y163" s="4">
        <f>VLOOKUP(Таблица15[[#This Row],[Модель]],Таблица14[#All],5,0)</f>
        <v>45000</v>
      </c>
      <c r="Z163" t="str">
        <f>VLOOKUP(Таблица15[[#This Row],[Модель]],Таблица14[#All],6,0)</f>
        <v>АКПП</v>
      </c>
      <c r="AA163" t="str">
        <f>VLOOKUP(Таблица15[[#This Row],[Модель]],Таблица14[#All],7,0)</f>
        <v>Бензин, Гибрид</v>
      </c>
      <c r="AB163" t="str">
        <f>VLOOKUP(Таблица15[[#This Row],[Модель]],Таблица14[#All],8,0)</f>
        <v>Люкс</v>
      </c>
      <c r="AC163" t="str">
        <f>VLOOKUP(Таблица15[[#This Row],[Модель]],Таблица14[#All],9,0)</f>
        <v>Большой</v>
      </c>
      <c r="AD163">
        <f>VLOOKUP(Таблица15[[#This Row],[Модель]],Таблица14[#All],10,0)</f>
        <v>290</v>
      </c>
      <c r="AE163">
        <f>VLOOKUP(Таблица15[[#This Row],[Модель]],Таблица14[#All],11,0)</f>
        <v>10</v>
      </c>
      <c r="AF163">
        <v>2022</v>
      </c>
      <c r="AG163">
        <v>972</v>
      </c>
      <c r="AH163" s="22">
        <f>VLOOKUP(Таблица15[[#This Row],[Модель]],Таблица14[#All],12,0)/1000000</f>
        <v>29.74</v>
      </c>
      <c r="AI163" s="21">
        <f>VLOOKUP(Таблица15[[#This Row],[Модель]],Таблица14[#All],13,0)/1000000</f>
        <v>27.99</v>
      </c>
      <c r="AJ163" s="21">
        <f>VLOOKUP(Таблица15[[#This Row],[Модель]],Таблица14[#All],14,0)/1000000</f>
        <v>31.49</v>
      </c>
      <c r="AK163" s="21">
        <f>Таблица15[[#This Row],[Средняя цена (USD)]]*Таблица15[[#This Row],[Кол-во проданных]]/1000000</f>
        <v>34.020000000000003</v>
      </c>
      <c r="AL163" s="39">
        <f>Таблица15[[#This Row],[Средняя цена млн. ₸]]/440*Таблица15[[#This Row],[Кол-во проданных]]</f>
        <v>65.698363636363638</v>
      </c>
      <c r="AM163" s="39">
        <f>Таблица15[[#This Row],[Средняя цена млн. ₸]]*Таблица15[[#This Row],[Кол-во проданных]]/1000</f>
        <v>28.90728</v>
      </c>
      <c r="AR163" s="22"/>
      <c r="AS163" s="22"/>
      <c r="AT163" s="22"/>
    </row>
    <row r="164" spans="20:46">
      <c r="T164" t="s">
        <v>0</v>
      </c>
      <c r="U164" t="s">
        <v>72</v>
      </c>
      <c r="V164" t="str">
        <f>VLOOKUP(Таблица15[[#This Row],[Модель]],Таблица14[#All],2,0)</f>
        <v>Внедорожник</v>
      </c>
      <c r="W164" s="20">
        <f>VLOOKUP(Таблица15[[#This Row],[Модель]],Таблица14[#All],3,0)</f>
        <v>35000</v>
      </c>
      <c r="X164" s="20">
        <f>VLOOKUP(Таблица15[[#This Row],[Модель]],Таблица14[#All],4,0)</f>
        <v>30000</v>
      </c>
      <c r="Y164" s="4">
        <f>VLOOKUP(Таблица15[[#This Row],[Модель]],Таблица14[#All],5,0)</f>
        <v>45000</v>
      </c>
      <c r="Z164" t="str">
        <f>VLOOKUP(Таблица15[[#This Row],[Модель]],Таблица14[#All],6,0)</f>
        <v>АКПП</v>
      </c>
      <c r="AA164" t="str">
        <f>VLOOKUP(Таблица15[[#This Row],[Модель]],Таблица14[#All],7,0)</f>
        <v>Бензин, Гибрид</v>
      </c>
      <c r="AB164" t="str">
        <f>VLOOKUP(Таблица15[[#This Row],[Модель]],Таблица14[#All],8,0)</f>
        <v>Люкс</v>
      </c>
      <c r="AC164" t="str">
        <f>VLOOKUP(Таблица15[[#This Row],[Модель]],Таблица14[#All],9,0)</f>
        <v>Большой</v>
      </c>
      <c r="AD164">
        <f>VLOOKUP(Таблица15[[#This Row],[Модель]],Таблица14[#All],10,0)</f>
        <v>290</v>
      </c>
      <c r="AE164">
        <f>VLOOKUP(Таблица15[[#This Row],[Модель]],Таблица14[#All],11,0)</f>
        <v>10</v>
      </c>
      <c r="AF164">
        <v>2021</v>
      </c>
      <c r="AG164">
        <v>0</v>
      </c>
      <c r="AH164" s="22">
        <f>VLOOKUP(Таблица15[[#This Row],[Модель]],Таблица14[#All],12,0)/1000000</f>
        <v>29.74</v>
      </c>
      <c r="AI164" s="21">
        <f>VLOOKUP(Таблица15[[#This Row],[Модель]],Таблица14[#All],13,0)/1000000</f>
        <v>27.99</v>
      </c>
      <c r="AJ164" s="21">
        <f>VLOOKUP(Таблица15[[#This Row],[Модель]],Таблица14[#All],14,0)/1000000</f>
        <v>31.49</v>
      </c>
      <c r="AK164" s="21">
        <f>Таблица15[[#This Row],[Средняя цена (USD)]]*Таблица15[[#This Row],[Кол-во проданных]]/1000000</f>
        <v>0</v>
      </c>
      <c r="AL164" s="39">
        <f>Таблица15[[#This Row],[Средняя цена млн. ₸]]/440*Таблица15[[#This Row],[Кол-во проданных]]</f>
        <v>0</v>
      </c>
      <c r="AM164" s="39">
        <f>Таблица15[[#This Row],[Средняя цена млн. ₸]]*Таблица15[[#This Row],[Кол-во проданных]]/1000</f>
        <v>0</v>
      </c>
      <c r="AR164" s="22"/>
      <c r="AS164" s="22"/>
      <c r="AT164" s="22"/>
    </row>
    <row r="165" spans="20:46">
      <c r="T165" t="s">
        <v>0</v>
      </c>
      <c r="U165" t="s">
        <v>72</v>
      </c>
      <c r="V165" t="str">
        <f>VLOOKUP(Таблица15[[#This Row],[Модель]],Таблица14[#All],2,0)</f>
        <v>Внедорожник</v>
      </c>
      <c r="W165" s="20">
        <f>VLOOKUP(Таблица15[[#This Row],[Модель]],Таблица14[#All],3,0)</f>
        <v>35000</v>
      </c>
      <c r="X165" s="20">
        <f>VLOOKUP(Таблица15[[#This Row],[Модель]],Таблица14[#All],4,0)</f>
        <v>30000</v>
      </c>
      <c r="Y165" s="4">
        <f>VLOOKUP(Таблица15[[#This Row],[Модель]],Таблица14[#All],5,0)</f>
        <v>45000</v>
      </c>
      <c r="Z165" t="str">
        <f>VLOOKUP(Таблица15[[#This Row],[Модель]],Таблица14[#All],6,0)</f>
        <v>АКПП</v>
      </c>
      <c r="AA165" t="str">
        <f>VLOOKUP(Таблица15[[#This Row],[Модель]],Таблица14[#All],7,0)</f>
        <v>Бензин, Гибрид</v>
      </c>
      <c r="AB165" t="str">
        <f>VLOOKUP(Таблица15[[#This Row],[Модель]],Таблица14[#All],8,0)</f>
        <v>Люкс</v>
      </c>
      <c r="AC165" t="str">
        <f>VLOOKUP(Таблица15[[#This Row],[Модель]],Таблица14[#All],9,0)</f>
        <v>Большой</v>
      </c>
      <c r="AD165">
        <f>VLOOKUP(Таблица15[[#This Row],[Модель]],Таблица14[#All],10,0)</f>
        <v>290</v>
      </c>
      <c r="AE165">
        <f>VLOOKUP(Таблица15[[#This Row],[Модель]],Таблица14[#All],11,0)</f>
        <v>10</v>
      </c>
      <c r="AF165">
        <v>2020</v>
      </c>
      <c r="AG165">
        <v>0</v>
      </c>
      <c r="AH165" s="22">
        <f>VLOOKUP(Таблица15[[#This Row],[Модель]],Таблица14[#All],12,0)/1000000</f>
        <v>29.74</v>
      </c>
      <c r="AI165" s="21">
        <f>VLOOKUP(Таблица15[[#This Row],[Модель]],Таблица14[#All],13,0)/1000000</f>
        <v>27.99</v>
      </c>
      <c r="AJ165" s="21">
        <f>VLOOKUP(Таблица15[[#This Row],[Модель]],Таблица14[#All],14,0)/1000000</f>
        <v>31.49</v>
      </c>
      <c r="AK165" s="21">
        <f>Таблица15[[#This Row],[Средняя цена (USD)]]*Таблица15[[#This Row],[Кол-во проданных]]/1000000</f>
        <v>0</v>
      </c>
      <c r="AL165" s="39">
        <f>Таблица15[[#This Row],[Средняя цена млн. ₸]]/440*Таблица15[[#This Row],[Кол-во проданных]]</f>
        <v>0</v>
      </c>
      <c r="AM165" s="39">
        <f>Таблица15[[#This Row],[Средняя цена млн. ₸]]*Таблица15[[#This Row],[Кол-во проданных]]/1000</f>
        <v>0</v>
      </c>
      <c r="AR165" s="22"/>
      <c r="AS165" s="22"/>
      <c r="AT165" s="22"/>
    </row>
    <row r="166" spans="20:46">
      <c r="T166" t="s">
        <v>0</v>
      </c>
      <c r="U166" t="s">
        <v>72</v>
      </c>
      <c r="V166" t="str">
        <f>VLOOKUP(Таблица15[[#This Row],[Модель]],Таблица14[#All],2,0)</f>
        <v>Внедорожник</v>
      </c>
      <c r="W166" s="20">
        <f>VLOOKUP(Таблица15[[#This Row],[Модель]],Таблица14[#All],3,0)</f>
        <v>35000</v>
      </c>
      <c r="X166" s="20">
        <f>VLOOKUP(Таблица15[[#This Row],[Модель]],Таблица14[#All],4,0)</f>
        <v>30000</v>
      </c>
      <c r="Y166" s="4">
        <f>VLOOKUP(Таблица15[[#This Row],[Модель]],Таблица14[#All],5,0)</f>
        <v>45000</v>
      </c>
      <c r="Z166" t="str">
        <f>VLOOKUP(Таблица15[[#This Row],[Модель]],Таблица14[#All],6,0)</f>
        <v>АКПП</v>
      </c>
      <c r="AA166" t="str">
        <f>VLOOKUP(Таблица15[[#This Row],[Модель]],Таблица14[#All],7,0)</f>
        <v>Бензин, Гибрид</v>
      </c>
      <c r="AB166" t="str">
        <f>VLOOKUP(Таблица15[[#This Row],[Модель]],Таблица14[#All],8,0)</f>
        <v>Люкс</v>
      </c>
      <c r="AC166" t="str">
        <f>VLOOKUP(Таблица15[[#This Row],[Модель]],Таблица14[#All],9,0)</f>
        <v>Большой</v>
      </c>
      <c r="AD166">
        <f>VLOOKUP(Таблица15[[#This Row],[Модель]],Таблица14[#All],10,0)</f>
        <v>290</v>
      </c>
      <c r="AE166">
        <f>VLOOKUP(Таблица15[[#This Row],[Модель]],Таблица14[#All],11,0)</f>
        <v>10</v>
      </c>
      <c r="AF166">
        <v>2019</v>
      </c>
      <c r="AG166">
        <v>0</v>
      </c>
      <c r="AH166" s="22">
        <f>VLOOKUP(Таблица15[[#This Row],[Модель]],Таблица14[#All],12,0)/1000000</f>
        <v>29.74</v>
      </c>
      <c r="AI166" s="21">
        <f>VLOOKUP(Таблица15[[#This Row],[Модель]],Таблица14[#All],13,0)/1000000</f>
        <v>27.99</v>
      </c>
      <c r="AJ166" s="21">
        <f>VLOOKUP(Таблица15[[#This Row],[Модель]],Таблица14[#All],14,0)/1000000</f>
        <v>31.49</v>
      </c>
      <c r="AK166" s="21">
        <f>Таблица15[[#This Row],[Средняя цена (USD)]]*Таблица15[[#This Row],[Кол-во проданных]]/1000000</f>
        <v>0</v>
      </c>
      <c r="AL166" s="39">
        <f>Таблица15[[#This Row],[Средняя цена млн. ₸]]/440*Таблица15[[#This Row],[Кол-во проданных]]</f>
        <v>0</v>
      </c>
      <c r="AM166" s="39">
        <f>Таблица15[[#This Row],[Средняя цена млн. ₸]]*Таблица15[[#This Row],[Кол-во проданных]]/1000</f>
        <v>0</v>
      </c>
      <c r="AR166" s="22"/>
      <c r="AS166" s="22"/>
      <c r="AT166" s="22"/>
    </row>
    <row r="167" spans="20:46">
      <c r="T167" t="s">
        <v>0</v>
      </c>
      <c r="U167" t="s">
        <v>49</v>
      </c>
      <c r="V167" t="str">
        <f>VLOOKUP(Таблица15[[#This Row],[Модель]],Таблица14[#All],2,0)</f>
        <v>Внедорожник</v>
      </c>
      <c r="W167" s="20">
        <f>VLOOKUP(Таблица15[[#This Row],[Модель]],Таблица14[#All],3,0)</f>
        <v>28000</v>
      </c>
      <c r="X167" s="20">
        <f>VLOOKUP(Таблица15[[#This Row],[Модель]],Таблица14[#All],4,0)</f>
        <v>25000</v>
      </c>
      <c r="Y167" s="4">
        <f>VLOOKUP(Таблица15[[#This Row],[Модель]],Таблица14[#All],5,0)</f>
        <v>35000</v>
      </c>
      <c r="Z167" t="str">
        <f>VLOOKUP(Таблица15[[#This Row],[Модель]],Таблица14[#All],6,0)</f>
        <v>АКПП</v>
      </c>
      <c r="AA167" t="str">
        <f>VLOOKUP(Таблица15[[#This Row],[Модель]],Таблица14[#All],7,0)</f>
        <v>Бензин, Дизель, Гибрид</v>
      </c>
      <c r="AB167" t="str">
        <f>VLOOKUP(Таблица15[[#This Row],[Модель]],Таблица14[#All],8,0)</f>
        <v>Комфорт</v>
      </c>
      <c r="AC167" t="str">
        <f>VLOOKUP(Таблица15[[#This Row],[Модель]],Таблица14[#All],9,0)</f>
        <v>Средний</v>
      </c>
      <c r="AD167">
        <f>VLOOKUP(Таблица15[[#This Row],[Модель]],Таблица14[#All],10,0)</f>
        <v>230</v>
      </c>
      <c r="AE167">
        <f>VLOOKUP(Таблица15[[#This Row],[Модель]],Таблица14[#All],11,0)</f>
        <v>11</v>
      </c>
      <c r="AF167">
        <v>2023</v>
      </c>
      <c r="AG167">
        <v>7446</v>
      </c>
      <c r="AH167" s="22">
        <f>VLOOKUP(Таблица15[[#This Row],[Модель]],Таблица14[#All],12,0)/1000000</f>
        <v>23.19</v>
      </c>
      <c r="AI167" s="21">
        <f>VLOOKUP(Таблица15[[#This Row],[Модель]],Таблица14[#All],13,0)/1000000</f>
        <v>19.39</v>
      </c>
      <c r="AJ167" s="21">
        <f>VLOOKUP(Таблица15[[#This Row],[Модель]],Таблица14[#All],14,0)/1000000</f>
        <v>26.99</v>
      </c>
      <c r="AK167" s="21">
        <f>Таблица15[[#This Row],[Средняя цена (USD)]]*Таблица15[[#This Row],[Кол-во проданных]]/1000000</f>
        <v>208.488</v>
      </c>
      <c r="AL167" s="39">
        <f>Таблица15[[#This Row],[Средняя цена млн. ₸]]/440*Таблица15[[#This Row],[Кол-во проданных]]</f>
        <v>392.43804545454549</v>
      </c>
      <c r="AM167" s="39">
        <f>Таблица15[[#This Row],[Средняя цена млн. ₸]]*Таблица15[[#This Row],[Кол-во проданных]]/1000</f>
        <v>172.67274000000003</v>
      </c>
      <c r="AR167" s="22"/>
      <c r="AS167" s="22"/>
      <c r="AT167" s="22"/>
    </row>
    <row r="168" spans="20:46">
      <c r="T168" t="s">
        <v>0</v>
      </c>
      <c r="U168" t="s">
        <v>49</v>
      </c>
      <c r="V168" t="str">
        <f>VLOOKUP(Таблица15[[#This Row],[Модель]],Таблица14[#All],2,0)</f>
        <v>Внедорожник</v>
      </c>
      <c r="W168" s="20">
        <f>VLOOKUP(Таблица15[[#This Row],[Модель]],Таблица14[#All],3,0)</f>
        <v>28000</v>
      </c>
      <c r="X168" s="20">
        <f>VLOOKUP(Таблица15[[#This Row],[Модель]],Таблица14[#All],4,0)</f>
        <v>25000</v>
      </c>
      <c r="Y168" s="4">
        <f>VLOOKUP(Таблица15[[#This Row],[Модель]],Таблица14[#All],5,0)</f>
        <v>35000</v>
      </c>
      <c r="Z168" t="str">
        <f>VLOOKUP(Таблица15[[#This Row],[Модель]],Таблица14[#All],6,0)</f>
        <v>АКПП</v>
      </c>
      <c r="AA168" t="str">
        <f>VLOOKUP(Таблица15[[#This Row],[Модель]],Таблица14[#All],7,0)</f>
        <v>Бензин, Дизель, Гибрид</v>
      </c>
      <c r="AB168" t="str">
        <f>VLOOKUP(Таблица15[[#This Row],[Модель]],Таблица14[#All],8,0)</f>
        <v>Комфорт</v>
      </c>
      <c r="AC168" t="str">
        <f>VLOOKUP(Таблица15[[#This Row],[Модель]],Таблица14[#All],9,0)</f>
        <v>Средний</v>
      </c>
      <c r="AD168">
        <f>VLOOKUP(Таблица15[[#This Row],[Модель]],Таблица14[#All],10,0)</f>
        <v>230</v>
      </c>
      <c r="AE168">
        <f>VLOOKUP(Таблица15[[#This Row],[Модель]],Таблица14[#All],11,0)</f>
        <v>11</v>
      </c>
      <c r="AF168">
        <v>2022</v>
      </c>
      <c r="AG168">
        <v>2975</v>
      </c>
      <c r="AH168" s="22">
        <f>VLOOKUP(Таблица15[[#This Row],[Модель]],Таблица14[#All],12,0)/1000000</f>
        <v>23.19</v>
      </c>
      <c r="AI168" s="21">
        <f>VLOOKUP(Таблица15[[#This Row],[Модель]],Таблица14[#All],13,0)/1000000</f>
        <v>19.39</v>
      </c>
      <c r="AJ168" s="21">
        <f>VLOOKUP(Таблица15[[#This Row],[Модель]],Таблица14[#All],14,0)/1000000</f>
        <v>26.99</v>
      </c>
      <c r="AK168" s="21">
        <f>Таблица15[[#This Row],[Средняя цена (USD)]]*Таблица15[[#This Row],[Кол-во проданных]]/1000000</f>
        <v>83.3</v>
      </c>
      <c r="AL168" s="39">
        <f>Таблица15[[#This Row],[Средняя цена млн. ₸]]/440*Таблица15[[#This Row],[Кол-во проданных]]</f>
        <v>156.79602272727274</v>
      </c>
      <c r="AM168" s="39">
        <f>Таблица15[[#This Row],[Средняя цена млн. ₸]]*Таблица15[[#This Row],[Кол-во проданных]]/1000</f>
        <v>68.990250000000003</v>
      </c>
      <c r="AR168" s="22"/>
      <c r="AS168" s="22"/>
      <c r="AT168" s="22"/>
    </row>
    <row r="169" spans="20:46">
      <c r="T169" t="s">
        <v>0</v>
      </c>
      <c r="U169" t="s">
        <v>49</v>
      </c>
      <c r="V169" t="str">
        <f>VLOOKUP(Таблица15[[#This Row],[Модель]],Таблица14[#All],2,0)</f>
        <v>Внедорожник</v>
      </c>
      <c r="W169" s="20">
        <f>VLOOKUP(Таблица15[[#This Row],[Модель]],Таблица14[#All],3,0)</f>
        <v>28000</v>
      </c>
      <c r="X169" s="20">
        <f>VLOOKUP(Таблица15[[#This Row],[Модель]],Таблица14[#All],4,0)</f>
        <v>25000</v>
      </c>
      <c r="Y169" s="4">
        <f>VLOOKUP(Таблица15[[#This Row],[Модель]],Таблица14[#All],5,0)</f>
        <v>35000</v>
      </c>
      <c r="Z169" t="str">
        <f>VLOOKUP(Таблица15[[#This Row],[Модель]],Таблица14[#All],6,0)</f>
        <v>АКПП</v>
      </c>
      <c r="AA169" t="str">
        <f>VLOOKUP(Таблица15[[#This Row],[Модель]],Таблица14[#All],7,0)</f>
        <v>Бензин, Дизель, Гибрид</v>
      </c>
      <c r="AB169" t="str">
        <f>VLOOKUP(Таблица15[[#This Row],[Модель]],Таблица14[#All],8,0)</f>
        <v>Комфорт</v>
      </c>
      <c r="AC169" t="str">
        <f>VLOOKUP(Таблица15[[#This Row],[Модель]],Таблица14[#All],9,0)</f>
        <v>Средний</v>
      </c>
      <c r="AD169">
        <f>VLOOKUP(Таблица15[[#This Row],[Модель]],Таблица14[#All],10,0)</f>
        <v>230</v>
      </c>
      <c r="AE169">
        <f>VLOOKUP(Таблица15[[#This Row],[Модель]],Таблица14[#All],11,0)</f>
        <v>11</v>
      </c>
      <c r="AF169">
        <v>2021</v>
      </c>
      <c r="AG169">
        <v>2063</v>
      </c>
      <c r="AH169" s="22">
        <f>VLOOKUP(Таблица15[[#This Row],[Модель]],Таблица14[#All],12,0)/1000000</f>
        <v>23.19</v>
      </c>
      <c r="AI169" s="21">
        <f>VLOOKUP(Таблица15[[#This Row],[Модель]],Таблица14[#All],13,0)/1000000</f>
        <v>19.39</v>
      </c>
      <c r="AJ169" s="21">
        <f>VLOOKUP(Таблица15[[#This Row],[Модель]],Таблица14[#All],14,0)/1000000</f>
        <v>26.99</v>
      </c>
      <c r="AK169" s="21">
        <f>Таблица15[[#This Row],[Средняя цена (USD)]]*Таблица15[[#This Row],[Кол-во проданных]]/1000000</f>
        <v>57.764000000000003</v>
      </c>
      <c r="AL169" s="39">
        <f>Таблица15[[#This Row],[Средняя цена млн. ₸]]/440*Таблица15[[#This Row],[Кол-во проданных]]</f>
        <v>108.72947727272728</v>
      </c>
      <c r="AM169" s="39">
        <f>Таблица15[[#This Row],[Средняя цена млн. ₸]]*Таблица15[[#This Row],[Кол-во проданных]]/1000</f>
        <v>47.840969999999999</v>
      </c>
      <c r="AR169" s="22"/>
      <c r="AS169" s="22"/>
      <c r="AT169" s="22"/>
    </row>
    <row r="170" spans="20:46">
      <c r="T170" t="s">
        <v>0</v>
      </c>
      <c r="U170" t="s">
        <v>49</v>
      </c>
      <c r="V170" t="str">
        <f>VLOOKUP(Таблица15[[#This Row],[Модель]],Таблица14[#All],2,0)</f>
        <v>Внедорожник</v>
      </c>
      <c r="W170" s="20">
        <f>VLOOKUP(Таблица15[[#This Row],[Модель]],Таблица14[#All],3,0)</f>
        <v>28000</v>
      </c>
      <c r="X170" s="20">
        <f>VLOOKUP(Таблица15[[#This Row],[Модель]],Таблица14[#All],4,0)</f>
        <v>25000</v>
      </c>
      <c r="Y170" s="4">
        <f>VLOOKUP(Таблица15[[#This Row],[Модель]],Таблица14[#All],5,0)</f>
        <v>35000</v>
      </c>
      <c r="Z170" t="str">
        <f>VLOOKUP(Таблица15[[#This Row],[Модель]],Таблица14[#All],6,0)</f>
        <v>АКПП</v>
      </c>
      <c r="AA170" t="str">
        <f>VLOOKUP(Таблица15[[#This Row],[Модель]],Таблица14[#All],7,0)</f>
        <v>Бензин, Дизель, Гибрид</v>
      </c>
      <c r="AB170" t="str">
        <f>VLOOKUP(Таблица15[[#This Row],[Модель]],Таблица14[#All],8,0)</f>
        <v>Комфорт</v>
      </c>
      <c r="AC170" t="str">
        <f>VLOOKUP(Таблица15[[#This Row],[Модель]],Таблица14[#All],9,0)</f>
        <v>Средний</v>
      </c>
      <c r="AD170">
        <f>VLOOKUP(Таблица15[[#This Row],[Модель]],Таблица14[#All],10,0)</f>
        <v>230</v>
      </c>
      <c r="AE170">
        <f>VLOOKUP(Таблица15[[#This Row],[Модель]],Таблица14[#All],11,0)</f>
        <v>11</v>
      </c>
      <c r="AF170">
        <v>2020</v>
      </c>
      <c r="AG170">
        <v>1395</v>
      </c>
      <c r="AH170" s="22">
        <f>VLOOKUP(Таблица15[[#This Row],[Модель]],Таблица14[#All],12,0)/1000000</f>
        <v>23.19</v>
      </c>
      <c r="AI170" s="21">
        <f>VLOOKUP(Таблица15[[#This Row],[Модель]],Таблица14[#All],13,0)/1000000</f>
        <v>19.39</v>
      </c>
      <c r="AJ170" s="21">
        <f>VLOOKUP(Таблица15[[#This Row],[Модель]],Таблица14[#All],14,0)/1000000</f>
        <v>26.99</v>
      </c>
      <c r="AK170" s="21">
        <f>Таблица15[[#This Row],[Средняя цена (USD)]]*Таблица15[[#This Row],[Кол-во проданных]]/1000000</f>
        <v>39.06</v>
      </c>
      <c r="AL170" s="39">
        <f>Таблица15[[#This Row],[Средняя цена млн. ₸]]/440*Таблица15[[#This Row],[Кол-во проданных]]</f>
        <v>73.522840909090917</v>
      </c>
      <c r="AM170" s="39">
        <f>Таблица15[[#This Row],[Средняя цена млн. ₸]]*Таблица15[[#This Row],[Кол-во проданных]]/1000</f>
        <v>32.350050000000003</v>
      </c>
      <c r="AR170" s="22"/>
      <c r="AS170" s="22"/>
      <c r="AT170" s="22"/>
    </row>
    <row r="171" spans="20:46">
      <c r="T171" t="s">
        <v>0</v>
      </c>
      <c r="U171" t="s">
        <v>49</v>
      </c>
      <c r="V171" t="str">
        <f>VLOOKUP(Таблица15[[#This Row],[Модель]],Таблица14[#All],2,0)</f>
        <v>Внедорожник</v>
      </c>
      <c r="W171" s="20">
        <f>VLOOKUP(Таблица15[[#This Row],[Модель]],Таблица14[#All],3,0)</f>
        <v>28000</v>
      </c>
      <c r="X171" s="20">
        <f>VLOOKUP(Таблица15[[#This Row],[Модель]],Таблица14[#All],4,0)</f>
        <v>25000</v>
      </c>
      <c r="Y171" s="4">
        <f>VLOOKUP(Таблица15[[#This Row],[Модель]],Таблица14[#All],5,0)</f>
        <v>35000</v>
      </c>
      <c r="Z171" t="str">
        <f>VLOOKUP(Таблица15[[#This Row],[Модель]],Таблица14[#All],6,0)</f>
        <v>АКПП</v>
      </c>
      <c r="AA171" t="str">
        <f>VLOOKUP(Таблица15[[#This Row],[Модель]],Таблица14[#All],7,0)</f>
        <v>Бензин, Дизель, Гибрид</v>
      </c>
      <c r="AB171" t="str">
        <f>VLOOKUP(Таблица15[[#This Row],[Модель]],Таблица14[#All],8,0)</f>
        <v>Комфорт</v>
      </c>
      <c r="AC171" t="str">
        <f>VLOOKUP(Таблица15[[#This Row],[Модель]],Таблица14[#All],9,0)</f>
        <v>Средний</v>
      </c>
      <c r="AD171">
        <f>VLOOKUP(Таблица15[[#This Row],[Модель]],Таблица14[#All],10,0)</f>
        <v>230</v>
      </c>
      <c r="AE171">
        <f>VLOOKUP(Таблица15[[#This Row],[Модель]],Таблица14[#All],11,0)</f>
        <v>11</v>
      </c>
      <c r="AF171">
        <v>2019</v>
      </c>
      <c r="AG171">
        <v>1081</v>
      </c>
      <c r="AH171" s="22">
        <f>VLOOKUP(Таблица15[[#This Row],[Модель]],Таблица14[#All],12,0)/1000000</f>
        <v>23.19</v>
      </c>
      <c r="AI171" s="21">
        <f>VLOOKUP(Таблица15[[#This Row],[Модель]],Таблица14[#All],13,0)/1000000</f>
        <v>19.39</v>
      </c>
      <c r="AJ171" s="21">
        <f>VLOOKUP(Таблица15[[#This Row],[Модель]],Таблица14[#All],14,0)/1000000</f>
        <v>26.99</v>
      </c>
      <c r="AK171" s="21">
        <f>Таблица15[[#This Row],[Средняя цена (USD)]]*Таблица15[[#This Row],[Кол-во проданных]]/1000000</f>
        <v>30.268000000000001</v>
      </c>
      <c r="AL171" s="39">
        <f>Таблица15[[#This Row],[Средняя цена млн. ₸]]/440*Таблица15[[#This Row],[Кол-во проданных]]</f>
        <v>56.973613636363638</v>
      </c>
      <c r="AM171" s="39">
        <f>Таблица15[[#This Row],[Средняя цена млн. ₸]]*Таблица15[[#This Row],[Кол-во проданных]]/1000</f>
        <v>25.068390000000004</v>
      </c>
      <c r="AR171" s="22"/>
      <c r="AS171" s="22"/>
      <c r="AT171" s="22"/>
    </row>
    <row r="172" spans="20:46">
      <c r="T172" t="s">
        <v>0</v>
      </c>
      <c r="U172" t="s">
        <v>53</v>
      </c>
      <c r="V172" t="str">
        <f>VLOOKUP(Таблица15[[#This Row],[Модель]],Таблица14[#All],2,0)</f>
        <v>Седан</v>
      </c>
      <c r="W172" s="20">
        <f>VLOOKUP(Таблица15[[#This Row],[Модель]],Таблица14[#All],3,0)</f>
        <v>22000</v>
      </c>
      <c r="X172" s="20">
        <f>VLOOKUP(Таблица15[[#This Row],[Модель]],Таблица14[#All],4,0)</f>
        <v>19000</v>
      </c>
      <c r="Y172" s="4">
        <f>VLOOKUP(Таблица15[[#This Row],[Модель]],Таблица14[#All],5,0)</f>
        <v>25000</v>
      </c>
      <c r="Z172" t="str">
        <f>VLOOKUP(Таблица15[[#This Row],[Модель]],Таблица14[#All],6,0)</f>
        <v>АКПП</v>
      </c>
      <c r="AA172" t="str">
        <f>VLOOKUP(Таблица15[[#This Row],[Модель]],Таблица14[#All],7,0)</f>
        <v>Бензин, Гибрид</v>
      </c>
      <c r="AB172" t="str">
        <f>VLOOKUP(Таблица15[[#This Row],[Модель]],Таблица14[#All],8,0)</f>
        <v>Комфорт</v>
      </c>
      <c r="AC172" t="str">
        <f>VLOOKUP(Таблица15[[#This Row],[Модель]],Таблица14[#All],9,0)</f>
        <v>Средний</v>
      </c>
      <c r="AD172">
        <f>VLOOKUP(Таблица15[[#This Row],[Модель]],Таблица14[#All],10,0)</f>
        <v>180</v>
      </c>
      <c r="AE172">
        <f>VLOOKUP(Таблица15[[#This Row],[Модель]],Таблица14[#All],11,0)</f>
        <v>12</v>
      </c>
      <c r="AF172">
        <v>2023</v>
      </c>
      <c r="AG172">
        <v>4805</v>
      </c>
      <c r="AH172" s="22">
        <f>VLOOKUP(Таблица15[[#This Row],[Модель]],Таблица14[#All],12,0)/1000000</f>
        <v>14.39</v>
      </c>
      <c r="AI172" s="21">
        <f>VLOOKUP(Таблица15[[#This Row],[Модель]],Таблица14[#All],13,0)/1000000</f>
        <v>13.99</v>
      </c>
      <c r="AJ172" s="21">
        <f>VLOOKUP(Таблица15[[#This Row],[Модель]],Таблица14[#All],14,0)/1000000</f>
        <v>14.79</v>
      </c>
      <c r="AK172" s="21">
        <f>Таблица15[[#This Row],[Средняя цена (USD)]]*Таблица15[[#This Row],[Кол-во проданных]]/1000000</f>
        <v>105.71</v>
      </c>
      <c r="AL172" s="39">
        <f>Таблица15[[#This Row],[Средняя цена млн. ₸]]/440*Таблица15[[#This Row],[Кол-во проданных]]</f>
        <v>157.14534090909092</v>
      </c>
      <c r="AM172" s="39">
        <f>Таблица15[[#This Row],[Средняя цена млн. ₸]]*Таблица15[[#This Row],[Кол-во проданных]]/1000</f>
        <v>69.143950000000004</v>
      </c>
      <c r="AR172" s="22"/>
      <c r="AS172" s="22"/>
      <c r="AT172" s="22"/>
    </row>
    <row r="173" spans="20:46">
      <c r="T173" t="s">
        <v>0</v>
      </c>
      <c r="U173" t="s">
        <v>53</v>
      </c>
      <c r="V173" t="str">
        <f>VLOOKUP(Таблица15[[#This Row],[Модель]],Таблица14[#All],2,0)</f>
        <v>Седан</v>
      </c>
      <c r="W173" s="20">
        <f>VLOOKUP(Таблица15[[#This Row],[Модель]],Таблица14[#All],3,0)</f>
        <v>22000</v>
      </c>
      <c r="X173" s="20">
        <f>VLOOKUP(Таблица15[[#This Row],[Модель]],Таблица14[#All],4,0)</f>
        <v>19000</v>
      </c>
      <c r="Y173" s="4">
        <f>VLOOKUP(Таблица15[[#This Row],[Модель]],Таблица14[#All],5,0)</f>
        <v>25000</v>
      </c>
      <c r="Z173" t="str">
        <f>VLOOKUP(Таблица15[[#This Row],[Модель]],Таблица14[#All],6,0)</f>
        <v>АКПП</v>
      </c>
      <c r="AA173" t="str">
        <f>VLOOKUP(Таблица15[[#This Row],[Модель]],Таблица14[#All],7,0)</f>
        <v>Бензин, Гибрид</v>
      </c>
      <c r="AB173" t="str">
        <f>VLOOKUP(Таблица15[[#This Row],[Модель]],Таблица14[#All],8,0)</f>
        <v>Комфорт</v>
      </c>
      <c r="AC173" t="str">
        <f>VLOOKUP(Таблица15[[#This Row],[Модель]],Таблица14[#All],9,0)</f>
        <v>Средний</v>
      </c>
      <c r="AD173">
        <f>VLOOKUP(Таблица15[[#This Row],[Модель]],Таблица14[#All],10,0)</f>
        <v>180</v>
      </c>
      <c r="AE173">
        <f>VLOOKUP(Таблица15[[#This Row],[Модель]],Таблица14[#All],11,0)</f>
        <v>12</v>
      </c>
      <c r="AF173">
        <v>2022</v>
      </c>
      <c r="AG173">
        <v>4570</v>
      </c>
      <c r="AH173" s="22">
        <f>VLOOKUP(Таблица15[[#This Row],[Модель]],Таблица14[#All],12,0)/1000000</f>
        <v>14.39</v>
      </c>
      <c r="AI173" s="21">
        <f>VLOOKUP(Таблица15[[#This Row],[Модель]],Таблица14[#All],13,0)/1000000</f>
        <v>13.99</v>
      </c>
      <c r="AJ173" s="21">
        <f>VLOOKUP(Таблица15[[#This Row],[Модель]],Таблица14[#All],14,0)/1000000</f>
        <v>14.79</v>
      </c>
      <c r="AK173" s="21">
        <f>Таблица15[[#This Row],[Средняя цена (USD)]]*Таблица15[[#This Row],[Кол-во проданных]]/1000000</f>
        <v>100.54</v>
      </c>
      <c r="AL173" s="39">
        <f>Таблица15[[#This Row],[Средняя цена млн. ₸]]/440*Таблица15[[#This Row],[Кол-во проданных]]</f>
        <v>149.45977272727274</v>
      </c>
      <c r="AM173" s="39">
        <f>Таблица15[[#This Row],[Средняя цена млн. ₸]]*Таблица15[[#This Row],[Кол-во проданных]]/1000</f>
        <v>65.762299999999996</v>
      </c>
      <c r="AR173" s="22"/>
      <c r="AS173" s="22"/>
      <c r="AT173" s="22"/>
    </row>
    <row r="174" spans="20:46">
      <c r="T174" t="s">
        <v>0</v>
      </c>
      <c r="U174" t="s">
        <v>53</v>
      </c>
      <c r="V174" t="str">
        <f>VLOOKUP(Таблица15[[#This Row],[Модель]],Таблица14[#All],2,0)</f>
        <v>Седан</v>
      </c>
      <c r="W174" s="20">
        <f>VLOOKUP(Таблица15[[#This Row],[Модель]],Таблица14[#All],3,0)</f>
        <v>22000</v>
      </c>
      <c r="X174" s="20">
        <f>VLOOKUP(Таблица15[[#This Row],[Модель]],Таблица14[#All],4,0)</f>
        <v>19000</v>
      </c>
      <c r="Y174" s="4">
        <f>VLOOKUP(Таблица15[[#This Row],[Модель]],Таблица14[#All],5,0)</f>
        <v>25000</v>
      </c>
      <c r="Z174" t="str">
        <f>VLOOKUP(Таблица15[[#This Row],[Модель]],Таблица14[#All],6,0)</f>
        <v>АКПП</v>
      </c>
      <c r="AA174" t="str">
        <f>VLOOKUP(Таблица15[[#This Row],[Модель]],Таблица14[#All],7,0)</f>
        <v>Бензин, Гибрид</v>
      </c>
      <c r="AB174" t="str">
        <f>VLOOKUP(Таблица15[[#This Row],[Модель]],Таблица14[#All],8,0)</f>
        <v>Комфорт</v>
      </c>
      <c r="AC174" t="str">
        <f>VLOOKUP(Таблица15[[#This Row],[Модель]],Таблица14[#All],9,0)</f>
        <v>Средний</v>
      </c>
      <c r="AD174">
        <f>VLOOKUP(Таблица15[[#This Row],[Модель]],Таблица14[#All],10,0)</f>
        <v>180</v>
      </c>
      <c r="AE174">
        <f>VLOOKUP(Таблица15[[#This Row],[Модель]],Таблица14[#All],11,0)</f>
        <v>12</v>
      </c>
      <c r="AF174">
        <v>2021</v>
      </c>
      <c r="AG174">
        <v>2252</v>
      </c>
      <c r="AH174" s="22">
        <f>VLOOKUP(Таблица15[[#This Row],[Модель]],Таблица14[#All],12,0)/1000000</f>
        <v>14.39</v>
      </c>
      <c r="AI174" s="21">
        <f>VLOOKUP(Таблица15[[#This Row],[Модель]],Таблица14[#All],13,0)/1000000</f>
        <v>13.99</v>
      </c>
      <c r="AJ174" s="21">
        <f>VLOOKUP(Таблица15[[#This Row],[Модель]],Таблица14[#All],14,0)/1000000</f>
        <v>14.79</v>
      </c>
      <c r="AK174" s="21">
        <f>Таблица15[[#This Row],[Средняя цена (USD)]]*Таблица15[[#This Row],[Кол-во проданных]]/1000000</f>
        <v>49.543999999999997</v>
      </c>
      <c r="AL174" s="39">
        <f>Таблица15[[#This Row],[Средняя цена млн. ₸]]/440*Таблица15[[#This Row],[Кол-во проданных]]</f>
        <v>73.650636363636366</v>
      </c>
      <c r="AM174" s="39">
        <f>Таблица15[[#This Row],[Средняя цена млн. ₸]]*Таблица15[[#This Row],[Кол-во проданных]]/1000</f>
        <v>32.406280000000002</v>
      </c>
      <c r="AR174" s="22"/>
      <c r="AS174" s="22"/>
      <c r="AT174" s="22"/>
    </row>
    <row r="175" spans="20:46">
      <c r="T175" t="s">
        <v>0</v>
      </c>
      <c r="U175" t="s">
        <v>53</v>
      </c>
      <c r="V175" t="str">
        <f>VLOOKUP(Таблица15[[#This Row],[Модель]],Таблица14[#All],2,0)</f>
        <v>Седан</v>
      </c>
      <c r="W175" s="20">
        <f>VLOOKUP(Таблица15[[#This Row],[Модель]],Таблица14[#All],3,0)</f>
        <v>22000</v>
      </c>
      <c r="X175" s="20">
        <f>VLOOKUP(Таблица15[[#This Row],[Модель]],Таблица14[#All],4,0)</f>
        <v>19000</v>
      </c>
      <c r="Y175" s="4">
        <f>VLOOKUP(Таблица15[[#This Row],[Модель]],Таблица14[#All],5,0)</f>
        <v>25000</v>
      </c>
      <c r="Z175" t="str">
        <f>VLOOKUP(Таблица15[[#This Row],[Модель]],Таблица14[#All],6,0)</f>
        <v>АКПП</v>
      </c>
      <c r="AA175" t="str">
        <f>VLOOKUP(Таблица15[[#This Row],[Модель]],Таблица14[#All],7,0)</f>
        <v>Бензин, Гибрид</v>
      </c>
      <c r="AB175" t="str">
        <f>VLOOKUP(Таблица15[[#This Row],[Модель]],Таблица14[#All],8,0)</f>
        <v>Комфорт</v>
      </c>
      <c r="AC175" t="str">
        <f>VLOOKUP(Таблица15[[#This Row],[Модель]],Таблица14[#All],9,0)</f>
        <v>Средний</v>
      </c>
      <c r="AD175">
        <f>VLOOKUP(Таблица15[[#This Row],[Модель]],Таблица14[#All],10,0)</f>
        <v>180</v>
      </c>
      <c r="AE175">
        <f>VLOOKUP(Таблица15[[#This Row],[Модель]],Таблица14[#All],11,0)</f>
        <v>12</v>
      </c>
      <c r="AF175">
        <v>2020</v>
      </c>
      <c r="AG175">
        <v>943</v>
      </c>
      <c r="AH175" s="22">
        <f>VLOOKUP(Таблица15[[#This Row],[Модель]],Таблица14[#All],12,0)/1000000</f>
        <v>14.39</v>
      </c>
      <c r="AI175" s="21">
        <f>VLOOKUP(Таблица15[[#This Row],[Модель]],Таблица14[#All],13,0)/1000000</f>
        <v>13.99</v>
      </c>
      <c r="AJ175" s="21">
        <f>VLOOKUP(Таблица15[[#This Row],[Модель]],Таблица14[#All],14,0)/1000000</f>
        <v>14.79</v>
      </c>
      <c r="AK175" s="21">
        <f>Таблица15[[#This Row],[Средняя цена (USD)]]*Таблица15[[#This Row],[Кол-во проданных]]/1000000</f>
        <v>20.745999999999999</v>
      </c>
      <c r="AL175" s="39">
        <f>Таблица15[[#This Row],[Средняя цена млн. ₸]]/440*Таблица15[[#This Row],[Кол-во проданных]]</f>
        <v>30.840386363636366</v>
      </c>
      <c r="AM175" s="39">
        <f>Таблица15[[#This Row],[Средняя цена млн. ₸]]*Таблица15[[#This Row],[Кол-во проданных]]/1000</f>
        <v>13.56977</v>
      </c>
      <c r="AR175" s="22"/>
      <c r="AS175" s="22"/>
      <c r="AT175" s="22"/>
    </row>
    <row r="176" spans="20:46">
      <c r="T176" t="s">
        <v>0</v>
      </c>
      <c r="U176" t="s">
        <v>53</v>
      </c>
      <c r="V176" t="str">
        <f>VLOOKUP(Таблица15[[#This Row],[Модель]],Таблица14[#All],2,0)</f>
        <v>Седан</v>
      </c>
      <c r="W176" s="20">
        <f>VLOOKUP(Таблица15[[#This Row],[Модель]],Таблица14[#All],3,0)</f>
        <v>22000</v>
      </c>
      <c r="X176" s="20">
        <f>VLOOKUP(Таблица15[[#This Row],[Модель]],Таблица14[#All],4,0)</f>
        <v>19000</v>
      </c>
      <c r="Y176" s="4">
        <f>VLOOKUP(Таблица15[[#This Row],[Модель]],Таблица14[#All],5,0)</f>
        <v>25000</v>
      </c>
      <c r="Z176" t="str">
        <f>VLOOKUP(Таблица15[[#This Row],[Модель]],Таблица14[#All],6,0)</f>
        <v>АКПП</v>
      </c>
      <c r="AA176" t="str">
        <f>VLOOKUP(Таблица15[[#This Row],[Модель]],Таблица14[#All],7,0)</f>
        <v>Бензин, Гибрид</v>
      </c>
      <c r="AB176" t="str">
        <f>VLOOKUP(Таблица15[[#This Row],[Модель]],Таблица14[#All],8,0)</f>
        <v>Комфорт</v>
      </c>
      <c r="AC176" t="str">
        <f>VLOOKUP(Таблица15[[#This Row],[Модель]],Таблица14[#All],9,0)</f>
        <v>Средний</v>
      </c>
      <c r="AD176">
        <f>VLOOKUP(Таблица15[[#This Row],[Модель]],Таблица14[#All],10,0)</f>
        <v>180</v>
      </c>
      <c r="AE176">
        <f>VLOOKUP(Таблица15[[#This Row],[Модель]],Таблица14[#All],11,0)</f>
        <v>12</v>
      </c>
      <c r="AF176">
        <v>2019</v>
      </c>
      <c r="AG176">
        <v>0</v>
      </c>
      <c r="AH176" s="22">
        <f>VLOOKUP(Таблица15[[#This Row],[Модель]],Таблица14[#All],12,0)/1000000</f>
        <v>14.39</v>
      </c>
      <c r="AI176" s="21">
        <f>VLOOKUP(Таблица15[[#This Row],[Модель]],Таблица14[#All],13,0)/1000000</f>
        <v>13.99</v>
      </c>
      <c r="AJ176" s="21">
        <f>VLOOKUP(Таблица15[[#This Row],[Модель]],Таблица14[#All],14,0)/1000000</f>
        <v>14.79</v>
      </c>
      <c r="AK176" s="21">
        <f>Таблица15[[#This Row],[Средняя цена (USD)]]*Таблица15[[#This Row],[Кол-во проданных]]/1000000</f>
        <v>0</v>
      </c>
      <c r="AL176" s="39">
        <f>Таблица15[[#This Row],[Средняя цена млн. ₸]]/440*Таблица15[[#This Row],[Кол-во проданных]]</f>
        <v>0</v>
      </c>
      <c r="AM176" s="39">
        <f>Таблица15[[#This Row],[Средняя цена млн. ₸]]*Таблица15[[#This Row],[Кол-во проданных]]/1000</f>
        <v>0</v>
      </c>
      <c r="AR176" s="22"/>
      <c r="AS176" s="22"/>
      <c r="AT176" s="22"/>
    </row>
    <row r="177" spans="20:46">
      <c r="T177" t="s">
        <v>0</v>
      </c>
      <c r="U177" t="s">
        <v>96</v>
      </c>
      <c r="V177" t="str">
        <f>VLOOKUP(Таблица15[[#This Row],[Модель]],Таблица14[#All],2,0)</f>
        <v>Минивэн</v>
      </c>
      <c r="W177" s="20">
        <f>VLOOKUP(Таблица15[[#This Row],[Модель]],Таблица14[#All],3,0)</f>
        <v>30000</v>
      </c>
      <c r="X177" s="20">
        <f>VLOOKUP(Таблица15[[#This Row],[Модель]],Таблица14[#All],4,0)</f>
        <v>27000</v>
      </c>
      <c r="Y177" s="4">
        <f>VLOOKUP(Таблица15[[#This Row],[Модель]],Таблица14[#All],5,0)</f>
        <v>38000</v>
      </c>
      <c r="Z177" t="str">
        <f>VLOOKUP(Таблица15[[#This Row],[Модель]],Таблица14[#All],6,0)</f>
        <v>АКПП</v>
      </c>
      <c r="AA177" t="str">
        <f>VLOOKUP(Таблица15[[#This Row],[Модель]],Таблица14[#All],7,0)</f>
        <v>Бензин, Дизель</v>
      </c>
      <c r="AB177" t="str">
        <f>VLOOKUP(Таблица15[[#This Row],[Модель]],Таблица14[#All],8,0)</f>
        <v>Комфорт</v>
      </c>
      <c r="AC177" t="str">
        <f>VLOOKUP(Таблица15[[#This Row],[Модель]],Таблица14[#All],9,0)</f>
        <v>Большой</v>
      </c>
      <c r="AD177">
        <f>VLOOKUP(Таблица15[[#This Row],[Модель]],Таблица14[#All],10,0)</f>
        <v>200</v>
      </c>
      <c r="AE177">
        <f>VLOOKUP(Таблица15[[#This Row],[Модель]],Таблица14[#All],11,0)</f>
        <v>11.5</v>
      </c>
      <c r="AF177">
        <v>2023</v>
      </c>
      <c r="AG177">
        <v>0</v>
      </c>
      <c r="AH177" s="22">
        <f>VLOOKUP(Таблица15[[#This Row],[Модель]],Таблица14[#All],12,0)/1000000</f>
        <v>23.94</v>
      </c>
      <c r="AI177" s="21">
        <f>VLOOKUP(Таблица15[[#This Row],[Модель]],Таблица14[#All],13,0)/1000000</f>
        <v>19.989999999999998</v>
      </c>
      <c r="AJ177" s="21">
        <f>VLOOKUP(Таблица15[[#This Row],[Модель]],Таблица14[#All],14,0)/1000000</f>
        <v>27.89</v>
      </c>
      <c r="AK177" s="21">
        <f>Таблица15[[#This Row],[Средняя цена (USD)]]*Таблица15[[#This Row],[Кол-во проданных]]/1000000</f>
        <v>0</v>
      </c>
      <c r="AL177" s="39">
        <f>Таблица15[[#This Row],[Средняя цена млн. ₸]]/440*Таблица15[[#This Row],[Кол-во проданных]]</f>
        <v>0</v>
      </c>
      <c r="AM177" s="39">
        <f>Таблица15[[#This Row],[Средняя цена млн. ₸]]*Таблица15[[#This Row],[Кол-во проданных]]/1000</f>
        <v>0</v>
      </c>
      <c r="AR177" s="22"/>
      <c r="AS177" s="22"/>
      <c r="AT177" s="22"/>
    </row>
    <row r="178" spans="20:46">
      <c r="T178" t="s">
        <v>0</v>
      </c>
      <c r="U178" t="s">
        <v>96</v>
      </c>
      <c r="V178" t="str">
        <f>VLOOKUP(Таблица15[[#This Row],[Модель]],Таблица14[#All],2,0)</f>
        <v>Минивэн</v>
      </c>
      <c r="W178" s="20">
        <f>VLOOKUP(Таблица15[[#This Row],[Модель]],Таблица14[#All],3,0)</f>
        <v>30000</v>
      </c>
      <c r="X178" s="20">
        <f>VLOOKUP(Таблица15[[#This Row],[Модель]],Таблица14[#All],4,0)</f>
        <v>27000</v>
      </c>
      <c r="Y178" s="4">
        <f>VLOOKUP(Таблица15[[#This Row],[Модель]],Таблица14[#All],5,0)</f>
        <v>38000</v>
      </c>
      <c r="Z178" t="str">
        <f>VLOOKUP(Таблица15[[#This Row],[Модель]],Таблица14[#All],6,0)</f>
        <v>АКПП</v>
      </c>
      <c r="AA178" t="str">
        <f>VLOOKUP(Таблица15[[#This Row],[Модель]],Таблица14[#All],7,0)</f>
        <v>Бензин, Дизель</v>
      </c>
      <c r="AB178" t="str">
        <f>VLOOKUP(Таблица15[[#This Row],[Модель]],Таблица14[#All],8,0)</f>
        <v>Комфорт</v>
      </c>
      <c r="AC178" t="str">
        <f>VLOOKUP(Таблица15[[#This Row],[Модель]],Таблица14[#All],9,0)</f>
        <v>Большой</v>
      </c>
      <c r="AD178">
        <f>VLOOKUP(Таблица15[[#This Row],[Модель]],Таблица14[#All],10,0)</f>
        <v>200</v>
      </c>
      <c r="AE178">
        <f>VLOOKUP(Таблица15[[#This Row],[Модель]],Таблица14[#All],11,0)</f>
        <v>11.5</v>
      </c>
      <c r="AF178">
        <v>2022</v>
      </c>
      <c r="AG178">
        <v>537</v>
      </c>
      <c r="AH178" s="22">
        <f>VLOOKUP(Таблица15[[#This Row],[Модель]],Таблица14[#All],12,0)/1000000</f>
        <v>23.94</v>
      </c>
      <c r="AI178" s="21">
        <f>VLOOKUP(Таблица15[[#This Row],[Модель]],Таблица14[#All],13,0)/1000000</f>
        <v>19.989999999999998</v>
      </c>
      <c r="AJ178" s="21">
        <f>VLOOKUP(Таблица15[[#This Row],[Модель]],Таблица14[#All],14,0)/1000000</f>
        <v>27.89</v>
      </c>
      <c r="AK178" s="21">
        <f>Таблица15[[#This Row],[Средняя цена (USD)]]*Таблица15[[#This Row],[Кол-во проданных]]/1000000</f>
        <v>16.11</v>
      </c>
      <c r="AL178" s="39">
        <f>Таблица15[[#This Row],[Средняя цена млн. ₸]]/440*Таблица15[[#This Row],[Кол-во проданных]]</f>
        <v>29.21768181818182</v>
      </c>
      <c r="AM178" s="39">
        <f>Таблица15[[#This Row],[Средняя цена млн. ₸]]*Таблица15[[#This Row],[Кол-во проданных]]/1000</f>
        <v>12.855780000000001</v>
      </c>
      <c r="AR178" s="22"/>
      <c r="AS178" s="22"/>
      <c r="AT178" s="22"/>
    </row>
    <row r="179" spans="20:46">
      <c r="T179" t="s">
        <v>0</v>
      </c>
      <c r="U179" t="s">
        <v>96</v>
      </c>
      <c r="V179" t="str">
        <f>VLOOKUP(Таблица15[[#This Row],[Модель]],Таблица14[#All],2,0)</f>
        <v>Минивэн</v>
      </c>
      <c r="W179" s="20">
        <f>VLOOKUP(Таблица15[[#This Row],[Модель]],Таблица14[#All],3,0)</f>
        <v>30000</v>
      </c>
      <c r="X179" s="20">
        <f>VLOOKUP(Таблица15[[#This Row],[Модель]],Таблица14[#All],4,0)</f>
        <v>27000</v>
      </c>
      <c r="Y179" s="4">
        <f>VLOOKUP(Таблица15[[#This Row],[Модель]],Таблица14[#All],5,0)</f>
        <v>38000</v>
      </c>
      <c r="Z179" t="str">
        <f>VLOOKUP(Таблица15[[#This Row],[Модель]],Таблица14[#All],6,0)</f>
        <v>АКПП</v>
      </c>
      <c r="AA179" t="str">
        <f>VLOOKUP(Таблица15[[#This Row],[Модель]],Таблица14[#All],7,0)</f>
        <v>Бензин, Дизель</v>
      </c>
      <c r="AB179" t="str">
        <f>VLOOKUP(Таблица15[[#This Row],[Модель]],Таблица14[#All],8,0)</f>
        <v>Комфорт</v>
      </c>
      <c r="AC179" t="str">
        <f>VLOOKUP(Таблица15[[#This Row],[Модель]],Таблица14[#All],9,0)</f>
        <v>Большой</v>
      </c>
      <c r="AD179">
        <f>VLOOKUP(Таблица15[[#This Row],[Модель]],Таблица14[#All],10,0)</f>
        <v>200</v>
      </c>
      <c r="AE179">
        <f>VLOOKUP(Таблица15[[#This Row],[Модель]],Таблица14[#All],11,0)</f>
        <v>11.5</v>
      </c>
      <c r="AF179">
        <v>2021</v>
      </c>
      <c r="AG179">
        <v>0</v>
      </c>
      <c r="AH179" s="22">
        <f>VLOOKUP(Таблица15[[#This Row],[Модель]],Таблица14[#All],12,0)/1000000</f>
        <v>23.94</v>
      </c>
      <c r="AI179" s="21">
        <f>VLOOKUP(Таблица15[[#This Row],[Модель]],Таблица14[#All],13,0)/1000000</f>
        <v>19.989999999999998</v>
      </c>
      <c r="AJ179" s="21">
        <f>VLOOKUP(Таблица15[[#This Row],[Модель]],Таблица14[#All],14,0)/1000000</f>
        <v>27.89</v>
      </c>
      <c r="AK179" s="21">
        <f>Таблица15[[#This Row],[Средняя цена (USD)]]*Таблица15[[#This Row],[Кол-во проданных]]/1000000</f>
        <v>0</v>
      </c>
      <c r="AL179" s="39">
        <f>Таблица15[[#This Row],[Средняя цена млн. ₸]]/440*Таблица15[[#This Row],[Кол-во проданных]]</f>
        <v>0</v>
      </c>
      <c r="AM179" s="39">
        <f>Таблица15[[#This Row],[Средняя цена млн. ₸]]*Таблица15[[#This Row],[Кол-во проданных]]/1000</f>
        <v>0</v>
      </c>
      <c r="AR179" s="22"/>
      <c r="AS179" s="22"/>
      <c r="AT179" s="22"/>
    </row>
    <row r="180" spans="20:46">
      <c r="T180" t="s">
        <v>0</v>
      </c>
      <c r="U180" t="s">
        <v>96</v>
      </c>
      <c r="V180" t="str">
        <f>VLOOKUP(Таблица15[[#This Row],[Модель]],Таблица14[#All],2,0)</f>
        <v>Минивэн</v>
      </c>
      <c r="W180" s="20">
        <f>VLOOKUP(Таблица15[[#This Row],[Модель]],Таблица14[#All],3,0)</f>
        <v>30000</v>
      </c>
      <c r="X180" s="20">
        <f>VLOOKUP(Таблица15[[#This Row],[Модель]],Таблица14[#All],4,0)</f>
        <v>27000</v>
      </c>
      <c r="Y180" s="4">
        <f>VLOOKUP(Таблица15[[#This Row],[Модель]],Таблица14[#All],5,0)</f>
        <v>38000</v>
      </c>
      <c r="Z180" t="str">
        <f>VLOOKUP(Таблица15[[#This Row],[Модель]],Таблица14[#All],6,0)</f>
        <v>АКПП</v>
      </c>
      <c r="AA180" t="str">
        <f>VLOOKUP(Таблица15[[#This Row],[Модель]],Таблица14[#All],7,0)</f>
        <v>Бензин, Дизель</v>
      </c>
      <c r="AB180" t="str">
        <f>VLOOKUP(Таблица15[[#This Row],[Модель]],Таблица14[#All],8,0)</f>
        <v>Комфорт</v>
      </c>
      <c r="AC180" t="str">
        <f>VLOOKUP(Таблица15[[#This Row],[Модель]],Таблица14[#All],9,0)</f>
        <v>Большой</v>
      </c>
      <c r="AD180">
        <f>VLOOKUP(Таблица15[[#This Row],[Модель]],Таблица14[#All],10,0)</f>
        <v>200</v>
      </c>
      <c r="AE180">
        <f>VLOOKUP(Таблица15[[#This Row],[Модель]],Таблица14[#All],11,0)</f>
        <v>11.5</v>
      </c>
      <c r="AF180">
        <v>2020</v>
      </c>
      <c r="AG180">
        <v>0</v>
      </c>
      <c r="AH180" s="22">
        <f>VLOOKUP(Таблица15[[#This Row],[Модель]],Таблица14[#All],12,0)/1000000</f>
        <v>23.94</v>
      </c>
      <c r="AI180" s="21">
        <f>VLOOKUP(Таблица15[[#This Row],[Модель]],Таблица14[#All],13,0)/1000000</f>
        <v>19.989999999999998</v>
      </c>
      <c r="AJ180" s="21">
        <f>VLOOKUP(Таблица15[[#This Row],[Модель]],Таблица14[#All],14,0)/1000000</f>
        <v>27.89</v>
      </c>
      <c r="AK180" s="21">
        <f>Таблица15[[#This Row],[Средняя цена (USD)]]*Таблица15[[#This Row],[Кол-во проданных]]/1000000</f>
        <v>0</v>
      </c>
      <c r="AL180" s="39">
        <f>Таблица15[[#This Row],[Средняя цена млн. ₸]]/440*Таблица15[[#This Row],[Кол-во проданных]]</f>
        <v>0</v>
      </c>
      <c r="AM180" s="39">
        <f>Таблица15[[#This Row],[Средняя цена млн. ₸]]*Таблица15[[#This Row],[Кол-во проданных]]/1000</f>
        <v>0</v>
      </c>
      <c r="AR180" s="22"/>
      <c r="AS180" s="22"/>
      <c r="AT180" s="22"/>
    </row>
    <row r="181" spans="20:46">
      <c r="T181" t="s">
        <v>0</v>
      </c>
      <c r="U181" t="s">
        <v>96</v>
      </c>
      <c r="V181" t="str">
        <f>VLOOKUP(Таблица15[[#This Row],[Модель]],Таблица14[#All],2,0)</f>
        <v>Минивэн</v>
      </c>
      <c r="W181" s="20">
        <f>VLOOKUP(Таблица15[[#This Row],[Модель]],Таблица14[#All],3,0)</f>
        <v>30000</v>
      </c>
      <c r="X181" s="20">
        <f>VLOOKUP(Таблица15[[#This Row],[Модель]],Таблица14[#All],4,0)</f>
        <v>27000</v>
      </c>
      <c r="Y181" s="4">
        <f>VLOOKUP(Таблица15[[#This Row],[Модель]],Таблица14[#All],5,0)</f>
        <v>38000</v>
      </c>
      <c r="Z181" t="str">
        <f>VLOOKUP(Таблица15[[#This Row],[Модель]],Таблица14[#All],6,0)</f>
        <v>АКПП</v>
      </c>
      <c r="AA181" t="str">
        <f>VLOOKUP(Таблица15[[#This Row],[Модель]],Таблица14[#All],7,0)</f>
        <v>Бензин, Дизель</v>
      </c>
      <c r="AB181" t="str">
        <f>VLOOKUP(Таблица15[[#This Row],[Модель]],Таблица14[#All],8,0)</f>
        <v>Комфорт</v>
      </c>
      <c r="AC181" t="str">
        <f>VLOOKUP(Таблица15[[#This Row],[Модель]],Таблица14[#All],9,0)</f>
        <v>Большой</v>
      </c>
      <c r="AD181">
        <f>VLOOKUP(Таблица15[[#This Row],[Модель]],Таблица14[#All],10,0)</f>
        <v>200</v>
      </c>
      <c r="AE181">
        <f>VLOOKUP(Таблица15[[#This Row],[Модель]],Таблица14[#All],11,0)</f>
        <v>11.5</v>
      </c>
      <c r="AF181">
        <v>2019</v>
      </c>
      <c r="AG181">
        <v>0</v>
      </c>
      <c r="AH181" s="22">
        <f>VLOOKUP(Таблица15[[#This Row],[Модель]],Таблица14[#All],12,0)/1000000</f>
        <v>23.94</v>
      </c>
      <c r="AI181" s="21">
        <f>VLOOKUP(Таблица15[[#This Row],[Модель]],Таблица14[#All],13,0)/1000000</f>
        <v>19.989999999999998</v>
      </c>
      <c r="AJ181" s="21">
        <f>VLOOKUP(Таблица15[[#This Row],[Модель]],Таблица14[#All],14,0)/1000000</f>
        <v>27.89</v>
      </c>
      <c r="AK181" s="21">
        <f>Таблица15[[#This Row],[Средняя цена (USD)]]*Таблица15[[#This Row],[Кол-во проданных]]/1000000</f>
        <v>0</v>
      </c>
      <c r="AL181" s="39">
        <f>Таблица15[[#This Row],[Средняя цена млн. ₸]]/440*Таблица15[[#This Row],[Кол-во проданных]]</f>
        <v>0</v>
      </c>
      <c r="AM181" s="39">
        <f>Таблица15[[#This Row],[Средняя цена млн. ₸]]*Таблица15[[#This Row],[Кол-во проданных]]/1000</f>
        <v>0</v>
      </c>
      <c r="AR181" s="22"/>
      <c r="AS181" s="22"/>
      <c r="AT181" s="22"/>
    </row>
    <row r="182" spans="20:46">
      <c r="T182" t="s">
        <v>0</v>
      </c>
      <c r="U182" t="s">
        <v>47</v>
      </c>
      <c r="V182" t="str">
        <f>VLOOKUP(Таблица15[[#This Row],[Модель]],Таблица14[#All],2,0)</f>
        <v>Внедорожник</v>
      </c>
      <c r="W182" s="20">
        <f>VLOOKUP(Таблица15[[#This Row],[Модель]],Таблица14[#All],3,0)</f>
        <v>23000</v>
      </c>
      <c r="X182" s="20">
        <f>VLOOKUP(Таблица15[[#This Row],[Модель]],Таблица14[#All],4,0)</f>
        <v>20000</v>
      </c>
      <c r="Y182" s="4">
        <f>VLOOKUP(Таблица15[[#This Row],[Модель]],Таблица14[#All],5,0)</f>
        <v>28000</v>
      </c>
      <c r="Z182" t="str">
        <f>VLOOKUP(Таблица15[[#This Row],[Модель]],Таблица14[#All],6,0)</f>
        <v>АКПП</v>
      </c>
      <c r="AA182" t="str">
        <f>VLOOKUP(Таблица15[[#This Row],[Модель]],Таблица14[#All],7,0)</f>
        <v>Бензин, Дизель, Гибрид</v>
      </c>
      <c r="AB182" t="str">
        <f>VLOOKUP(Таблица15[[#This Row],[Модель]],Таблица14[#All],8,0)</f>
        <v>Комфорт</v>
      </c>
      <c r="AC182" t="str">
        <f>VLOOKUP(Таблица15[[#This Row],[Модель]],Таблица14[#All],9,0)</f>
        <v>Средний</v>
      </c>
      <c r="AD182">
        <f>VLOOKUP(Таблица15[[#This Row],[Модель]],Таблица14[#All],10,0)</f>
        <v>190</v>
      </c>
      <c r="AE182">
        <f>VLOOKUP(Таблица15[[#This Row],[Модель]],Таблица14[#All],11,0)</f>
        <v>11.5</v>
      </c>
      <c r="AF182">
        <v>2023</v>
      </c>
      <c r="AG182">
        <v>14425</v>
      </c>
      <c r="AH182" s="22">
        <f>VLOOKUP(Таблица15[[#This Row],[Модель]],Таблица14[#All],12,0)/1000000</f>
        <v>15.64</v>
      </c>
      <c r="AI182" s="21">
        <f>VLOOKUP(Таблица15[[#This Row],[Модель]],Таблица14[#All],13,0)/1000000</f>
        <v>12.69</v>
      </c>
      <c r="AJ182" s="21">
        <f>VLOOKUP(Таблица15[[#This Row],[Модель]],Таблица14[#All],14,0)/1000000</f>
        <v>18.59</v>
      </c>
      <c r="AK182" s="21">
        <f>Таблица15[[#This Row],[Средняя цена (USD)]]*Таблица15[[#This Row],[Кол-во проданных]]/1000000</f>
        <v>331.77499999999998</v>
      </c>
      <c r="AL182" s="39">
        <f>Таблица15[[#This Row],[Средняя цена млн. ₸]]/440*Таблица15[[#This Row],[Кол-во проданных]]</f>
        <v>512.74318181818182</v>
      </c>
      <c r="AM182" s="39">
        <f>Таблица15[[#This Row],[Средняя цена млн. ₸]]*Таблица15[[#This Row],[Кол-во проданных]]/1000</f>
        <v>225.607</v>
      </c>
      <c r="AR182" s="22"/>
      <c r="AS182" s="22"/>
      <c r="AT182" s="22"/>
    </row>
    <row r="183" spans="20:46">
      <c r="T183" t="s">
        <v>0</v>
      </c>
      <c r="U183" t="s">
        <v>47</v>
      </c>
      <c r="V183" t="str">
        <f>VLOOKUP(Таблица15[[#This Row],[Модель]],Таблица14[#All],2,0)</f>
        <v>Внедорожник</v>
      </c>
      <c r="W183" s="20">
        <f>VLOOKUP(Таблица15[[#This Row],[Модель]],Таблица14[#All],3,0)</f>
        <v>23000</v>
      </c>
      <c r="X183" s="20">
        <f>VLOOKUP(Таблица15[[#This Row],[Модель]],Таблица14[#All],4,0)</f>
        <v>20000</v>
      </c>
      <c r="Y183" s="4">
        <f>VLOOKUP(Таблица15[[#This Row],[Модель]],Таблица14[#All],5,0)</f>
        <v>28000</v>
      </c>
      <c r="Z183" t="str">
        <f>VLOOKUP(Таблица15[[#This Row],[Модель]],Таблица14[#All],6,0)</f>
        <v>АКПП</v>
      </c>
      <c r="AA183" t="str">
        <f>VLOOKUP(Таблица15[[#This Row],[Модель]],Таблица14[#All],7,0)</f>
        <v>Бензин, Дизель, Гибрид</v>
      </c>
      <c r="AB183" t="str">
        <f>VLOOKUP(Таблица15[[#This Row],[Модель]],Таблица14[#All],8,0)</f>
        <v>Комфорт</v>
      </c>
      <c r="AC183" t="str">
        <f>VLOOKUP(Таблица15[[#This Row],[Модель]],Таблица14[#All],9,0)</f>
        <v>Средний</v>
      </c>
      <c r="AD183">
        <f>VLOOKUP(Таблица15[[#This Row],[Модель]],Таблица14[#All],10,0)</f>
        <v>190</v>
      </c>
      <c r="AE183">
        <f>VLOOKUP(Таблица15[[#This Row],[Модель]],Таблица14[#All],11,0)</f>
        <v>11.5</v>
      </c>
      <c r="AF183">
        <v>2022</v>
      </c>
      <c r="AG183">
        <v>8871</v>
      </c>
      <c r="AH183" s="22">
        <f>VLOOKUP(Таблица15[[#This Row],[Модель]],Таблица14[#All],12,0)/1000000</f>
        <v>15.64</v>
      </c>
      <c r="AI183" s="21">
        <f>VLOOKUP(Таблица15[[#This Row],[Модель]],Таблица14[#All],13,0)/1000000</f>
        <v>12.69</v>
      </c>
      <c r="AJ183" s="21">
        <f>VLOOKUP(Таблица15[[#This Row],[Модель]],Таблица14[#All],14,0)/1000000</f>
        <v>18.59</v>
      </c>
      <c r="AK183" s="21">
        <f>Таблица15[[#This Row],[Средняя цена (USD)]]*Таблица15[[#This Row],[Кол-во проданных]]/1000000</f>
        <v>204.03299999999999</v>
      </c>
      <c r="AL183" s="39">
        <f>Таблица15[[#This Row],[Средняя цена млн. ₸]]/440*Таблица15[[#This Row],[Кол-во проданных]]</f>
        <v>315.3237272727273</v>
      </c>
      <c r="AM183" s="39">
        <f>Таблица15[[#This Row],[Средняя цена млн. ₸]]*Таблица15[[#This Row],[Кол-во проданных]]/1000</f>
        <v>138.74244000000002</v>
      </c>
      <c r="AR183" s="22"/>
      <c r="AS183" s="22"/>
      <c r="AT183" s="22"/>
    </row>
    <row r="184" spans="20:46">
      <c r="T184" t="s">
        <v>0</v>
      </c>
      <c r="U184" t="s">
        <v>47</v>
      </c>
      <c r="V184" t="str">
        <f>VLOOKUP(Таблица15[[#This Row],[Модель]],Таблица14[#All],2,0)</f>
        <v>Внедорожник</v>
      </c>
      <c r="W184" s="20">
        <f>VLOOKUP(Таблица15[[#This Row],[Модель]],Таблица14[#All],3,0)</f>
        <v>23000</v>
      </c>
      <c r="X184" s="20">
        <f>VLOOKUP(Таблица15[[#This Row],[Модель]],Таблица14[#All],4,0)</f>
        <v>20000</v>
      </c>
      <c r="Y184" s="4">
        <f>VLOOKUP(Таблица15[[#This Row],[Модель]],Таблица14[#All],5,0)</f>
        <v>28000</v>
      </c>
      <c r="Z184" t="str">
        <f>VLOOKUP(Таблица15[[#This Row],[Модель]],Таблица14[#All],6,0)</f>
        <v>АКПП</v>
      </c>
      <c r="AA184" t="str">
        <f>VLOOKUP(Таблица15[[#This Row],[Модель]],Таблица14[#All],7,0)</f>
        <v>Бензин, Дизель, Гибрид</v>
      </c>
      <c r="AB184" t="str">
        <f>VLOOKUP(Таблица15[[#This Row],[Модель]],Таблица14[#All],8,0)</f>
        <v>Комфорт</v>
      </c>
      <c r="AC184" t="str">
        <f>VLOOKUP(Таблица15[[#This Row],[Модель]],Таблица14[#All],9,0)</f>
        <v>Средний</v>
      </c>
      <c r="AD184">
        <f>VLOOKUP(Таблица15[[#This Row],[Модель]],Таблица14[#All],10,0)</f>
        <v>190</v>
      </c>
      <c r="AE184">
        <f>VLOOKUP(Таблица15[[#This Row],[Модель]],Таблица14[#All],11,0)</f>
        <v>11.5</v>
      </c>
      <c r="AF184">
        <v>2021</v>
      </c>
      <c r="AG184">
        <v>2486</v>
      </c>
      <c r="AH184" s="22">
        <f>VLOOKUP(Таблица15[[#This Row],[Модель]],Таблица14[#All],12,0)/1000000</f>
        <v>15.64</v>
      </c>
      <c r="AI184" s="21">
        <f>VLOOKUP(Таблица15[[#This Row],[Модель]],Таблица14[#All],13,0)/1000000</f>
        <v>12.69</v>
      </c>
      <c r="AJ184" s="21">
        <f>VLOOKUP(Таблица15[[#This Row],[Модель]],Таблица14[#All],14,0)/1000000</f>
        <v>18.59</v>
      </c>
      <c r="AK184" s="21">
        <f>Таблица15[[#This Row],[Средняя цена (USD)]]*Таблица15[[#This Row],[Кол-во проданных]]/1000000</f>
        <v>57.177999999999997</v>
      </c>
      <c r="AL184" s="39">
        <f>Таблица15[[#This Row],[Средняя цена млн. ₸]]/440*Таблица15[[#This Row],[Кол-во проданных]]</f>
        <v>88.366</v>
      </c>
      <c r="AM184" s="39">
        <f>Таблица15[[#This Row],[Средняя цена млн. ₸]]*Таблица15[[#This Row],[Кол-во проданных]]/1000</f>
        <v>38.881039999999999</v>
      </c>
      <c r="AR184" s="22"/>
      <c r="AS184" s="22"/>
      <c r="AT184" s="22"/>
    </row>
    <row r="185" spans="20:46">
      <c r="T185" t="s">
        <v>0</v>
      </c>
      <c r="U185" t="s">
        <v>47</v>
      </c>
      <c r="V185" t="str">
        <f>VLOOKUP(Таблица15[[#This Row],[Модель]],Таблица14[#All],2,0)</f>
        <v>Внедорожник</v>
      </c>
      <c r="W185" s="20">
        <f>VLOOKUP(Таблица15[[#This Row],[Модель]],Таблица14[#All],3,0)</f>
        <v>23000</v>
      </c>
      <c r="X185" s="20">
        <f>VLOOKUP(Таблица15[[#This Row],[Модель]],Таблица14[#All],4,0)</f>
        <v>20000</v>
      </c>
      <c r="Y185" s="4">
        <f>VLOOKUP(Таблица15[[#This Row],[Модель]],Таблица14[#All],5,0)</f>
        <v>28000</v>
      </c>
      <c r="Z185" t="str">
        <f>VLOOKUP(Таблица15[[#This Row],[Модель]],Таблица14[#All],6,0)</f>
        <v>АКПП</v>
      </c>
      <c r="AA185" t="str">
        <f>VLOOKUP(Таблица15[[#This Row],[Модель]],Таблица14[#All],7,0)</f>
        <v>Бензин, Дизель, Гибрид</v>
      </c>
      <c r="AB185" t="str">
        <f>VLOOKUP(Таблица15[[#This Row],[Модель]],Таблица14[#All],8,0)</f>
        <v>Комфорт</v>
      </c>
      <c r="AC185" t="str">
        <f>VLOOKUP(Таблица15[[#This Row],[Модель]],Таблица14[#All],9,0)</f>
        <v>Средний</v>
      </c>
      <c r="AD185">
        <f>VLOOKUP(Таблица15[[#This Row],[Модель]],Таблица14[#All],10,0)</f>
        <v>190</v>
      </c>
      <c r="AE185">
        <f>VLOOKUP(Таблица15[[#This Row],[Модель]],Таблица14[#All],11,0)</f>
        <v>11.5</v>
      </c>
      <c r="AF185">
        <v>2020</v>
      </c>
      <c r="AG185">
        <v>4928</v>
      </c>
      <c r="AH185" s="22">
        <f>VLOOKUP(Таблица15[[#This Row],[Модель]],Таблица14[#All],12,0)/1000000</f>
        <v>15.64</v>
      </c>
      <c r="AI185" s="21">
        <f>VLOOKUP(Таблица15[[#This Row],[Модель]],Таблица14[#All],13,0)/1000000</f>
        <v>12.69</v>
      </c>
      <c r="AJ185" s="21">
        <f>VLOOKUP(Таблица15[[#This Row],[Модель]],Таблица14[#All],14,0)/1000000</f>
        <v>18.59</v>
      </c>
      <c r="AK185" s="21">
        <f>Таблица15[[#This Row],[Средняя цена (USD)]]*Таблица15[[#This Row],[Кол-во проданных]]/1000000</f>
        <v>113.34399999999999</v>
      </c>
      <c r="AL185" s="39">
        <f>Таблица15[[#This Row],[Средняя цена млн. ₸]]/440*Таблица15[[#This Row],[Кол-во проданных]]</f>
        <v>175.16800000000001</v>
      </c>
      <c r="AM185" s="39">
        <f>Таблица15[[#This Row],[Средняя цена млн. ₸]]*Таблица15[[#This Row],[Кол-во проданных]]/1000</f>
        <v>77.073920000000001</v>
      </c>
      <c r="AR185" s="22"/>
      <c r="AS185" s="22"/>
      <c r="AT185" s="22"/>
    </row>
    <row r="186" spans="20:46">
      <c r="T186" t="s">
        <v>0</v>
      </c>
      <c r="U186" t="s">
        <v>47</v>
      </c>
      <c r="V186" t="str">
        <f>VLOOKUP(Таблица15[[#This Row],[Модель]],Таблица14[#All],2,0)</f>
        <v>Внедорожник</v>
      </c>
      <c r="W186" s="20">
        <f>VLOOKUP(Таблица15[[#This Row],[Модель]],Таблица14[#All],3,0)</f>
        <v>23000</v>
      </c>
      <c r="X186" s="20">
        <f>VLOOKUP(Таблица15[[#This Row],[Модель]],Таблица14[#All],4,0)</f>
        <v>20000</v>
      </c>
      <c r="Y186" s="4">
        <f>VLOOKUP(Таблица15[[#This Row],[Модель]],Таблица14[#All],5,0)</f>
        <v>28000</v>
      </c>
      <c r="Z186" t="str">
        <f>VLOOKUP(Таблица15[[#This Row],[Модель]],Таблица14[#All],6,0)</f>
        <v>АКПП</v>
      </c>
      <c r="AA186" t="str">
        <f>VLOOKUP(Таблица15[[#This Row],[Модель]],Таблица14[#All],7,0)</f>
        <v>Бензин, Дизель, Гибрид</v>
      </c>
      <c r="AB186" t="str">
        <f>VLOOKUP(Таблица15[[#This Row],[Модель]],Таблица14[#All],8,0)</f>
        <v>Комфорт</v>
      </c>
      <c r="AC186" t="str">
        <f>VLOOKUP(Таблица15[[#This Row],[Модель]],Таблица14[#All],9,0)</f>
        <v>Средний</v>
      </c>
      <c r="AD186">
        <f>VLOOKUP(Таблица15[[#This Row],[Модель]],Таблица14[#All],10,0)</f>
        <v>190</v>
      </c>
      <c r="AE186">
        <f>VLOOKUP(Таблица15[[#This Row],[Модель]],Таблица14[#All],11,0)</f>
        <v>11.5</v>
      </c>
      <c r="AF186">
        <v>2019</v>
      </c>
      <c r="AG186">
        <v>4685</v>
      </c>
      <c r="AH186" s="22">
        <f>VLOOKUP(Таблица15[[#This Row],[Модель]],Таблица14[#All],12,0)/1000000</f>
        <v>15.64</v>
      </c>
      <c r="AI186" s="21">
        <f>VLOOKUP(Таблица15[[#This Row],[Модель]],Таблица14[#All],13,0)/1000000</f>
        <v>12.69</v>
      </c>
      <c r="AJ186" s="21">
        <f>VLOOKUP(Таблица15[[#This Row],[Модель]],Таблица14[#All],14,0)/1000000</f>
        <v>18.59</v>
      </c>
      <c r="AK186" s="21">
        <f>Таблица15[[#This Row],[Средняя цена (USD)]]*Таблица15[[#This Row],[Кол-во проданных]]/1000000</f>
        <v>107.755</v>
      </c>
      <c r="AL186" s="39">
        <f>Таблица15[[#This Row],[Средняя цена млн. ₸]]/440*Таблица15[[#This Row],[Кол-во проданных]]</f>
        <v>166.53045454545455</v>
      </c>
      <c r="AM186" s="39">
        <f>Таблица15[[#This Row],[Средняя цена млн. ₸]]*Таблица15[[#This Row],[Кол-во проданных]]/1000</f>
        <v>73.273400000000009</v>
      </c>
      <c r="AR186" s="22"/>
      <c r="AS186" s="22"/>
      <c r="AT186" s="22"/>
    </row>
    <row r="187" spans="20:46">
      <c r="T187" t="s">
        <v>4</v>
      </c>
      <c r="U187" t="s">
        <v>56</v>
      </c>
      <c r="V187" t="str">
        <f>VLOOKUP(Таблица15[[#This Row],[Модель]],Таблица14[#All],2,0)</f>
        <v>Седан</v>
      </c>
      <c r="W187" s="20">
        <f>VLOOKUP(Таблица15[[#This Row],[Модель]],Таблица14[#All],3,0)</f>
        <v>18000</v>
      </c>
      <c r="X187" s="20">
        <f>VLOOKUP(Таблица15[[#This Row],[Модель]],Таблица14[#All],4,0)</f>
        <v>16000</v>
      </c>
      <c r="Y187" s="4">
        <f>VLOOKUP(Таблица15[[#This Row],[Модель]],Таблица14[#All],5,0)</f>
        <v>22000</v>
      </c>
      <c r="Z187" t="str">
        <f>VLOOKUP(Таблица15[[#This Row],[Модель]],Таблица14[#All],6,0)</f>
        <v>АКПП</v>
      </c>
      <c r="AA187" t="str">
        <f>VLOOKUP(Таблица15[[#This Row],[Модель]],Таблица14[#All],7,0)</f>
        <v>Бензин</v>
      </c>
      <c r="AB187" t="str">
        <f>VLOOKUP(Таблица15[[#This Row],[Модель]],Таблица14[#All],8,0)</f>
        <v>Комфорт</v>
      </c>
      <c r="AC187" t="str">
        <f>VLOOKUP(Таблица15[[#This Row],[Модель]],Таблица14[#All],9,0)</f>
        <v>Средний</v>
      </c>
      <c r="AD187">
        <f>VLOOKUP(Таблица15[[#This Row],[Модель]],Таблица14[#All],10,0)</f>
        <v>150</v>
      </c>
      <c r="AE187">
        <f>VLOOKUP(Таблица15[[#This Row],[Модель]],Таблица14[#All],11,0)</f>
        <v>13.5</v>
      </c>
      <c r="AF187">
        <v>2023</v>
      </c>
      <c r="AG187">
        <v>3833</v>
      </c>
      <c r="AH187" s="22">
        <f>VLOOKUP(Таблица15[[#This Row],[Модель]],Таблица14[#All],12,0)/1000000</f>
        <v>7.64</v>
      </c>
      <c r="AI187" s="21">
        <f>VLOOKUP(Таблица15[[#This Row],[Модель]],Таблица14[#All],13,0)/1000000</f>
        <v>6.59</v>
      </c>
      <c r="AJ187" s="21">
        <f>VLOOKUP(Таблица15[[#This Row],[Модель]],Таблица14[#All],14,0)/1000000</f>
        <v>8.69</v>
      </c>
      <c r="AK187" s="21">
        <f>Таблица15[[#This Row],[Средняя цена (USD)]]*Таблица15[[#This Row],[Кол-во проданных]]/1000000</f>
        <v>68.994</v>
      </c>
      <c r="AL187" s="39">
        <f>Таблица15[[#This Row],[Средняя цена млн. ₸]]/440*Таблица15[[#This Row],[Кол-во проданных]]</f>
        <v>66.554818181818177</v>
      </c>
      <c r="AM187" s="39">
        <f>Таблица15[[#This Row],[Средняя цена млн. ₸]]*Таблица15[[#This Row],[Кол-во проданных]]/1000</f>
        <v>29.284119999999998</v>
      </c>
      <c r="AR187" s="22"/>
      <c r="AS187" s="22"/>
      <c r="AT187" s="22"/>
    </row>
    <row r="188" spans="20:46">
      <c r="T188" t="s">
        <v>4</v>
      </c>
      <c r="U188" t="s">
        <v>56</v>
      </c>
      <c r="V188" t="str">
        <f>VLOOKUP(Таблица15[[#This Row],[Модель]],Таблица14[#All],2,0)</f>
        <v>Седан</v>
      </c>
      <c r="W188" s="20">
        <f>VLOOKUP(Таблица15[[#This Row],[Модель]],Таблица14[#All],3,0)</f>
        <v>18000</v>
      </c>
      <c r="X188" s="20">
        <f>VLOOKUP(Таблица15[[#This Row],[Модель]],Таблица14[#All],4,0)</f>
        <v>16000</v>
      </c>
      <c r="Y188" s="4">
        <f>VLOOKUP(Таблица15[[#This Row],[Модель]],Таблица14[#All],5,0)</f>
        <v>22000</v>
      </c>
      <c r="Z188" t="str">
        <f>VLOOKUP(Таблица15[[#This Row],[Модель]],Таблица14[#All],6,0)</f>
        <v>АКПП</v>
      </c>
      <c r="AA188" t="str">
        <f>VLOOKUP(Таблица15[[#This Row],[Модель]],Таблица14[#All],7,0)</f>
        <v>Бензин</v>
      </c>
      <c r="AB188" t="str">
        <f>VLOOKUP(Таблица15[[#This Row],[Модель]],Таблица14[#All],8,0)</f>
        <v>Комфорт</v>
      </c>
      <c r="AC188" t="str">
        <f>VLOOKUP(Таблица15[[#This Row],[Модель]],Таблица14[#All],9,0)</f>
        <v>Средний</v>
      </c>
      <c r="AD188">
        <f>VLOOKUP(Таблица15[[#This Row],[Модель]],Таблица14[#All],10,0)</f>
        <v>150</v>
      </c>
      <c r="AE188">
        <f>VLOOKUP(Таблица15[[#This Row],[Модель]],Таблица14[#All],11,0)</f>
        <v>13.5</v>
      </c>
      <c r="AF188">
        <v>2022</v>
      </c>
      <c r="AG188">
        <v>1418</v>
      </c>
      <c r="AH188" s="22">
        <f>VLOOKUP(Таблица15[[#This Row],[Модель]],Таблица14[#All],12,0)/1000000</f>
        <v>7.64</v>
      </c>
      <c r="AI188" s="21">
        <f>VLOOKUP(Таблица15[[#This Row],[Модель]],Таблица14[#All],13,0)/1000000</f>
        <v>6.59</v>
      </c>
      <c r="AJ188" s="21">
        <f>VLOOKUP(Таблица15[[#This Row],[Модель]],Таблица14[#All],14,0)/1000000</f>
        <v>8.69</v>
      </c>
      <c r="AK188" s="21">
        <f>Таблица15[[#This Row],[Средняя цена (USD)]]*Таблица15[[#This Row],[Кол-во проданных]]/1000000</f>
        <v>25.524000000000001</v>
      </c>
      <c r="AL188" s="39">
        <f>Таблица15[[#This Row],[Средняя цена млн. ₸]]/440*Таблица15[[#This Row],[Кол-во проданных]]</f>
        <v>24.621636363636362</v>
      </c>
      <c r="AM188" s="39">
        <f>Таблица15[[#This Row],[Средняя цена млн. ₸]]*Таблица15[[#This Row],[Кол-во проданных]]/1000</f>
        <v>10.83352</v>
      </c>
      <c r="AR188" s="22"/>
      <c r="AS188" s="22"/>
      <c r="AT188" s="22"/>
    </row>
    <row r="189" spans="20:46">
      <c r="T189" t="s">
        <v>4</v>
      </c>
      <c r="U189" t="s">
        <v>56</v>
      </c>
      <c r="V189" t="str">
        <f>VLOOKUP(Таблица15[[#This Row],[Модель]],Таблица14[#All],2,0)</f>
        <v>Седан</v>
      </c>
      <c r="W189" s="20">
        <f>VLOOKUP(Таблица15[[#This Row],[Модель]],Таблица14[#All],3,0)</f>
        <v>18000</v>
      </c>
      <c r="X189" s="20">
        <f>VLOOKUP(Таблица15[[#This Row],[Модель]],Таблица14[#All],4,0)</f>
        <v>16000</v>
      </c>
      <c r="Y189" s="4">
        <f>VLOOKUP(Таблица15[[#This Row],[Модель]],Таблица14[#All],5,0)</f>
        <v>22000</v>
      </c>
      <c r="Z189" t="str">
        <f>VLOOKUP(Таблица15[[#This Row],[Модель]],Таблица14[#All],6,0)</f>
        <v>АКПП</v>
      </c>
      <c r="AA189" t="str">
        <f>VLOOKUP(Таблица15[[#This Row],[Модель]],Таблица14[#All],7,0)</f>
        <v>Бензин</v>
      </c>
      <c r="AB189" t="str">
        <f>VLOOKUP(Таблица15[[#This Row],[Модель]],Таблица14[#All],8,0)</f>
        <v>Комфорт</v>
      </c>
      <c r="AC189" t="str">
        <f>VLOOKUP(Таблица15[[#This Row],[Модель]],Таблица14[#All],9,0)</f>
        <v>Средний</v>
      </c>
      <c r="AD189">
        <f>VLOOKUP(Таблица15[[#This Row],[Модель]],Таблица14[#All],10,0)</f>
        <v>150</v>
      </c>
      <c r="AE189">
        <f>VLOOKUP(Таблица15[[#This Row],[Модель]],Таблица14[#All],11,0)</f>
        <v>13.5</v>
      </c>
      <c r="AF189">
        <v>2021</v>
      </c>
      <c r="AG189">
        <v>1118</v>
      </c>
      <c r="AH189" s="22">
        <f>VLOOKUP(Таблица15[[#This Row],[Модель]],Таблица14[#All],12,0)/1000000</f>
        <v>7.64</v>
      </c>
      <c r="AI189" s="21">
        <f>VLOOKUP(Таблица15[[#This Row],[Модель]],Таблица14[#All],13,0)/1000000</f>
        <v>6.59</v>
      </c>
      <c r="AJ189" s="21">
        <f>VLOOKUP(Таблица15[[#This Row],[Модель]],Таблица14[#All],14,0)/1000000</f>
        <v>8.69</v>
      </c>
      <c r="AK189" s="21">
        <f>Таблица15[[#This Row],[Средняя цена (USD)]]*Таблица15[[#This Row],[Кол-во проданных]]/1000000</f>
        <v>20.123999999999999</v>
      </c>
      <c r="AL189" s="39">
        <f>Таблица15[[#This Row],[Средняя цена млн. ₸]]/440*Таблица15[[#This Row],[Кол-во проданных]]</f>
        <v>19.412545454545452</v>
      </c>
      <c r="AM189" s="39">
        <f>Таблица15[[#This Row],[Средняя цена млн. ₸]]*Таблица15[[#This Row],[Кол-во проданных]]/1000</f>
        <v>8.5415200000000002</v>
      </c>
      <c r="AR189" s="22"/>
      <c r="AS189" s="22"/>
      <c r="AT189" s="22"/>
    </row>
    <row r="190" spans="20:46">
      <c r="T190" t="s">
        <v>4</v>
      </c>
      <c r="U190" t="s">
        <v>56</v>
      </c>
      <c r="V190" t="str">
        <f>VLOOKUP(Таблица15[[#This Row],[Модель]],Таблица14[#All],2,0)</f>
        <v>Седан</v>
      </c>
      <c r="W190" s="20">
        <f>VLOOKUP(Таблица15[[#This Row],[Модель]],Таблица14[#All],3,0)</f>
        <v>18000</v>
      </c>
      <c r="X190" s="20">
        <f>VLOOKUP(Таблица15[[#This Row],[Модель]],Таблица14[#All],4,0)</f>
        <v>16000</v>
      </c>
      <c r="Y190" s="4">
        <f>VLOOKUP(Таблица15[[#This Row],[Модель]],Таблица14[#All],5,0)</f>
        <v>22000</v>
      </c>
      <c r="Z190" t="str">
        <f>VLOOKUP(Таблица15[[#This Row],[Модель]],Таблица14[#All],6,0)</f>
        <v>АКПП</v>
      </c>
      <c r="AA190" t="str">
        <f>VLOOKUP(Таблица15[[#This Row],[Модель]],Таблица14[#All],7,0)</f>
        <v>Бензин</v>
      </c>
      <c r="AB190" t="str">
        <f>VLOOKUP(Таблица15[[#This Row],[Модель]],Таблица14[#All],8,0)</f>
        <v>Комфорт</v>
      </c>
      <c r="AC190" t="str">
        <f>VLOOKUP(Таблица15[[#This Row],[Модель]],Таблица14[#All],9,0)</f>
        <v>Средний</v>
      </c>
      <c r="AD190">
        <f>VLOOKUP(Таблица15[[#This Row],[Модель]],Таблица14[#All],10,0)</f>
        <v>150</v>
      </c>
      <c r="AE190">
        <f>VLOOKUP(Таблица15[[#This Row],[Модель]],Таблица14[#All],11,0)</f>
        <v>13.5</v>
      </c>
      <c r="AF190">
        <v>2020</v>
      </c>
      <c r="AG190">
        <v>0</v>
      </c>
      <c r="AH190" s="22">
        <f>VLOOKUP(Таблица15[[#This Row],[Модель]],Таблица14[#All],12,0)/1000000</f>
        <v>7.64</v>
      </c>
      <c r="AI190" s="21">
        <f>VLOOKUP(Таблица15[[#This Row],[Модель]],Таблица14[#All],13,0)/1000000</f>
        <v>6.59</v>
      </c>
      <c r="AJ190" s="21">
        <f>VLOOKUP(Таблица15[[#This Row],[Модель]],Таблица14[#All],14,0)/1000000</f>
        <v>8.69</v>
      </c>
      <c r="AK190" s="21">
        <f>Таблица15[[#This Row],[Средняя цена (USD)]]*Таблица15[[#This Row],[Кол-во проданных]]/1000000</f>
        <v>0</v>
      </c>
      <c r="AL190" s="39">
        <f>Таблица15[[#This Row],[Средняя цена млн. ₸]]/440*Таблица15[[#This Row],[Кол-во проданных]]</f>
        <v>0</v>
      </c>
      <c r="AM190" s="39">
        <f>Таблица15[[#This Row],[Средняя цена млн. ₸]]*Таблица15[[#This Row],[Кол-во проданных]]/1000</f>
        <v>0</v>
      </c>
      <c r="AR190" s="22"/>
      <c r="AS190" s="22"/>
      <c r="AT190" s="22"/>
    </row>
    <row r="191" spans="20:46">
      <c r="T191" t="s">
        <v>4</v>
      </c>
      <c r="U191" t="s">
        <v>56</v>
      </c>
      <c r="V191" t="str">
        <f>VLOOKUP(Таблица15[[#This Row],[Модель]],Таблица14[#All],2,0)</f>
        <v>Седан</v>
      </c>
      <c r="W191" s="20">
        <f>VLOOKUP(Таблица15[[#This Row],[Модель]],Таблица14[#All],3,0)</f>
        <v>18000</v>
      </c>
      <c r="X191" s="20">
        <f>VLOOKUP(Таблица15[[#This Row],[Модель]],Таблица14[#All],4,0)</f>
        <v>16000</v>
      </c>
      <c r="Y191" s="4">
        <f>VLOOKUP(Таблица15[[#This Row],[Модель]],Таблица14[#All],5,0)</f>
        <v>22000</v>
      </c>
      <c r="Z191" t="str">
        <f>VLOOKUP(Таблица15[[#This Row],[Модель]],Таблица14[#All],6,0)</f>
        <v>АКПП</v>
      </c>
      <c r="AA191" t="str">
        <f>VLOOKUP(Таблица15[[#This Row],[Модель]],Таблица14[#All],7,0)</f>
        <v>Бензин</v>
      </c>
      <c r="AB191" t="str">
        <f>VLOOKUP(Таблица15[[#This Row],[Модель]],Таблица14[#All],8,0)</f>
        <v>Комфорт</v>
      </c>
      <c r="AC191" t="str">
        <f>VLOOKUP(Таблица15[[#This Row],[Модель]],Таблица14[#All],9,0)</f>
        <v>Средний</v>
      </c>
      <c r="AD191">
        <f>VLOOKUP(Таблица15[[#This Row],[Модель]],Таблица14[#All],10,0)</f>
        <v>150</v>
      </c>
      <c r="AE191">
        <f>VLOOKUP(Таблица15[[#This Row],[Модель]],Таблица14[#All],11,0)</f>
        <v>13.5</v>
      </c>
      <c r="AF191">
        <v>2019</v>
      </c>
      <c r="AG191">
        <v>0</v>
      </c>
      <c r="AH191" s="22">
        <f>VLOOKUP(Таблица15[[#This Row],[Модель]],Таблица14[#All],12,0)/1000000</f>
        <v>7.64</v>
      </c>
      <c r="AI191" s="21">
        <f>VLOOKUP(Таблица15[[#This Row],[Модель]],Таблица14[#All],13,0)/1000000</f>
        <v>6.59</v>
      </c>
      <c r="AJ191" s="21">
        <f>VLOOKUP(Таблица15[[#This Row],[Модель]],Таблица14[#All],14,0)/1000000</f>
        <v>8.69</v>
      </c>
      <c r="AK191" s="21">
        <f>Таблица15[[#This Row],[Средняя цена (USD)]]*Таблица15[[#This Row],[Кол-во проданных]]/1000000</f>
        <v>0</v>
      </c>
      <c r="AL191" s="39">
        <f>Таблица15[[#This Row],[Средняя цена млн. ₸]]/440*Таблица15[[#This Row],[Кол-во проданных]]</f>
        <v>0</v>
      </c>
      <c r="AM191" s="39">
        <f>Таблица15[[#This Row],[Средняя цена млн. ₸]]*Таблица15[[#This Row],[Кол-во проданных]]/1000</f>
        <v>0</v>
      </c>
      <c r="AR191" s="22"/>
      <c r="AS191" s="22"/>
      <c r="AT191" s="22"/>
    </row>
    <row r="192" spans="20:46">
      <c r="T192" t="s">
        <v>4</v>
      </c>
      <c r="U192" t="s">
        <v>108</v>
      </c>
      <c r="V192" t="str">
        <f>VLOOKUP(Таблица15[[#This Row],[Модель]],Таблица14[#All],2,0)</f>
        <v>Хэтчбэк</v>
      </c>
      <c r="W192" s="20">
        <f>VLOOKUP(Таблица15[[#This Row],[Модель]],Таблица14[#All],3,0)</f>
        <v>12000</v>
      </c>
      <c r="X192" s="20">
        <f>VLOOKUP(Таблица15[[#This Row],[Модель]],Таблица14[#All],4,0)</f>
        <v>10000</v>
      </c>
      <c r="Y192" s="4">
        <f>VLOOKUP(Таблица15[[#This Row],[Модель]],Таблица14[#All],5,0)</f>
        <v>14000</v>
      </c>
      <c r="Z192" t="str">
        <f>VLOOKUP(Таблица15[[#This Row],[Модель]],Таблица14[#All],6,0)</f>
        <v>МКПП, АКПП</v>
      </c>
      <c r="AA192" t="str">
        <f>VLOOKUP(Таблица15[[#This Row],[Модель]],Таблица14[#All],7,0)</f>
        <v>Бензин</v>
      </c>
      <c r="AB192" t="str">
        <f>VLOOKUP(Таблица15[[#This Row],[Модель]],Таблица14[#All],8,0)</f>
        <v>Эконом</v>
      </c>
      <c r="AC192" t="str">
        <f>VLOOKUP(Таблица15[[#This Row],[Модель]],Таблица14[#All],9,0)</f>
        <v>Маленький</v>
      </c>
      <c r="AD192">
        <f>VLOOKUP(Таблица15[[#This Row],[Модель]],Таблица14[#All],10,0)</f>
        <v>100</v>
      </c>
      <c r="AE192">
        <f>VLOOKUP(Таблица15[[#This Row],[Модель]],Таблица14[#All],11,0)</f>
        <v>16.5</v>
      </c>
      <c r="AF192">
        <v>2023</v>
      </c>
      <c r="AG192">
        <v>0</v>
      </c>
      <c r="AH192" s="22">
        <f>VLOOKUP(Таблица15[[#This Row],[Модель]],Таблица14[#All],12,0)/1000000</f>
        <v>5.69</v>
      </c>
      <c r="AI192" s="21">
        <f>VLOOKUP(Таблица15[[#This Row],[Модель]],Таблица14[#All],13,0)/1000000</f>
        <v>5.59</v>
      </c>
      <c r="AJ192" s="21">
        <f>VLOOKUP(Таблица15[[#This Row],[Модель]],Таблица14[#All],14,0)/1000000</f>
        <v>5.79</v>
      </c>
      <c r="AK192" s="21">
        <f>Таблица15[[#This Row],[Средняя цена (USD)]]*Таблица15[[#This Row],[Кол-во проданных]]/1000000</f>
        <v>0</v>
      </c>
      <c r="AL192" s="39">
        <f>Таблица15[[#This Row],[Средняя цена млн. ₸]]/440*Таблица15[[#This Row],[Кол-во проданных]]</f>
        <v>0</v>
      </c>
      <c r="AM192" s="39">
        <f>Таблица15[[#This Row],[Средняя цена млн. ₸]]*Таблица15[[#This Row],[Кол-во проданных]]/1000</f>
        <v>0</v>
      </c>
      <c r="AR192" s="22"/>
      <c r="AS192" s="22"/>
      <c r="AT192" s="22"/>
    </row>
    <row r="193" spans="20:46">
      <c r="T193" t="s">
        <v>4</v>
      </c>
      <c r="U193" t="s">
        <v>108</v>
      </c>
      <c r="V193" t="str">
        <f>VLOOKUP(Таблица15[[#This Row],[Модель]],Таблица14[#All],2,0)</f>
        <v>Хэтчбэк</v>
      </c>
      <c r="W193" s="20">
        <f>VLOOKUP(Таблица15[[#This Row],[Модель]],Таблица14[#All],3,0)</f>
        <v>12000</v>
      </c>
      <c r="X193" s="20">
        <f>VLOOKUP(Таблица15[[#This Row],[Модель]],Таблица14[#All],4,0)</f>
        <v>10000</v>
      </c>
      <c r="Y193" s="4">
        <f>VLOOKUP(Таблица15[[#This Row],[Модель]],Таблица14[#All],5,0)</f>
        <v>14000</v>
      </c>
      <c r="Z193" t="str">
        <f>VLOOKUP(Таблица15[[#This Row],[Модель]],Таблица14[#All],6,0)</f>
        <v>МКПП, АКПП</v>
      </c>
      <c r="AA193" t="str">
        <f>VLOOKUP(Таблица15[[#This Row],[Модель]],Таблица14[#All],7,0)</f>
        <v>Бензин</v>
      </c>
      <c r="AB193" t="str">
        <f>VLOOKUP(Таблица15[[#This Row],[Модель]],Таблица14[#All],8,0)</f>
        <v>Эконом</v>
      </c>
      <c r="AC193" t="str">
        <f>VLOOKUP(Таблица15[[#This Row],[Модель]],Таблица14[#All],9,0)</f>
        <v>Маленький</v>
      </c>
      <c r="AD193">
        <f>VLOOKUP(Таблица15[[#This Row],[Модель]],Таблица14[#All],10,0)</f>
        <v>100</v>
      </c>
      <c r="AE193">
        <f>VLOOKUP(Таблица15[[#This Row],[Модель]],Таблица14[#All],11,0)</f>
        <v>16.5</v>
      </c>
      <c r="AF193">
        <v>2022</v>
      </c>
      <c r="AG193">
        <v>0</v>
      </c>
      <c r="AH193" s="22">
        <f>VLOOKUP(Таблица15[[#This Row],[Модель]],Таблица14[#All],12,0)/1000000</f>
        <v>5.69</v>
      </c>
      <c r="AI193" s="21">
        <f>VLOOKUP(Таблица15[[#This Row],[Модель]],Таблица14[#All],13,0)/1000000</f>
        <v>5.59</v>
      </c>
      <c r="AJ193" s="21">
        <f>VLOOKUP(Таблица15[[#This Row],[Модель]],Таблица14[#All],14,0)/1000000</f>
        <v>5.79</v>
      </c>
      <c r="AK193" s="21">
        <f>Таблица15[[#This Row],[Средняя цена (USD)]]*Таблица15[[#This Row],[Кол-во проданных]]/1000000</f>
        <v>0</v>
      </c>
      <c r="AL193" s="39">
        <f>Таблица15[[#This Row],[Средняя цена млн. ₸]]/440*Таблица15[[#This Row],[Кол-во проданных]]</f>
        <v>0</v>
      </c>
      <c r="AM193" s="39">
        <f>Таблица15[[#This Row],[Средняя цена млн. ₸]]*Таблица15[[#This Row],[Кол-во проданных]]/1000</f>
        <v>0</v>
      </c>
      <c r="AR193" s="22"/>
      <c r="AS193" s="22"/>
      <c r="AT193" s="22"/>
    </row>
    <row r="194" spans="20:46">
      <c r="T194" t="s">
        <v>4</v>
      </c>
      <c r="U194" t="s">
        <v>108</v>
      </c>
      <c r="V194" t="str">
        <f>VLOOKUP(Таблица15[[#This Row],[Модель]],Таблица14[#All],2,0)</f>
        <v>Хэтчбэк</v>
      </c>
      <c r="W194" s="20">
        <f>VLOOKUP(Таблица15[[#This Row],[Модель]],Таблица14[#All],3,0)</f>
        <v>12000</v>
      </c>
      <c r="X194" s="20">
        <f>VLOOKUP(Таблица15[[#This Row],[Модель]],Таблица14[#All],4,0)</f>
        <v>10000</v>
      </c>
      <c r="Y194" s="4">
        <f>VLOOKUP(Таблица15[[#This Row],[Модель]],Таблица14[#All],5,0)</f>
        <v>14000</v>
      </c>
      <c r="Z194" t="str">
        <f>VLOOKUP(Таблица15[[#This Row],[Модель]],Таблица14[#All],6,0)</f>
        <v>МКПП, АКПП</v>
      </c>
      <c r="AA194" t="str">
        <f>VLOOKUP(Таблица15[[#This Row],[Модель]],Таблица14[#All],7,0)</f>
        <v>Бензин</v>
      </c>
      <c r="AB194" t="str">
        <f>VLOOKUP(Таблица15[[#This Row],[Модель]],Таблица14[#All],8,0)</f>
        <v>Эконом</v>
      </c>
      <c r="AC194" t="str">
        <f>VLOOKUP(Таблица15[[#This Row],[Модель]],Таблица14[#All],9,0)</f>
        <v>Маленький</v>
      </c>
      <c r="AD194">
        <f>VLOOKUP(Таблица15[[#This Row],[Модель]],Таблица14[#All],10,0)</f>
        <v>100</v>
      </c>
      <c r="AE194">
        <f>VLOOKUP(Таблица15[[#This Row],[Модель]],Таблица14[#All],11,0)</f>
        <v>16.5</v>
      </c>
      <c r="AF194">
        <v>2021</v>
      </c>
      <c r="AG194">
        <v>634</v>
      </c>
      <c r="AH194" s="22">
        <f>VLOOKUP(Таблица15[[#This Row],[Модель]],Таблица14[#All],12,0)/1000000</f>
        <v>5.69</v>
      </c>
      <c r="AI194" s="21">
        <f>VLOOKUP(Таблица15[[#This Row],[Модель]],Таблица14[#All],13,0)/1000000</f>
        <v>5.59</v>
      </c>
      <c r="AJ194" s="21">
        <f>VLOOKUP(Таблица15[[#This Row],[Модель]],Таблица14[#All],14,0)/1000000</f>
        <v>5.79</v>
      </c>
      <c r="AK194" s="21">
        <f>Таблица15[[#This Row],[Средняя цена (USD)]]*Таблица15[[#This Row],[Кол-во проданных]]/1000000</f>
        <v>7.6079999999999997</v>
      </c>
      <c r="AL194" s="39">
        <f>Таблица15[[#This Row],[Средняя цена млн. ₸]]/440*Таблица15[[#This Row],[Кол-во проданных]]</f>
        <v>8.1987727272727273</v>
      </c>
      <c r="AM194" s="39">
        <f>Таблица15[[#This Row],[Средняя цена млн. ₸]]*Таблица15[[#This Row],[Кол-во проданных]]/1000</f>
        <v>3.6074600000000001</v>
      </c>
      <c r="AR194" s="22"/>
      <c r="AS194" s="22"/>
      <c r="AT194" s="22"/>
    </row>
    <row r="195" spans="20:46">
      <c r="T195" t="s">
        <v>4</v>
      </c>
      <c r="U195" t="s">
        <v>108</v>
      </c>
      <c r="V195" t="str">
        <f>VLOOKUP(Таблица15[[#This Row],[Модель]],Таблица14[#All],2,0)</f>
        <v>Хэтчбэк</v>
      </c>
      <c r="W195" s="20">
        <f>VLOOKUP(Таблица15[[#This Row],[Модель]],Таблица14[#All],3,0)</f>
        <v>12000</v>
      </c>
      <c r="X195" s="20">
        <f>VLOOKUP(Таблица15[[#This Row],[Модель]],Таблица14[#All],4,0)</f>
        <v>10000</v>
      </c>
      <c r="Y195" s="4">
        <f>VLOOKUP(Таблица15[[#This Row],[Модель]],Таблица14[#All],5,0)</f>
        <v>14000</v>
      </c>
      <c r="Z195" t="str">
        <f>VLOOKUP(Таблица15[[#This Row],[Модель]],Таблица14[#All],6,0)</f>
        <v>МКПП, АКПП</v>
      </c>
      <c r="AA195" t="str">
        <f>VLOOKUP(Таблица15[[#This Row],[Модель]],Таблица14[#All],7,0)</f>
        <v>Бензин</v>
      </c>
      <c r="AB195" t="str">
        <f>VLOOKUP(Таблица15[[#This Row],[Модель]],Таблица14[#All],8,0)</f>
        <v>Эконом</v>
      </c>
      <c r="AC195" t="str">
        <f>VLOOKUP(Таблица15[[#This Row],[Модель]],Таблица14[#All],9,0)</f>
        <v>Маленький</v>
      </c>
      <c r="AD195">
        <f>VLOOKUP(Таблица15[[#This Row],[Модель]],Таблица14[#All],10,0)</f>
        <v>100</v>
      </c>
      <c r="AE195">
        <f>VLOOKUP(Таблица15[[#This Row],[Модель]],Таблица14[#All],11,0)</f>
        <v>16.5</v>
      </c>
      <c r="AF195">
        <v>2020</v>
      </c>
      <c r="AG195">
        <v>944</v>
      </c>
      <c r="AH195" s="22">
        <f>VLOOKUP(Таблица15[[#This Row],[Модель]],Таблица14[#All],12,0)/1000000</f>
        <v>5.69</v>
      </c>
      <c r="AI195" s="21">
        <f>VLOOKUP(Таблица15[[#This Row],[Модель]],Таблица14[#All],13,0)/1000000</f>
        <v>5.59</v>
      </c>
      <c r="AJ195" s="21">
        <f>VLOOKUP(Таблица15[[#This Row],[Модель]],Таблица14[#All],14,0)/1000000</f>
        <v>5.79</v>
      </c>
      <c r="AK195" s="21">
        <f>Таблица15[[#This Row],[Средняя цена (USD)]]*Таблица15[[#This Row],[Кол-во проданных]]/1000000</f>
        <v>11.327999999999999</v>
      </c>
      <c r="AL195" s="39">
        <f>Таблица15[[#This Row],[Средняя цена млн. ₸]]/440*Таблица15[[#This Row],[Кол-во проданных]]</f>
        <v>12.207636363636365</v>
      </c>
      <c r="AM195" s="39">
        <f>Таблица15[[#This Row],[Средняя цена млн. ₸]]*Таблица15[[#This Row],[Кол-во проданных]]/1000</f>
        <v>5.371360000000001</v>
      </c>
      <c r="AR195" s="22"/>
      <c r="AS195" s="22"/>
      <c r="AT195" s="22"/>
    </row>
    <row r="196" spans="20:46">
      <c r="T196" t="s">
        <v>4</v>
      </c>
      <c r="U196" t="s">
        <v>108</v>
      </c>
      <c r="V196" t="str">
        <f>VLOOKUP(Таблица15[[#This Row],[Модель]],Таблица14[#All],2,0)</f>
        <v>Хэтчбэк</v>
      </c>
      <c r="W196" s="20">
        <f>VLOOKUP(Таблица15[[#This Row],[Модель]],Таблица14[#All],3,0)</f>
        <v>12000</v>
      </c>
      <c r="X196" s="20">
        <f>VLOOKUP(Таблица15[[#This Row],[Модель]],Таблица14[#All],4,0)</f>
        <v>10000</v>
      </c>
      <c r="Y196" s="4">
        <f>VLOOKUP(Таблица15[[#This Row],[Модель]],Таблица14[#All],5,0)</f>
        <v>14000</v>
      </c>
      <c r="Z196" t="str">
        <f>VLOOKUP(Таблица15[[#This Row],[Модель]],Таблица14[#All],6,0)</f>
        <v>МКПП, АКПП</v>
      </c>
      <c r="AA196" t="str">
        <f>VLOOKUP(Таблица15[[#This Row],[Модель]],Таблица14[#All],7,0)</f>
        <v>Бензин</v>
      </c>
      <c r="AB196" t="str">
        <f>VLOOKUP(Таблица15[[#This Row],[Модель]],Таблица14[#All],8,0)</f>
        <v>Эконом</v>
      </c>
      <c r="AC196" t="str">
        <f>VLOOKUP(Таблица15[[#This Row],[Модель]],Таблица14[#All],9,0)</f>
        <v>Маленький</v>
      </c>
      <c r="AD196">
        <f>VLOOKUP(Таблица15[[#This Row],[Модель]],Таблица14[#All],10,0)</f>
        <v>100</v>
      </c>
      <c r="AE196">
        <f>VLOOKUP(Таблица15[[#This Row],[Модель]],Таблица14[#All],11,0)</f>
        <v>16.5</v>
      </c>
      <c r="AF196">
        <v>2019</v>
      </c>
      <c r="AG196">
        <v>751</v>
      </c>
      <c r="AH196" s="22">
        <f>VLOOKUP(Таблица15[[#This Row],[Модель]],Таблица14[#All],12,0)/1000000</f>
        <v>5.69</v>
      </c>
      <c r="AI196" s="21">
        <f>VLOOKUP(Таблица15[[#This Row],[Модель]],Таблица14[#All],13,0)/1000000</f>
        <v>5.59</v>
      </c>
      <c r="AJ196" s="21">
        <f>VLOOKUP(Таблица15[[#This Row],[Модель]],Таблица14[#All],14,0)/1000000</f>
        <v>5.79</v>
      </c>
      <c r="AK196" s="21">
        <f>Таблица15[[#This Row],[Средняя цена (USD)]]*Таблица15[[#This Row],[Кол-во проданных]]/1000000</f>
        <v>9.0120000000000005</v>
      </c>
      <c r="AL196" s="39">
        <f>Таблица15[[#This Row],[Средняя цена млн. ₸]]/440*Таблица15[[#This Row],[Кол-во проданных]]</f>
        <v>9.7117954545454559</v>
      </c>
      <c r="AM196" s="39">
        <f>Таблица15[[#This Row],[Средняя цена млн. ₸]]*Таблица15[[#This Row],[Кол-во проданных]]/1000</f>
        <v>4.2731900000000005</v>
      </c>
      <c r="AR196" s="22"/>
      <c r="AS196" s="22"/>
      <c r="AT196" s="22"/>
    </row>
    <row r="197" spans="20:46">
      <c r="T197" t="s">
        <v>4</v>
      </c>
      <c r="U197" t="s">
        <v>98</v>
      </c>
      <c r="V197" t="str">
        <f>VLOOKUP(Таблица15[[#This Row],[Модель]],Таблица14[#All],2,0)</f>
        <v>Внедорожник</v>
      </c>
      <c r="W197" s="20">
        <f>VLOOKUP(Таблица15[[#This Row],[Модель]],Таблица14[#All],3,0)</f>
        <v>16000</v>
      </c>
      <c r="X197" s="20">
        <f>VLOOKUP(Таблица15[[#This Row],[Модель]],Таблица14[#All],4,0)</f>
        <v>14000</v>
      </c>
      <c r="Y197" s="4">
        <f>VLOOKUP(Таблица15[[#This Row],[Модель]],Таблица14[#All],5,0)</f>
        <v>19000</v>
      </c>
      <c r="Z197" t="str">
        <f>VLOOKUP(Таблица15[[#This Row],[Модель]],Таблица14[#All],6,0)</f>
        <v>МКПП, АКПП</v>
      </c>
      <c r="AA197" t="str">
        <f>VLOOKUP(Таблица15[[#This Row],[Модель]],Таблица14[#All],7,0)</f>
        <v>Бензин</v>
      </c>
      <c r="AB197" t="str">
        <f>VLOOKUP(Таблица15[[#This Row],[Модель]],Таблица14[#All],8,0)</f>
        <v>Эконом</v>
      </c>
      <c r="AC197" t="str">
        <f>VLOOKUP(Таблица15[[#This Row],[Модель]],Таблица14[#All],9,0)</f>
        <v>Средний</v>
      </c>
      <c r="AD197">
        <f>VLOOKUP(Таблица15[[#This Row],[Модель]],Таблица14[#All],10,0)</f>
        <v>130</v>
      </c>
      <c r="AE197">
        <f>VLOOKUP(Таблица15[[#This Row],[Модель]],Таблица14[#All],11,0)</f>
        <v>14.5</v>
      </c>
      <c r="AF197">
        <v>2023</v>
      </c>
      <c r="AG197">
        <v>0</v>
      </c>
      <c r="AH197" s="22">
        <f>VLOOKUP(Таблица15[[#This Row],[Модель]],Таблица14[#All],12,0)/1000000</f>
        <v>8.0399999999999991</v>
      </c>
      <c r="AI197" s="21">
        <f>VLOOKUP(Таблица15[[#This Row],[Модель]],Таблица14[#All],13,0)/1000000</f>
        <v>7.09</v>
      </c>
      <c r="AJ197" s="21">
        <f>VLOOKUP(Таблица15[[#This Row],[Модель]],Таблица14[#All],14,0)/1000000</f>
        <v>8.99</v>
      </c>
      <c r="AK197" s="21">
        <f>Таблица15[[#This Row],[Средняя цена (USD)]]*Таблица15[[#This Row],[Кол-во проданных]]/1000000</f>
        <v>0</v>
      </c>
      <c r="AL197" s="39">
        <f>Таблица15[[#This Row],[Средняя цена млн. ₸]]/440*Таблица15[[#This Row],[Кол-во проданных]]</f>
        <v>0</v>
      </c>
      <c r="AM197" s="39">
        <f>Таблица15[[#This Row],[Средняя цена млн. ₸]]*Таблица15[[#This Row],[Кол-во проданных]]/1000</f>
        <v>0</v>
      </c>
      <c r="AR197" s="22"/>
      <c r="AS197" s="22"/>
      <c r="AT197" s="22"/>
    </row>
    <row r="198" spans="20:46">
      <c r="T198" t="s">
        <v>4</v>
      </c>
      <c r="U198" t="s">
        <v>98</v>
      </c>
      <c r="V198" t="str">
        <f>VLOOKUP(Таблица15[[#This Row],[Модель]],Таблица14[#All],2,0)</f>
        <v>Внедорожник</v>
      </c>
      <c r="W198" s="20">
        <f>VLOOKUP(Таблица15[[#This Row],[Модель]],Таблица14[#All],3,0)</f>
        <v>16000</v>
      </c>
      <c r="X198" s="20">
        <f>VLOOKUP(Таблица15[[#This Row],[Модель]],Таблица14[#All],4,0)</f>
        <v>14000</v>
      </c>
      <c r="Y198" s="4">
        <f>VLOOKUP(Таблица15[[#This Row],[Модель]],Таблица14[#All],5,0)</f>
        <v>19000</v>
      </c>
      <c r="Z198" t="str">
        <f>VLOOKUP(Таблица15[[#This Row],[Модель]],Таблица14[#All],6,0)</f>
        <v>МКПП, АКПП</v>
      </c>
      <c r="AA198" t="str">
        <f>VLOOKUP(Таблица15[[#This Row],[Модель]],Таблица14[#All],7,0)</f>
        <v>Бензин</v>
      </c>
      <c r="AB198" t="str">
        <f>VLOOKUP(Таблица15[[#This Row],[Модель]],Таблица14[#All],8,0)</f>
        <v>Эконом</v>
      </c>
      <c r="AC198" t="str">
        <f>VLOOKUP(Таблица15[[#This Row],[Модель]],Таблица14[#All],9,0)</f>
        <v>Средний</v>
      </c>
      <c r="AD198">
        <f>VLOOKUP(Таблица15[[#This Row],[Модель]],Таблица14[#All],10,0)</f>
        <v>130</v>
      </c>
      <c r="AE198">
        <f>VLOOKUP(Таблица15[[#This Row],[Модель]],Таблица14[#All],11,0)</f>
        <v>14.5</v>
      </c>
      <c r="AF198">
        <v>2022</v>
      </c>
      <c r="AG198">
        <v>487</v>
      </c>
      <c r="AH198" s="22">
        <f>VLOOKUP(Таблица15[[#This Row],[Модель]],Таблица14[#All],12,0)/1000000</f>
        <v>8.0399999999999991</v>
      </c>
      <c r="AI198" s="21">
        <f>VLOOKUP(Таблица15[[#This Row],[Модель]],Таблица14[#All],13,0)/1000000</f>
        <v>7.09</v>
      </c>
      <c r="AJ198" s="21">
        <f>VLOOKUP(Таблица15[[#This Row],[Модель]],Таблица14[#All],14,0)/1000000</f>
        <v>8.99</v>
      </c>
      <c r="AK198" s="21">
        <f>Таблица15[[#This Row],[Средняя цена (USD)]]*Таблица15[[#This Row],[Кол-во проданных]]/1000000</f>
        <v>7.7919999999999998</v>
      </c>
      <c r="AL198" s="39">
        <f>Таблица15[[#This Row],[Средняя цена млн. ₸]]/440*Таблица15[[#This Row],[Кол-во проданных]]</f>
        <v>8.8988181818181804</v>
      </c>
      <c r="AM198" s="39">
        <f>Таблица15[[#This Row],[Средняя цена млн. ₸]]*Таблица15[[#This Row],[Кол-во проданных]]/1000</f>
        <v>3.9154799999999996</v>
      </c>
      <c r="AR198" s="22"/>
      <c r="AS198" s="22"/>
      <c r="AT198" s="22"/>
    </row>
    <row r="199" spans="20:46">
      <c r="T199" t="s">
        <v>4</v>
      </c>
      <c r="U199" t="s">
        <v>98</v>
      </c>
      <c r="V199" t="str">
        <f>VLOOKUP(Таблица15[[#This Row],[Модель]],Таблица14[#All],2,0)</f>
        <v>Внедорожник</v>
      </c>
      <c r="W199" s="20">
        <f>VLOOKUP(Таблица15[[#This Row],[Модель]],Таблица14[#All],3,0)</f>
        <v>16000</v>
      </c>
      <c r="X199" s="20">
        <f>VLOOKUP(Таблица15[[#This Row],[Модель]],Таблица14[#All],4,0)</f>
        <v>14000</v>
      </c>
      <c r="Y199" s="4">
        <f>VLOOKUP(Таблица15[[#This Row],[Модель]],Таблица14[#All],5,0)</f>
        <v>19000</v>
      </c>
      <c r="Z199" t="str">
        <f>VLOOKUP(Таблица15[[#This Row],[Модель]],Таблица14[#All],6,0)</f>
        <v>МКПП, АКПП</v>
      </c>
      <c r="AA199" t="str">
        <f>VLOOKUP(Таблица15[[#This Row],[Модель]],Таблица14[#All],7,0)</f>
        <v>Бензин</v>
      </c>
      <c r="AB199" t="str">
        <f>VLOOKUP(Таблица15[[#This Row],[Модель]],Таблица14[#All],8,0)</f>
        <v>Эконом</v>
      </c>
      <c r="AC199" t="str">
        <f>VLOOKUP(Таблица15[[#This Row],[Модель]],Таблица14[#All],9,0)</f>
        <v>Средний</v>
      </c>
      <c r="AD199">
        <f>VLOOKUP(Таблица15[[#This Row],[Модель]],Таблица14[#All],10,0)</f>
        <v>130</v>
      </c>
      <c r="AE199">
        <f>VLOOKUP(Таблица15[[#This Row],[Модель]],Таблица14[#All],11,0)</f>
        <v>14.5</v>
      </c>
      <c r="AF199">
        <v>2021</v>
      </c>
      <c r="AG199">
        <v>604</v>
      </c>
      <c r="AH199" s="22">
        <f>VLOOKUP(Таблица15[[#This Row],[Модель]],Таблица14[#All],12,0)/1000000</f>
        <v>8.0399999999999991</v>
      </c>
      <c r="AI199" s="21">
        <f>VLOOKUP(Таблица15[[#This Row],[Модель]],Таблица14[#All],13,0)/1000000</f>
        <v>7.09</v>
      </c>
      <c r="AJ199" s="21">
        <f>VLOOKUP(Таблица15[[#This Row],[Модель]],Таблица14[#All],14,0)/1000000</f>
        <v>8.99</v>
      </c>
      <c r="AK199" s="21">
        <f>Таблица15[[#This Row],[Средняя цена (USD)]]*Таблица15[[#This Row],[Кол-во проданных]]/1000000</f>
        <v>9.6639999999999997</v>
      </c>
      <c r="AL199" s="39">
        <f>Таблица15[[#This Row],[Средняя цена млн. ₸]]/440*Таблица15[[#This Row],[Кол-во проданных]]</f>
        <v>11.036727272727271</v>
      </c>
      <c r="AM199" s="39">
        <f>Таблица15[[#This Row],[Средняя цена млн. ₸]]*Таблица15[[#This Row],[Кол-во проданных]]/1000</f>
        <v>4.85616</v>
      </c>
      <c r="AR199" s="22"/>
      <c r="AS199" s="22"/>
      <c r="AT199" s="22"/>
    </row>
    <row r="200" spans="20:46">
      <c r="T200" t="s">
        <v>4</v>
      </c>
      <c r="U200" t="s">
        <v>98</v>
      </c>
      <c r="V200" t="str">
        <f>VLOOKUP(Таблица15[[#This Row],[Модель]],Таблица14[#All],2,0)</f>
        <v>Внедорожник</v>
      </c>
      <c r="W200" s="20">
        <f>VLOOKUP(Таблица15[[#This Row],[Модель]],Таблица14[#All],3,0)</f>
        <v>16000</v>
      </c>
      <c r="X200" s="20">
        <f>VLOOKUP(Таблица15[[#This Row],[Модель]],Таблица14[#All],4,0)</f>
        <v>14000</v>
      </c>
      <c r="Y200" s="4">
        <f>VLOOKUP(Таблица15[[#This Row],[Модель]],Таблица14[#All],5,0)</f>
        <v>19000</v>
      </c>
      <c r="Z200" t="str">
        <f>VLOOKUP(Таблица15[[#This Row],[Модель]],Таблица14[#All],6,0)</f>
        <v>МКПП, АКПП</v>
      </c>
      <c r="AA200" t="str">
        <f>VLOOKUP(Таблица15[[#This Row],[Модель]],Таблица14[#All],7,0)</f>
        <v>Бензин</v>
      </c>
      <c r="AB200" t="str">
        <f>VLOOKUP(Таблица15[[#This Row],[Модель]],Таблица14[#All],8,0)</f>
        <v>Эконом</v>
      </c>
      <c r="AC200" t="str">
        <f>VLOOKUP(Таблица15[[#This Row],[Модель]],Таблица14[#All],9,0)</f>
        <v>Средний</v>
      </c>
      <c r="AD200">
        <f>VLOOKUP(Таблица15[[#This Row],[Модель]],Таблица14[#All],10,0)</f>
        <v>130</v>
      </c>
      <c r="AE200">
        <f>VLOOKUP(Таблица15[[#This Row],[Модель]],Таблица14[#All],11,0)</f>
        <v>14.5</v>
      </c>
      <c r="AF200">
        <v>2020</v>
      </c>
      <c r="AG200">
        <v>814</v>
      </c>
      <c r="AH200" s="22">
        <f>VLOOKUP(Таблица15[[#This Row],[Модель]],Таблица14[#All],12,0)/1000000</f>
        <v>8.0399999999999991</v>
      </c>
      <c r="AI200" s="21">
        <f>VLOOKUP(Таблица15[[#This Row],[Модель]],Таблица14[#All],13,0)/1000000</f>
        <v>7.09</v>
      </c>
      <c r="AJ200" s="21">
        <f>VLOOKUP(Таблица15[[#This Row],[Модель]],Таблица14[#All],14,0)/1000000</f>
        <v>8.99</v>
      </c>
      <c r="AK200" s="21">
        <f>Таблица15[[#This Row],[Средняя цена (USD)]]*Таблица15[[#This Row],[Кол-во проданных]]/1000000</f>
        <v>13.023999999999999</v>
      </c>
      <c r="AL200" s="39">
        <f>Таблица15[[#This Row],[Средняя цена млн. ₸]]/440*Таблица15[[#This Row],[Кол-во проданных]]</f>
        <v>14.873999999999999</v>
      </c>
      <c r="AM200" s="39">
        <f>Таблица15[[#This Row],[Средняя цена млн. ₸]]*Таблица15[[#This Row],[Кол-во проданных]]/1000</f>
        <v>6.5445599999999997</v>
      </c>
      <c r="AR200" s="22"/>
      <c r="AS200" s="22"/>
      <c r="AT200" s="22"/>
    </row>
    <row r="201" spans="20:46">
      <c r="T201" t="s">
        <v>4</v>
      </c>
      <c r="U201" t="s">
        <v>98</v>
      </c>
      <c r="V201" t="str">
        <f>VLOOKUP(Таблица15[[#This Row],[Модель]],Таблица14[#All],2,0)</f>
        <v>Внедорожник</v>
      </c>
      <c r="W201" s="20">
        <f>VLOOKUP(Таблица15[[#This Row],[Модель]],Таблица14[#All],3,0)</f>
        <v>16000</v>
      </c>
      <c r="X201" s="20">
        <f>VLOOKUP(Таблица15[[#This Row],[Модель]],Таблица14[#All],4,0)</f>
        <v>14000</v>
      </c>
      <c r="Y201" s="4">
        <f>VLOOKUP(Таблица15[[#This Row],[Модель]],Таблица14[#All],5,0)</f>
        <v>19000</v>
      </c>
      <c r="Z201" t="str">
        <f>VLOOKUP(Таблица15[[#This Row],[Модель]],Таблица14[#All],6,0)</f>
        <v>МКПП, АКПП</v>
      </c>
      <c r="AA201" t="str">
        <f>VLOOKUP(Таблица15[[#This Row],[Модель]],Таблица14[#All],7,0)</f>
        <v>Бензин</v>
      </c>
      <c r="AB201" t="str">
        <f>VLOOKUP(Таблица15[[#This Row],[Модель]],Таблица14[#All],8,0)</f>
        <v>Эконом</v>
      </c>
      <c r="AC201" t="str">
        <f>VLOOKUP(Таблица15[[#This Row],[Модель]],Таблица14[#All],9,0)</f>
        <v>Средний</v>
      </c>
      <c r="AD201">
        <f>VLOOKUP(Таблица15[[#This Row],[Модель]],Таблица14[#All],10,0)</f>
        <v>130</v>
      </c>
      <c r="AE201">
        <f>VLOOKUP(Таблица15[[#This Row],[Модель]],Таблица14[#All],11,0)</f>
        <v>14.5</v>
      </c>
      <c r="AF201">
        <v>2019</v>
      </c>
      <c r="AG201">
        <v>403</v>
      </c>
      <c r="AH201" s="22">
        <f>VLOOKUP(Таблица15[[#This Row],[Модель]],Таблица14[#All],12,0)/1000000</f>
        <v>8.0399999999999991</v>
      </c>
      <c r="AI201" s="21">
        <f>VLOOKUP(Таблица15[[#This Row],[Модель]],Таблица14[#All],13,0)/1000000</f>
        <v>7.09</v>
      </c>
      <c r="AJ201" s="21">
        <f>VLOOKUP(Таблица15[[#This Row],[Модель]],Таблица14[#All],14,0)/1000000</f>
        <v>8.99</v>
      </c>
      <c r="AK201" s="21">
        <f>Таблица15[[#This Row],[Средняя цена (USD)]]*Таблица15[[#This Row],[Кол-во проданных]]/1000000</f>
        <v>6.4480000000000004</v>
      </c>
      <c r="AL201" s="39">
        <f>Таблица15[[#This Row],[Средняя цена млн. ₸]]/440*Таблица15[[#This Row],[Кол-во проданных]]</f>
        <v>7.3639090909090896</v>
      </c>
      <c r="AM201" s="39">
        <f>Таблица15[[#This Row],[Средняя цена млн. ₸]]*Таблица15[[#This Row],[Кол-во проданных]]/1000</f>
        <v>3.2401199999999992</v>
      </c>
      <c r="AR201" s="22"/>
      <c r="AS201" s="22"/>
      <c r="AT201" s="22"/>
    </row>
    <row r="202" spans="20:46">
      <c r="T202" t="s">
        <v>4</v>
      </c>
      <c r="U202" t="s">
        <v>99</v>
      </c>
      <c r="V202" t="str">
        <f>VLOOKUP(Таблица15[[#This Row],[Модель]],Таблица14[#All],2,0)</f>
        <v>Внедорожник</v>
      </c>
      <c r="W202" s="20">
        <f>VLOOKUP(Таблица15[[#This Row],[Модель]],Таблица14[#All],3,0)</f>
        <v>20000</v>
      </c>
      <c r="X202" s="20">
        <f>VLOOKUP(Таблица15[[#This Row],[Модель]],Таблица14[#All],4,0)</f>
        <v>18000</v>
      </c>
      <c r="Y202" s="4">
        <f>VLOOKUP(Таблица15[[#This Row],[Модель]],Таблица14[#All],5,0)</f>
        <v>24000</v>
      </c>
      <c r="Z202" t="str">
        <f>VLOOKUP(Таблица15[[#This Row],[Модель]],Таблица14[#All],6,0)</f>
        <v>МКПП, АКПП</v>
      </c>
      <c r="AA202" t="str">
        <f>VLOOKUP(Таблица15[[#This Row],[Модель]],Таблица14[#All],7,0)</f>
        <v>Бензин, Дизель</v>
      </c>
      <c r="AB202" t="str">
        <f>VLOOKUP(Таблица15[[#This Row],[Модель]],Таблица14[#All],8,0)</f>
        <v>Комфорт</v>
      </c>
      <c r="AC202" t="str">
        <f>VLOOKUP(Таблица15[[#This Row],[Модель]],Таблица14[#All],9,0)</f>
        <v>Большой</v>
      </c>
      <c r="AD202">
        <f>VLOOKUP(Таблица15[[#This Row],[Модель]],Таблица14[#All],10,0)</f>
        <v>160</v>
      </c>
      <c r="AE202">
        <f>VLOOKUP(Таблица15[[#This Row],[Модель]],Таблица14[#All],11,0)</f>
        <v>12.5</v>
      </c>
      <c r="AF202">
        <v>2023</v>
      </c>
      <c r="AG202">
        <v>0</v>
      </c>
      <c r="AH202" s="22">
        <f>VLOOKUP(Таблица15[[#This Row],[Модель]],Таблица14[#All],12,0)/1000000</f>
        <v>15.074999999999999</v>
      </c>
      <c r="AI202" s="21">
        <f>VLOOKUP(Таблица15[[#This Row],[Модель]],Таблица14[#All],13,0)/1000000</f>
        <v>14.75</v>
      </c>
      <c r="AJ202" s="21">
        <f>VLOOKUP(Таблица15[[#This Row],[Модель]],Таблица14[#All],14,0)/1000000</f>
        <v>15.4</v>
      </c>
      <c r="AK202" s="21">
        <f>Таблица15[[#This Row],[Средняя цена (USD)]]*Таблица15[[#This Row],[Кол-во проданных]]/1000000</f>
        <v>0</v>
      </c>
      <c r="AL202" s="39">
        <f>Таблица15[[#This Row],[Средняя цена млн. ₸]]/440*Таблица15[[#This Row],[Кол-во проданных]]</f>
        <v>0</v>
      </c>
      <c r="AM202" s="39">
        <f>Таблица15[[#This Row],[Средняя цена млн. ₸]]*Таблица15[[#This Row],[Кол-во проданных]]/1000</f>
        <v>0</v>
      </c>
      <c r="AR202" s="22"/>
      <c r="AS202" s="22"/>
      <c r="AT202" s="22"/>
    </row>
    <row r="203" spans="20:46">
      <c r="T203" t="s">
        <v>4</v>
      </c>
      <c r="U203" t="s">
        <v>99</v>
      </c>
      <c r="V203" t="str">
        <f>VLOOKUP(Таблица15[[#This Row],[Модель]],Таблица14[#All],2,0)</f>
        <v>Внедорожник</v>
      </c>
      <c r="W203" s="20">
        <f>VLOOKUP(Таблица15[[#This Row],[Модель]],Таблица14[#All],3,0)</f>
        <v>20000</v>
      </c>
      <c r="X203" s="20">
        <f>VLOOKUP(Таблица15[[#This Row],[Модель]],Таблица14[#All],4,0)</f>
        <v>18000</v>
      </c>
      <c r="Y203" s="4">
        <f>VLOOKUP(Таблица15[[#This Row],[Модель]],Таблица14[#All],5,0)</f>
        <v>24000</v>
      </c>
      <c r="Z203" t="str">
        <f>VLOOKUP(Таблица15[[#This Row],[Модель]],Таблица14[#All],6,0)</f>
        <v>МКПП, АКПП</v>
      </c>
      <c r="AA203" t="str">
        <f>VLOOKUP(Таблица15[[#This Row],[Модель]],Таблица14[#All],7,0)</f>
        <v>Бензин, Дизель</v>
      </c>
      <c r="AB203" t="str">
        <f>VLOOKUP(Таблица15[[#This Row],[Модель]],Таблица14[#All],8,0)</f>
        <v>Комфорт</v>
      </c>
      <c r="AC203" t="str">
        <f>VLOOKUP(Таблица15[[#This Row],[Модель]],Таблица14[#All],9,0)</f>
        <v>Большой</v>
      </c>
      <c r="AD203">
        <f>VLOOKUP(Таблица15[[#This Row],[Модель]],Таблица14[#All],10,0)</f>
        <v>160</v>
      </c>
      <c r="AE203">
        <f>VLOOKUP(Таблица15[[#This Row],[Модель]],Таблица14[#All],11,0)</f>
        <v>12.5</v>
      </c>
      <c r="AF203">
        <v>2022</v>
      </c>
      <c r="AG203">
        <v>482</v>
      </c>
      <c r="AH203" s="22">
        <f>VLOOKUP(Таблица15[[#This Row],[Модель]],Таблица14[#All],12,0)/1000000</f>
        <v>15.074999999999999</v>
      </c>
      <c r="AI203" s="21">
        <f>VLOOKUP(Таблица15[[#This Row],[Модель]],Таблица14[#All],13,0)/1000000</f>
        <v>14.75</v>
      </c>
      <c r="AJ203" s="21">
        <f>VLOOKUP(Таблица15[[#This Row],[Модель]],Таблица14[#All],14,0)/1000000</f>
        <v>15.4</v>
      </c>
      <c r="AK203" s="21">
        <f>Таблица15[[#This Row],[Средняя цена (USD)]]*Таблица15[[#This Row],[Кол-во проданных]]/1000000</f>
        <v>9.64</v>
      </c>
      <c r="AL203" s="39">
        <f>Таблица15[[#This Row],[Средняя цена млн. ₸]]/440*Таблица15[[#This Row],[Кол-во проданных]]</f>
        <v>16.513977272727271</v>
      </c>
      <c r="AM203" s="39">
        <f>Таблица15[[#This Row],[Средняя цена млн. ₸]]*Таблица15[[#This Row],[Кол-во проданных]]/1000</f>
        <v>7.2661499999999997</v>
      </c>
      <c r="AR203" s="22"/>
      <c r="AS203" s="22"/>
      <c r="AT203" s="22"/>
    </row>
    <row r="204" spans="20:46">
      <c r="T204" t="s">
        <v>4</v>
      </c>
      <c r="U204" t="s">
        <v>99</v>
      </c>
      <c r="V204" t="str">
        <f>VLOOKUP(Таблица15[[#This Row],[Модель]],Таблица14[#All],2,0)</f>
        <v>Внедорожник</v>
      </c>
      <c r="W204" s="20">
        <f>VLOOKUP(Таблица15[[#This Row],[Модель]],Таблица14[#All],3,0)</f>
        <v>20000</v>
      </c>
      <c r="X204" s="20">
        <f>VLOOKUP(Таблица15[[#This Row],[Модель]],Таблица14[#All],4,0)</f>
        <v>18000</v>
      </c>
      <c r="Y204" s="4">
        <f>VLOOKUP(Таблица15[[#This Row],[Модель]],Таблица14[#All],5,0)</f>
        <v>24000</v>
      </c>
      <c r="Z204" t="str">
        <f>VLOOKUP(Таблица15[[#This Row],[Модель]],Таблица14[#All],6,0)</f>
        <v>МКПП, АКПП</v>
      </c>
      <c r="AA204" t="str">
        <f>VLOOKUP(Таблица15[[#This Row],[Модель]],Таблица14[#All],7,0)</f>
        <v>Бензин, Дизель</v>
      </c>
      <c r="AB204" t="str">
        <f>VLOOKUP(Таблица15[[#This Row],[Модель]],Таблица14[#All],8,0)</f>
        <v>Комфорт</v>
      </c>
      <c r="AC204" t="str">
        <f>VLOOKUP(Таблица15[[#This Row],[Модель]],Таблица14[#All],9,0)</f>
        <v>Большой</v>
      </c>
      <c r="AD204">
        <f>VLOOKUP(Таблица15[[#This Row],[Модель]],Таблица14[#All],10,0)</f>
        <v>160</v>
      </c>
      <c r="AE204">
        <f>VLOOKUP(Таблица15[[#This Row],[Модель]],Таблица14[#All],11,0)</f>
        <v>12.5</v>
      </c>
      <c r="AF204">
        <v>2021</v>
      </c>
      <c r="AG204">
        <v>0</v>
      </c>
      <c r="AH204" s="22">
        <f>VLOOKUP(Таблица15[[#This Row],[Модель]],Таблица14[#All],12,0)/1000000</f>
        <v>15.074999999999999</v>
      </c>
      <c r="AI204" s="21">
        <f>VLOOKUP(Таблица15[[#This Row],[Модель]],Таблица14[#All],13,0)/1000000</f>
        <v>14.75</v>
      </c>
      <c r="AJ204" s="21">
        <f>VLOOKUP(Таблица15[[#This Row],[Модель]],Таблица14[#All],14,0)/1000000</f>
        <v>15.4</v>
      </c>
      <c r="AK204" s="21">
        <f>Таблица15[[#This Row],[Средняя цена (USD)]]*Таблица15[[#This Row],[Кол-во проданных]]/1000000</f>
        <v>0</v>
      </c>
      <c r="AL204" s="39">
        <f>Таблица15[[#This Row],[Средняя цена млн. ₸]]/440*Таблица15[[#This Row],[Кол-во проданных]]</f>
        <v>0</v>
      </c>
      <c r="AM204" s="39">
        <f>Таблица15[[#This Row],[Средняя цена млн. ₸]]*Таблица15[[#This Row],[Кол-во проданных]]/1000</f>
        <v>0</v>
      </c>
      <c r="AR204" s="22"/>
      <c r="AS204" s="22"/>
      <c r="AT204" s="22"/>
    </row>
    <row r="205" spans="20:46">
      <c r="T205" t="s">
        <v>4</v>
      </c>
      <c r="U205" t="s">
        <v>99</v>
      </c>
      <c r="V205" t="str">
        <f>VLOOKUP(Таблица15[[#This Row],[Модель]],Таблица14[#All],2,0)</f>
        <v>Внедорожник</v>
      </c>
      <c r="W205" s="20">
        <f>VLOOKUP(Таблица15[[#This Row],[Модель]],Таблица14[#All],3,0)</f>
        <v>20000</v>
      </c>
      <c r="X205" s="20">
        <f>VLOOKUP(Таблица15[[#This Row],[Модель]],Таблица14[#All],4,0)</f>
        <v>18000</v>
      </c>
      <c r="Y205" s="4">
        <f>VLOOKUP(Таблица15[[#This Row],[Модель]],Таблица14[#All],5,0)</f>
        <v>24000</v>
      </c>
      <c r="Z205" t="str">
        <f>VLOOKUP(Таблица15[[#This Row],[Модель]],Таблица14[#All],6,0)</f>
        <v>МКПП, АКПП</v>
      </c>
      <c r="AA205" t="str">
        <f>VLOOKUP(Таблица15[[#This Row],[Модель]],Таблица14[#All],7,0)</f>
        <v>Бензин, Дизель</v>
      </c>
      <c r="AB205" t="str">
        <f>VLOOKUP(Таблица15[[#This Row],[Модель]],Таблица14[#All],8,0)</f>
        <v>Комфорт</v>
      </c>
      <c r="AC205" t="str">
        <f>VLOOKUP(Таблица15[[#This Row],[Модель]],Таблица14[#All],9,0)</f>
        <v>Большой</v>
      </c>
      <c r="AD205">
        <f>VLOOKUP(Таблица15[[#This Row],[Модель]],Таблица14[#All],10,0)</f>
        <v>160</v>
      </c>
      <c r="AE205">
        <f>VLOOKUP(Таблица15[[#This Row],[Модель]],Таблица14[#All],11,0)</f>
        <v>12.5</v>
      </c>
      <c r="AF205">
        <v>2020</v>
      </c>
      <c r="AG205">
        <v>396</v>
      </c>
      <c r="AH205" s="22">
        <f>VLOOKUP(Таблица15[[#This Row],[Модель]],Таблица14[#All],12,0)/1000000</f>
        <v>15.074999999999999</v>
      </c>
      <c r="AI205" s="21">
        <f>VLOOKUP(Таблица15[[#This Row],[Модель]],Таблица14[#All],13,0)/1000000</f>
        <v>14.75</v>
      </c>
      <c r="AJ205" s="21">
        <f>VLOOKUP(Таблица15[[#This Row],[Модель]],Таблица14[#All],14,0)/1000000</f>
        <v>15.4</v>
      </c>
      <c r="AK205" s="21">
        <f>Таблица15[[#This Row],[Средняя цена (USD)]]*Таблица15[[#This Row],[Кол-во проданных]]/1000000</f>
        <v>7.92</v>
      </c>
      <c r="AL205" s="39">
        <f>Таблица15[[#This Row],[Средняя цена млн. ₸]]/440*Таблица15[[#This Row],[Кол-во проданных]]</f>
        <v>13.567499999999997</v>
      </c>
      <c r="AM205" s="39">
        <f>Таблица15[[#This Row],[Средняя цена млн. ₸]]*Таблица15[[#This Row],[Кол-во проданных]]/1000</f>
        <v>5.9696999999999996</v>
      </c>
      <c r="AR205" s="22"/>
      <c r="AS205" s="22"/>
      <c r="AT205" s="22"/>
    </row>
    <row r="206" spans="20:46">
      <c r="T206" t="s">
        <v>4</v>
      </c>
      <c r="U206" t="s">
        <v>99</v>
      </c>
      <c r="V206" t="str">
        <f>VLOOKUP(Таблица15[[#This Row],[Модель]],Таблица14[#All],2,0)</f>
        <v>Внедорожник</v>
      </c>
      <c r="W206" s="20">
        <f>VLOOKUP(Таблица15[[#This Row],[Модель]],Таблица14[#All],3,0)</f>
        <v>20000</v>
      </c>
      <c r="X206" s="20">
        <f>VLOOKUP(Таблица15[[#This Row],[Модель]],Таблица14[#All],4,0)</f>
        <v>18000</v>
      </c>
      <c r="Y206" s="4">
        <f>VLOOKUP(Таблица15[[#This Row],[Модель]],Таблица14[#All],5,0)</f>
        <v>24000</v>
      </c>
      <c r="Z206" t="str">
        <f>VLOOKUP(Таблица15[[#This Row],[Модель]],Таблица14[#All],6,0)</f>
        <v>МКПП, АКПП</v>
      </c>
      <c r="AA206" t="str">
        <f>VLOOKUP(Таблица15[[#This Row],[Модель]],Таблица14[#All],7,0)</f>
        <v>Бензин, Дизель</v>
      </c>
      <c r="AB206" t="str">
        <f>VLOOKUP(Таблица15[[#This Row],[Модель]],Таблица14[#All],8,0)</f>
        <v>Комфорт</v>
      </c>
      <c r="AC206" t="str">
        <f>VLOOKUP(Таблица15[[#This Row],[Модель]],Таблица14[#All],9,0)</f>
        <v>Большой</v>
      </c>
      <c r="AD206">
        <f>VLOOKUP(Таблица15[[#This Row],[Модель]],Таблица14[#All],10,0)</f>
        <v>160</v>
      </c>
      <c r="AE206">
        <f>VLOOKUP(Таблица15[[#This Row],[Модель]],Таблица14[#All],11,0)</f>
        <v>12.5</v>
      </c>
      <c r="AF206">
        <v>2019</v>
      </c>
      <c r="AG206">
        <v>0</v>
      </c>
      <c r="AH206" s="22">
        <f>VLOOKUP(Таблица15[[#This Row],[Модель]],Таблица14[#All],12,0)/1000000</f>
        <v>15.074999999999999</v>
      </c>
      <c r="AI206" s="21">
        <f>VLOOKUP(Таблица15[[#This Row],[Модель]],Таблица14[#All],13,0)/1000000</f>
        <v>14.75</v>
      </c>
      <c r="AJ206" s="21">
        <f>VLOOKUP(Таблица15[[#This Row],[Модель]],Таблица14[#All],14,0)/1000000</f>
        <v>15.4</v>
      </c>
      <c r="AK206" s="21">
        <f>Таблица15[[#This Row],[Средняя цена (USD)]]*Таблица15[[#This Row],[Кол-во проданных]]/1000000</f>
        <v>0</v>
      </c>
      <c r="AL206" s="39">
        <f>Таблица15[[#This Row],[Средняя цена млн. ₸]]/440*Таблица15[[#This Row],[Кол-во проданных]]</f>
        <v>0</v>
      </c>
      <c r="AM206" s="39">
        <f>Таблица15[[#This Row],[Средняя цена млн. ₸]]*Таблица15[[#This Row],[Кол-во проданных]]/1000</f>
        <v>0</v>
      </c>
      <c r="AR206" s="22"/>
      <c r="AS206" s="22"/>
      <c r="AT206" s="22"/>
    </row>
    <row r="207" spans="20:46">
      <c r="T207" t="s">
        <v>4</v>
      </c>
      <c r="U207" t="s">
        <v>82</v>
      </c>
      <c r="V207" t="str">
        <f>VLOOKUP(Таблица15[[#This Row],[Модель]],Таблица14[#All],2,0)</f>
        <v>Пикап</v>
      </c>
      <c r="W207" s="20">
        <f>VLOOKUP(Таблица15[[#This Row],[Модель]],Таблица14[#All],3,0)</f>
        <v>18000</v>
      </c>
      <c r="X207" s="20">
        <f>VLOOKUP(Таблица15[[#This Row],[Модель]],Таблица14[#All],4,0)</f>
        <v>16000</v>
      </c>
      <c r="Y207" s="4">
        <f>VLOOKUP(Таблица15[[#This Row],[Модель]],Таблица14[#All],5,0)</f>
        <v>22000</v>
      </c>
      <c r="Z207" t="str">
        <f>VLOOKUP(Таблица15[[#This Row],[Модель]],Таблица14[#All],6,0)</f>
        <v>МКПП, АКПП</v>
      </c>
      <c r="AA207" t="str">
        <f>VLOOKUP(Таблица15[[#This Row],[Модель]],Таблица14[#All],7,0)</f>
        <v>Бензин, Дизель</v>
      </c>
      <c r="AB207" t="str">
        <f>VLOOKUP(Таблица15[[#This Row],[Модель]],Таблица14[#All],8,0)</f>
        <v>Комфорт</v>
      </c>
      <c r="AC207" t="str">
        <f>VLOOKUP(Таблица15[[#This Row],[Модель]],Таблица14[#All],9,0)</f>
        <v>Средний</v>
      </c>
      <c r="AD207">
        <f>VLOOKUP(Таблица15[[#This Row],[Модель]],Таблица14[#All],10,0)</f>
        <v>150</v>
      </c>
      <c r="AE207">
        <f>VLOOKUP(Таблица15[[#This Row],[Модель]],Таблица14[#All],11,0)</f>
        <v>13.5</v>
      </c>
      <c r="AF207">
        <v>2023</v>
      </c>
      <c r="AG207">
        <v>1124</v>
      </c>
      <c r="AH207" s="22">
        <f>VLOOKUP(Таблица15[[#This Row],[Модель]],Таблица14[#All],12,0)/1000000</f>
        <v>14.04</v>
      </c>
      <c r="AI207" s="21">
        <f>VLOOKUP(Таблица15[[#This Row],[Модель]],Таблица14[#All],13,0)/1000000</f>
        <v>13.49</v>
      </c>
      <c r="AJ207" s="21">
        <f>VLOOKUP(Таблица15[[#This Row],[Модель]],Таблица14[#All],14,0)/1000000</f>
        <v>14.59</v>
      </c>
      <c r="AK207" s="21">
        <f>Таблица15[[#This Row],[Средняя цена (USD)]]*Таблица15[[#This Row],[Кол-во проданных]]/1000000</f>
        <v>20.231999999999999</v>
      </c>
      <c r="AL207" s="39">
        <f>Таблица15[[#This Row],[Средняя цена млн. ₸]]/440*Таблица15[[#This Row],[Кол-во проданных]]</f>
        <v>35.865818181818177</v>
      </c>
      <c r="AM207" s="39">
        <f>Таблица15[[#This Row],[Средняя цена млн. ₸]]*Таблица15[[#This Row],[Кол-во проданных]]/1000</f>
        <v>15.780959999999999</v>
      </c>
      <c r="AR207" s="22"/>
      <c r="AS207" s="22"/>
      <c r="AT207" s="22"/>
    </row>
    <row r="208" spans="20:46">
      <c r="T208" t="s">
        <v>4</v>
      </c>
      <c r="U208" t="s">
        <v>82</v>
      </c>
      <c r="V208" t="str">
        <f>VLOOKUP(Таблица15[[#This Row],[Модель]],Таблица14[#All],2,0)</f>
        <v>Пикап</v>
      </c>
      <c r="W208" s="20">
        <f>VLOOKUP(Таблица15[[#This Row],[Модель]],Таблица14[#All],3,0)</f>
        <v>18000</v>
      </c>
      <c r="X208" s="20">
        <f>VLOOKUP(Таблица15[[#This Row],[Модель]],Таблица14[#All],4,0)</f>
        <v>16000</v>
      </c>
      <c r="Y208" s="4">
        <f>VLOOKUP(Таблица15[[#This Row],[Модель]],Таблица14[#All],5,0)</f>
        <v>22000</v>
      </c>
      <c r="Z208" t="str">
        <f>VLOOKUP(Таблица15[[#This Row],[Модель]],Таблица14[#All],6,0)</f>
        <v>МКПП, АКПП</v>
      </c>
      <c r="AA208" t="str">
        <f>VLOOKUP(Таблица15[[#This Row],[Модель]],Таблица14[#All],7,0)</f>
        <v>Бензин, Дизель</v>
      </c>
      <c r="AB208" t="str">
        <f>VLOOKUP(Таблица15[[#This Row],[Модель]],Таблица14[#All],8,0)</f>
        <v>Комфорт</v>
      </c>
      <c r="AC208" t="str">
        <f>VLOOKUP(Таблица15[[#This Row],[Модель]],Таблица14[#All],9,0)</f>
        <v>Средний</v>
      </c>
      <c r="AD208">
        <f>VLOOKUP(Таблица15[[#This Row],[Модель]],Таблица14[#All],10,0)</f>
        <v>150</v>
      </c>
      <c r="AE208">
        <f>VLOOKUP(Таблица15[[#This Row],[Модель]],Таблица14[#All],11,0)</f>
        <v>13.5</v>
      </c>
      <c r="AF208">
        <v>2022</v>
      </c>
      <c r="AG208">
        <v>800</v>
      </c>
      <c r="AH208" s="22">
        <f>VLOOKUP(Таблица15[[#This Row],[Модель]],Таблица14[#All],12,0)/1000000</f>
        <v>14.04</v>
      </c>
      <c r="AI208" s="21">
        <f>VLOOKUP(Таблица15[[#This Row],[Модель]],Таблица14[#All],13,0)/1000000</f>
        <v>13.49</v>
      </c>
      <c r="AJ208" s="21">
        <f>VLOOKUP(Таблица15[[#This Row],[Модель]],Таблица14[#All],14,0)/1000000</f>
        <v>14.59</v>
      </c>
      <c r="AK208" s="21">
        <f>Таблица15[[#This Row],[Средняя цена (USD)]]*Таблица15[[#This Row],[Кол-во проданных]]/1000000</f>
        <v>14.4</v>
      </c>
      <c r="AL208" s="39">
        <f>Таблица15[[#This Row],[Средняя цена млн. ₸]]/440*Таблица15[[#This Row],[Кол-во проданных]]</f>
        <v>25.527272727272727</v>
      </c>
      <c r="AM208" s="39">
        <f>Таблица15[[#This Row],[Средняя цена млн. ₸]]*Таблица15[[#This Row],[Кол-во проданных]]/1000</f>
        <v>11.231999999999999</v>
      </c>
      <c r="AR208" s="22"/>
      <c r="AS208" s="22"/>
      <c r="AT208" s="22"/>
    </row>
    <row r="209" spans="20:46">
      <c r="T209" t="s">
        <v>4</v>
      </c>
      <c r="U209" t="s">
        <v>82</v>
      </c>
      <c r="V209" t="str">
        <f>VLOOKUP(Таблица15[[#This Row],[Модель]],Таблица14[#All],2,0)</f>
        <v>Пикап</v>
      </c>
      <c r="W209" s="20">
        <f>VLOOKUP(Таблица15[[#This Row],[Модель]],Таблица14[#All],3,0)</f>
        <v>18000</v>
      </c>
      <c r="X209" s="20">
        <f>VLOOKUP(Таблица15[[#This Row],[Модель]],Таблица14[#All],4,0)</f>
        <v>16000</v>
      </c>
      <c r="Y209" s="4">
        <f>VLOOKUP(Таблица15[[#This Row],[Модель]],Таблица14[#All],5,0)</f>
        <v>22000</v>
      </c>
      <c r="Z209" t="str">
        <f>VLOOKUP(Таблица15[[#This Row],[Модель]],Таблица14[#All],6,0)</f>
        <v>МКПП, АКПП</v>
      </c>
      <c r="AA209" t="str">
        <f>VLOOKUP(Таблица15[[#This Row],[Модель]],Таблица14[#All],7,0)</f>
        <v>Бензин, Дизель</v>
      </c>
      <c r="AB209" t="str">
        <f>VLOOKUP(Таблица15[[#This Row],[Модель]],Таблица14[#All],8,0)</f>
        <v>Комфорт</v>
      </c>
      <c r="AC209" t="str">
        <f>VLOOKUP(Таблица15[[#This Row],[Модель]],Таблица14[#All],9,0)</f>
        <v>Средний</v>
      </c>
      <c r="AD209">
        <f>VLOOKUP(Таблица15[[#This Row],[Модель]],Таблица14[#All],10,0)</f>
        <v>150</v>
      </c>
      <c r="AE209">
        <f>VLOOKUP(Таблица15[[#This Row],[Модель]],Таблица14[#All],11,0)</f>
        <v>13.5</v>
      </c>
      <c r="AF209">
        <v>2021</v>
      </c>
      <c r="AG209">
        <v>418</v>
      </c>
      <c r="AH209" s="22">
        <f>VLOOKUP(Таблица15[[#This Row],[Модель]],Таблица14[#All],12,0)/1000000</f>
        <v>14.04</v>
      </c>
      <c r="AI209" s="21">
        <f>VLOOKUP(Таблица15[[#This Row],[Модель]],Таблица14[#All],13,0)/1000000</f>
        <v>13.49</v>
      </c>
      <c r="AJ209" s="21">
        <f>VLOOKUP(Таблица15[[#This Row],[Модель]],Таблица14[#All],14,0)/1000000</f>
        <v>14.59</v>
      </c>
      <c r="AK209" s="21">
        <f>Таблица15[[#This Row],[Средняя цена (USD)]]*Таблица15[[#This Row],[Кол-во проданных]]/1000000</f>
        <v>7.524</v>
      </c>
      <c r="AL209" s="39">
        <f>Таблица15[[#This Row],[Средняя цена млн. ₸]]/440*Таблица15[[#This Row],[Кол-во проданных]]</f>
        <v>13.337999999999999</v>
      </c>
      <c r="AM209" s="39">
        <f>Таблица15[[#This Row],[Средняя цена млн. ₸]]*Таблица15[[#This Row],[Кол-во проданных]]/1000</f>
        <v>5.8687199999999997</v>
      </c>
      <c r="AR209" s="22"/>
      <c r="AS209" s="22"/>
      <c r="AT209" s="22"/>
    </row>
    <row r="210" spans="20:46">
      <c r="T210" t="s">
        <v>4</v>
      </c>
      <c r="U210" t="s">
        <v>82</v>
      </c>
      <c r="V210" t="str">
        <f>VLOOKUP(Таблица15[[#This Row],[Модель]],Таблица14[#All],2,0)</f>
        <v>Пикап</v>
      </c>
      <c r="W210" s="20">
        <f>VLOOKUP(Таблица15[[#This Row],[Модель]],Таблица14[#All],3,0)</f>
        <v>18000</v>
      </c>
      <c r="X210" s="20">
        <f>VLOOKUP(Таблица15[[#This Row],[Модель]],Таблица14[#All],4,0)</f>
        <v>16000</v>
      </c>
      <c r="Y210" s="4">
        <f>VLOOKUP(Таблица15[[#This Row],[Модель]],Таблица14[#All],5,0)</f>
        <v>22000</v>
      </c>
      <c r="Z210" t="str">
        <f>VLOOKUP(Таблица15[[#This Row],[Модель]],Таблица14[#All],6,0)</f>
        <v>МКПП, АКПП</v>
      </c>
      <c r="AA210" t="str">
        <f>VLOOKUP(Таблица15[[#This Row],[Модель]],Таблица14[#All],7,0)</f>
        <v>Бензин, Дизель</v>
      </c>
      <c r="AB210" t="str">
        <f>VLOOKUP(Таблица15[[#This Row],[Модель]],Таблица14[#All],8,0)</f>
        <v>Комфорт</v>
      </c>
      <c r="AC210" t="str">
        <f>VLOOKUP(Таблица15[[#This Row],[Модель]],Таблица14[#All],9,0)</f>
        <v>Средний</v>
      </c>
      <c r="AD210">
        <f>VLOOKUP(Таблица15[[#This Row],[Модель]],Таблица14[#All],10,0)</f>
        <v>150</v>
      </c>
      <c r="AE210">
        <f>VLOOKUP(Таблица15[[#This Row],[Модель]],Таблица14[#All],11,0)</f>
        <v>13.5</v>
      </c>
      <c r="AF210">
        <v>2020</v>
      </c>
      <c r="AG210">
        <v>0</v>
      </c>
      <c r="AH210" s="22">
        <f>VLOOKUP(Таблица15[[#This Row],[Модель]],Таблица14[#All],12,0)/1000000</f>
        <v>14.04</v>
      </c>
      <c r="AI210" s="21">
        <f>VLOOKUP(Таблица15[[#This Row],[Модель]],Таблица14[#All],13,0)/1000000</f>
        <v>13.49</v>
      </c>
      <c r="AJ210" s="21">
        <f>VLOOKUP(Таблица15[[#This Row],[Модель]],Таблица14[#All],14,0)/1000000</f>
        <v>14.59</v>
      </c>
      <c r="AK210" s="21">
        <f>Таблица15[[#This Row],[Средняя цена (USD)]]*Таблица15[[#This Row],[Кол-во проданных]]/1000000</f>
        <v>0</v>
      </c>
      <c r="AL210" s="39">
        <f>Таблица15[[#This Row],[Средняя цена млн. ₸]]/440*Таблица15[[#This Row],[Кол-во проданных]]</f>
        <v>0</v>
      </c>
      <c r="AM210" s="39">
        <f>Таблица15[[#This Row],[Средняя цена млн. ₸]]*Таблица15[[#This Row],[Кол-во проданных]]/1000</f>
        <v>0</v>
      </c>
      <c r="AR210" s="22"/>
      <c r="AS210" s="22"/>
      <c r="AT210" s="22"/>
    </row>
    <row r="211" spans="20:46">
      <c r="T211" t="s">
        <v>4</v>
      </c>
      <c r="U211" t="s">
        <v>82</v>
      </c>
      <c r="V211" t="str">
        <f>VLOOKUP(Таблица15[[#This Row],[Модель]],Таблица14[#All],2,0)</f>
        <v>Пикап</v>
      </c>
      <c r="W211" s="20">
        <f>VLOOKUP(Таблица15[[#This Row],[Модель]],Таблица14[#All],3,0)</f>
        <v>18000</v>
      </c>
      <c r="X211" s="20">
        <f>VLOOKUP(Таблица15[[#This Row],[Модель]],Таблица14[#All],4,0)</f>
        <v>16000</v>
      </c>
      <c r="Y211" s="4">
        <f>VLOOKUP(Таблица15[[#This Row],[Модель]],Таблица14[#All],5,0)</f>
        <v>22000</v>
      </c>
      <c r="Z211" t="str">
        <f>VLOOKUP(Таблица15[[#This Row],[Модель]],Таблица14[#All],6,0)</f>
        <v>МКПП, АКПП</v>
      </c>
      <c r="AA211" t="str">
        <f>VLOOKUP(Таблица15[[#This Row],[Модель]],Таблица14[#All],7,0)</f>
        <v>Бензин, Дизель</v>
      </c>
      <c r="AB211" t="str">
        <f>VLOOKUP(Таблица15[[#This Row],[Модель]],Таблица14[#All],8,0)</f>
        <v>Комфорт</v>
      </c>
      <c r="AC211" t="str">
        <f>VLOOKUP(Таблица15[[#This Row],[Модель]],Таблица14[#All],9,0)</f>
        <v>Средний</v>
      </c>
      <c r="AD211">
        <f>VLOOKUP(Таблица15[[#This Row],[Модель]],Таблица14[#All],10,0)</f>
        <v>150</v>
      </c>
      <c r="AE211">
        <f>VLOOKUP(Таблица15[[#This Row],[Модель]],Таблица14[#All],11,0)</f>
        <v>13.5</v>
      </c>
      <c r="AF211">
        <v>2019</v>
      </c>
      <c r="AG211">
        <v>0</v>
      </c>
      <c r="AH211" s="22">
        <f>VLOOKUP(Таблица15[[#This Row],[Модель]],Таблица14[#All],12,0)/1000000</f>
        <v>14.04</v>
      </c>
      <c r="AI211" s="21">
        <f>VLOOKUP(Таблица15[[#This Row],[Модель]],Таблица14[#All],13,0)/1000000</f>
        <v>13.49</v>
      </c>
      <c r="AJ211" s="21">
        <f>VLOOKUP(Таблица15[[#This Row],[Модель]],Таблица14[#All],14,0)/1000000</f>
        <v>14.59</v>
      </c>
      <c r="AK211" s="21">
        <f>Таблица15[[#This Row],[Средняя цена (USD)]]*Таблица15[[#This Row],[Кол-во проданных]]/1000000</f>
        <v>0</v>
      </c>
      <c r="AL211" s="39">
        <f>Таблица15[[#This Row],[Средняя цена млн. ₸]]/440*Таблица15[[#This Row],[Кол-во проданных]]</f>
        <v>0</v>
      </c>
      <c r="AM211" s="39">
        <f>Таблица15[[#This Row],[Средняя цена млн. ₸]]*Таблица15[[#This Row],[Кол-во проданных]]/1000</f>
        <v>0</v>
      </c>
      <c r="AR211" s="22"/>
      <c r="AS211" s="22"/>
      <c r="AT211" s="22"/>
    </row>
    <row r="212" spans="20:46">
      <c r="T212" t="s">
        <v>17</v>
      </c>
      <c r="U212" t="s">
        <v>65</v>
      </c>
      <c r="V212" t="str">
        <f>VLOOKUP(Таблица15[[#This Row],[Модель]],Таблица14[#All],2,0)</f>
        <v>Внедорожник</v>
      </c>
      <c r="W212" s="20">
        <f>VLOOKUP(Таблица15[[#This Row],[Модель]],Таблица14[#All],3,0)</f>
        <v>20000</v>
      </c>
      <c r="X212" s="20">
        <f>VLOOKUP(Таблица15[[#This Row],[Модель]],Таблица14[#All],4,0)</f>
        <v>18000</v>
      </c>
      <c r="Y212" s="4">
        <f>VLOOKUP(Таблица15[[#This Row],[Модель]],Таблица14[#All],5,0)</f>
        <v>24000</v>
      </c>
      <c r="Z212" t="str">
        <f>VLOOKUP(Таблица15[[#This Row],[Модель]],Таблица14[#All],6,0)</f>
        <v>АКПП</v>
      </c>
      <c r="AA212" t="str">
        <f>VLOOKUP(Таблица15[[#This Row],[Модель]],Таблица14[#All],7,0)</f>
        <v>Бензин</v>
      </c>
      <c r="AB212" t="str">
        <f>VLOOKUP(Таблица15[[#This Row],[Модель]],Таблица14[#All],8,0)</f>
        <v>Эконом</v>
      </c>
      <c r="AC212" t="str">
        <f>VLOOKUP(Таблица15[[#This Row],[Модель]],Таблица14[#All],9,0)</f>
        <v>Средний</v>
      </c>
      <c r="AD212">
        <f>VLOOKUP(Таблица15[[#This Row],[Модель]],Таблица14[#All],10,0)</f>
        <v>160</v>
      </c>
      <c r="AE212">
        <f>VLOOKUP(Таблица15[[#This Row],[Модель]],Таблица14[#All],11,0)</f>
        <v>12.5</v>
      </c>
      <c r="AF212">
        <v>2023</v>
      </c>
      <c r="AG212">
        <v>2287</v>
      </c>
      <c r="AH212" s="22">
        <f>VLOOKUP(Таблица15[[#This Row],[Модель]],Таблица14[#All],12,0)/1000000</f>
        <v>9.69</v>
      </c>
      <c r="AI212" s="21">
        <f>VLOOKUP(Таблица15[[#This Row],[Модель]],Таблица14[#All],13,0)/1000000</f>
        <v>8.89</v>
      </c>
      <c r="AJ212" s="21">
        <f>VLOOKUP(Таблица15[[#This Row],[Модель]],Таблица14[#All],14,0)/1000000</f>
        <v>10.49</v>
      </c>
      <c r="AK212" s="21">
        <f>Таблица15[[#This Row],[Средняя цена (USD)]]*Таблица15[[#This Row],[Кол-во проданных]]/1000000</f>
        <v>45.74</v>
      </c>
      <c r="AL212" s="39">
        <f>Таблица15[[#This Row],[Средняя цена млн. ₸]]/440*Таблица15[[#This Row],[Кол-во проданных]]</f>
        <v>50.365977272727264</v>
      </c>
      <c r="AM212" s="39">
        <f>Таблица15[[#This Row],[Средняя цена млн. ₸]]*Таблица15[[#This Row],[Кол-во проданных]]/1000</f>
        <v>22.16103</v>
      </c>
      <c r="AR212" s="22"/>
      <c r="AS212" s="22"/>
      <c r="AT212" s="22"/>
    </row>
    <row r="213" spans="20:46">
      <c r="T213" t="s">
        <v>17</v>
      </c>
      <c r="U213" t="s">
        <v>65</v>
      </c>
      <c r="V213" t="str">
        <f>VLOOKUP(Таблица15[[#This Row],[Модель]],Таблица14[#All],2,0)</f>
        <v>Внедорожник</v>
      </c>
      <c r="W213" s="20">
        <f>VLOOKUP(Таблица15[[#This Row],[Модель]],Таблица14[#All],3,0)</f>
        <v>20000</v>
      </c>
      <c r="X213" s="20">
        <f>VLOOKUP(Таблица15[[#This Row],[Модель]],Таблица14[#All],4,0)</f>
        <v>18000</v>
      </c>
      <c r="Y213" s="4">
        <f>VLOOKUP(Таблица15[[#This Row],[Модель]],Таблица14[#All],5,0)</f>
        <v>24000</v>
      </c>
      <c r="Z213" t="str">
        <f>VLOOKUP(Таблица15[[#This Row],[Модель]],Таблица14[#All],6,0)</f>
        <v>АКПП</v>
      </c>
      <c r="AA213" t="str">
        <f>VLOOKUP(Таблица15[[#This Row],[Модель]],Таблица14[#All],7,0)</f>
        <v>Бензин</v>
      </c>
      <c r="AB213" t="str">
        <f>VLOOKUP(Таблица15[[#This Row],[Модель]],Таблица14[#All],8,0)</f>
        <v>Эконом</v>
      </c>
      <c r="AC213" t="str">
        <f>VLOOKUP(Таблица15[[#This Row],[Модель]],Таблица14[#All],9,0)</f>
        <v>Средний</v>
      </c>
      <c r="AD213">
        <f>VLOOKUP(Таблица15[[#This Row],[Модель]],Таблица14[#All],10,0)</f>
        <v>160</v>
      </c>
      <c r="AE213">
        <f>VLOOKUP(Таблица15[[#This Row],[Модель]],Таблица14[#All],11,0)</f>
        <v>12.5</v>
      </c>
      <c r="AF213">
        <v>2022</v>
      </c>
      <c r="AG213">
        <v>0</v>
      </c>
      <c r="AH213" s="22">
        <f>VLOOKUP(Таблица15[[#This Row],[Модель]],Таблица14[#All],12,0)/1000000</f>
        <v>9.69</v>
      </c>
      <c r="AI213" s="21">
        <f>VLOOKUP(Таблица15[[#This Row],[Модель]],Таблица14[#All],13,0)/1000000</f>
        <v>8.89</v>
      </c>
      <c r="AJ213" s="21">
        <f>VLOOKUP(Таблица15[[#This Row],[Модель]],Таблица14[#All],14,0)/1000000</f>
        <v>10.49</v>
      </c>
      <c r="AK213" s="21">
        <f>Таблица15[[#This Row],[Средняя цена (USD)]]*Таблица15[[#This Row],[Кол-во проданных]]/1000000</f>
        <v>0</v>
      </c>
      <c r="AL213" s="39">
        <f>Таблица15[[#This Row],[Средняя цена млн. ₸]]/440*Таблица15[[#This Row],[Кол-во проданных]]</f>
        <v>0</v>
      </c>
      <c r="AM213" s="39">
        <f>Таблица15[[#This Row],[Средняя цена млн. ₸]]*Таблица15[[#This Row],[Кол-во проданных]]/1000</f>
        <v>0</v>
      </c>
      <c r="AR213" s="22"/>
      <c r="AS213" s="22"/>
      <c r="AT213" s="22"/>
    </row>
    <row r="214" spans="20:46">
      <c r="T214" t="s">
        <v>17</v>
      </c>
      <c r="U214" t="s">
        <v>65</v>
      </c>
      <c r="V214" t="str">
        <f>VLOOKUP(Таблица15[[#This Row],[Модель]],Таблица14[#All],2,0)</f>
        <v>Внедорожник</v>
      </c>
      <c r="W214" s="20">
        <f>VLOOKUP(Таблица15[[#This Row],[Модель]],Таблица14[#All],3,0)</f>
        <v>20000</v>
      </c>
      <c r="X214" s="20">
        <f>VLOOKUP(Таблица15[[#This Row],[Модель]],Таблица14[#All],4,0)</f>
        <v>18000</v>
      </c>
      <c r="Y214" s="4">
        <f>VLOOKUP(Таблица15[[#This Row],[Модель]],Таблица14[#All],5,0)</f>
        <v>24000</v>
      </c>
      <c r="Z214" t="str">
        <f>VLOOKUP(Таблица15[[#This Row],[Модель]],Таблица14[#All],6,0)</f>
        <v>АКПП</v>
      </c>
      <c r="AA214" t="str">
        <f>VLOOKUP(Таблица15[[#This Row],[Модель]],Таблица14[#All],7,0)</f>
        <v>Бензин</v>
      </c>
      <c r="AB214" t="str">
        <f>VLOOKUP(Таблица15[[#This Row],[Модель]],Таблица14[#All],8,0)</f>
        <v>Эконом</v>
      </c>
      <c r="AC214" t="str">
        <f>VLOOKUP(Таблица15[[#This Row],[Модель]],Таблица14[#All],9,0)</f>
        <v>Средний</v>
      </c>
      <c r="AD214">
        <f>VLOOKUP(Таблица15[[#This Row],[Модель]],Таблица14[#All],10,0)</f>
        <v>160</v>
      </c>
      <c r="AE214">
        <f>VLOOKUP(Таблица15[[#This Row],[Модель]],Таблица14[#All],11,0)</f>
        <v>12.5</v>
      </c>
      <c r="AF214">
        <v>2021</v>
      </c>
      <c r="AG214">
        <v>0</v>
      </c>
      <c r="AH214" s="22">
        <f>VLOOKUP(Таблица15[[#This Row],[Модель]],Таблица14[#All],12,0)/1000000</f>
        <v>9.69</v>
      </c>
      <c r="AI214" s="21">
        <f>VLOOKUP(Таблица15[[#This Row],[Модель]],Таблица14[#All],13,0)/1000000</f>
        <v>8.89</v>
      </c>
      <c r="AJ214" s="21">
        <f>VLOOKUP(Таблица15[[#This Row],[Модель]],Таблица14[#All],14,0)/1000000</f>
        <v>10.49</v>
      </c>
      <c r="AK214" s="21">
        <f>Таблица15[[#This Row],[Средняя цена (USD)]]*Таблица15[[#This Row],[Кол-во проданных]]/1000000</f>
        <v>0</v>
      </c>
      <c r="AL214" s="39">
        <f>Таблица15[[#This Row],[Средняя цена млн. ₸]]/440*Таблица15[[#This Row],[Кол-во проданных]]</f>
        <v>0</v>
      </c>
      <c r="AM214" s="39">
        <f>Таблица15[[#This Row],[Средняя цена млн. ₸]]*Таблица15[[#This Row],[Кол-во проданных]]/1000</f>
        <v>0</v>
      </c>
      <c r="AR214" s="22"/>
      <c r="AS214" s="22"/>
      <c r="AT214" s="22"/>
    </row>
    <row r="215" spans="20:46">
      <c r="T215" t="s">
        <v>17</v>
      </c>
      <c r="U215" t="s">
        <v>65</v>
      </c>
      <c r="V215" t="str">
        <f>VLOOKUP(Таблица15[[#This Row],[Модель]],Таблица14[#All],2,0)</f>
        <v>Внедорожник</v>
      </c>
      <c r="W215" s="20">
        <f>VLOOKUP(Таблица15[[#This Row],[Модель]],Таблица14[#All],3,0)</f>
        <v>20000</v>
      </c>
      <c r="X215" s="20">
        <f>VLOOKUP(Таблица15[[#This Row],[Модель]],Таблица14[#All],4,0)</f>
        <v>18000</v>
      </c>
      <c r="Y215" s="4">
        <f>VLOOKUP(Таблица15[[#This Row],[Модель]],Таблица14[#All],5,0)</f>
        <v>24000</v>
      </c>
      <c r="Z215" t="str">
        <f>VLOOKUP(Таблица15[[#This Row],[Модель]],Таблица14[#All],6,0)</f>
        <v>АКПП</v>
      </c>
      <c r="AA215" t="str">
        <f>VLOOKUP(Таблица15[[#This Row],[Модель]],Таблица14[#All],7,0)</f>
        <v>Бензин</v>
      </c>
      <c r="AB215" t="str">
        <f>VLOOKUP(Таблица15[[#This Row],[Модель]],Таблица14[#All],8,0)</f>
        <v>Эконом</v>
      </c>
      <c r="AC215" t="str">
        <f>VLOOKUP(Таблица15[[#This Row],[Модель]],Таблица14[#All],9,0)</f>
        <v>Средний</v>
      </c>
      <c r="AD215">
        <f>VLOOKUP(Таблица15[[#This Row],[Модель]],Таблица14[#All],10,0)</f>
        <v>160</v>
      </c>
      <c r="AE215">
        <f>VLOOKUP(Таблица15[[#This Row],[Модель]],Таблица14[#All],11,0)</f>
        <v>12.5</v>
      </c>
      <c r="AF215">
        <v>2020</v>
      </c>
      <c r="AG215">
        <v>0</v>
      </c>
      <c r="AH215" s="22">
        <f>VLOOKUP(Таблица15[[#This Row],[Модель]],Таблица14[#All],12,0)/1000000</f>
        <v>9.69</v>
      </c>
      <c r="AI215" s="21">
        <f>VLOOKUP(Таблица15[[#This Row],[Модель]],Таблица14[#All],13,0)/1000000</f>
        <v>8.89</v>
      </c>
      <c r="AJ215" s="21">
        <f>VLOOKUP(Таблица15[[#This Row],[Модель]],Таблица14[#All],14,0)/1000000</f>
        <v>10.49</v>
      </c>
      <c r="AK215" s="21">
        <f>Таблица15[[#This Row],[Средняя цена (USD)]]*Таблица15[[#This Row],[Кол-во проданных]]/1000000</f>
        <v>0</v>
      </c>
      <c r="AL215" s="39">
        <f>Таблица15[[#This Row],[Средняя цена млн. ₸]]/440*Таблица15[[#This Row],[Кол-во проданных]]</f>
        <v>0</v>
      </c>
      <c r="AM215" s="39">
        <f>Таблица15[[#This Row],[Средняя цена млн. ₸]]*Таблица15[[#This Row],[Кол-во проданных]]/1000</f>
        <v>0</v>
      </c>
      <c r="AR215" s="22"/>
      <c r="AS215" s="22"/>
      <c r="AT215" s="22"/>
    </row>
    <row r="216" spans="20:46">
      <c r="T216" t="s">
        <v>17</v>
      </c>
      <c r="U216" t="s">
        <v>65</v>
      </c>
      <c r="V216" t="str">
        <f>VLOOKUP(Таблица15[[#This Row],[Модель]],Таблица14[#All],2,0)</f>
        <v>Внедорожник</v>
      </c>
      <c r="W216" s="20">
        <f>VLOOKUP(Таблица15[[#This Row],[Модель]],Таблица14[#All],3,0)</f>
        <v>20000</v>
      </c>
      <c r="X216" s="20">
        <f>VLOOKUP(Таблица15[[#This Row],[Модель]],Таблица14[#All],4,0)</f>
        <v>18000</v>
      </c>
      <c r="Y216" s="4">
        <f>VLOOKUP(Таблица15[[#This Row],[Модель]],Таблица14[#All],5,0)</f>
        <v>24000</v>
      </c>
      <c r="Z216" t="str">
        <f>VLOOKUP(Таблица15[[#This Row],[Модель]],Таблица14[#All],6,0)</f>
        <v>АКПП</v>
      </c>
      <c r="AA216" t="str">
        <f>VLOOKUP(Таблица15[[#This Row],[Модель]],Таблица14[#All],7,0)</f>
        <v>Бензин</v>
      </c>
      <c r="AB216" t="str">
        <f>VLOOKUP(Таблица15[[#This Row],[Модель]],Таблица14[#All],8,0)</f>
        <v>Эконом</v>
      </c>
      <c r="AC216" t="str">
        <f>VLOOKUP(Таблица15[[#This Row],[Модель]],Таблица14[#All],9,0)</f>
        <v>Средний</v>
      </c>
      <c r="AD216">
        <f>VLOOKUP(Таблица15[[#This Row],[Модель]],Таблица14[#All],10,0)</f>
        <v>160</v>
      </c>
      <c r="AE216">
        <f>VLOOKUP(Таблица15[[#This Row],[Модель]],Таблица14[#All],11,0)</f>
        <v>12.5</v>
      </c>
      <c r="AF216">
        <v>2019</v>
      </c>
      <c r="AG216">
        <v>0</v>
      </c>
      <c r="AH216" s="22">
        <f>VLOOKUP(Таблица15[[#This Row],[Модель]],Таблица14[#All],12,0)/1000000</f>
        <v>9.69</v>
      </c>
      <c r="AI216" s="21">
        <f>VLOOKUP(Таблица15[[#This Row],[Модель]],Таблица14[#All],13,0)/1000000</f>
        <v>8.89</v>
      </c>
      <c r="AJ216" s="21">
        <f>VLOOKUP(Таблица15[[#This Row],[Модель]],Таблица14[#All],14,0)/1000000</f>
        <v>10.49</v>
      </c>
      <c r="AK216" s="21">
        <f>Таблица15[[#This Row],[Средняя цена (USD)]]*Таблица15[[#This Row],[Кол-во проданных]]/1000000</f>
        <v>0</v>
      </c>
      <c r="AL216" s="39">
        <f>Таблица15[[#This Row],[Средняя цена млн. ₸]]/440*Таблица15[[#This Row],[Кол-во проданных]]</f>
        <v>0</v>
      </c>
      <c r="AM216" s="39">
        <f>Таблица15[[#This Row],[Средняя цена млн. ₸]]*Таблица15[[#This Row],[Кол-во проданных]]/1000</f>
        <v>0</v>
      </c>
      <c r="AR216" s="22"/>
      <c r="AS216" s="22"/>
      <c r="AT216" s="22"/>
    </row>
    <row r="217" spans="20:46">
      <c r="T217" t="s">
        <v>17</v>
      </c>
      <c r="U217" t="s">
        <v>84</v>
      </c>
      <c r="V217" t="str">
        <f>VLOOKUP(Таблица15[[#This Row],[Модель]],Таблица14[#All],2,0)</f>
        <v>Внедорожник</v>
      </c>
      <c r="W217" s="20">
        <f>VLOOKUP(Таблица15[[#This Row],[Модель]],Таблица14[#All],3,0)</f>
        <v>22000</v>
      </c>
      <c r="X217" s="20">
        <f>VLOOKUP(Таблица15[[#This Row],[Модель]],Таблица14[#All],4,0)</f>
        <v>19000</v>
      </c>
      <c r="Y217" s="4">
        <f>VLOOKUP(Таблица15[[#This Row],[Модель]],Таблица14[#All],5,0)</f>
        <v>25000</v>
      </c>
      <c r="Z217" t="str">
        <f>VLOOKUP(Таблица15[[#This Row],[Модель]],Таблица14[#All],6,0)</f>
        <v>АКПП</v>
      </c>
      <c r="AA217" t="str">
        <f>VLOOKUP(Таблица15[[#This Row],[Модель]],Таблица14[#All],7,0)</f>
        <v>Бензин</v>
      </c>
      <c r="AB217" t="str">
        <f>VLOOKUP(Таблица15[[#This Row],[Модель]],Таблица14[#All],8,0)</f>
        <v>Комфорт</v>
      </c>
      <c r="AC217" t="str">
        <f>VLOOKUP(Таблица15[[#This Row],[Модель]],Таблица14[#All],9,0)</f>
        <v>Средний</v>
      </c>
      <c r="AD217">
        <f>VLOOKUP(Таблица15[[#This Row],[Модель]],Таблица14[#All],10,0)</f>
        <v>170</v>
      </c>
      <c r="AE217">
        <f>VLOOKUP(Таблица15[[#This Row],[Модель]],Таблица14[#All],11,0)</f>
        <v>12</v>
      </c>
      <c r="AF217">
        <v>2023</v>
      </c>
      <c r="AG217">
        <v>1028</v>
      </c>
      <c r="AH217" s="22">
        <f>VLOOKUP(Таблица15[[#This Row],[Модель]],Таблица14[#All],12,0)/1000000</f>
        <v>12.89</v>
      </c>
      <c r="AI217" s="21">
        <f>VLOOKUP(Таблица15[[#This Row],[Модель]],Таблица14[#All],13,0)/1000000</f>
        <v>11.79</v>
      </c>
      <c r="AJ217" s="21">
        <f>VLOOKUP(Таблица15[[#This Row],[Модель]],Таблица14[#All],14,0)/1000000</f>
        <v>13.99</v>
      </c>
      <c r="AK217" s="21">
        <f>Таблица15[[#This Row],[Средняя цена (USD)]]*Таблица15[[#This Row],[Кол-во проданных]]/1000000</f>
        <v>22.616</v>
      </c>
      <c r="AL217" s="39">
        <f>Таблица15[[#This Row],[Средняя цена млн. ₸]]/440*Таблица15[[#This Row],[Кол-во проданных]]</f>
        <v>30.115727272727277</v>
      </c>
      <c r="AM217" s="39">
        <f>Таблица15[[#This Row],[Средняя цена млн. ₸]]*Таблица15[[#This Row],[Кол-во проданных]]/1000</f>
        <v>13.250920000000001</v>
      </c>
      <c r="AR217" s="22"/>
      <c r="AS217" s="22"/>
      <c r="AT217" s="22"/>
    </row>
    <row r="218" spans="20:46">
      <c r="T218" t="s">
        <v>17</v>
      </c>
      <c r="U218" t="s">
        <v>84</v>
      </c>
      <c r="V218" t="str">
        <f>VLOOKUP(Таблица15[[#This Row],[Модель]],Таблица14[#All],2,0)</f>
        <v>Внедорожник</v>
      </c>
      <c r="W218" s="20">
        <f>VLOOKUP(Таблица15[[#This Row],[Модель]],Таблица14[#All],3,0)</f>
        <v>22000</v>
      </c>
      <c r="X218" s="20">
        <f>VLOOKUP(Таблица15[[#This Row],[Модель]],Таблица14[#All],4,0)</f>
        <v>19000</v>
      </c>
      <c r="Y218" s="4">
        <f>VLOOKUP(Таблица15[[#This Row],[Модель]],Таблица14[#All],5,0)</f>
        <v>25000</v>
      </c>
      <c r="Z218" t="str">
        <f>VLOOKUP(Таблица15[[#This Row],[Модель]],Таблица14[#All],6,0)</f>
        <v>АКПП</v>
      </c>
      <c r="AA218" t="str">
        <f>VLOOKUP(Таблица15[[#This Row],[Модель]],Таблица14[#All],7,0)</f>
        <v>Бензин</v>
      </c>
      <c r="AB218" t="str">
        <f>VLOOKUP(Таблица15[[#This Row],[Модель]],Таблица14[#All],8,0)</f>
        <v>Комфорт</v>
      </c>
      <c r="AC218" t="str">
        <f>VLOOKUP(Таблица15[[#This Row],[Модель]],Таблица14[#All],9,0)</f>
        <v>Средний</v>
      </c>
      <c r="AD218">
        <f>VLOOKUP(Таблица15[[#This Row],[Модель]],Таблица14[#All],10,0)</f>
        <v>170</v>
      </c>
      <c r="AE218">
        <f>VLOOKUP(Таблица15[[#This Row],[Модель]],Таблица14[#All],11,0)</f>
        <v>12</v>
      </c>
      <c r="AF218">
        <v>2022</v>
      </c>
      <c r="AG218">
        <v>0</v>
      </c>
      <c r="AH218" s="22">
        <f>VLOOKUP(Таблица15[[#This Row],[Модель]],Таблица14[#All],12,0)/1000000</f>
        <v>12.89</v>
      </c>
      <c r="AI218" s="21">
        <f>VLOOKUP(Таблица15[[#This Row],[Модель]],Таблица14[#All],13,0)/1000000</f>
        <v>11.79</v>
      </c>
      <c r="AJ218" s="21">
        <f>VLOOKUP(Таблица15[[#This Row],[Модель]],Таблица14[#All],14,0)/1000000</f>
        <v>13.99</v>
      </c>
      <c r="AK218" s="21">
        <f>Таблица15[[#This Row],[Средняя цена (USD)]]*Таблица15[[#This Row],[Кол-во проданных]]/1000000</f>
        <v>0</v>
      </c>
      <c r="AL218" s="39">
        <f>Таблица15[[#This Row],[Средняя цена млн. ₸]]/440*Таблица15[[#This Row],[Кол-во проданных]]</f>
        <v>0</v>
      </c>
      <c r="AM218" s="39">
        <f>Таблица15[[#This Row],[Средняя цена млн. ₸]]*Таблица15[[#This Row],[Кол-во проданных]]/1000</f>
        <v>0</v>
      </c>
      <c r="AR218" s="22"/>
      <c r="AS218" s="22"/>
      <c r="AT218" s="22"/>
    </row>
    <row r="219" spans="20:46">
      <c r="T219" t="s">
        <v>17</v>
      </c>
      <c r="U219" t="s">
        <v>84</v>
      </c>
      <c r="V219" t="str">
        <f>VLOOKUP(Таблица15[[#This Row],[Модель]],Таблица14[#All],2,0)</f>
        <v>Внедорожник</v>
      </c>
      <c r="W219" s="20">
        <f>VLOOKUP(Таблица15[[#This Row],[Модель]],Таблица14[#All],3,0)</f>
        <v>22000</v>
      </c>
      <c r="X219" s="20">
        <f>VLOOKUP(Таблица15[[#This Row],[Модель]],Таблица14[#All],4,0)</f>
        <v>19000</v>
      </c>
      <c r="Y219" s="4">
        <f>VLOOKUP(Таблица15[[#This Row],[Модель]],Таблица14[#All],5,0)</f>
        <v>25000</v>
      </c>
      <c r="Z219" t="str">
        <f>VLOOKUP(Таблица15[[#This Row],[Модель]],Таблица14[#All],6,0)</f>
        <v>АКПП</v>
      </c>
      <c r="AA219" t="str">
        <f>VLOOKUP(Таблица15[[#This Row],[Модель]],Таблица14[#All],7,0)</f>
        <v>Бензин</v>
      </c>
      <c r="AB219" t="str">
        <f>VLOOKUP(Таблица15[[#This Row],[Модель]],Таблица14[#All],8,0)</f>
        <v>Комфорт</v>
      </c>
      <c r="AC219" t="str">
        <f>VLOOKUP(Таблица15[[#This Row],[Модель]],Таблица14[#All],9,0)</f>
        <v>Средний</v>
      </c>
      <c r="AD219">
        <f>VLOOKUP(Таблица15[[#This Row],[Модель]],Таблица14[#All],10,0)</f>
        <v>170</v>
      </c>
      <c r="AE219">
        <f>VLOOKUP(Таблица15[[#This Row],[Модель]],Таблица14[#All],11,0)</f>
        <v>12</v>
      </c>
      <c r="AF219">
        <v>2021</v>
      </c>
      <c r="AG219">
        <v>0</v>
      </c>
      <c r="AH219" s="22">
        <f>VLOOKUP(Таблица15[[#This Row],[Модель]],Таблица14[#All],12,0)/1000000</f>
        <v>12.89</v>
      </c>
      <c r="AI219" s="21">
        <f>VLOOKUP(Таблица15[[#This Row],[Модель]],Таблица14[#All],13,0)/1000000</f>
        <v>11.79</v>
      </c>
      <c r="AJ219" s="21">
        <f>VLOOKUP(Таблица15[[#This Row],[Модель]],Таблица14[#All],14,0)/1000000</f>
        <v>13.99</v>
      </c>
      <c r="AK219" s="21">
        <f>Таблица15[[#This Row],[Средняя цена (USD)]]*Таблица15[[#This Row],[Кол-во проданных]]/1000000</f>
        <v>0</v>
      </c>
      <c r="AL219" s="39">
        <f>Таблица15[[#This Row],[Средняя цена млн. ₸]]/440*Таблица15[[#This Row],[Кол-во проданных]]</f>
        <v>0</v>
      </c>
      <c r="AM219" s="39">
        <f>Таблица15[[#This Row],[Средняя цена млн. ₸]]*Таблица15[[#This Row],[Кол-во проданных]]/1000</f>
        <v>0</v>
      </c>
      <c r="AR219" s="22"/>
      <c r="AS219" s="22"/>
      <c r="AT219" s="22"/>
    </row>
    <row r="220" spans="20:46">
      <c r="T220" t="s">
        <v>17</v>
      </c>
      <c r="U220" t="s">
        <v>84</v>
      </c>
      <c r="V220" t="str">
        <f>VLOOKUP(Таблица15[[#This Row],[Модель]],Таблица14[#All],2,0)</f>
        <v>Внедорожник</v>
      </c>
      <c r="W220" s="20">
        <f>VLOOKUP(Таблица15[[#This Row],[Модель]],Таблица14[#All],3,0)</f>
        <v>22000</v>
      </c>
      <c r="X220" s="20">
        <f>VLOOKUP(Таблица15[[#This Row],[Модель]],Таблица14[#All],4,0)</f>
        <v>19000</v>
      </c>
      <c r="Y220" s="4">
        <f>VLOOKUP(Таблица15[[#This Row],[Модель]],Таблица14[#All],5,0)</f>
        <v>25000</v>
      </c>
      <c r="Z220" t="str">
        <f>VLOOKUP(Таблица15[[#This Row],[Модель]],Таблица14[#All],6,0)</f>
        <v>АКПП</v>
      </c>
      <c r="AA220" t="str">
        <f>VLOOKUP(Таблица15[[#This Row],[Модель]],Таблица14[#All],7,0)</f>
        <v>Бензин</v>
      </c>
      <c r="AB220" t="str">
        <f>VLOOKUP(Таблица15[[#This Row],[Модель]],Таблица14[#All],8,0)</f>
        <v>Комфорт</v>
      </c>
      <c r="AC220" t="str">
        <f>VLOOKUP(Таблица15[[#This Row],[Модель]],Таблица14[#All],9,0)</f>
        <v>Средний</v>
      </c>
      <c r="AD220">
        <f>VLOOKUP(Таблица15[[#This Row],[Модель]],Таблица14[#All],10,0)</f>
        <v>170</v>
      </c>
      <c r="AE220">
        <f>VLOOKUP(Таблица15[[#This Row],[Модель]],Таблица14[#All],11,0)</f>
        <v>12</v>
      </c>
      <c r="AF220">
        <v>2020</v>
      </c>
      <c r="AG220">
        <v>0</v>
      </c>
      <c r="AH220" s="22">
        <f>VLOOKUP(Таблица15[[#This Row],[Модель]],Таблица14[#All],12,0)/1000000</f>
        <v>12.89</v>
      </c>
      <c r="AI220" s="21">
        <f>VLOOKUP(Таблица15[[#This Row],[Модель]],Таблица14[#All],13,0)/1000000</f>
        <v>11.79</v>
      </c>
      <c r="AJ220" s="21">
        <f>VLOOKUP(Таблица15[[#This Row],[Модель]],Таблица14[#All],14,0)/1000000</f>
        <v>13.99</v>
      </c>
      <c r="AK220" s="21">
        <f>Таблица15[[#This Row],[Средняя цена (USD)]]*Таблица15[[#This Row],[Кол-во проданных]]/1000000</f>
        <v>0</v>
      </c>
      <c r="AL220" s="39">
        <f>Таблица15[[#This Row],[Средняя цена млн. ₸]]/440*Таблица15[[#This Row],[Кол-во проданных]]</f>
        <v>0</v>
      </c>
      <c r="AM220" s="39">
        <f>Таблица15[[#This Row],[Средняя цена млн. ₸]]*Таблица15[[#This Row],[Кол-во проданных]]/1000</f>
        <v>0</v>
      </c>
      <c r="AR220" s="22"/>
      <c r="AS220" s="22"/>
      <c r="AT220" s="22"/>
    </row>
    <row r="221" spans="20:46">
      <c r="T221" t="s">
        <v>17</v>
      </c>
      <c r="U221" t="s">
        <v>84</v>
      </c>
      <c r="V221" t="str">
        <f>VLOOKUP(Таблица15[[#This Row],[Модель]],Таблица14[#All],2,0)</f>
        <v>Внедорожник</v>
      </c>
      <c r="W221" s="20">
        <f>VLOOKUP(Таблица15[[#This Row],[Модель]],Таблица14[#All],3,0)</f>
        <v>22000</v>
      </c>
      <c r="X221" s="20">
        <f>VLOOKUP(Таблица15[[#This Row],[Модель]],Таблица14[#All],4,0)</f>
        <v>19000</v>
      </c>
      <c r="Y221" s="4">
        <f>VLOOKUP(Таблица15[[#This Row],[Модель]],Таблица14[#All],5,0)</f>
        <v>25000</v>
      </c>
      <c r="Z221" t="str">
        <f>VLOOKUP(Таблица15[[#This Row],[Модель]],Таблица14[#All],6,0)</f>
        <v>АКПП</v>
      </c>
      <c r="AA221" t="str">
        <f>VLOOKUP(Таблица15[[#This Row],[Модель]],Таблица14[#All],7,0)</f>
        <v>Бензин</v>
      </c>
      <c r="AB221" t="str">
        <f>VLOOKUP(Таблица15[[#This Row],[Модель]],Таблица14[#All],8,0)</f>
        <v>Комфорт</v>
      </c>
      <c r="AC221" t="str">
        <f>VLOOKUP(Таблица15[[#This Row],[Модель]],Таблица14[#All],9,0)</f>
        <v>Средний</v>
      </c>
      <c r="AD221">
        <f>VLOOKUP(Таблица15[[#This Row],[Модель]],Таблица14[#All],10,0)</f>
        <v>170</v>
      </c>
      <c r="AE221">
        <f>VLOOKUP(Таблица15[[#This Row],[Модель]],Таблица14[#All],11,0)</f>
        <v>12</v>
      </c>
      <c r="AF221">
        <v>2019</v>
      </c>
      <c r="AG221">
        <v>0</v>
      </c>
      <c r="AH221" s="22">
        <f>VLOOKUP(Таблица15[[#This Row],[Модель]],Таблица14[#All],12,0)/1000000</f>
        <v>12.89</v>
      </c>
      <c r="AI221" s="21">
        <f>VLOOKUP(Таблица15[[#This Row],[Модель]],Таблица14[#All],13,0)/1000000</f>
        <v>11.79</v>
      </c>
      <c r="AJ221" s="21">
        <f>VLOOKUP(Таблица15[[#This Row],[Модель]],Таблица14[#All],14,0)/1000000</f>
        <v>13.99</v>
      </c>
      <c r="AK221" s="21">
        <f>Таблица15[[#This Row],[Средняя цена (USD)]]*Таблица15[[#This Row],[Кол-во проданных]]/1000000</f>
        <v>0</v>
      </c>
      <c r="AL221" s="39">
        <f>Таблица15[[#This Row],[Средняя цена млн. ₸]]/440*Таблица15[[#This Row],[Кол-во проданных]]</f>
        <v>0</v>
      </c>
      <c r="AM221" s="39">
        <f>Таблица15[[#This Row],[Средняя цена млн. ₸]]*Таблица15[[#This Row],[Кол-во проданных]]/1000</f>
        <v>0</v>
      </c>
      <c r="AR221" s="22"/>
      <c r="AS221" s="22"/>
      <c r="AT221" s="22"/>
    </row>
    <row r="222" spans="20:46">
      <c r="T222" t="s">
        <v>15</v>
      </c>
      <c r="U222" t="s">
        <v>61</v>
      </c>
      <c r="V222" t="str">
        <f>VLOOKUP(Таблица15[[#This Row],[Модель]],Таблица14[#All],2,0)</f>
        <v>Хэтчбэк</v>
      </c>
      <c r="W222" s="20">
        <f>VLOOKUP(Таблица15[[#This Row],[Модель]],Таблица14[#All],3,0)</f>
        <v>18000</v>
      </c>
      <c r="X222" s="20">
        <f>VLOOKUP(Таблица15[[#This Row],[Модель]],Таблица14[#All],4,0)</f>
        <v>16000</v>
      </c>
      <c r="Y222" s="4">
        <f>VLOOKUP(Таблица15[[#This Row],[Модель]],Таблица14[#All],5,0)</f>
        <v>22000</v>
      </c>
      <c r="Z222" t="str">
        <f>VLOOKUP(Таблица15[[#This Row],[Модель]],Таблица14[#All],6,0)</f>
        <v>МКПП, АКПП</v>
      </c>
      <c r="AA222" t="str">
        <f>VLOOKUP(Таблица15[[#This Row],[Модель]],Таблица14[#All],7,0)</f>
        <v>Бензин</v>
      </c>
      <c r="AB222" t="str">
        <f>VLOOKUP(Таблица15[[#This Row],[Модель]],Таблица14[#All],8,0)</f>
        <v>Комфорт</v>
      </c>
      <c r="AC222" t="str">
        <f>VLOOKUP(Таблица15[[#This Row],[Модель]],Таблица14[#All],9,0)</f>
        <v>Средний</v>
      </c>
      <c r="AD222">
        <f>VLOOKUP(Таблица15[[#This Row],[Модель]],Таблица14[#All],10,0)</f>
        <v>150</v>
      </c>
      <c r="AE222">
        <f>VLOOKUP(Таблица15[[#This Row],[Модель]],Таблица14[#All],11,0)</f>
        <v>13.5</v>
      </c>
      <c r="AF222">
        <v>2023</v>
      </c>
      <c r="AG222">
        <v>2859</v>
      </c>
      <c r="AH222" s="22">
        <f>VLOOKUP(Таблица15[[#This Row],[Модель]],Таблица14[#All],12,0)/1000000</f>
        <v>11.49</v>
      </c>
      <c r="AI222" s="21">
        <f>VLOOKUP(Таблица15[[#This Row],[Модель]],Таблица14[#All],13,0)/1000000</f>
        <v>10.59</v>
      </c>
      <c r="AJ222" s="21">
        <f>VLOOKUP(Таблица15[[#This Row],[Модель]],Таблица14[#All],14,0)/1000000</f>
        <v>12.39</v>
      </c>
      <c r="AK222" s="21">
        <f>Таблица15[[#This Row],[Средняя цена (USD)]]*Таблица15[[#This Row],[Кол-во проданных]]/1000000</f>
        <v>51.462000000000003</v>
      </c>
      <c r="AL222" s="39">
        <f>Таблица15[[#This Row],[Средняя цена млн. ₸]]/440*Таблица15[[#This Row],[Кол-во проданных]]</f>
        <v>74.658886363636356</v>
      </c>
      <c r="AM222" s="39">
        <f>Таблица15[[#This Row],[Средняя цена млн. ₸]]*Таблица15[[#This Row],[Кол-во проданных]]/1000</f>
        <v>32.849910000000001</v>
      </c>
      <c r="AR222" s="22"/>
      <c r="AS222" s="22"/>
      <c r="AT222" s="22"/>
    </row>
    <row r="223" spans="20:46">
      <c r="T223" t="s">
        <v>15</v>
      </c>
      <c r="U223" t="s">
        <v>61</v>
      </c>
      <c r="V223" t="str">
        <f>VLOOKUP(Таблица15[[#This Row],[Модель]],Таблица14[#All],2,0)</f>
        <v>Хэтчбэк</v>
      </c>
      <c r="W223" s="20">
        <f>VLOOKUP(Таблица15[[#This Row],[Модель]],Таблица14[#All],3,0)</f>
        <v>18000</v>
      </c>
      <c r="X223" s="20">
        <f>VLOOKUP(Таблица15[[#This Row],[Модель]],Таблица14[#All],4,0)</f>
        <v>16000</v>
      </c>
      <c r="Y223" s="4">
        <f>VLOOKUP(Таблица15[[#This Row],[Модель]],Таблица14[#All],5,0)</f>
        <v>22000</v>
      </c>
      <c r="Z223" t="str">
        <f>VLOOKUP(Таблица15[[#This Row],[Модель]],Таблица14[#All],6,0)</f>
        <v>МКПП, АКПП</v>
      </c>
      <c r="AA223" t="str">
        <f>VLOOKUP(Таблица15[[#This Row],[Модель]],Таблица14[#All],7,0)</f>
        <v>Бензин</v>
      </c>
      <c r="AB223" t="str">
        <f>VLOOKUP(Таблица15[[#This Row],[Модель]],Таблица14[#All],8,0)</f>
        <v>Комфорт</v>
      </c>
      <c r="AC223" t="str">
        <f>VLOOKUP(Таблица15[[#This Row],[Модель]],Таблица14[#All],9,0)</f>
        <v>Средний</v>
      </c>
      <c r="AD223">
        <f>VLOOKUP(Таблица15[[#This Row],[Модель]],Таблица14[#All],10,0)</f>
        <v>150</v>
      </c>
      <c r="AE223">
        <f>VLOOKUP(Таблица15[[#This Row],[Модель]],Таблица14[#All],11,0)</f>
        <v>13.5</v>
      </c>
      <c r="AF223">
        <v>2022</v>
      </c>
      <c r="AG223">
        <v>1573</v>
      </c>
      <c r="AH223" s="22">
        <f>VLOOKUP(Таблица15[[#This Row],[Модель]],Таблица14[#All],12,0)/1000000</f>
        <v>11.49</v>
      </c>
      <c r="AI223" s="21">
        <f>VLOOKUP(Таблица15[[#This Row],[Модель]],Таблица14[#All],13,0)/1000000</f>
        <v>10.59</v>
      </c>
      <c r="AJ223" s="21">
        <f>VLOOKUP(Таблица15[[#This Row],[Модель]],Таблица14[#All],14,0)/1000000</f>
        <v>12.39</v>
      </c>
      <c r="AK223" s="21">
        <f>Таблица15[[#This Row],[Средняя цена (USD)]]*Таблица15[[#This Row],[Кол-во проданных]]/1000000</f>
        <v>28.314</v>
      </c>
      <c r="AL223" s="39">
        <f>Таблица15[[#This Row],[Средняя цена млн. ₸]]/440*Таблица15[[#This Row],[Кол-во проданных]]</f>
        <v>41.076749999999997</v>
      </c>
      <c r="AM223" s="39">
        <f>Таблица15[[#This Row],[Средняя цена млн. ₸]]*Таблица15[[#This Row],[Кол-во проданных]]/1000</f>
        <v>18.07377</v>
      </c>
      <c r="AR223" s="22"/>
      <c r="AS223" s="22"/>
      <c r="AT223" s="22"/>
    </row>
    <row r="224" spans="20:46">
      <c r="T224" t="s">
        <v>15</v>
      </c>
      <c r="U224" t="s">
        <v>61</v>
      </c>
      <c r="V224" t="str">
        <f>VLOOKUP(Таблица15[[#This Row],[Модель]],Таблица14[#All],2,0)</f>
        <v>Хэтчбэк</v>
      </c>
      <c r="W224" s="20">
        <f>VLOOKUP(Таблица15[[#This Row],[Модель]],Таблица14[#All],3,0)</f>
        <v>18000</v>
      </c>
      <c r="X224" s="20">
        <f>VLOOKUP(Таблица15[[#This Row],[Модель]],Таблица14[#All],4,0)</f>
        <v>16000</v>
      </c>
      <c r="Y224" s="4">
        <f>VLOOKUP(Таблица15[[#This Row],[Модель]],Таблица14[#All],5,0)</f>
        <v>22000</v>
      </c>
      <c r="Z224" t="str">
        <f>VLOOKUP(Таблица15[[#This Row],[Модель]],Таблица14[#All],6,0)</f>
        <v>МКПП, АКПП</v>
      </c>
      <c r="AA224" t="str">
        <f>VLOOKUP(Таблица15[[#This Row],[Модель]],Таблица14[#All],7,0)</f>
        <v>Бензин</v>
      </c>
      <c r="AB224" t="str">
        <f>VLOOKUP(Таблица15[[#This Row],[Модель]],Таблица14[#All],8,0)</f>
        <v>Комфорт</v>
      </c>
      <c r="AC224" t="str">
        <f>VLOOKUP(Таблица15[[#This Row],[Модель]],Таблица14[#All],9,0)</f>
        <v>Средний</v>
      </c>
      <c r="AD224">
        <f>VLOOKUP(Таблица15[[#This Row],[Модель]],Таблица14[#All],10,0)</f>
        <v>150</v>
      </c>
      <c r="AE224">
        <f>VLOOKUP(Таблица15[[#This Row],[Модель]],Таблица14[#All],11,0)</f>
        <v>13.5</v>
      </c>
      <c r="AF224">
        <v>2021</v>
      </c>
      <c r="AG224">
        <v>0</v>
      </c>
      <c r="AH224" s="22">
        <f>VLOOKUP(Таблица15[[#This Row],[Модель]],Таблица14[#All],12,0)/1000000</f>
        <v>11.49</v>
      </c>
      <c r="AI224" s="21">
        <f>VLOOKUP(Таблица15[[#This Row],[Модель]],Таблица14[#All],13,0)/1000000</f>
        <v>10.59</v>
      </c>
      <c r="AJ224" s="21">
        <f>VLOOKUP(Таблица15[[#This Row],[Модель]],Таблица14[#All],14,0)/1000000</f>
        <v>12.39</v>
      </c>
      <c r="AK224" s="21">
        <f>Таблица15[[#This Row],[Средняя цена (USD)]]*Таблица15[[#This Row],[Кол-во проданных]]/1000000</f>
        <v>0</v>
      </c>
      <c r="AL224" s="39">
        <f>Таблица15[[#This Row],[Средняя цена млн. ₸]]/440*Таблица15[[#This Row],[Кол-во проданных]]</f>
        <v>0</v>
      </c>
      <c r="AM224" s="39">
        <f>Таблица15[[#This Row],[Средняя цена млн. ₸]]*Таблица15[[#This Row],[Кол-во проданных]]/1000</f>
        <v>0</v>
      </c>
      <c r="AR224" s="22"/>
      <c r="AS224" s="22"/>
      <c r="AT224" s="22"/>
    </row>
    <row r="225" spans="20:46">
      <c r="T225" t="s">
        <v>15</v>
      </c>
      <c r="U225" t="s">
        <v>61</v>
      </c>
      <c r="V225" t="str">
        <f>VLOOKUP(Таблица15[[#This Row],[Модель]],Таблица14[#All],2,0)</f>
        <v>Хэтчбэк</v>
      </c>
      <c r="W225" s="20">
        <f>VLOOKUP(Таблица15[[#This Row],[Модель]],Таблица14[#All],3,0)</f>
        <v>18000</v>
      </c>
      <c r="X225" s="20">
        <f>VLOOKUP(Таблица15[[#This Row],[Модель]],Таблица14[#All],4,0)</f>
        <v>16000</v>
      </c>
      <c r="Y225" s="4">
        <f>VLOOKUP(Таблица15[[#This Row],[Модель]],Таблица14[#All],5,0)</f>
        <v>22000</v>
      </c>
      <c r="Z225" t="str">
        <f>VLOOKUP(Таблица15[[#This Row],[Модель]],Таблица14[#All],6,0)</f>
        <v>МКПП, АКПП</v>
      </c>
      <c r="AA225" t="str">
        <f>VLOOKUP(Таблица15[[#This Row],[Модель]],Таблица14[#All],7,0)</f>
        <v>Бензин</v>
      </c>
      <c r="AB225" t="str">
        <f>VLOOKUP(Таблица15[[#This Row],[Модель]],Таблица14[#All],8,0)</f>
        <v>Комфорт</v>
      </c>
      <c r="AC225" t="str">
        <f>VLOOKUP(Таблица15[[#This Row],[Модель]],Таблица14[#All],9,0)</f>
        <v>Средний</v>
      </c>
      <c r="AD225">
        <f>VLOOKUP(Таблица15[[#This Row],[Модель]],Таблица14[#All],10,0)</f>
        <v>150</v>
      </c>
      <c r="AE225">
        <f>VLOOKUP(Таблица15[[#This Row],[Модель]],Таблица14[#All],11,0)</f>
        <v>13.5</v>
      </c>
      <c r="AF225">
        <v>2020</v>
      </c>
      <c r="AG225">
        <v>0</v>
      </c>
      <c r="AH225" s="22">
        <f>VLOOKUP(Таблица15[[#This Row],[Модель]],Таблица14[#All],12,0)/1000000</f>
        <v>11.49</v>
      </c>
      <c r="AI225" s="21">
        <f>VLOOKUP(Таблица15[[#This Row],[Модель]],Таблица14[#All],13,0)/1000000</f>
        <v>10.59</v>
      </c>
      <c r="AJ225" s="21">
        <f>VLOOKUP(Таблица15[[#This Row],[Модель]],Таблица14[#All],14,0)/1000000</f>
        <v>12.39</v>
      </c>
      <c r="AK225" s="21">
        <f>Таблица15[[#This Row],[Средняя цена (USD)]]*Таблица15[[#This Row],[Кол-во проданных]]/1000000</f>
        <v>0</v>
      </c>
      <c r="AL225" s="39">
        <f>Таблица15[[#This Row],[Средняя цена млн. ₸]]/440*Таблица15[[#This Row],[Кол-во проданных]]</f>
        <v>0</v>
      </c>
      <c r="AM225" s="39">
        <f>Таблица15[[#This Row],[Средняя цена млн. ₸]]*Таблица15[[#This Row],[Кол-во проданных]]/1000</f>
        <v>0</v>
      </c>
      <c r="AR225" s="22"/>
      <c r="AS225" s="22"/>
      <c r="AT225" s="22"/>
    </row>
    <row r="226" spans="20:46">
      <c r="T226" t="s">
        <v>15</v>
      </c>
      <c r="U226" t="s">
        <v>61</v>
      </c>
      <c r="V226" t="str">
        <f>VLOOKUP(Таблица15[[#This Row],[Модель]],Таблица14[#All],2,0)</f>
        <v>Хэтчбэк</v>
      </c>
      <c r="W226" s="20">
        <f>VLOOKUP(Таблица15[[#This Row],[Модель]],Таблица14[#All],3,0)</f>
        <v>18000</v>
      </c>
      <c r="X226" s="20">
        <f>VLOOKUP(Таблица15[[#This Row],[Модель]],Таблица14[#All],4,0)</f>
        <v>16000</v>
      </c>
      <c r="Y226" s="4">
        <f>VLOOKUP(Таблица15[[#This Row],[Модель]],Таблица14[#All],5,0)</f>
        <v>22000</v>
      </c>
      <c r="Z226" t="str">
        <f>VLOOKUP(Таблица15[[#This Row],[Модель]],Таблица14[#All],6,0)</f>
        <v>МКПП, АКПП</v>
      </c>
      <c r="AA226" t="str">
        <f>VLOOKUP(Таблица15[[#This Row],[Модель]],Таблица14[#All],7,0)</f>
        <v>Бензин</v>
      </c>
      <c r="AB226" t="str">
        <f>VLOOKUP(Таблица15[[#This Row],[Модель]],Таблица14[#All],8,0)</f>
        <v>Комфорт</v>
      </c>
      <c r="AC226" t="str">
        <f>VLOOKUP(Таблица15[[#This Row],[Модель]],Таблица14[#All],9,0)</f>
        <v>Средний</v>
      </c>
      <c r="AD226">
        <f>VLOOKUP(Таблица15[[#This Row],[Модель]],Таблица14[#All],10,0)</f>
        <v>150</v>
      </c>
      <c r="AE226">
        <f>VLOOKUP(Таблица15[[#This Row],[Модель]],Таблица14[#All],11,0)</f>
        <v>13.5</v>
      </c>
      <c r="AF226">
        <v>2019</v>
      </c>
      <c r="AG226">
        <v>0</v>
      </c>
      <c r="AH226" s="22">
        <f>VLOOKUP(Таблица15[[#This Row],[Модель]],Таблица14[#All],12,0)/1000000</f>
        <v>11.49</v>
      </c>
      <c r="AI226" s="21">
        <f>VLOOKUP(Таблица15[[#This Row],[Модель]],Таблица14[#All],13,0)/1000000</f>
        <v>10.59</v>
      </c>
      <c r="AJ226" s="21">
        <f>VLOOKUP(Таблица15[[#This Row],[Модель]],Таблица14[#All],14,0)/1000000</f>
        <v>12.39</v>
      </c>
      <c r="AK226" s="21">
        <f>Таблица15[[#This Row],[Средняя цена (USD)]]*Таблица15[[#This Row],[Кол-во проданных]]/1000000</f>
        <v>0</v>
      </c>
      <c r="AL226" s="39">
        <f>Таблица15[[#This Row],[Средняя цена млн. ₸]]/440*Таблица15[[#This Row],[Кол-во проданных]]</f>
        <v>0</v>
      </c>
      <c r="AM226" s="39">
        <f>Таблица15[[#This Row],[Средняя цена млн. ₸]]*Таблица15[[#This Row],[Кол-во проданных]]/1000</f>
        <v>0</v>
      </c>
      <c r="AR226" s="22"/>
      <c r="AS226" s="22"/>
      <c r="AT226" s="22"/>
    </row>
    <row r="227" spans="20:46">
      <c r="T227" t="s">
        <v>15</v>
      </c>
      <c r="U227" t="s">
        <v>59</v>
      </c>
      <c r="V227" t="str">
        <f>VLOOKUP(Таблица15[[#This Row],[Модель]],Таблица14[#All],2,0)</f>
        <v>Седан</v>
      </c>
      <c r="W227" s="20">
        <f>VLOOKUP(Таблица15[[#This Row],[Модель]],Таблица14[#All],3,0)</f>
        <v>18000</v>
      </c>
      <c r="X227" s="20">
        <f>VLOOKUP(Таблица15[[#This Row],[Модель]],Таблица14[#All],4,0)</f>
        <v>16000</v>
      </c>
      <c r="Y227" s="4">
        <f>VLOOKUP(Таблица15[[#This Row],[Модель]],Таблица14[#All],5,0)</f>
        <v>22000</v>
      </c>
      <c r="Z227" t="str">
        <f>VLOOKUP(Таблица15[[#This Row],[Модель]],Таблица14[#All],6,0)</f>
        <v>АКПП</v>
      </c>
      <c r="AA227" t="str">
        <f>VLOOKUP(Таблица15[[#This Row],[Модель]],Таблица14[#All],7,0)</f>
        <v>Бензин</v>
      </c>
      <c r="AB227" t="str">
        <f>VLOOKUP(Таблица15[[#This Row],[Модель]],Таблица14[#All],8,0)</f>
        <v>Комфорт</v>
      </c>
      <c r="AC227" t="str">
        <f>VLOOKUP(Таблица15[[#This Row],[Модель]],Таблица14[#All],9,0)</f>
        <v>Средний</v>
      </c>
      <c r="AD227">
        <f>VLOOKUP(Таблица15[[#This Row],[Модель]],Таблица14[#All],10,0)</f>
        <v>150</v>
      </c>
      <c r="AE227">
        <f>VLOOKUP(Таблица15[[#This Row],[Модель]],Таблица14[#All],11,0)</f>
        <v>13.5</v>
      </c>
      <c r="AF227">
        <v>2023</v>
      </c>
      <c r="AG227">
        <v>3085</v>
      </c>
      <c r="AH227" s="22">
        <f>VLOOKUP(Таблица15[[#This Row],[Модель]],Таблица14[#All],12,0)/1000000</f>
        <v>12.59</v>
      </c>
      <c r="AI227" s="21">
        <f>VLOOKUP(Таблица15[[#This Row],[Модель]],Таблица14[#All],13,0)/1000000</f>
        <v>11.09</v>
      </c>
      <c r="AJ227" s="21">
        <f>VLOOKUP(Таблица15[[#This Row],[Модель]],Таблица14[#All],14,0)/1000000</f>
        <v>14.09</v>
      </c>
      <c r="AK227" s="21">
        <f>Таблица15[[#This Row],[Средняя цена (USD)]]*Таблица15[[#This Row],[Кол-во проданных]]/1000000</f>
        <v>55.53</v>
      </c>
      <c r="AL227" s="39">
        <f>Таблица15[[#This Row],[Средняя цена млн. ₸]]/440*Таблица15[[#This Row],[Кол-во проданных]]</f>
        <v>88.273068181818175</v>
      </c>
      <c r="AM227" s="39">
        <f>Таблица15[[#This Row],[Средняя цена млн. ₸]]*Таблица15[[#This Row],[Кол-во проданных]]/1000</f>
        <v>38.840150000000001</v>
      </c>
      <c r="AR227" s="22"/>
      <c r="AS227" s="22"/>
      <c r="AT227" s="22"/>
    </row>
    <row r="228" spans="20:46">
      <c r="T228" t="s">
        <v>15</v>
      </c>
      <c r="U228" t="s">
        <v>59</v>
      </c>
      <c r="V228" t="str">
        <f>VLOOKUP(Таблица15[[#This Row],[Модель]],Таблица14[#All],2,0)</f>
        <v>Седан</v>
      </c>
      <c r="W228" s="20">
        <f>VLOOKUP(Таблица15[[#This Row],[Модель]],Таблица14[#All],3,0)</f>
        <v>18000</v>
      </c>
      <c r="X228" s="20">
        <f>VLOOKUP(Таблица15[[#This Row],[Модель]],Таблица14[#All],4,0)</f>
        <v>16000</v>
      </c>
      <c r="Y228" s="4">
        <f>VLOOKUP(Таблица15[[#This Row],[Модель]],Таблица14[#All],5,0)</f>
        <v>22000</v>
      </c>
      <c r="Z228" t="str">
        <f>VLOOKUP(Таблица15[[#This Row],[Модель]],Таблица14[#All],6,0)</f>
        <v>АКПП</v>
      </c>
      <c r="AA228" t="str">
        <f>VLOOKUP(Таблица15[[#This Row],[Модель]],Таблица14[#All],7,0)</f>
        <v>Бензин</v>
      </c>
      <c r="AB228" t="str">
        <f>VLOOKUP(Таблица15[[#This Row],[Модель]],Таблица14[#All],8,0)</f>
        <v>Комфорт</v>
      </c>
      <c r="AC228" t="str">
        <f>VLOOKUP(Таблица15[[#This Row],[Модель]],Таблица14[#All],9,0)</f>
        <v>Средний</v>
      </c>
      <c r="AD228">
        <f>VLOOKUP(Таблица15[[#This Row],[Модель]],Таблица14[#All],10,0)</f>
        <v>150</v>
      </c>
      <c r="AE228">
        <f>VLOOKUP(Таблица15[[#This Row],[Модель]],Таблица14[#All],11,0)</f>
        <v>13.5</v>
      </c>
      <c r="AF228">
        <v>2022</v>
      </c>
      <c r="AG228">
        <v>1226</v>
      </c>
      <c r="AH228" s="22">
        <f>VLOOKUP(Таблица15[[#This Row],[Модель]],Таблица14[#All],12,0)/1000000</f>
        <v>12.59</v>
      </c>
      <c r="AI228" s="21">
        <f>VLOOKUP(Таблица15[[#This Row],[Модель]],Таблица14[#All],13,0)/1000000</f>
        <v>11.09</v>
      </c>
      <c r="AJ228" s="21">
        <f>VLOOKUP(Таблица15[[#This Row],[Модель]],Таблица14[#All],14,0)/1000000</f>
        <v>14.09</v>
      </c>
      <c r="AK228" s="21">
        <f>Таблица15[[#This Row],[Средняя цена (USD)]]*Таблица15[[#This Row],[Кол-во проданных]]/1000000</f>
        <v>22.068000000000001</v>
      </c>
      <c r="AL228" s="39">
        <f>Таблица15[[#This Row],[Средняя цена млн. ₸]]/440*Таблица15[[#This Row],[Кол-во проданных]]</f>
        <v>35.080318181818178</v>
      </c>
      <c r="AM228" s="39">
        <f>Таблица15[[#This Row],[Средняя цена млн. ₸]]*Таблица15[[#This Row],[Кол-во проданных]]/1000</f>
        <v>15.43534</v>
      </c>
      <c r="AR228" s="22"/>
      <c r="AS228" s="22"/>
      <c r="AT228" s="22"/>
    </row>
    <row r="229" spans="20:46">
      <c r="T229" t="s">
        <v>15</v>
      </c>
      <c r="U229" t="s">
        <v>59</v>
      </c>
      <c r="V229" t="str">
        <f>VLOOKUP(Таблица15[[#This Row],[Модель]],Таблица14[#All],2,0)</f>
        <v>Седан</v>
      </c>
      <c r="W229" s="20">
        <f>VLOOKUP(Таблица15[[#This Row],[Модель]],Таблица14[#All],3,0)</f>
        <v>18000</v>
      </c>
      <c r="X229" s="20">
        <f>VLOOKUP(Таблица15[[#This Row],[Модель]],Таблица14[#All],4,0)</f>
        <v>16000</v>
      </c>
      <c r="Y229" s="4">
        <f>VLOOKUP(Таблица15[[#This Row],[Модель]],Таблица14[#All],5,0)</f>
        <v>22000</v>
      </c>
      <c r="Z229" t="str">
        <f>VLOOKUP(Таблица15[[#This Row],[Модель]],Таблица14[#All],6,0)</f>
        <v>АКПП</v>
      </c>
      <c r="AA229" t="str">
        <f>VLOOKUP(Таблица15[[#This Row],[Модель]],Таблица14[#All],7,0)</f>
        <v>Бензин</v>
      </c>
      <c r="AB229" t="str">
        <f>VLOOKUP(Таблица15[[#This Row],[Модель]],Таблица14[#All],8,0)</f>
        <v>Комфорт</v>
      </c>
      <c r="AC229" t="str">
        <f>VLOOKUP(Таблица15[[#This Row],[Модель]],Таблица14[#All],9,0)</f>
        <v>Средний</v>
      </c>
      <c r="AD229">
        <f>VLOOKUP(Таблица15[[#This Row],[Модель]],Таблица14[#All],10,0)</f>
        <v>150</v>
      </c>
      <c r="AE229">
        <f>VLOOKUP(Таблица15[[#This Row],[Модель]],Таблица14[#All],11,0)</f>
        <v>13.5</v>
      </c>
      <c r="AF229">
        <v>2021</v>
      </c>
      <c r="AG229">
        <v>500</v>
      </c>
      <c r="AH229" s="22">
        <f>VLOOKUP(Таблица15[[#This Row],[Модель]],Таблица14[#All],12,0)/1000000</f>
        <v>12.59</v>
      </c>
      <c r="AI229" s="21">
        <f>VLOOKUP(Таблица15[[#This Row],[Модель]],Таблица14[#All],13,0)/1000000</f>
        <v>11.09</v>
      </c>
      <c r="AJ229" s="21">
        <f>VLOOKUP(Таблица15[[#This Row],[Модель]],Таблица14[#All],14,0)/1000000</f>
        <v>14.09</v>
      </c>
      <c r="AK229" s="21">
        <f>Таблица15[[#This Row],[Средняя цена (USD)]]*Таблица15[[#This Row],[Кол-во проданных]]/1000000</f>
        <v>9</v>
      </c>
      <c r="AL229" s="39">
        <f>Таблица15[[#This Row],[Средняя цена млн. ₸]]/440*Таблица15[[#This Row],[Кол-во проданных]]</f>
        <v>14.306818181818182</v>
      </c>
      <c r="AM229" s="39">
        <f>Таблица15[[#This Row],[Средняя цена млн. ₸]]*Таблица15[[#This Row],[Кол-во проданных]]/1000</f>
        <v>6.2949999999999999</v>
      </c>
      <c r="AR229" s="22"/>
      <c r="AS229" s="22"/>
      <c r="AT229" s="22"/>
    </row>
    <row r="230" spans="20:46">
      <c r="T230" t="s">
        <v>15</v>
      </c>
      <c r="U230" t="s">
        <v>59</v>
      </c>
      <c r="V230" t="str">
        <f>VLOOKUP(Таблица15[[#This Row],[Модель]],Таблица14[#All],2,0)</f>
        <v>Седан</v>
      </c>
      <c r="W230" s="20">
        <f>VLOOKUP(Таблица15[[#This Row],[Модель]],Таблица14[#All],3,0)</f>
        <v>18000</v>
      </c>
      <c r="X230" s="20">
        <f>VLOOKUP(Таблица15[[#This Row],[Модель]],Таблица14[#All],4,0)</f>
        <v>16000</v>
      </c>
      <c r="Y230" s="4">
        <f>VLOOKUP(Таблица15[[#This Row],[Модель]],Таблица14[#All],5,0)</f>
        <v>22000</v>
      </c>
      <c r="Z230" t="str">
        <f>VLOOKUP(Таблица15[[#This Row],[Модель]],Таблица14[#All],6,0)</f>
        <v>АКПП</v>
      </c>
      <c r="AA230" t="str">
        <f>VLOOKUP(Таблица15[[#This Row],[Модель]],Таблица14[#All],7,0)</f>
        <v>Бензин</v>
      </c>
      <c r="AB230" t="str">
        <f>VLOOKUP(Таблица15[[#This Row],[Модель]],Таблица14[#All],8,0)</f>
        <v>Комфорт</v>
      </c>
      <c r="AC230" t="str">
        <f>VLOOKUP(Таблица15[[#This Row],[Модель]],Таблица14[#All],9,0)</f>
        <v>Средний</v>
      </c>
      <c r="AD230">
        <f>VLOOKUP(Таблица15[[#This Row],[Модель]],Таблица14[#All],10,0)</f>
        <v>150</v>
      </c>
      <c r="AE230">
        <f>VLOOKUP(Таблица15[[#This Row],[Модель]],Таблица14[#All],11,0)</f>
        <v>13.5</v>
      </c>
      <c r="AF230">
        <v>2020</v>
      </c>
      <c r="AG230">
        <v>296</v>
      </c>
      <c r="AH230" s="22">
        <f>VLOOKUP(Таблица15[[#This Row],[Модель]],Таблица14[#All],12,0)/1000000</f>
        <v>12.59</v>
      </c>
      <c r="AI230" s="21">
        <f>VLOOKUP(Таблица15[[#This Row],[Модель]],Таблица14[#All],13,0)/1000000</f>
        <v>11.09</v>
      </c>
      <c r="AJ230" s="21">
        <f>VLOOKUP(Таблица15[[#This Row],[Модель]],Таблица14[#All],14,0)/1000000</f>
        <v>14.09</v>
      </c>
      <c r="AK230" s="21">
        <f>Таблица15[[#This Row],[Средняя цена (USD)]]*Таблица15[[#This Row],[Кол-во проданных]]/1000000</f>
        <v>5.3280000000000003</v>
      </c>
      <c r="AL230" s="39">
        <f>Таблица15[[#This Row],[Средняя цена млн. ₸]]/440*Таблица15[[#This Row],[Кол-во проданных]]</f>
        <v>8.4696363636363632</v>
      </c>
      <c r="AM230" s="39">
        <f>Таблица15[[#This Row],[Средняя цена млн. ₸]]*Таблица15[[#This Row],[Кол-во проданных]]/1000</f>
        <v>3.7266399999999997</v>
      </c>
      <c r="AR230" s="22"/>
      <c r="AS230" s="22"/>
      <c r="AT230" s="22"/>
    </row>
    <row r="231" spans="20:46">
      <c r="T231" t="s">
        <v>15</v>
      </c>
      <c r="U231" t="s">
        <v>59</v>
      </c>
      <c r="V231" t="str">
        <f>VLOOKUP(Таблица15[[#This Row],[Модель]],Таблица14[#All],2,0)</f>
        <v>Седан</v>
      </c>
      <c r="W231" s="20">
        <f>VLOOKUP(Таблица15[[#This Row],[Модель]],Таблица14[#All],3,0)</f>
        <v>18000</v>
      </c>
      <c r="X231" s="20">
        <f>VLOOKUP(Таблица15[[#This Row],[Модель]],Таблица14[#All],4,0)</f>
        <v>16000</v>
      </c>
      <c r="Y231" s="4">
        <f>VLOOKUP(Таблица15[[#This Row],[Модель]],Таблица14[#All],5,0)</f>
        <v>22000</v>
      </c>
      <c r="Z231" t="str">
        <f>VLOOKUP(Таблица15[[#This Row],[Модель]],Таблица14[#All],6,0)</f>
        <v>АКПП</v>
      </c>
      <c r="AA231" t="str">
        <f>VLOOKUP(Таблица15[[#This Row],[Модель]],Таблица14[#All],7,0)</f>
        <v>Бензин</v>
      </c>
      <c r="AB231" t="str">
        <f>VLOOKUP(Таблица15[[#This Row],[Модель]],Таблица14[#All],8,0)</f>
        <v>Комфорт</v>
      </c>
      <c r="AC231" t="str">
        <f>VLOOKUP(Таблица15[[#This Row],[Модель]],Таблица14[#All],9,0)</f>
        <v>Средний</v>
      </c>
      <c r="AD231">
        <f>VLOOKUP(Таблица15[[#This Row],[Модель]],Таблица14[#All],10,0)</f>
        <v>150</v>
      </c>
      <c r="AE231">
        <f>VLOOKUP(Таблица15[[#This Row],[Модель]],Таблица14[#All],11,0)</f>
        <v>13.5</v>
      </c>
      <c r="AF231">
        <v>2019</v>
      </c>
      <c r="AG231">
        <v>555</v>
      </c>
      <c r="AH231" s="22">
        <f>VLOOKUP(Таблица15[[#This Row],[Модель]],Таблица14[#All],12,0)/1000000</f>
        <v>12.59</v>
      </c>
      <c r="AI231" s="21">
        <f>VLOOKUP(Таблица15[[#This Row],[Модель]],Таблица14[#All],13,0)/1000000</f>
        <v>11.09</v>
      </c>
      <c r="AJ231" s="21">
        <f>VLOOKUP(Таблица15[[#This Row],[Модель]],Таблица14[#All],14,0)/1000000</f>
        <v>14.09</v>
      </c>
      <c r="AK231" s="21">
        <f>Таблица15[[#This Row],[Средняя цена (USD)]]*Таблица15[[#This Row],[Кол-во проданных]]/1000000</f>
        <v>9.99</v>
      </c>
      <c r="AL231" s="39">
        <f>Таблица15[[#This Row],[Средняя цена млн. ₸]]/440*Таблица15[[#This Row],[Кол-во проданных]]</f>
        <v>15.88056818181818</v>
      </c>
      <c r="AM231" s="39">
        <f>Таблица15[[#This Row],[Средняя цена млн. ₸]]*Таблица15[[#This Row],[Кол-во проданных]]/1000</f>
        <v>6.9874499999999999</v>
      </c>
      <c r="AR231" s="22"/>
      <c r="AS231" s="22"/>
      <c r="AT231" s="22"/>
    </row>
    <row r="232" spans="20:46">
      <c r="T232" t="s">
        <v>15</v>
      </c>
      <c r="U232" t="s">
        <v>67</v>
      </c>
      <c r="V232" t="str">
        <f>VLOOKUP(Таблица15[[#This Row],[Модель]],Таблица14[#All],2,0)</f>
        <v>Седан</v>
      </c>
      <c r="W232" s="20">
        <f>VLOOKUP(Таблица15[[#This Row],[Модель]],Таблица14[#All],3,0)</f>
        <v>22000</v>
      </c>
      <c r="X232" s="20">
        <f>VLOOKUP(Таблица15[[#This Row],[Модель]],Таблица14[#All],4,0)</f>
        <v>19000</v>
      </c>
      <c r="Y232" s="4">
        <f>VLOOKUP(Таблица15[[#This Row],[Модель]],Таблица14[#All],5,0)</f>
        <v>25000</v>
      </c>
      <c r="Z232" t="str">
        <f>VLOOKUP(Таблица15[[#This Row],[Модель]],Таблица14[#All],6,0)</f>
        <v>АКПП</v>
      </c>
      <c r="AA232" t="str">
        <f>VLOOKUP(Таблица15[[#This Row],[Модель]],Таблица14[#All],7,0)</f>
        <v>Бензин</v>
      </c>
      <c r="AB232" t="str">
        <f>VLOOKUP(Таблица15[[#This Row],[Модель]],Таблица14[#All],8,0)</f>
        <v>Комфорт</v>
      </c>
      <c r="AC232" t="str">
        <f>VLOOKUP(Таблица15[[#This Row],[Модель]],Таблица14[#All],9,0)</f>
        <v>Средний</v>
      </c>
      <c r="AD232">
        <f>VLOOKUP(Таблица15[[#This Row],[Модель]],Таблица14[#All],10,0)</f>
        <v>180</v>
      </c>
      <c r="AE232">
        <f>VLOOKUP(Таблица15[[#This Row],[Модель]],Таблица14[#All],11,0)</f>
        <v>12</v>
      </c>
      <c r="AF232">
        <v>2023</v>
      </c>
      <c r="AG232">
        <v>2236</v>
      </c>
      <c r="AH232" s="22">
        <f>VLOOKUP(Таблица15[[#This Row],[Модель]],Таблица14[#All],12,0)/1000000</f>
        <v>16.29</v>
      </c>
      <c r="AI232" s="21">
        <f>VLOOKUP(Таблица15[[#This Row],[Модель]],Таблица14[#All],13,0)/1000000</f>
        <v>14.09</v>
      </c>
      <c r="AJ232" s="21">
        <f>VLOOKUP(Таблица15[[#This Row],[Модель]],Таблица14[#All],14,0)/1000000</f>
        <v>18.489999999999998</v>
      </c>
      <c r="AK232" s="21">
        <f>Таблица15[[#This Row],[Средняя цена (USD)]]*Таблица15[[#This Row],[Кол-во проданных]]/1000000</f>
        <v>49.192</v>
      </c>
      <c r="AL232" s="39">
        <f>Таблица15[[#This Row],[Средняя цена млн. ₸]]/440*Таблица15[[#This Row],[Кол-во проданных]]</f>
        <v>82.782818181818172</v>
      </c>
      <c r="AM232" s="39">
        <f>Таблица15[[#This Row],[Средняя цена млн. ₸]]*Таблица15[[#This Row],[Кол-во проданных]]/1000</f>
        <v>36.424439999999997</v>
      </c>
      <c r="AR232" s="22"/>
      <c r="AS232" s="22"/>
      <c r="AT232" s="22"/>
    </row>
    <row r="233" spans="20:46">
      <c r="T233" t="s">
        <v>15</v>
      </c>
      <c r="U233" t="s">
        <v>67</v>
      </c>
      <c r="V233" t="str">
        <f>VLOOKUP(Таблица15[[#This Row],[Модель]],Таблица14[#All],2,0)</f>
        <v>Седан</v>
      </c>
      <c r="W233" s="20">
        <f>VLOOKUP(Таблица15[[#This Row],[Модель]],Таблица14[#All],3,0)</f>
        <v>22000</v>
      </c>
      <c r="X233" s="20">
        <f>VLOOKUP(Таблица15[[#This Row],[Модель]],Таблица14[#All],4,0)</f>
        <v>19000</v>
      </c>
      <c r="Y233" s="4">
        <f>VLOOKUP(Таблица15[[#This Row],[Модель]],Таблица14[#All],5,0)</f>
        <v>25000</v>
      </c>
      <c r="Z233" t="str">
        <f>VLOOKUP(Таблица15[[#This Row],[Модель]],Таблица14[#All],6,0)</f>
        <v>АКПП</v>
      </c>
      <c r="AA233" t="str">
        <f>VLOOKUP(Таблица15[[#This Row],[Модель]],Таблица14[#All],7,0)</f>
        <v>Бензин</v>
      </c>
      <c r="AB233" t="str">
        <f>VLOOKUP(Таблица15[[#This Row],[Модель]],Таблица14[#All],8,0)</f>
        <v>Комфорт</v>
      </c>
      <c r="AC233" t="str">
        <f>VLOOKUP(Таблица15[[#This Row],[Модель]],Таблица14[#All],9,0)</f>
        <v>Средний</v>
      </c>
      <c r="AD233">
        <f>VLOOKUP(Таблица15[[#This Row],[Модель]],Таблица14[#All],10,0)</f>
        <v>180</v>
      </c>
      <c r="AE233">
        <f>VLOOKUP(Таблица15[[#This Row],[Модель]],Таблица14[#All],11,0)</f>
        <v>12</v>
      </c>
      <c r="AF233">
        <v>2022</v>
      </c>
      <c r="AG233">
        <v>2105</v>
      </c>
      <c r="AH233" s="22">
        <f>VLOOKUP(Таблица15[[#This Row],[Модель]],Таблица14[#All],12,0)/1000000</f>
        <v>16.29</v>
      </c>
      <c r="AI233" s="21">
        <f>VLOOKUP(Таблица15[[#This Row],[Модель]],Таблица14[#All],13,0)/1000000</f>
        <v>14.09</v>
      </c>
      <c r="AJ233" s="21">
        <f>VLOOKUP(Таблица15[[#This Row],[Модель]],Таблица14[#All],14,0)/1000000</f>
        <v>18.489999999999998</v>
      </c>
      <c r="AK233" s="21">
        <f>Таблица15[[#This Row],[Средняя цена (USD)]]*Таблица15[[#This Row],[Кол-во проданных]]/1000000</f>
        <v>46.31</v>
      </c>
      <c r="AL233" s="39">
        <f>Таблица15[[#This Row],[Средняя цена млн. ₸]]/440*Таблица15[[#This Row],[Кол-во проданных]]</f>
        <v>77.932840909090899</v>
      </c>
      <c r="AM233" s="39">
        <f>Таблица15[[#This Row],[Средняя цена млн. ₸]]*Таблица15[[#This Row],[Кол-во проданных]]/1000</f>
        <v>34.29045</v>
      </c>
      <c r="AR233" s="22"/>
      <c r="AS233" s="22"/>
      <c r="AT233" s="22"/>
    </row>
    <row r="234" spans="20:46">
      <c r="T234" t="s">
        <v>15</v>
      </c>
      <c r="U234" t="s">
        <v>67</v>
      </c>
      <c r="V234" t="str">
        <f>VLOOKUP(Таблица15[[#This Row],[Модель]],Таблица14[#All],2,0)</f>
        <v>Седан</v>
      </c>
      <c r="W234" s="20">
        <f>VLOOKUP(Таблица15[[#This Row],[Модель]],Таблица14[#All],3,0)</f>
        <v>22000</v>
      </c>
      <c r="X234" s="20">
        <f>VLOOKUP(Таблица15[[#This Row],[Модель]],Таблица14[#All],4,0)</f>
        <v>19000</v>
      </c>
      <c r="Y234" s="4">
        <f>VLOOKUP(Таблица15[[#This Row],[Модель]],Таблица14[#All],5,0)</f>
        <v>25000</v>
      </c>
      <c r="Z234" t="str">
        <f>VLOOKUP(Таблица15[[#This Row],[Модель]],Таблица14[#All],6,0)</f>
        <v>АКПП</v>
      </c>
      <c r="AA234" t="str">
        <f>VLOOKUP(Таблица15[[#This Row],[Модель]],Таблица14[#All],7,0)</f>
        <v>Бензин</v>
      </c>
      <c r="AB234" t="str">
        <f>VLOOKUP(Таблица15[[#This Row],[Модель]],Таблица14[#All],8,0)</f>
        <v>Комфорт</v>
      </c>
      <c r="AC234" t="str">
        <f>VLOOKUP(Таблица15[[#This Row],[Модель]],Таблица14[#All],9,0)</f>
        <v>Средний</v>
      </c>
      <c r="AD234">
        <f>VLOOKUP(Таблица15[[#This Row],[Модель]],Таблица14[#All],10,0)</f>
        <v>180</v>
      </c>
      <c r="AE234">
        <f>VLOOKUP(Таблица15[[#This Row],[Модель]],Таблица14[#All],11,0)</f>
        <v>12</v>
      </c>
      <c r="AF234">
        <v>2021</v>
      </c>
      <c r="AG234">
        <v>678</v>
      </c>
      <c r="AH234" s="22">
        <f>VLOOKUP(Таблица15[[#This Row],[Модель]],Таблица14[#All],12,0)/1000000</f>
        <v>16.29</v>
      </c>
      <c r="AI234" s="21">
        <f>VLOOKUP(Таблица15[[#This Row],[Модель]],Таблица14[#All],13,0)/1000000</f>
        <v>14.09</v>
      </c>
      <c r="AJ234" s="21">
        <f>VLOOKUP(Таблица15[[#This Row],[Модель]],Таблица14[#All],14,0)/1000000</f>
        <v>18.489999999999998</v>
      </c>
      <c r="AK234" s="21">
        <f>Таблица15[[#This Row],[Средняя цена (USD)]]*Таблица15[[#This Row],[Кол-во проданных]]/1000000</f>
        <v>14.916</v>
      </c>
      <c r="AL234" s="39">
        <f>Таблица15[[#This Row],[Средняя цена млн. ₸]]/440*Таблица15[[#This Row],[Кол-во проданных]]</f>
        <v>25.10140909090909</v>
      </c>
      <c r="AM234" s="39">
        <f>Таблица15[[#This Row],[Средняя цена млн. ₸]]*Таблица15[[#This Row],[Кол-во проданных]]/1000</f>
        <v>11.044619999999998</v>
      </c>
      <c r="AR234" s="22"/>
      <c r="AS234" s="22"/>
      <c r="AT234" s="22"/>
    </row>
    <row r="235" spans="20:46">
      <c r="T235" t="s">
        <v>15</v>
      </c>
      <c r="U235" t="s">
        <v>67</v>
      </c>
      <c r="V235" t="str">
        <f>VLOOKUP(Таблица15[[#This Row],[Модель]],Таблица14[#All],2,0)</f>
        <v>Седан</v>
      </c>
      <c r="W235" s="20">
        <f>VLOOKUP(Таблица15[[#This Row],[Модель]],Таблица14[#All],3,0)</f>
        <v>22000</v>
      </c>
      <c r="X235" s="20">
        <f>VLOOKUP(Таблица15[[#This Row],[Модель]],Таблица14[#All],4,0)</f>
        <v>19000</v>
      </c>
      <c r="Y235" s="4">
        <f>VLOOKUP(Таблица15[[#This Row],[Модель]],Таблица14[#All],5,0)</f>
        <v>25000</v>
      </c>
      <c r="Z235" t="str">
        <f>VLOOKUP(Таблица15[[#This Row],[Модель]],Таблица14[#All],6,0)</f>
        <v>АКПП</v>
      </c>
      <c r="AA235" t="str">
        <f>VLOOKUP(Таблица15[[#This Row],[Модель]],Таблица14[#All],7,0)</f>
        <v>Бензин</v>
      </c>
      <c r="AB235" t="str">
        <f>VLOOKUP(Таблица15[[#This Row],[Модель]],Таблица14[#All],8,0)</f>
        <v>Комфорт</v>
      </c>
      <c r="AC235" t="str">
        <f>VLOOKUP(Таблица15[[#This Row],[Модель]],Таблица14[#All],9,0)</f>
        <v>Средний</v>
      </c>
      <c r="AD235">
        <f>VLOOKUP(Таблица15[[#This Row],[Модель]],Таблица14[#All],10,0)</f>
        <v>180</v>
      </c>
      <c r="AE235">
        <f>VLOOKUP(Таблица15[[#This Row],[Модель]],Таблица14[#All],11,0)</f>
        <v>12</v>
      </c>
      <c r="AF235">
        <v>2020</v>
      </c>
      <c r="AG235">
        <v>0</v>
      </c>
      <c r="AH235" s="22">
        <f>VLOOKUP(Таблица15[[#This Row],[Модель]],Таблица14[#All],12,0)/1000000</f>
        <v>16.29</v>
      </c>
      <c r="AI235" s="21">
        <f>VLOOKUP(Таблица15[[#This Row],[Модель]],Таблица14[#All],13,0)/1000000</f>
        <v>14.09</v>
      </c>
      <c r="AJ235" s="21">
        <f>VLOOKUP(Таблица15[[#This Row],[Модель]],Таблица14[#All],14,0)/1000000</f>
        <v>18.489999999999998</v>
      </c>
      <c r="AK235" s="21">
        <f>Таблица15[[#This Row],[Средняя цена (USD)]]*Таблица15[[#This Row],[Кол-во проданных]]/1000000</f>
        <v>0</v>
      </c>
      <c r="AL235" s="39">
        <f>Таблица15[[#This Row],[Средняя цена млн. ₸]]/440*Таблица15[[#This Row],[Кол-во проданных]]</f>
        <v>0</v>
      </c>
      <c r="AM235" s="39">
        <f>Таблица15[[#This Row],[Средняя цена млн. ₸]]*Таблица15[[#This Row],[Кол-во проданных]]/1000</f>
        <v>0</v>
      </c>
      <c r="AR235" s="22"/>
      <c r="AS235" s="22"/>
      <c r="AT235" s="22"/>
    </row>
    <row r="236" spans="20:46">
      <c r="T236" t="s">
        <v>15</v>
      </c>
      <c r="U236" t="s">
        <v>67</v>
      </c>
      <c r="V236" t="str">
        <f>VLOOKUP(Таблица15[[#This Row],[Модель]],Таблица14[#All],2,0)</f>
        <v>Седан</v>
      </c>
      <c r="W236" s="20">
        <f>VLOOKUP(Таблица15[[#This Row],[Модель]],Таблица14[#All],3,0)</f>
        <v>22000</v>
      </c>
      <c r="X236" s="20">
        <f>VLOOKUP(Таблица15[[#This Row],[Модель]],Таблица14[#All],4,0)</f>
        <v>19000</v>
      </c>
      <c r="Y236" s="4">
        <f>VLOOKUP(Таблица15[[#This Row],[Модель]],Таблица14[#All],5,0)</f>
        <v>25000</v>
      </c>
      <c r="Z236" t="str">
        <f>VLOOKUP(Таблица15[[#This Row],[Модель]],Таблица14[#All],6,0)</f>
        <v>АКПП</v>
      </c>
      <c r="AA236" t="str">
        <f>VLOOKUP(Таблица15[[#This Row],[Модель]],Таблица14[#All],7,0)</f>
        <v>Бензин</v>
      </c>
      <c r="AB236" t="str">
        <f>VLOOKUP(Таблица15[[#This Row],[Модель]],Таблица14[#All],8,0)</f>
        <v>Комфорт</v>
      </c>
      <c r="AC236" t="str">
        <f>VLOOKUP(Таблица15[[#This Row],[Модель]],Таблица14[#All],9,0)</f>
        <v>Средний</v>
      </c>
      <c r="AD236">
        <f>VLOOKUP(Таблица15[[#This Row],[Модель]],Таблица14[#All],10,0)</f>
        <v>180</v>
      </c>
      <c r="AE236">
        <f>VLOOKUP(Таблица15[[#This Row],[Модель]],Таблица14[#All],11,0)</f>
        <v>12</v>
      </c>
      <c r="AF236">
        <v>2019</v>
      </c>
      <c r="AG236">
        <v>0</v>
      </c>
      <c r="AH236" s="22">
        <f>VLOOKUP(Таблица15[[#This Row],[Модель]],Таблица14[#All],12,0)/1000000</f>
        <v>16.29</v>
      </c>
      <c r="AI236" s="21">
        <f>VLOOKUP(Таблица15[[#This Row],[Модель]],Таблица14[#All],13,0)/1000000</f>
        <v>14.09</v>
      </c>
      <c r="AJ236" s="21">
        <f>VLOOKUP(Таблица15[[#This Row],[Модель]],Таблица14[#All],14,0)/1000000</f>
        <v>18.489999999999998</v>
      </c>
      <c r="AK236" s="21">
        <f>Таблица15[[#This Row],[Средняя цена (USD)]]*Таблица15[[#This Row],[Кол-во проданных]]/1000000</f>
        <v>0</v>
      </c>
      <c r="AL236" s="39">
        <f>Таблица15[[#This Row],[Средняя цена млн. ₸]]/440*Таблица15[[#This Row],[Кол-во проданных]]</f>
        <v>0</v>
      </c>
      <c r="AM236" s="39">
        <f>Таблица15[[#This Row],[Средняя цена млн. ₸]]*Таблица15[[#This Row],[Кол-во проданных]]/1000</f>
        <v>0</v>
      </c>
      <c r="AR236" s="22"/>
      <c r="AS236" s="22"/>
      <c r="AT236" s="22"/>
    </row>
    <row r="237" spans="20:46">
      <c r="T237" t="s">
        <v>15</v>
      </c>
      <c r="U237" t="s">
        <v>29</v>
      </c>
      <c r="V237" t="str">
        <f>VLOOKUP(Таблица15[[#This Row],[Модель]],Таблица14[#All],2,0)</f>
        <v>Хэтчбэк</v>
      </c>
      <c r="W237" s="20">
        <f>VLOOKUP(Таблица15[[#This Row],[Модель]],Таблица14[#All],3,0)</f>
        <v>14000</v>
      </c>
      <c r="X237" s="20">
        <f>VLOOKUP(Таблица15[[#This Row],[Модель]],Таблица14[#All],4,0)</f>
        <v>12000</v>
      </c>
      <c r="Y237" s="4">
        <f>VLOOKUP(Таблица15[[#This Row],[Модель]],Таблица14[#All],5,0)</f>
        <v>16000</v>
      </c>
      <c r="Z237" t="str">
        <f>VLOOKUP(Таблица15[[#This Row],[Модель]],Таблица14[#All],6,0)</f>
        <v>МКПП, АКПП</v>
      </c>
      <c r="AA237" t="str">
        <f>VLOOKUP(Таблица15[[#This Row],[Модель]],Таблица14[#All],7,0)</f>
        <v>Бензин</v>
      </c>
      <c r="AB237" t="str">
        <f>VLOOKUP(Таблица15[[#This Row],[Модель]],Таблица14[#All],8,0)</f>
        <v>Эконом</v>
      </c>
      <c r="AC237" t="str">
        <f>VLOOKUP(Таблица15[[#This Row],[Модель]],Таблица14[#All],9,0)</f>
        <v>Маленький</v>
      </c>
      <c r="AD237">
        <f>VLOOKUP(Таблица15[[#This Row],[Модель]],Таблица14[#All],10,0)</f>
        <v>115</v>
      </c>
      <c r="AE237">
        <f>VLOOKUP(Таблица15[[#This Row],[Модель]],Таблица14[#All],11,0)</f>
        <v>15.5</v>
      </c>
      <c r="AF237">
        <v>2023</v>
      </c>
      <c r="AG237">
        <v>0</v>
      </c>
      <c r="AH237" s="22">
        <f>VLOOKUP(Таблица15[[#This Row],[Модель]],Таблица14[#All],12,0)/1000000</f>
        <v>8.59</v>
      </c>
      <c r="AI237" s="21">
        <f>VLOOKUP(Таблица15[[#This Row],[Модель]],Таблица14[#All],13,0)/1000000</f>
        <v>7.99</v>
      </c>
      <c r="AJ237" s="21">
        <f>VLOOKUP(Таблица15[[#This Row],[Модель]],Таблица14[#All],14,0)/1000000</f>
        <v>9.19</v>
      </c>
      <c r="AK237" s="21">
        <f>Таблица15[[#This Row],[Средняя цена (USD)]]*Таблица15[[#This Row],[Кол-во проданных]]/1000000</f>
        <v>0</v>
      </c>
      <c r="AL237" s="39">
        <f>Таблица15[[#This Row],[Средняя цена млн. ₸]]/440*Таблица15[[#This Row],[Кол-во проданных]]</f>
        <v>0</v>
      </c>
      <c r="AM237" s="39">
        <f>Таблица15[[#This Row],[Средняя цена млн. ₸]]*Таблица15[[#This Row],[Кол-во проданных]]/1000</f>
        <v>0</v>
      </c>
      <c r="AR237" s="22"/>
      <c r="AS237" s="22"/>
      <c r="AT237" s="22"/>
    </row>
    <row r="238" spans="20:46">
      <c r="T238" t="s">
        <v>15</v>
      </c>
      <c r="U238" t="s">
        <v>29</v>
      </c>
      <c r="V238" t="str">
        <f>VLOOKUP(Таблица15[[#This Row],[Модель]],Таблица14[#All],2,0)</f>
        <v>Хэтчбэк</v>
      </c>
      <c r="W238" s="20">
        <f>VLOOKUP(Таблица15[[#This Row],[Модель]],Таблица14[#All],3,0)</f>
        <v>14000</v>
      </c>
      <c r="X238" s="20">
        <f>VLOOKUP(Таблица15[[#This Row],[Модель]],Таблица14[#All],4,0)</f>
        <v>12000</v>
      </c>
      <c r="Y238" s="4">
        <f>VLOOKUP(Таблица15[[#This Row],[Модель]],Таблица14[#All],5,0)</f>
        <v>16000</v>
      </c>
      <c r="Z238" t="str">
        <f>VLOOKUP(Таблица15[[#This Row],[Модель]],Таблица14[#All],6,0)</f>
        <v>МКПП, АКПП</v>
      </c>
      <c r="AA238" t="str">
        <f>VLOOKUP(Таблица15[[#This Row],[Модель]],Таблица14[#All],7,0)</f>
        <v>Бензин</v>
      </c>
      <c r="AB238" t="str">
        <f>VLOOKUP(Таблица15[[#This Row],[Модель]],Таблица14[#All],8,0)</f>
        <v>Эконом</v>
      </c>
      <c r="AC238" t="str">
        <f>VLOOKUP(Таблица15[[#This Row],[Модель]],Таблица14[#All],9,0)</f>
        <v>Маленький</v>
      </c>
      <c r="AD238">
        <f>VLOOKUP(Таблица15[[#This Row],[Модель]],Таблица14[#All],10,0)</f>
        <v>115</v>
      </c>
      <c r="AE238">
        <f>VLOOKUP(Таблица15[[#This Row],[Модель]],Таблица14[#All],11,0)</f>
        <v>15.5</v>
      </c>
      <c r="AF238">
        <v>2022</v>
      </c>
      <c r="AG238">
        <v>1664</v>
      </c>
      <c r="AH238" s="22">
        <f>VLOOKUP(Таблица15[[#This Row],[Модель]],Таблица14[#All],12,0)/1000000</f>
        <v>8.59</v>
      </c>
      <c r="AI238" s="21">
        <f>VLOOKUP(Таблица15[[#This Row],[Модель]],Таблица14[#All],13,0)/1000000</f>
        <v>7.99</v>
      </c>
      <c r="AJ238" s="21">
        <f>VLOOKUP(Таблица15[[#This Row],[Модель]],Таблица14[#All],14,0)/1000000</f>
        <v>9.19</v>
      </c>
      <c r="AK238" s="21">
        <f>Таблица15[[#This Row],[Средняя цена (USD)]]*Таблица15[[#This Row],[Кол-во проданных]]/1000000</f>
        <v>23.295999999999999</v>
      </c>
      <c r="AL238" s="39">
        <f>Таблица15[[#This Row],[Средняя цена млн. ₸]]/440*Таблица15[[#This Row],[Кол-во проданных]]</f>
        <v>32.485818181818182</v>
      </c>
      <c r="AM238" s="39">
        <f>Таблица15[[#This Row],[Средняя цена млн. ₸]]*Таблица15[[#This Row],[Кол-во проданных]]/1000</f>
        <v>14.293760000000001</v>
      </c>
      <c r="AR238" s="22"/>
      <c r="AS238" s="22"/>
      <c r="AT238" s="22"/>
    </row>
    <row r="239" spans="20:46">
      <c r="T239" t="s">
        <v>15</v>
      </c>
      <c r="U239" t="s">
        <v>29</v>
      </c>
      <c r="V239" t="str">
        <f>VLOOKUP(Таблица15[[#This Row],[Модель]],Таблица14[#All],2,0)</f>
        <v>Хэтчбэк</v>
      </c>
      <c r="W239" s="20">
        <f>VLOOKUP(Таблица15[[#This Row],[Модель]],Таблица14[#All],3,0)</f>
        <v>14000</v>
      </c>
      <c r="X239" s="20">
        <f>VLOOKUP(Таблица15[[#This Row],[Модель]],Таблица14[#All],4,0)</f>
        <v>12000</v>
      </c>
      <c r="Y239" s="4">
        <f>VLOOKUP(Таблица15[[#This Row],[Модель]],Таблица14[#All],5,0)</f>
        <v>16000</v>
      </c>
      <c r="Z239" t="str">
        <f>VLOOKUP(Таблица15[[#This Row],[Модель]],Таблица14[#All],6,0)</f>
        <v>МКПП, АКПП</v>
      </c>
      <c r="AA239" t="str">
        <f>VLOOKUP(Таблица15[[#This Row],[Модель]],Таблица14[#All],7,0)</f>
        <v>Бензин</v>
      </c>
      <c r="AB239" t="str">
        <f>VLOOKUP(Таблица15[[#This Row],[Модель]],Таблица14[#All],8,0)</f>
        <v>Эконом</v>
      </c>
      <c r="AC239" t="str">
        <f>VLOOKUP(Таблица15[[#This Row],[Модель]],Таблица14[#All],9,0)</f>
        <v>Маленький</v>
      </c>
      <c r="AD239">
        <f>VLOOKUP(Таблица15[[#This Row],[Модель]],Таблица14[#All],10,0)</f>
        <v>115</v>
      </c>
      <c r="AE239">
        <f>VLOOKUP(Таблица15[[#This Row],[Модель]],Таблица14[#All],11,0)</f>
        <v>15.5</v>
      </c>
      <c r="AF239">
        <v>2021</v>
      </c>
      <c r="AG239">
        <v>5032</v>
      </c>
      <c r="AH239" s="22">
        <f>VLOOKUP(Таблица15[[#This Row],[Модель]],Таблица14[#All],12,0)/1000000</f>
        <v>8.59</v>
      </c>
      <c r="AI239" s="21">
        <f>VLOOKUP(Таблица15[[#This Row],[Модель]],Таблица14[#All],13,0)/1000000</f>
        <v>7.99</v>
      </c>
      <c r="AJ239" s="21">
        <f>VLOOKUP(Таблица15[[#This Row],[Модель]],Таблица14[#All],14,0)/1000000</f>
        <v>9.19</v>
      </c>
      <c r="AK239" s="21">
        <f>Таблица15[[#This Row],[Средняя цена (USD)]]*Таблица15[[#This Row],[Кол-во проданных]]/1000000</f>
        <v>70.447999999999993</v>
      </c>
      <c r="AL239" s="39">
        <f>Таблица15[[#This Row],[Средняя цена млн. ₸]]/440*Таблица15[[#This Row],[Кол-во проданных]]</f>
        <v>98.23836363636363</v>
      </c>
      <c r="AM239" s="39">
        <f>Таблица15[[#This Row],[Средняя цена млн. ₸]]*Таблица15[[#This Row],[Кол-во проданных]]/1000</f>
        <v>43.224879999999999</v>
      </c>
      <c r="AR239" s="22"/>
      <c r="AS239" s="22"/>
      <c r="AT239" s="22"/>
    </row>
    <row r="240" spans="20:46">
      <c r="T240" t="s">
        <v>15</v>
      </c>
      <c r="U240" t="s">
        <v>29</v>
      </c>
      <c r="V240" t="str">
        <f>VLOOKUP(Таблица15[[#This Row],[Модель]],Таблица14[#All],2,0)</f>
        <v>Хэтчбэк</v>
      </c>
      <c r="W240" s="20">
        <f>VLOOKUP(Таблица15[[#This Row],[Модель]],Таблица14[#All],3,0)</f>
        <v>14000</v>
      </c>
      <c r="X240" s="20">
        <f>VLOOKUP(Таблица15[[#This Row],[Модель]],Таблица14[#All],4,0)</f>
        <v>12000</v>
      </c>
      <c r="Y240" s="4">
        <f>VLOOKUP(Таблица15[[#This Row],[Модель]],Таблица14[#All],5,0)</f>
        <v>16000</v>
      </c>
      <c r="Z240" t="str">
        <f>VLOOKUP(Таблица15[[#This Row],[Модель]],Таблица14[#All],6,0)</f>
        <v>МКПП, АКПП</v>
      </c>
      <c r="AA240" t="str">
        <f>VLOOKUP(Таблица15[[#This Row],[Модель]],Таблица14[#All],7,0)</f>
        <v>Бензин</v>
      </c>
      <c r="AB240" t="str">
        <f>VLOOKUP(Таблица15[[#This Row],[Модель]],Таблица14[#All],8,0)</f>
        <v>Эконом</v>
      </c>
      <c r="AC240" t="str">
        <f>VLOOKUP(Таблица15[[#This Row],[Модель]],Таблица14[#All],9,0)</f>
        <v>Маленький</v>
      </c>
      <c r="AD240">
        <f>VLOOKUP(Таблица15[[#This Row],[Модель]],Таблица14[#All],10,0)</f>
        <v>115</v>
      </c>
      <c r="AE240">
        <f>VLOOKUP(Таблица15[[#This Row],[Модель]],Таблица14[#All],11,0)</f>
        <v>15.5</v>
      </c>
      <c r="AF240">
        <v>2020</v>
      </c>
      <c r="AG240">
        <v>3513</v>
      </c>
      <c r="AH240" s="22">
        <f>VLOOKUP(Таблица15[[#This Row],[Модель]],Таблица14[#All],12,0)/1000000</f>
        <v>8.59</v>
      </c>
      <c r="AI240" s="21">
        <f>VLOOKUP(Таблица15[[#This Row],[Модель]],Таблица14[#All],13,0)/1000000</f>
        <v>7.99</v>
      </c>
      <c r="AJ240" s="21">
        <f>VLOOKUP(Таблица15[[#This Row],[Модель]],Таблица14[#All],14,0)/1000000</f>
        <v>9.19</v>
      </c>
      <c r="AK240" s="21">
        <f>Таблица15[[#This Row],[Средняя цена (USD)]]*Таблица15[[#This Row],[Кол-во проданных]]/1000000</f>
        <v>49.182000000000002</v>
      </c>
      <c r="AL240" s="39">
        <f>Таблица15[[#This Row],[Средняя цена млн. ₸]]/440*Таблица15[[#This Row],[Кол-во проданных]]</f>
        <v>68.583340909090907</v>
      </c>
      <c r="AM240" s="39">
        <f>Таблица15[[#This Row],[Средняя цена млн. ₸]]*Таблица15[[#This Row],[Кол-во проданных]]/1000</f>
        <v>30.176669999999998</v>
      </c>
      <c r="AR240" s="22"/>
      <c r="AS240" s="22"/>
      <c r="AT240" s="22"/>
    </row>
    <row r="241" spans="20:46">
      <c r="T241" t="s">
        <v>15</v>
      </c>
      <c r="U241" t="s">
        <v>29</v>
      </c>
      <c r="V241" t="str">
        <f>VLOOKUP(Таблица15[[#This Row],[Модель]],Таблица14[#All],2,0)</f>
        <v>Хэтчбэк</v>
      </c>
      <c r="W241" s="20">
        <f>VLOOKUP(Таблица15[[#This Row],[Модель]],Таблица14[#All],3,0)</f>
        <v>14000</v>
      </c>
      <c r="X241" s="20">
        <f>VLOOKUP(Таблица15[[#This Row],[Модель]],Таблица14[#All],4,0)</f>
        <v>12000</v>
      </c>
      <c r="Y241" s="4">
        <f>VLOOKUP(Таблица15[[#This Row],[Модель]],Таблица14[#All],5,0)</f>
        <v>16000</v>
      </c>
      <c r="Z241" t="str">
        <f>VLOOKUP(Таблица15[[#This Row],[Модель]],Таблица14[#All],6,0)</f>
        <v>МКПП, АКПП</v>
      </c>
      <c r="AA241" t="str">
        <f>VLOOKUP(Таблица15[[#This Row],[Модель]],Таблица14[#All],7,0)</f>
        <v>Бензин</v>
      </c>
      <c r="AB241" t="str">
        <f>VLOOKUP(Таблица15[[#This Row],[Модель]],Таблица14[#All],8,0)</f>
        <v>Эконом</v>
      </c>
      <c r="AC241" t="str">
        <f>VLOOKUP(Таблица15[[#This Row],[Модель]],Таблица14[#All],9,0)</f>
        <v>Маленький</v>
      </c>
      <c r="AD241">
        <f>VLOOKUP(Таблица15[[#This Row],[Модель]],Таблица14[#All],10,0)</f>
        <v>115</v>
      </c>
      <c r="AE241">
        <f>VLOOKUP(Таблица15[[#This Row],[Модель]],Таблица14[#All],11,0)</f>
        <v>15.5</v>
      </c>
      <c r="AF241">
        <v>2019</v>
      </c>
      <c r="AG241">
        <v>1712</v>
      </c>
      <c r="AH241" s="22">
        <f>VLOOKUP(Таблица15[[#This Row],[Модель]],Таблица14[#All],12,0)/1000000</f>
        <v>8.59</v>
      </c>
      <c r="AI241" s="21">
        <f>VLOOKUP(Таблица15[[#This Row],[Модель]],Таблица14[#All],13,0)/1000000</f>
        <v>7.99</v>
      </c>
      <c r="AJ241" s="21">
        <f>VLOOKUP(Таблица15[[#This Row],[Модель]],Таблица14[#All],14,0)/1000000</f>
        <v>9.19</v>
      </c>
      <c r="AK241" s="21">
        <f>Таблица15[[#This Row],[Средняя цена (USD)]]*Таблица15[[#This Row],[Кол-во проданных]]/1000000</f>
        <v>23.968</v>
      </c>
      <c r="AL241" s="39">
        <f>Таблица15[[#This Row],[Средняя цена млн. ₸]]/440*Таблица15[[#This Row],[Кол-во проданных]]</f>
        <v>33.422909090909087</v>
      </c>
      <c r="AM241" s="39">
        <f>Таблица15[[#This Row],[Средняя цена млн. ₸]]*Таблица15[[#This Row],[Кол-во проданных]]/1000</f>
        <v>14.70608</v>
      </c>
      <c r="AR241" s="22"/>
      <c r="AS241" s="22"/>
      <c r="AT241" s="22"/>
    </row>
    <row r="242" spans="20:46">
      <c r="T242" t="s">
        <v>15</v>
      </c>
      <c r="U242" t="s">
        <v>87</v>
      </c>
      <c r="V242" t="str">
        <f>VLOOKUP(Таблица15[[#This Row],[Модель]],Таблица14[#All],2,0)</f>
        <v>Минивэн</v>
      </c>
      <c r="W242" s="20">
        <f>VLOOKUP(Таблица15[[#This Row],[Модель]],Таблица14[#All],3,0)</f>
        <v>28000</v>
      </c>
      <c r="X242" s="20">
        <f>VLOOKUP(Таблица15[[#This Row],[Модель]],Таблица14[#All],4,0)</f>
        <v>25000</v>
      </c>
      <c r="Y242" s="4">
        <f>VLOOKUP(Таблица15[[#This Row],[Модель]],Таблица14[#All],5,0)</f>
        <v>35000</v>
      </c>
      <c r="Z242" t="str">
        <f>VLOOKUP(Таблица15[[#This Row],[Модель]],Таблица14[#All],6,0)</f>
        <v>АКПП</v>
      </c>
      <c r="AA242" t="str">
        <f>VLOOKUP(Таблица15[[#This Row],[Модель]],Таблица14[#All],7,0)</f>
        <v>Бензин</v>
      </c>
      <c r="AB242" t="str">
        <f>VLOOKUP(Таблица15[[#This Row],[Модель]],Таблица14[#All],8,0)</f>
        <v>Комфорт</v>
      </c>
      <c r="AC242" t="str">
        <f>VLOOKUP(Таблица15[[#This Row],[Модель]],Таблица14[#All],9,0)</f>
        <v>Большой</v>
      </c>
      <c r="AD242">
        <f>VLOOKUP(Таблица15[[#This Row],[Модель]],Таблица14[#All],10,0)</f>
        <v>290</v>
      </c>
      <c r="AE242">
        <f>VLOOKUP(Таблица15[[#This Row],[Модель]],Таблица14[#All],11,0)</f>
        <v>10</v>
      </c>
      <c r="AF242">
        <v>2023</v>
      </c>
      <c r="AG242">
        <v>800</v>
      </c>
      <c r="AH242" s="22">
        <f>VLOOKUP(Таблица15[[#This Row],[Модель]],Таблица14[#All],12,0)/1000000</f>
        <v>23.99</v>
      </c>
      <c r="AI242" s="21">
        <f>VLOOKUP(Таблица15[[#This Row],[Модель]],Таблица14[#All],13,0)/1000000</f>
        <v>23.99</v>
      </c>
      <c r="AJ242" s="21">
        <f>VLOOKUP(Таблица15[[#This Row],[Модель]],Таблица14[#All],14,0)/1000000</f>
        <v>23.99</v>
      </c>
      <c r="AK242" s="21">
        <f>Таблица15[[#This Row],[Средняя цена (USD)]]*Таблица15[[#This Row],[Кол-во проданных]]/1000000</f>
        <v>22.4</v>
      </c>
      <c r="AL242" s="39">
        <f>Таблица15[[#This Row],[Средняя цена млн. ₸]]/440*Таблица15[[#This Row],[Кол-во проданных]]</f>
        <v>43.618181818181817</v>
      </c>
      <c r="AM242" s="39">
        <f>Таблица15[[#This Row],[Средняя цена млн. ₸]]*Таблица15[[#This Row],[Кол-во проданных]]/1000</f>
        <v>19.192</v>
      </c>
      <c r="AR242" s="22"/>
      <c r="AS242" s="22"/>
      <c r="AT242" s="22"/>
    </row>
    <row r="243" spans="20:46">
      <c r="T243" t="s">
        <v>15</v>
      </c>
      <c r="U243" t="s">
        <v>87</v>
      </c>
      <c r="V243" t="str">
        <f>VLOOKUP(Таблица15[[#This Row],[Модель]],Таблица14[#All],2,0)</f>
        <v>Минивэн</v>
      </c>
      <c r="W243" s="20">
        <f>VLOOKUP(Таблица15[[#This Row],[Модель]],Таблица14[#All],3,0)</f>
        <v>28000</v>
      </c>
      <c r="X243" s="20">
        <f>VLOOKUP(Таблица15[[#This Row],[Модель]],Таблица14[#All],4,0)</f>
        <v>25000</v>
      </c>
      <c r="Y243" s="4">
        <f>VLOOKUP(Таблица15[[#This Row],[Модель]],Таблица14[#All],5,0)</f>
        <v>35000</v>
      </c>
      <c r="Z243" t="str">
        <f>VLOOKUP(Таблица15[[#This Row],[Модель]],Таблица14[#All],6,0)</f>
        <v>АКПП</v>
      </c>
      <c r="AA243" t="str">
        <f>VLOOKUP(Таблица15[[#This Row],[Модель]],Таблица14[#All],7,0)</f>
        <v>Бензин</v>
      </c>
      <c r="AB243" t="str">
        <f>VLOOKUP(Таблица15[[#This Row],[Модель]],Таблица14[#All],8,0)</f>
        <v>Комфорт</v>
      </c>
      <c r="AC243" t="str">
        <f>VLOOKUP(Таблица15[[#This Row],[Модель]],Таблица14[#All],9,0)</f>
        <v>Большой</v>
      </c>
      <c r="AD243">
        <f>VLOOKUP(Таблица15[[#This Row],[Модель]],Таблица14[#All],10,0)</f>
        <v>290</v>
      </c>
      <c r="AE243">
        <f>VLOOKUP(Таблица15[[#This Row],[Модель]],Таблица14[#All],11,0)</f>
        <v>10</v>
      </c>
      <c r="AF243">
        <v>2022</v>
      </c>
      <c r="AG243">
        <v>0</v>
      </c>
      <c r="AH243" s="22">
        <f>VLOOKUP(Таблица15[[#This Row],[Модель]],Таблица14[#All],12,0)/1000000</f>
        <v>23.99</v>
      </c>
      <c r="AI243" s="21">
        <f>VLOOKUP(Таблица15[[#This Row],[Модель]],Таблица14[#All],13,0)/1000000</f>
        <v>23.99</v>
      </c>
      <c r="AJ243" s="21">
        <f>VLOOKUP(Таблица15[[#This Row],[Модель]],Таблица14[#All],14,0)/1000000</f>
        <v>23.99</v>
      </c>
      <c r="AK243" s="21">
        <f>Таблица15[[#This Row],[Средняя цена (USD)]]*Таблица15[[#This Row],[Кол-во проданных]]/1000000</f>
        <v>0</v>
      </c>
      <c r="AL243" s="39">
        <f>Таблица15[[#This Row],[Средняя цена млн. ₸]]/440*Таблица15[[#This Row],[Кол-во проданных]]</f>
        <v>0</v>
      </c>
      <c r="AM243" s="39">
        <f>Таблица15[[#This Row],[Средняя цена млн. ₸]]*Таблица15[[#This Row],[Кол-во проданных]]/1000</f>
        <v>0</v>
      </c>
      <c r="AR243" s="22"/>
      <c r="AS243" s="22"/>
      <c r="AT243" s="22"/>
    </row>
    <row r="244" spans="20:46">
      <c r="T244" t="s">
        <v>15</v>
      </c>
      <c r="U244" t="s">
        <v>87</v>
      </c>
      <c r="V244" t="str">
        <f>VLOOKUP(Таблица15[[#This Row],[Модель]],Таблица14[#All],2,0)</f>
        <v>Минивэн</v>
      </c>
      <c r="W244" s="20">
        <f>VLOOKUP(Таблица15[[#This Row],[Модель]],Таблица14[#All],3,0)</f>
        <v>28000</v>
      </c>
      <c r="X244" s="20">
        <f>VLOOKUP(Таблица15[[#This Row],[Модель]],Таблица14[#All],4,0)</f>
        <v>25000</v>
      </c>
      <c r="Y244" s="4">
        <f>VLOOKUP(Таблица15[[#This Row],[Модель]],Таблица14[#All],5,0)</f>
        <v>35000</v>
      </c>
      <c r="Z244" t="str">
        <f>VLOOKUP(Таблица15[[#This Row],[Модель]],Таблица14[#All],6,0)</f>
        <v>АКПП</v>
      </c>
      <c r="AA244" t="str">
        <f>VLOOKUP(Таблица15[[#This Row],[Модель]],Таблица14[#All],7,0)</f>
        <v>Бензин</v>
      </c>
      <c r="AB244" t="str">
        <f>VLOOKUP(Таблица15[[#This Row],[Модель]],Таблица14[#All],8,0)</f>
        <v>Комфорт</v>
      </c>
      <c r="AC244" t="str">
        <f>VLOOKUP(Таблица15[[#This Row],[Модель]],Таблица14[#All],9,0)</f>
        <v>Большой</v>
      </c>
      <c r="AD244">
        <f>VLOOKUP(Таблица15[[#This Row],[Модель]],Таблица14[#All],10,0)</f>
        <v>290</v>
      </c>
      <c r="AE244">
        <f>VLOOKUP(Таблица15[[#This Row],[Модель]],Таблица14[#All],11,0)</f>
        <v>10</v>
      </c>
      <c r="AF244">
        <v>2021</v>
      </c>
      <c r="AG244">
        <v>0</v>
      </c>
      <c r="AH244" s="22">
        <f>VLOOKUP(Таблица15[[#This Row],[Модель]],Таблица14[#All],12,0)/1000000</f>
        <v>23.99</v>
      </c>
      <c r="AI244" s="21">
        <f>VLOOKUP(Таблица15[[#This Row],[Модель]],Таблица14[#All],13,0)/1000000</f>
        <v>23.99</v>
      </c>
      <c r="AJ244" s="21">
        <f>VLOOKUP(Таблица15[[#This Row],[Модель]],Таблица14[#All],14,0)/1000000</f>
        <v>23.99</v>
      </c>
      <c r="AK244" s="21">
        <f>Таблица15[[#This Row],[Средняя цена (USD)]]*Таблица15[[#This Row],[Кол-во проданных]]/1000000</f>
        <v>0</v>
      </c>
      <c r="AL244" s="39">
        <f>Таблица15[[#This Row],[Средняя цена млн. ₸]]/440*Таблица15[[#This Row],[Кол-во проданных]]</f>
        <v>0</v>
      </c>
      <c r="AM244" s="39">
        <f>Таблица15[[#This Row],[Средняя цена млн. ₸]]*Таблица15[[#This Row],[Кол-во проданных]]/1000</f>
        <v>0</v>
      </c>
      <c r="AR244" s="22"/>
      <c r="AS244" s="22"/>
      <c r="AT244" s="22"/>
    </row>
    <row r="245" spans="20:46">
      <c r="T245" t="s">
        <v>15</v>
      </c>
      <c r="U245" t="s">
        <v>87</v>
      </c>
      <c r="V245" t="str">
        <f>VLOOKUP(Таблица15[[#This Row],[Модель]],Таблица14[#All],2,0)</f>
        <v>Минивэн</v>
      </c>
      <c r="W245" s="20">
        <f>VLOOKUP(Таблица15[[#This Row],[Модель]],Таблица14[#All],3,0)</f>
        <v>28000</v>
      </c>
      <c r="X245" s="20">
        <f>VLOOKUP(Таблица15[[#This Row],[Модель]],Таблица14[#All],4,0)</f>
        <v>25000</v>
      </c>
      <c r="Y245" s="4">
        <f>VLOOKUP(Таблица15[[#This Row],[Модель]],Таблица14[#All],5,0)</f>
        <v>35000</v>
      </c>
      <c r="Z245" t="str">
        <f>VLOOKUP(Таблица15[[#This Row],[Модель]],Таблица14[#All],6,0)</f>
        <v>АКПП</v>
      </c>
      <c r="AA245" t="str">
        <f>VLOOKUP(Таблица15[[#This Row],[Модель]],Таблица14[#All],7,0)</f>
        <v>Бензин</v>
      </c>
      <c r="AB245" t="str">
        <f>VLOOKUP(Таблица15[[#This Row],[Модель]],Таблица14[#All],8,0)</f>
        <v>Комфорт</v>
      </c>
      <c r="AC245" t="str">
        <f>VLOOKUP(Таблица15[[#This Row],[Модель]],Таблица14[#All],9,0)</f>
        <v>Большой</v>
      </c>
      <c r="AD245">
        <f>VLOOKUP(Таблица15[[#This Row],[Модель]],Таблица14[#All],10,0)</f>
        <v>290</v>
      </c>
      <c r="AE245">
        <f>VLOOKUP(Таблица15[[#This Row],[Модель]],Таблица14[#All],11,0)</f>
        <v>10</v>
      </c>
      <c r="AF245">
        <v>2020</v>
      </c>
      <c r="AG245">
        <v>0</v>
      </c>
      <c r="AH245" s="22">
        <f>VLOOKUP(Таблица15[[#This Row],[Модель]],Таблица14[#All],12,0)/1000000</f>
        <v>23.99</v>
      </c>
      <c r="AI245" s="21">
        <f>VLOOKUP(Таблица15[[#This Row],[Модель]],Таблица14[#All],13,0)/1000000</f>
        <v>23.99</v>
      </c>
      <c r="AJ245" s="21">
        <f>VLOOKUP(Таблица15[[#This Row],[Модель]],Таблица14[#All],14,0)/1000000</f>
        <v>23.99</v>
      </c>
      <c r="AK245" s="21">
        <f>Таблица15[[#This Row],[Средняя цена (USD)]]*Таблица15[[#This Row],[Кол-во проданных]]/1000000</f>
        <v>0</v>
      </c>
      <c r="AL245" s="39">
        <f>Таблица15[[#This Row],[Средняя цена млн. ₸]]/440*Таблица15[[#This Row],[Кол-во проданных]]</f>
        <v>0</v>
      </c>
      <c r="AM245" s="39">
        <f>Таблица15[[#This Row],[Средняя цена млн. ₸]]*Таблица15[[#This Row],[Кол-во проданных]]/1000</f>
        <v>0</v>
      </c>
      <c r="AR245" s="22"/>
      <c r="AS245" s="22"/>
      <c r="AT245" s="22"/>
    </row>
    <row r="246" spans="20:46">
      <c r="T246" t="s">
        <v>15</v>
      </c>
      <c r="U246" t="s">
        <v>87</v>
      </c>
      <c r="V246" t="str">
        <f>VLOOKUP(Таблица15[[#This Row],[Модель]],Таблица14[#All],2,0)</f>
        <v>Минивэн</v>
      </c>
      <c r="W246" s="20">
        <f>VLOOKUP(Таблица15[[#This Row],[Модель]],Таблица14[#All],3,0)</f>
        <v>28000</v>
      </c>
      <c r="X246" s="20">
        <f>VLOOKUP(Таблица15[[#This Row],[Модель]],Таблица14[#All],4,0)</f>
        <v>25000</v>
      </c>
      <c r="Y246" s="4">
        <f>VLOOKUP(Таблица15[[#This Row],[Модель]],Таблица14[#All],5,0)</f>
        <v>35000</v>
      </c>
      <c r="Z246" t="str">
        <f>VLOOKUP(Таблица15[[#This Row],[Модель]],Таблица14[#All],6,0)</f>
        <v>АКПП</v>
      </c>
      <c r="AA246" t="str">
        <f>VLOOKUP(Таблица15[[#This Row],[Модель]],Таблица14[#All],7,0)</f>
        <v>Бензин</v>
      </c>
      <c r="AB246" t="str">
        <f>VLOOKUP(Таблица15[[#This Row],[Модель]],Таблица14[#All],8,0)</f>
        <v>Комфорт</v>
      </c>
      <c r="AC246" t="str">
        <f>VLOOKUP(Таблица15[[#This Row],[Модель]],Таблица14[#All],9,0)</f>
        <v>Большой</v>
      </c>
      <c r="AD246">
        <f>VLOOKUP(Таблица15[[#This Row],[Модель]],Таблица14[#All],10,0)</f>
        <v>290</v>
      </c>
      <c r="AE246">
        <f>VLOOKUP(Таблица15[[#This Row],[Модель]],Таблица14[#All],11,0)</f>
        <v>10</v>
      </c>
      <c r="AF246">
        <v>2019</v>
      </c>
      <c r="AG246">
        <v>0</v>
      </c>
      <c r="AH246" s="22">
        <f>VLOOKUP(Таблица15[[#This Row],[Модель]],Таблица14[#All],12,0)/1000000</f>
        <v>23.99</v>
      </c>
      <c r="AI246" s="21">
        <f>VLOOKUP(Таблица15[[#This Row],[Модель]],Таблица14[#All],13,0)/1000000</f>
        <v>23.99</v>
      </c>
      <c r="AJ246" s="21">
        <f>VLOOKUP(Таблица15[[#This Row],[Модель]],Таблица14[#All],14,0)/1000000</f>
        <v>23.99</v>
      </c>
      <c r="AK246" s="21">
        <f>Таблица15[[#This Row],[Средняя цена (USD)]]*Таблица15[[#This Row],[Кол-во проданных]]/1000000</f>
        <v>0</v>
      </c>
      <c r="AL246" s="39">
        <f>Таблица15[[#This Row],[Средняя цена млн. ₸]]/440*Таблица15[[#This Row],[Кол-во проданных]]</f>
        <v>0</v>
      </c>
      <c r="AM246" s="39">
        <f>Таблица15[[#This Row],[Средняя цена млн. ₸]]*Таблица15[[#This Row],[Кол-во проданных]]/1000</f>
        <v>0</v>
      </c>
      <c r="AR246" s="22"/>
      <c r="AS246" s="22"/>
      <c r="AT246" s="22"/>
    </row>
    <row r="247" spans="20:46">
      <c r="T247" t="s">
        <v>15</v>
      </c>
      <c r="U247" t="s">
        <v>73</v>
      </c>
      <c r="V247" t="str">
        <f>VLOOKUP(Таблица15[[#This Row],[Модель]],Таблица14[#All],2,0)</f>
        <v>Кроссовер</v>
      </c>
      <c r="W247" s="20">
        <f>VLOOKUP(Таблица15[[#This Row],[Модель]],Таблица14[#All],3,0)</f>
        <v>20000</v>
      </c>
      <c r="X247" s="20">
        <f>VLOOKUP(Таблица15[[#This Row],[Модель]],Таблица14[#All],4,0)</f>
        <v>18000</v>
      </c>
      <c r="Y247" s="4">
        <f>VLOOKUP(Таблица15[[#This Row],[Модель]],Таблица14[#All],5,0)</f>
        <v>24000</v>
      </c>
      <c r="Z247" t="str">
        <f>VLOOKUP(Таблица15[[#This Row],[Модель]],Таблица14[#All],6,0)</f>
        <v>АКПП</v>
      </c>
      <c r="AA247" t="str">
        <f>VLOOKUP(Таблица15[[#This Row],[Модель]],Таблица14[#All],7,0)</f>
        <v>Бензин</v>
      </c>
      <c r="AB247" t="str">
        <f>VLOOKUP(Таблица15[[#This Row],[Модель]],Таблица14[#All],8,0)</f>
        <v>Комфорт</v>
      </c>
      <c r="AC247" t="str">
        <f>VLOOKUP(Таблица15[[#This Row],[Модель]],Таблица14[#All],9,0)</f>
        <v>Средний</v>
      </c>
      <c r="AD247">
        <f>VLOOKUP(Таблица15[[#This Row],[Модель]],Таблица14[#All],10,0)</f>
        <v>160</v>
      </c>
      <c r="AE247">
        <f>VLOOKUP(Таблица15[[#This Row],[Модель]],Таблица14[#All],11,0)</f>
        <v>12.5</v>
      </c>
      <c r="AF247">
        <v>2023</v>
      </c>
      <c r="AG247">
        <v>1527</v>
      </c>
      <c r="AH247" s="22">
        <f>VLOOKUP(Таблица15[[#This Row],[Модель]],Таблица14[#All],12,0)/1000000</f>
        <v>12.39</v>
      </c>
      <c r="AI247" s="21">
        <f>VLOOKUP(Таблица15[[#This Row],[Модель]],Таблица14[#All],13,0)/1000000</f>
        <v>11.99</v>
      </c>
      <c r="AJ247" s="21">
        <f>VLOOKUP(Таблица15[[#This Row],[Модель]],Таблица14[#All],14,0)/1000000</f>
        <v>12.79</v>
      </c>
      <c r="AK247" s="21">
        <f>Таблица15[[#This Row],[Средняя цена (USD)]]*Таблица15[[#This Row],[Кол-во проданных]]/1000000</f>
        <v>30.54</v>
      </c>
      <c r="AL247" s="39">
        <f>Таблица15[[#This Row],[Средняя цена млн. ₸]]/440*Таблица15[[#This Row],[Кол-во проданных]]</f>
        <v>42.998931818181823</v>
      </c>
      <c r="AM247" s="39">
        <f>Таблица15[[#This Row],[Средняя цена млн. ₸]]*Таблица15[[#This Row],[Кол-во проданных]]/1000</f>
        <v>18.919530000000002</v>
      </c>
      <c r="AR247" s="22"/>
      <c r="AS247" s="22"/>
      <c r="AT247" s="22"/>
    </row>
    <row r="248" spans="20:46">
      <c r="T248" t="s">
        <v>15</v>
      </c>
      <c r="U248" t="s">
        <v>73</v>
      </c>
      <c r="V248" t="str">
        <f>VLOOKUP(Таблица15[[#This Row],[Модель]],Таблица14[#All],2,0)</f>
        <v>Кроссовер</v>
      </c>
      <c r="W248" s="20">
        <f>VLOOKUP(Таблица15[[#This Row],[Модель]],Таблица14[#All],3,0)</f>
        <v>20000</v>
      </c>
      <c r="X248" s="20">
        <f>VLOOKUP(Таблица15[[#This Row],[Модель]],Таблица14[#All],4,0)</f>
        <v>18000</v>
      </c>
      <c r="Y248" s="4">
        <f>VLOOKUP(Таблица15[[#This Row],[Модель]],Таблица14[#All],5,0)</f>
        <v>24000</v>
      </c>
      <c r="Z248" t="str">
        <f>VLOOKUP(Таблица15[[#This Row],[Модель]],Таблица14[#All],6,0)</f>
        <v>АКПП</v>
      </c>
      <c r="AA248" t="str">
        <f>VLOOKUP(Таблица15[[#This Row],[Модель]],Таблица14[#All],7,0)</f>
        <v>Бензин</v>
      </c>
      <c r="AB248" t="str">
        <f>VLOOKUP(Таблица15[[#This Row],[Модель]],Таблица14[#All],8,0)</f>
        <v>Комфорт</v>
      </c>
      <c r="AC248" t="str">
        <f>VLOOKUP(Таблица15[[#This Row],[Модель]],Таблица14[#All],9,0)</f>
        <v>Средний</v>
      </c>
      <c r="AD248">
        <f>VLOOKUP(Таблица15[[#This Row],[Модель]],Таблица14[#All],10,0)</f>
        <v>160</v>
      </c>
      <c r="AE248">
        <f>VLOOKUP(Таблица15[[#This Row],[Модель]],Таблица14[#All],11,0)</f>
        <v>12.5</v>
      </c>
      <c r="AF248">
        <v>2022</v>
      </c>
      <c r="AG248">
        <v>1205</v>
      </c>
      <c r="AH248" s="22">
        <f>VLOOKUP(Таблица15[[#This Row],[Модель]],Таблица14[#All],12,0)/1000000</f>
        <v>12.39</v>
      </c>
      <c r="AI248" s="21">
        <f>VLOOKUP(Таблица15[[#This Row],[Модель]],Таблица14[#All],13,0)/1000000</f>
        <v>11.99</v>
      </c>
      <c r="AJ248" s="21">
        <f>VLOOKUP(Таблица15[[#This Row],[Модель]],Таблица14[#All],14,0)/1000000</f>
        <v>12.79</v>
      </c>
      <c r="AK248" s="21">
        <f>Таблица15[[#This Row],[Средняя цена (USD)]]*Таблица15[[#This Row],[Кол-во проданных]]/1000000</f>
        <v>24.1</v>
      </c>
      <c r="AL248" s="39">
        <f>Таблица15[[#This Row],[Средняя цена млн. ₸]]/440*Таблица15[[#This Row],[Кол-во проданных]]</f>
        <v>33.931704545454551</v>
      </c>
      <c r="AM248" s="39">
        <f>Таблица15[[#This Row],[Средняя цена млн. ₸]]*Таблица15[[#This Row],[Кол-во проданных]]/1000</f>
        <v>14.929950000000002</v>
      </c>
      <c r="AR248" s="22"/>
      <c r="AS248" s="22"/>
      <c r="AT248" s="22"/>
    </row>
    <row r="249" spans="20:46">
      <c r="T249" t="s">
        <v>15</v>
      </c>
      <c r="U249" t="s">
        <v>73</v>
      </c>
      <c r="V249" t="str">
        <f>VLOOKUP(Таблица15[[#This Row],[Модель]],Таблица14[#All],2,0)</f>
        <v>Кроссовер</v>
      </c>
      <c r="W249" s="20">
        <f>VLOOKUP(Таблица15[[#This Row],[Модель]],Таблица14[#All],3,0)</f>
        <v>20000</v>
      </c>
      <c r="X249" s="20">
        <f>VLOOKUP(Таблица15[[#This Row],[Модель]],Таблица14[#All],4,0)</f>
        <v>18000</v>
      </c>
      <c r="Y249" s="4">
        <f>VLOOKUP(Таблица15[[#This Row],[Модель]],Таблица14[#All],5,0)</f>
        <v>24000</v>
      </c>
      <c r="Z249" t="str">
        <f>VLOOKUP(Таблица15[[#This Row],[Модель]],Таблица14[#All],6,0)</f>
        <v>АКПП</v>
      </c>
      <c r="AA249" t="str">
        <f>VLOOKUP(Таблица15[[#This Row],[Модель]],Таблица14[#All],7,0)</f>
        <v>Бензин</v>
      </c>
      <c r="AB249" t="str">
        <f>VLOOKUP(Таблица15[[#This Row],[Модель]],Таблица14[#All],8,0)</f>
        <v>Комфорт</v>
      </c>
      <c r="AC249" t="str">
        <f>VLOOKUP(Таблица15[[#This Row],[Модель]],Таблица14[#All],9,0)</f>
        <v>Средний</v>
      </c>
      <c r="AD249">
        <f>VLOOKUP(Таблица15[[#This Row],[Модель]],Таблица14[#All],10,0)</f>
        <v>160</v>
      </c>
      <c r="AE249">
        <f>VLOOKUP(Таблица15[[#This Row],[Модель]],Таблица14[#All],11,0)</f>
        <v>12.5</v>
      </c>
      <c r="AF249">
        <v>2021</v>
      </c>
      <c r="AG249">
        <v>0</v>
      </c>
      <c r="AH249" s="22">
        <f>VLOOKUP(Таблица15[[#This Row],[Модель]],Таблица14[#All],12,0)/1000000</f>
        <v>12.39</v>
      </c>
      <c r="AI249" s="21">
        <f>VLOOKUP(Таблица15[[#This Row],[Модель]],Таблица14[#All],13,0)/1000000</f>
        <v>11.99</v>
      </c>
      <c r="AJ249" s="21">
        <f>VLOOKUP(Таблица15[[#This Row],[Модель]],Таблица14[#All],14,0)/1000000</f>
        <v>12.79</v>
      </c>
      <c r="AK249" s="21">
        <f>Таблица15[[#This Row],[Средняя цена (USD)]]*Таблица15[[#This Row],[Кол-во проданных]]/1000000</f>
        <v>0</v>
      </c>
      <c r="AL249" s="39">
        <f>Таблица15[[#This Row],[Средняя цена млн. ₸]]/440*Таблица15[[#This Row],[Кол-во проданных]]</f>
        <v>0</v>
      </c>
      <c r="AM249" s="39">
        <f>Таблица15[[#This Row],[Средняя цена млн. ₸]]*Таблица15[[#This Row],[Кол-во проданных]]/1000</f>
        <v>0</v>
      </c>
      <c r="AR249" s="22"/>
      <c r="AS249" s="22"/>
      <c r="AT249" s="22"/>
    </row>
    <row r="250" spans="20:46">
      <c r="T250" t="s">
        <v>15</v>
      </c>
      <c r="U250" t="s">
        <v>73</v>
      </c>
      <c r="V250" t="str">
        <f>VLOOKUP(Таблица15[[#This Row],[Модель]],Таблица14[#All],2,0)</f>
        <v>Кроссовер</v>
      </c>
      <c r="W250" s="20">
        <f>VLOOKUP(Таблица15[[#This Row],[Модель]],Таблица14[#All],3,0)</f>
        <v>20000</v>
      </c>
      <c r="X250" s="20">
        <f>VLOOKUP(Таблица15[[#This Row],[Модель]],Таблица14[#All],4,0)</f>
        <v>18000</v>
      </c>
      <c r="Y250" s="4">
        <f>VLOOKUP(Таблица15[[#This Row],[Модель]],Таблица14[#All],5,0)</f>
        <v>24000</v>
      </c>
      <c r="Z250" t="str">
        <f>VLOOKUP(Таблица15[[#This Row],[Модель]],Таблица14[#All],6,0)</f>
        <v>АКПП</v>
      </c>
      <c r="AA250" t="str">
        <f>VLOOKUP(Таблица15[[#This Row],[Модель]],Таблица14[#All],7,0)</f>
        <v>Бензин</v>
      </c>
      <c r="AB250" t="str">
        <f>VLOOKUP(Таблица15[[#This Row],[Модель]],Таблица14[#All],8,0)</f>
        <v>Комфорт</v>
      </c>
      <c r="AC250" t="str">
        <f>VLOOKUP(Таблица15[[#This Row],[Модель]],Таблица14[#All],9,0)</f>
        <v>Средний</v>
      </c>
      <c r="AD250">
        <f>VLOOKUP(Таблица15[[#This Row],[Модель]],Таблица14[#All],10,0)</f>
        <v>160</v>
      </c>
      <c r="AE250">
        <f>VLOOKUP(Таблица15[[#This Row],[Модель]],Таблица14[#All],11,0)</f>
        <v>12.5</v>
      </c>
      <c r="AF250">
        <v>2020</v>
      </c>
      <c r="AG250">
        <v>0</v>
      </c>
      <c r="AH250" s="22">
        <f>VLOOKUP(Таблица15[[#This Row],[Модель]],Таблица14[#All],12,0)/1000000</f>
        <v>12.39</v>
      </c>
      <c r="AI250" s="21">
        <f>VLOOKUP(Таблица15[[#This Row],[Модель]],Таблица14[#All],13,0)/1000000</f>
        <v>11.99</v>
      </c>
      <c r="AJ250" s="21">
        <f>VLOOKUP(Таблица15[[#This Row],[Модель]],Таблица14[#All],14,0)/1000000</f>
        <v>12.79</v>
      </c>
      <c r="AK250" s="21">
        <f>Таблица15[[#This Row],[Средняя цена (USD)]]*Таблица15[[#This Row],[Кол-во проданных]]/1000000</f>
        <v>0</v>
      </c>
      <c r="AL250" s="39">
        <f>Таблица15[[#This Row],[Средняя цена млн. ₸]]/440*Таблица15[[#This Row],[Кол-во проданных]]</f>
        <v>0</v>
      </c>
      <c r="AM250" s="39">
        <f>Таблица15[[#This Row],[Средняя цена млн. ₸]]*Таблица15[[#This Row],[Кол-во проданных]]/1000</f>
        <v>0</v>
      </c>
      <c r="AR250" s="22"/>
      <c r="AS250" s="22"/>
      <c r="AT250" s="22"/>
    </row>
    <row r="251" spans="20:46">
      <c r="T251" t="s">
        <v>15</v>
      </c>
      <c r="U251" t="s">
        <v>73</v>
      </c>
      <c r="V251" t="str">
        <f>VLOOKUP(Таблица15[[#This Row],[Модель]],Таблица14[#All],2,0)</f>
        <v>Кроссовер</v>
      </c>
      <c r="W251" s="20">
        <f>VLOOKUP(Таблица15[[#This Row],[Модель]],Таблица14[#All],3,0)</f>
        <v>20000</v>
      </c>
      <c r="X251" s="20">
        <f>VLOOKUP(Таблица15[[#This Row],[Модель]],Таблица14[#All],4,0)</f>
        <v>18000</v>
      </c>
      <c r="Y251" s="4">
        <f>VLOOKUP(Таблица15[[#This Row],[Модель]],Таблица14[#All],5,0)</f>
        <v>24000</v>
      </c>
      <c r="Z251" t="str">
        <f>VLOOKUP(Таблица15[[#This Row],[Модель]],Таблица14[#All],6,0)</f>
        <v>АКПП</v>
      </c>
      <c r="AA251" t="str">
        <f>VLOOKUP(Таблица15[[#This Row],[Модель]],Таблица14[#All],7,0)</f>
        <v>Бензин</v>
      </c>
      <c r="AB251" t="str">
        <f>VLOOKUP(Таблица15[[#This Row],[Модель]],Таблица14[#All],8,0)</f>
        <v>Комфорт</v>
      </c>
      <c r="AC251" t="str">
        <f>VLOOKUP(Таблица15[[#This Row],[Модель]],Таблица14[#All],9,0)</f>
        <v>Средний</v>
      </c>
      <c r="AD251">
        <f>VLOOKUP(Таблица15[[#This Row],[Модель]],Таблица14[#All],10,0)</f>
        <v>160</v>
      </c>
      <c r="AE251">
        <f>VLOOKUP(Таблица15[[#This Row],[Модель]],Таблица14[#All],11,0)</f>
        <v>12.5</v>
      </c>
      <c r="AF251">
        <v>2019</v>
      </c>
      <c r="AG251">
        <v>0</v>
      </c>
      <c r="AH251" s="22">
        <f>VLOOKUP(Таблица15[[#This Row],[Модель]],Таблица14[#All],12,0)/1000000</f>
        <v>12.39</v>
      </c>
      <c r="AI251" s="21">
        <f>VLOOKUP(Таблица15[[#This Row],[Модель]],Таблица14[#All],13,0)/1000000</f>
        <v>11.99</v>
      </c>
      <c r="AJ251" s="21">
        <f>VLOOKUP(Таблица15[[#This Row],[Модель]],Таблица14[#All],14,0)/1000000</f>
        <v>12.79</v>
      </c>
      <c r="AK251" s="21">
        <f>Таблица15[[#This Row],[Средняя цена (USD)]]*Таблица15[[#This Row],[Кол-во проданных]]/1000000</f>
        <v>0</v>
      </c>
      <c r="AL251" s="39">
        <f>Таблица15[[#This Row],[Средняя цена млн. ₸]]/440*Таблица15[[#This Row],[Кол-во проданных]]</f>
        <v>0</v>
      </c>
      <c r="AM251" s="39">
        <f>Таблица15[[#This Row],[Средняя цена млн. ₸]]*Таблица15[[#This Row],[Кол-во проданных]]/1000</f>
        <v>0</v>
      </c>
      <c r="AR251" s="22"/>
      <c r="AS251" s="22"/>
      <c r="AT251" s="22"/>
    </row>
    <row r="252" spans="20:46">
      <c r="T252" t="s">
        <v>15</v>
      </c>
      <c r="U252" t="s">
        <v>60</v>
      </c>
      <c r="V252" t="str">
        <f>VLOOKUP(Таблица15[[#This Row],[Модель]],Таблица14[#All],2,0)</f>
        <v>Внедорожник</v>
      </c>
      <c r="W252" s="20">
        <f>VLOOKUP(Таблица15[[#This Row],[Модель]],Таблица14[#All],3,0)</f>
        <v>28000</v>
      </c>
      <c r="X252" s="20">
        <f>VLOOKUP(Таблица15[[#This Row],[Модель]],Таблица14[#All],4,0)</f>
        <v>25000</v>
      </c>
      <c r="Y252" s="4">
        <f>VLOOKUP(Таблица15[[#This Row],[Модель]],Таблица14[#All],5,0)</f>
        <v>35000</v>
      </c>
      <c r="Z252" t="str">
        <f>VLOOKUP(Таблица15[[#This Row],[Модель]],Таблица14[#All],6,0)</f>
        <v>АКПП</v>
      </c>
      <c r="AA252" t="str">
        <f>VLOOKUP(Таблица15[[#This Row],[Модель]],Таблица14[#All],7,0)</f>
        <v>Бензин, Дизель, Гибрид</v>
      </c>
      <c r="AB252" t="str">
        <f>VLOOKUP(Таблица15[[#This Row],[Модель]],Таблица14[#All],8,0)</f>
        <v>Комфорт</v>
      </c>
      <c r="AC252" t="str">
        <f>VLOOKUP(Таблица15[[#This Row],[Модель]],Таблица14[#All],9,0)</f>
        <v>Средний</v>
      </c>
      <c r="AD252">
        <f>VLOOKUP(Таблица15[[#This Row],[Модель]],Таблица14[#All],10,0)</f>
        <v>230</v>
      </c>
      <c r="AE252">
        <f>VLOOKUP(Таблица15[[#This Row],[Модель]],Таблица14[#All],11,0)</f>
        <v>11</v>
      </c>
      <c r="AF252">
        <v>2023</v>
      </c>
      <c r="AG252">
        <v>3061</v>
      </c>
      <c r="AH252" s="22">
        <f>VLOOKUP(Таблица15[[#This Row],[Модель]],Таблица14[#All],12,0)/1000000</f>
        <v>18.59</v>
      </c>
      <c r="AI252" s="21">
        <f>VLOOKUP(Таблица15[[#This Row],[Модель]],Таблица14[#All],13,0)/1000000</f>
        <v>17.989999999999998</v>
      </c>
      <c r="AJ252" s="21">
        <f>VLOOKUP(Таблица15[[#This Row],[Модель]],Таблица14[#All],14,0)/1000000</f>
        <v>19.190000000000001</v>
      </c>
      <c r="AK252" s="21">
        <f>Таблица15[[#This Row],[Средняя цена (USD)]]*Таблица15[[#This Row],[Кол-во проданных]]/1000000</f>
        <v>85.707999999999998</v>
      </c>
      <c r="AL252" s="39">
        <f>Таблица15[[#This Row],[Средняя цена млн. ₸]]/440*Таблица15[[#This Row],[Кол-во проданных]]</f>
        <v>129.32725000000002</v>
      </c>
      <c r="AM252" s="39">
        <f>Таблица15[[#This Row],[Средняя цена млн. ₸]]*Таблица15[[#This Row],[Кол-во проданных]]/1000</f>
        <v>56.90399</v>
      </c>
      <c r="AR252" s="22"/>
      <c r="AS252" s="22"/>
      <c r="AT252" s="22"/>
    </row>
    <row r="253" spans="20:46">
      <c r="T253" t="s">
        <v>15</v>
      </c>
      <c r="U253" t="s">
        <v>60</v>
      </c>
      <c r="V253" t="str">
        <f>VLOOKUP(Таблица15[[#This Row],[Модель]],Таблица14[#All],2,0)</f>
        <v>Внедорожник</v>
      </c>
      <c r="W253" s="20">
        <f>VLOOKUP(Таблица15[[#This Row],[Модель]],Таблица14[#All],3,0)</f>
        <v>28000</v>
      </c>
      <c r="X253" s="20">
        <f>VLOOKUP(Таблица15[[#This Row],[Модель]],Таблица14[#All],4,0)</f>
        <v>25000</v>
      </c>
      <c r="Y253" s="4">
        <f>VLOOKUP(Таблица15[[#This Row],[Модель]],Таблица14[#All],5,0)</f>
        <v>35000</v>
      </c>
      <c r="Z253" t="str">
        <f>VLOOKUP(Таблица15[[#This Row],[Модель]],Таблица14[#All],6,0)</f>
        <v>АКПП</v>
      </c>
      <c r="AA253" t="str">
        <f>VLOOKUP(Таблица15[[#This Row],[Модель]],Таблица14[#All],7,0)</f>
        <v>Бензин, Дизель, Гибрид</v>
      </c>
      <c r="AB253" t="str">
        <f>VLOOKUP(Таблица15[[#This Row],[Модель]],Таблица14[#All],8,0)</f>
        <v>Комфорт</v>
      </c>
      <c r="AC253" t="str">
        <f>VLOOKUP(Таблица15[[#This Row],[Модель]],Таблица14[#All],9,0)</f>
        <v>Средний</v>
      </c>
      <c r="AD253">
        <f>VLOOKUP(Таблица15[[#This Row],[Модель]],Таблица14[#All],10,0)</f>
        <v>230</v>
      </c>
      <c r="AE253">
        <f>VLOOKUP(Таблица15[[#This Row],[Модель]],Таблица14[#All],11,0)</f>
        <v>11</v>
      </c>
      <c r="AF253">
        <v>2022</v>
      </c>
      <c r="AG253">
        <v>2132</v>
      </c>
      <c r="AH253" s="22">
        <f>VLOOKUP(Таблица15[[#This Row],[Модель]],Таблица14[#All],12,0)/1000000</f>
        <v>18.59</v>
      </c>
      <c r="AI253" s="21">
        <f>VLOOKUP(Таблица15[[#This Row],[Модель]],Таблица14[#All],13,0)/1000000</f>
        <v>17.989999999999998</v>
      </c>
      <c r="AJ253" s="21">
        <f>VLOOKUP(Таблица15[[#This Row],[Модель]],Таблица14[#All],14,0)/1000000</f>
        <v>19.190000000000001</v>
      </c>
      <c r="AK253" s="21">
        <f>Таблица15[[#This Row],[Средняя цена (USD)]]*Таблица15[[#This Row],[Кол-во проданных]]/1000000</f>
        <v>59.695999999999998</v>
      </c>
      <c r="AL253" s="39">
        <f>Таблица15[[#This Row],[Средняя цена млн. ₸]]/440*Таблица15[[#This Row],[Кол-во проданных]]</f>
        <v>90.077000000000012</v>
      </c>
      <c r="AM253" s="39">
        <f>Таблица15[[#This Row],[Средняя цена млн. ₸]]*Таблица15[[#This Row],[Кол-во проданных]]/1000</f>
        <v>39.633879999999998</v>
      </c>
      <c r="AR253" s="22"/>
      <c r="AS253" s="22"/>
      <c r="AT253" s="22"/>
    </row>
    <row r="254" spans="20:46">
      <c r="T254" t="s">
        <v>15</v>
      </c>
      <c r="U254" t="s">
        <v>60</v>
      </c>
      <c r="V254" t="str">
        <f>VLOOKUP(Таблица15[[#This Row],[Модель]],Таблица14[#All],2,0)</f>
        <v>Внедорожник</v>
      </c>
      <c r="W254" s="20">
        <f>VLOOKUP(Таблица15[[#This Row],[Модель]],Таблица14[#All],3,0)</f>
        <v>28000</v>
      </c>
      <c r="X254" s="20">
        <f>VLOOKUP(Таблица15[[#This Row],[Модель]],Таблица14[#All],4,0)</f>
        <v>25000</v>
      </c>
      <c r="Y254" s="4">
        <f>VLOOKUP(Таблица15[[#This Row],[Модель]],Таблица14[#All],5,0)</f>
        <v>35000</v>
      </c>
      <c r="Z254" t="str">
        <f>VLOOKUP(Таблица15[[#This Row],[Модель]],Таблица14[#All],6,0)</f>
        <v>АКПП</v>
      </c>
      <c r="AA254" t="str">
        <f>VLOOKUP(Таблица15[[#This Row],[Модель]],Таблица14[#All],7,0)</f>
        <v>Бензин, Дизель, Гибрид</v>
      </c>
      <c r="AB254" t="str">
        <f>VLOOKUP(Таблица15[[#This Row],[Модель]],Таблица14[#All],8,0)</f>
        <v>Комфорт</v>
      </c>
      <c r="AC254" t="str">
        <f>VLOOKUP(Таблица15[[#This Row],[Модель]],Таблица14[#All],9,0)</f>
        <v>Средний</v>
      </c>
      <c r="AD254">
        <f>VLOOKUP(Таблица15[[#This Row],[Модель]],Таблица14[#All],10,0)</f>
        <v>230</v>
      </c>
      <c r="AE254">
        <f>VLOOKUP(Таблица15[[#This Row],[Модель]],Таблица14[#All],11,0)</f>
        <v>11</v>
      </c>
      <c r="AF254">
        <v>2021</v>
      </c>
      <c r="AG254">
        <v>1043</v>
      </c>
      <c r="AH254" s="22">
        <f>VLOOKUP(Таблица15[[#This Row],[Модель]],Таблица14[#All],12,0)/1000000</f>
        <v>18.59</v>
      </c>
      <c r="AI254" s="21">
        <f>VLOOKUP(Таблица15[[#This Row],[Модель]],Таблица14[#All],13,0)/1000000</f>
        <v>17.989999999999998</v>
      </c>
      <c r="AJ254" s="21">
        <f>VLOOKUP(Таблица15[[#This Row],[Модель]],Таблица14[#All],14,0)/1000000</f>
        <v>19.190000000000001</v>
      </c>
      <c r="AK254" s="21">
        <f>Таблица15[[#This Row],[Средняя цена (USD)]]*Таблица15[[#This Row],[Кол-во проданных]]/1000000</f>
        <v>29.204000000000001</v>
      </c>
      <c r="AL254" s="39">
        <f>Таблица15[[#This Row],[Средняя цена млн. ₸]]/440*Таблица15[[#This Row],[Кол-во проданных]]</f>
        <v>44.066750000000006</v>
      </c>
      <c r="AM254" s="39">
        <f>Таблица15[[#This Row],[Средняя цена млн. ₸]]*Таблица15[[#This Row],[Кол-во проданных]]/1000</f>
        <v>19.38937</v>
      </c>
      <c r="AR254" s="22"/>
      <c r="AS254" s="22"/>
      <c r="AT254" s="22"/>
    </row>
    <row r="255" spans="20:46">
      <c r="T255" t="s">
        <v>15</v>
      </c>
      <c r="U255" t="s">
        <v>60</v>
      </c>
      <c r="V255" t="str">
        <f>VLOOKUP(Таблица15[[#This Row],[Модель]],Таблица14[#All],2,0)</f>
        <v>Внедорожник</v>
      </c>
      <c r="W255" s="20">
        <f>VLOOKUP(Таблица15[[#This Row],[Модель]],Таблица14[#All],3,0)</f>
        <v>28000</v>
      </c>
      <c r="X255" s="20">
        <f>VLOOKUP(Таблица15[[#This Row],[Модель]],Таблица14[#All],4,0)</f>
        <v>25000</v>
      </c>
      <c r="Y255" s="4">
        <f>VLOOKUP(Таблица15[[#This Row],[Модель]],Таблица14[#All],5,0)</f>
        <v>35000</v>
      </c>
      <c r="Z255" t="str">
        <f>VLOOKUP(Таблица15[[#This Row],[Модель]],Таблица14[#All],6,0)</f>
        <v>АКПП</v>
      </c>
      <c r="AA255" t="str">
        <f>VLOOKUP(Таблица15[[#This Row],[Модель]],Таблица14[#All],7,0)</f>
        <v>Бензин, Дизель, Гибрид</v>
      </c>
      <c r="AB255" t="str">
        <f>VLOOKUP(Таблица15[[#This Row],[Модель]],Таблица14[#All],8,0)</f>
        <v>Комфорт</v>
      </c>
      <c r="AC255" t="str">
        <f>VLOOKUP(Таблица15[[#This Row],[Модель]],Таблица14[#All],9,0)</f>
        <v>Средний</v>
      </c>
      <c r="AD255">
        <f>VLOOKUP(Таблица15[[#This Row],[Модель]],Таблица14[#All],10,0)</f>
        <v>230</v>
      </c>
      <c r="AE255">
        <f>VLOOKUP(Таблица15[[#This Row],[Модель]],Таблица14[#All],11,0)</f>
        <v>11</v>
      </c>
      <c r="AF255">
        <v>2020</v>
      </c>
      <c r="AG255">
        <v>289</v>
      </c>
      <c r="AH255" s="22">
        <f>VLOOKUP(Таблица15[[#This Row],[Модель]],Таблица14[#All],12,0)/1000000</f>
        <v>18.59</v>
      </c>
      <c r="AI255" s="21">
        <f>VLOOKUP(Таблица15[[#This Row],[Модель]],Таблица14[#All],13,0)/1000000</f>
        <v>17.989999999999998</v>
      </c>
      <c r="AJ255" s="21">
        <f>VLOOKUP(Таблица15[[#This Row],[Модель]],Таблица14[#All],14,0)/1000000</f>
        <v>19.190000000000001</v>
      </c>
      <c r="AK255" s="21">
        <f>Таблица15[[#This Row],[Средняя цена (USD)]]*Таблица15[[#This Row],[Кол-во проданных]]/1000000</f>
        <v>8.0920000000000005</v>
      </c>
      <c r="AL255" s="39">
        <f>Таблица15[[#This Row],[Средняя цена млн. ₸]]/440*Таблица15[[#This Row],[Кол-во проданных]]</f>
        <v>12.21025</v>
      </c>
      <c r="AM255" s="39">
        <f>Таблица15[[#This Row],[Средняя цена млн. ₸]]*Таблица15[[#This Row],[Кол-во проданных]]/1000</f>
        <v>5.3725100000000001</v>
      </c>
      <c r="AR255" s="22"/>
      <c r="AS255" s="22"/>
      <c r="AT255" s="22"/>
    </row>
    <row r="256" spans="20:46">
      <c r="T256" t="s">
        <v>15</v>
      </c>
      <c r="U256" t="s">
        <v>60</v>
      </c>
      <c r="V256" t="str">
        <f>VLOOKUP(Таблица15[[#This Row],[Модель]],Таблица14[#All],2,0)</f>
        <v>Внедорожник</v>
      </c>
      <c r="W256" s="20">
        <f>VLOOKUP(Таблица15[[#This Row],[Модель]],Таблица14[#All],3,0)</f>
        <v>28000</v>
      </c>
      <c r="X256" s="20">
        <f>VLOOKUP(Таблица15[[#This Row],[Модель]],Таблица14[#All],4,0)</f>
        <v>25000</v>
      </c>
      <c r="Y256" s="4">
        <f>VLOOKUP(Таблица15[[#This Row],[Модель]],Таблица14[#All],5,0)</f>
        <v>35000</v>
      </c>
      <c r="Z256" t="str">
        <f>VLOOKUP(Таблица15[[#This Row],[Модель]],Таблица14[#All],6,0)</f>
        <v>АКПП</v>
      </c>
      <c r="AA256" t="str">
        <f>VLOOKUP(Таблица15[[#This Row],[Модель]],Таблица14[#All],7,0)</f>
        <v>Бензин, Дизель, Гибрид</v>
      </c>
      <c r="AB256" t="str">
        <f>VLOOKUP(Таблица15[[#This Row],[Модель]],Таблица14[#All],8,0)</f>
        <v>Комфорт</v>
      </c>
      <c r="AC256" t="str">
        <f>VLOOKUP(Таблица15[[#This Row],[Модель]],Таблица14[#All],9,0)</f>
        <v>Средний</v>
      </c>
      <c r="AD256">
        <f>VLOOKUP(Таблица15[[#This Row],[Модель]],Таблица14[#All],10,0)</f>
        <v>230</v>
      </c>
      <c r="AE256">
        <f>VLOOKUP(Таблица15[[#This Row],[Модель]],Таблица14[#All],11,0)</f>
        <v>11</v>
      </c>
      <c r="AF256">
        <v>2019</v>
      </c>
      <c r="AG256">
        <v>563</v>
      </c>
      <c r="AH256" s="22">
        <f>VLOOKUP(Таблица15[[#This Row],[Модель]],Таблица14[#All],12,0)/1000000</f>
        <v>18.59</v>
      </c>
      <c r="AI256" s="21">
        <f>VLOOKUP(Таблица15[[#This Row],[Модель]],Таблица14[#All],13,0)/1000000</f>
        <v>17.989999999999998</v>
      </c>
      <c r="AJ256" s="21">
        <f>VLOOKUP(Таблица15[[#This Row],[Модель]],Таблица14[#All],14,0)/1000000</f>
        <v>19.190000000000001</v>
      </c>
      <c r="AK256" s="21">
        <f>Таблица15[[#This Row],[Средняя цена (USD)]]*Таблица15[[#This Row],[Кол-во проданных]]/1000000</f>
        <v>15.763999999999999</v>
      </c>
      <c r="AL256" s="39">
        <f>Таблица15[[#This Row],[Средняя цена млн. ₸]]/440*Таблица15[[#This Row],[Кол-во проданных]]</f>
        <v>23.786750000000001</v>
      </c>
      <c r="AM256" s="39">
        <f>Таблица15[[#This Row],[Средняя цена млн. ₸]]*Таблица15[[#This Row],[Кол-во проданных]]/1000</f>
        <v>10.46617</v>
      </c>
      <c r="AR256" s="22"/>
      <c r="AS256" s="22"/>
      <c r="AT256" s="22"/>
    </row>
    <row r="257" spans="20:46">
      <c r="T257" t="s">
        <v>15</v>
      </c>
      <c r="U257" t="s">
        <v>92</v>
      </c>
      <c r="V257" t="str">
        <f>VLOOKUP(Таблица15[[#This Row],[Модель]],Таблица14[#All],2,0)</f>
        <v>Хэтчбэк</v>
      </c>
      <c r="W257" s="20">
        <f>VLOOKUP(Таблица15[[#This Row],[Модель]],Таблица14[#All],3,0)</f>
        <v>18000</v>
      </c>
      <c r="X257" s="20">
        <f>VLOOKUP(Таблица15[[#This Row],[Модель]],Таблица14[#All],4,0)</f>
        <v>16000</v>
      </c>
      <c r="Y257" s="4">
        <f>VLOOKUP(Таблица15[[#This Row],[Модель]],Таблица14[#All],5,0)</f>
        <v>22000</v>
      </c>
      <c r="Z257" t="str">
        <f>VLOOKUP(Таблица15[[#This Row],[Модель]],Таблица14[#All],6,0)</f>
        <v>МКПП, АКПП</v>
      </c>
      <c r="AA257" t="str">
        <f>VLOOKUP(Таблица15[[#This Row],[Модель]],Таблица14[#All],7,0)</f>
        <v>Бензин</v>
      </c>
      <c r="AB257" t="str">
        <f>VLOOKUP(Таблица15[[#This Row],[Модель]],Таблица14[#All],8,0)</f>
        <v>Комфорт</v>
      </c>
      <c r="AC257" t="str">
        <f>VLOOKUP(Таблица15[[#This Row],[Модель]],Таблица14[#All],9,0)</f>
        <v>Средний</v>
      </c>
      <c r="AD257">
        <f>VLOOKUP(Таблица15[[#This Row],[Модель]],Таблица14[#All],10,0)</f>
        <v>150</v>
      </c>
      <c r="AE257">
        <f>VLOOKUP(Таблица15[[#This Row],[Модель]],Таблица14[#All],11,0)</f>
        <v>13.5</v>
      </c>
      <c r="AF257">
        <v>2023</v>
      </c>
      <c r="AG257">
        <v>0</v>
      </c>
      <c r="AH257" s="22">
        <f>VLOOKUP(Таблица15[[#This Row],[Модель]],Таблица14[#All],12,0)/1000000</f>
        <v>12.24</v>
      </c>
      <c r="AI257" s="21">
        <f>VLOOKUP(Таблица15[[#This Row],[Модель]],Таблица14[#All],13,0)/1000000</f>
        <v>10.99</v>
      </c>
      <c r="AJ257" s="21">
        <f>VLOOKUP(Таблица15[[#This Row],[Модель]],Таблица14[#All],14,0)/1000000</f>
        <v>13.49</v>
      </c>
      <c r="AK257" s="21">
        <f>Таблица15[[#This Row],[Средняя цена (USD)]]*Таблица15[[#This Row],[Кол-во проданных]]/1000000</f>
        <v>0</v>
      </c>
      <c r="AL257" s="39">
        <f>Таблица15[[#This Row],[Средняя цена млн. ₸]]/440*Таблица15[[#This Row],[Кол-во проданных]]</f>
        <v>0</v>
      </c>
      <c r="AM257" s="39">
        <f>Таблица15[[#This Row],[Средняя цена млн. ₸]]*Таблица15[[#This Row],[Кол-во проданных]]/1000</f>
        <v>0</v>
      </c>
      <c r="AR257" s="22"/>
      <c r="AS257" s="22"/>
      <c r="AT257" s="22"/>
    </row>
    <row r="258" spans="20:46">
      <c r="T258" t="s">
        <v>15</v>
      </c>
      <c r="U258" t="s">
        <v>92</v>
      </c>
      <c r="V258" t="str">
        <f>VLOOKUP(Таблица15[[#This Row],[Модель]],Таблица14[#All],2,0)</f>
        <v>Хэтчбэк</v>
      </c>
      <c r="W258" s="20">
        <f>VLOOKUP(Таблица15[[#This Row],[Модель]],Таблица14[#All],3,0)</f>
        <v>18000</v>
      </c>
      <c r="X258" s="20">
        <f>VLOOKUP(Таблица15[[#This Row],[Модель]],Таблица14[#All],4,0)</f>
        <v>16000</v>
      </c>
      <c r="Y258" s="4">
        <f>VLOOKUP(Таблица15[[#This Row],[Модель]],Таблица14[#All],5,0)</f>
        <v>22000</v>
      </c>
      <c r="Z258" t="str">
        <f>VLOOKUP(Таблица15[[#This Row],[Модель]],Таблица14[#All],6,0)</f>
        <v>МКПП, АКПП</v>
      </c>
      <c r="AA258" t="str">
        <f>VLOOKUP(Таблица15[[#This Row],[Модель]],Таблица14[#All],7,0)</f>
        <v>Бензин</v>
      </c>
      <c r="AB258" t="str">
        <f>VLOOKUP(Таблица15[[#This Row],[Модель]],Таблица14[#All],8,0)</f>
        <v>Комфорт</v>
      </c>
      <c r="AC258" t="str">
        <f>VLOOKUP(Таблица15[[#This Row],[Модель]],Таблица14[#All],9,0)</f>
        <v>Средний</v>
      </c>
      <c r="AD258">
        <f>VLOOKUP(Таблица15[[#This Row],[Модель]],Таблица14[#All],10,0)</f>
        <v>150</v>
      </c>
      <c r="AE258">
        <f>VLOOKUP(Таблица15[[#This Row],[Модель]],Таблица14[#All],11,0)</f>
        <v>13.5</v>
      </c>
      <c r="AF258">
        <v>2022</v>
      </c>
      <c r="AG258">
        <v>769</v>
      </c>
      <c r="AH258" s="22">
        <f>VLOOKUP(Таблица15[[#This Row],[Модель]],Таблица14[#All],12,0)/1000000</f>
        <v>12.24</v>
      </c>
      <c r="AI258" s="21">
        <f>VLOOKUP(Таблица15[[#This Row],[Модель]],Таблица14[#All],13,0)/1000000</f>
        <v>10.99</v>
      </c>
      <c r="AJ258" s="21">
        <f>VLOOKUP(Таблица15[[#This Row],[Модель]],Таблица14[#All],14,0)/1000000</f>
        <v>13.49</v>
      </c>
      <c r="AK258" s="21">
        <f>Таблица15[[#This Row],[Средняя цена (USD)]]*Таблица15[[#This Row],[Кол-во проданных]]/1000000</f>
        <v>13.842000000000001</v>
      </c>
      <c r="AL258" s="39">
        <f>Таблица15[[#This Row],[Средняя цена млн. ₸]]/440*Таблица15[[#This Row],[Кол-во проданных]]</f>
        <v>21.392181818181818</v>
      </c>
      <c r="AM258" s="39">
        <f>Таблица15[[#This Row],[Средняя цена млн. ₸]]*Таблица15[[#This Row],[Кол-во проданных]]/1000</f>
        <v>9.4125599999999991</v>
      </c>
      <c r="AR258" s="22"/>
      <c r="AS258" s="22"/>
      <c r="AT258" s="22"/>
    </row>
    <row r="259" spans="20:46">
      <c r="T259" t="s">
        <v>15</v>
      </c>
      <c r="U259" t="s">
        <v>92</v>
      </c>
      <c r="V259" t="str">
        <f>VLOOKUP(Таблица15[[#This Row],[Модель]],Таблица14[#All],2,0)</f>
        <v>Хэтчбэк</v>
      </c>
      <c r="W259" s="20">
        <f>VLOOKUP(Таблица15[[#This Row],[Модель]],Таблица14[#All],3,0)</f>
        <v>18000</v>
      </c>
      <c r="X259" s="20">
        <f>VLOOKUP(Таблица15[[#This Row],[Модель]],Таблица14[#All],4,0)</f>
        <v>16000</v>
      </c>
      <c r="Y259" s="4">
        <f>VLOOKUP(Таблица15[[#This Row],[Модель]],Таблица14[#All],5,0)</f>
        <v>22000</v>
      </c>
      <c r="Z259" t="str">
        <f>VLOOKUP(Таблица15[[#This Row],[Модель]],Таблица14[#All],6,0)</f>
        <v>МКПП, АКПП</v>
      </c>
      <c r="AA259" t="str">
        <f>VLOOKUP(Таблица15[[#This Row],[Модель]],Таблица14[#All],7,0)</f>
        <v>Бензин</v>
      </c>
      <c r="AB259" t="str">
        <f>VLOOKUP(Таблица15[[#This Row],[Модель]],Таблица14[#All],8,0)</f>
        <v>Комфорт</v>
      </c>
      <c r="AC259" t="str">
        <f>VLOOKUP(Таблица15[[#This Row],[Модель]],Таблица14[#All],9,0)</f>
        <v>Средний</v>
      </c>
      <c r="AD259">
        <f>VLOOKUP(Таблица15[[#This Row],[Модель]],Таблица14[#All],10,0)</f>
        <v>150</v>
      </c>
      <c r="AE259">
        <f>VLOOKUP(Таблица15[[#This Row],[Модель]],Таблица14[#All],11,0)</f>
        <v>13.5</v>
      </c>
      <c r="AF259">
        <v>2021</v>
      </c>
      <c r="AG259">
        <v>0</v>
      </c>
      <c r="AH259" s="22">
        <f>VLOOKUP(Таблица15[[#This Row],[Модель]],Таблица14[#All],12,0)/1000000</f>
        <v>12.24</v>
      </c>
      <c r="AI259" s="21">
        <f>VLOOKUP(Таблица15[[#This Row],[Модель]],Таблица14[#All],13,0)/1000000</f>
        <v>10.99</v>
      </c>
      <c r="AJ259" s="21">
        <f>VLOOKUP(Таблица15[[#This Row],[Модель]],Таблица14[#All],14,0)/1000000</f>
        <v>13.49</v>
      </c>
      <c r="AK259" s="21">
        <f>Таблица15[[#This Row],[Средняя цена (USD)]]*Таблица15[[#This Row],[Кол-во проданных]]/1000000</f>
        <v>0</v>
      </c>
      <c r="AL259" s="39">
        <f>Таблица15[[#This Row],[Средняя цена млн. ₸]]/440*Таблица15[[#This Row],[Кол-во проданных]]</f>
        <v>0</v>
      </c>
      <c r="AM259" s="39">
        <f>Таблица15[[#This Row],[Средняя цена млн. ₸]]*Таблица15[[#This Row],[Кол-во проданных]]/1000</f>
        <v>0</v>
      </c>
      <c r="AR259" s="22"/>
      <c r="AS259" s="22"/>
      <c r="AT259" s="22"/>
    </row>
    <row r="260" spans="20:46">
      <c r="T260" t="s">
        <v>15</v>
      </c>
      <c r="U260" t="s">
        <v>92</v>
      </c>
      <c r="V260" t="str">
        <f>VLOOKUP(Таблица15[[#This Row],[Модель]],Таблица14[#All],2,0)</f>
        <v>Хэтчбэк</v>
      </c>
      <c r="W260" s="20">
        <f>VLOOKUP(Таблица15[[#This Row],[Модель]],Таблица14[#All],3,0)</f>
        <v>18000</v>
      </c>
      <c r="X260" s="20">
        <f>VLOOKUP(Таблица15[[#This Row],[Модель]],Таблица14[#All],4,0)</f>
        <v>16000</v>
      </c>
      <c r="Y260" s="4">
        <f>VLOOKUP(Таблица15[[#This Row],[Модель]],Таблица14[#All],5,0)</f>
        <v>22000</v>
      </c>
      <c r="Z260" t="str">
        <f>VLOOKUP(Таблица15[[#This Row],[Модель]],Таблица14[#All],6,0)</f>
        <v>МКПП, АКПП</v>
      </c>
      <c r="AA260" t="str">
        <f>VLOOKUP(Таблица15[[#This Row],[Модель]],Таблица14[#All],7,0)</f>
        <v>Бензин</v>
      </c>
      <c r="AB260" t="str">
        <f>VLOOKUP(Таблица15[[#This Row],[Модель]],Таблица14[#All],8,0)</f>
        <v>Комфорт</v>
      </c>
      <c r="AC260" t="str">
        <f>VLOOKUP(Таблица15[[#This Row],[Модель]],Таблица14[#All],9,0)</f>
        <v>Средний</v>
      </c>
      <c r="AD260">
        <f>VLOOKUP(Таблица15[[#This Row],[Модель]],Таблица14[#All],10,0)</f>
        <v>150</v>
      </c>
      <c r="AE260">
        <f>VLOOKUP(Таблица15[[#This Row],[Модель]],Таблица14[#All],11,0)</f>
        <v>13.5</v>
      </c>
      <c r="AF260">
        <v>2020</v>
      </c>
      <c r="AG260">
        <v>0</v>
      </c>
      <c r="AH260" s="22">
        <f>VLOOKUP(Таблица15[[#This Row],[Модель]],Таблица14[#All],12,0)/1000000</f>
        <v>12.24</v>
      </c>
      <c r="AI260" s="21">
        <f>VLOOKUP(Таблица15[[#This Row],[Модель]],Таблица14[#All],13,0)/1000000</f>
        <v>10.99</v>
      </c>
      <c r="AJ260" s="21">
        <f>VLOOKUP(Таблица15[[#This Row],[Модель]],Таблица14[#All],14,0)/1000000</f>
        <v>13.49</v>
      </c>
      <c r="AK260" s="21">
        <f>Таблица15[[#This Row],[Средняя цена (USD)]]*Таблица15[[#This Row],[Кол-во проданных]]/1000000</f>
        <v>0</v>
      </c>
      <c r="AL260" s="39">
        <f>Таблица15[[#This Row],[Средняя цена млн. ₸]]/440*Таблица15[[#This Row],[Кол-во проданных]]</f>
        <v>0</v>
      </c>
      <c r="AM260" s="39">
        <f>Таблица15[[#This Row],[Средняя цена млн. ₸]]*Таблица15[[#This Row],[Кол-во проданных]]/1000</f>
        <v>0</v>
      </c>
      <c r="AR260" s="22"/>
      <c r="AS260" s="22"/>
      <c r="AT260" s="22"/>
    </row>
    <row r="261" spans="20:46">
      <c r="T261" t="s">
        <v>15</v>
      </c>
      <c r="U261" t="s">
        <v>92</v>
      </c>
      <c r="V261" t="str">
        <f>VLOOKUP(Таблица15[[#This Row],[Модель]],Таблица14[#All],2,0)</f>
        <v>Хэтчбэк</v>
      </c>
      <c r="W261" s="20">
        <f>VLOOKUP(Таблица15[[#This Row],[Модель]],Таблица14[#All],3,0)</f>
        <v>18000</v>
      </c>
      <c r="X261" s="20">
        <f>VLOOKUP(Таблица15[[#This Row],[Модель]],Таблица14[#All],4,0)</f>
        <v>16000</v>
      </c>
      <c r="Y261" s="4">
        <f>VLOOKUP(Таблица15[[#This Row],[Модель]],Таблица14[#All],5,0)</f>
        <v>22000</v>
      </c>
      <c r="Z261" t="str">
        <f>VLOOKUP(Таблица15[[#This Row],[Модель]],Таблица14[#All],6,0)</f>
        <v>МКПП, АКПП</v>
      </c>
      <c r="AA261" t="str">
        <f>VLOOKUP(Таблица15[[#This Row],[Модель]],Таблица14[#All],7,0)</f>
        <v>Бензин</v>
      </c>
      <c r="AB261" t="str">
        <f>VLOOKUP(Таблица15[[#This Row],[Модель]],Таблица14[#All],8,0)</f>
        <v>Комфорт</v>
      </c>
      <c r="AC261" t="str">
        <f>VLOOKUP(Таблица15[[#This Row],[Модель]],Таблица14[#All],9,0)</f>
        <v>Средний</v>
      </c>
      <c r="AD261">
        <f>VLOOKUP(Таблица15[[#This Row],[Модель]],Таблица14[#All],10,0)</f>
        <v>150</v>
      </c>
      <c r="AE261">
        <f>VLOOKUP(Таблица15[[#This Row],[Модель]],Таблица14[#All],11,0)</f>
        <v>13.5</v>
      </c>
      <c r="AF261">
        <v>2019</v>
      </c>
      <c r="AG261">
        <v>0</v>
      </c>
      <c r="AH261" s="22">
        <f>VLOOKUP(Таблица15[[#This Row],[Модель]],Таблица14[#All],12,0)/1000000</f>
        <v>12.24</v>
      </c>
      <c r="AI261" s="21">
        <f>VLOOKUP(Таблица15[[#This Row],[Модель]],Таблица14[#All],13,0)/1000000</f>
        <v>10.99</v>
      </c>
      <c r="AJ261" s="21">
        <f>VLOOKUP(Таблица15[[#This Row],[Модель]],Таблица14[#All],14,0)/1000000</f>
        <v>13.49</v>
      </c>
      <c r="AK261" s="21">
        <f>Таблица15[[#This Row],[Средняя цена (USD)]]*Таблица15[[#This Row],[Кол-во проданных]]/1000000</f>
        <v>0</v>
      </c>
      <c r="AL261" s="39">
        <f>Таблица15[[#This Row],[Средняя цена млн. ₸]]/440*Таблица15[[#This Row],[Кол-во проданных]]</f>
        <v>0</v>
      </c>
      <c r="AM261" s="39">
        <f>Таблица15[[#This Row],[Средняя цена млн. ₸]]*Таблица15[[#This Row],[Кол-во проданных]]/1000</f>
        <v>0</v>
      </c>
      <c r="AR261" s="22"/>
      <c r="AS261" s="22"/>
      <c r="AT261" s="22"/>
    </row>
    <row r="262" spans="20:46">
      <c r="T262" t="s">
        <v>15</v>
      </c>
      <c r="U262" t="s">
        <v>48</v>
      </c>
      <c r="V262" t="str">
        <f>VLOOKUP(Таблица15[[#This Row],[Модель]],Таблица14[#All],2,0)</f>
        <v>Внедорожник</v>
      </c>
      <c r="W262" s="20">
        <f>VLOOKUP(Таблица15[[#This Row],[Модель]],Таблица14[#All],3,0)</f>
        <v>23000</v>
      </c>
      <c r="X262" s="20">
        <f>VLOOKUP(Таблица15[[#This Row],[Модель]],Таблица14[#All],4,0)</f>
        <v>20000</v>
      </c>
      <c r="Y262" s="4">
        <f>VLOOKUP(Таблица15[[#This Row],[Модель]],Таблица14[#All],5,0)</f>
        <v>28000</v>
      </c>
      <c r="Z262" t="str">
        <f>VLOOKUP(Таблица15[[#This Row],[Модель]],Таблица14[#All],6,0)</f>
        <v>АКПП</v>
      </c>
      <c r="AA262" t="str">
        <f>VLOOKUP(Таблица15[[#This Row],[Модель]],Таблица14[#All],7,0)</f>
        <v>Бензин, Дизель, Гибрид</v>
      </c>
      <c r="AB262" t="str">
        <f>VLOOKUP(Таблица15[[#This Row],[Модель]],Таблица14[#All],8,0)</f>
        <v>Комфорт</v>
      </c>
      <c r="AC262" t="str">
        <f>VLOOKUP(Таблица15[[#This Row],[Модель]],Таблица14[#All],9,0)</f>
        <v>Средний</v>
      </c>
      <c r="AD262">
        <f>VLOOKUP(Таблица15[[#This Row],[Модель]],Таблица14[#All],10,0)</f>
        <v>190</v>
      </c>
      <c r="AE262">
        <f>VLOOKUP(Таблица15[[#This Row],[Модель]],Таблица14[#All],11,0)</f>
        <v>11.5</v>
      </c>
      <c r="AF262">
        <v>2023</v>
      </c>
      <c r="AG262">
        <v>10526</v>
      </c>
      <c r="AH262" s="22">
        <f>VLOOKUP(Таблица15[[#This Row],[Модель]],Таблица14[#All],12,0)/1000000</f>
        <v>16.940000000000001</v>
      </c>
      <c r="AI262" s="21">
        <f>VLOOKUP(Таблица15[[#This Row],[Модель]],Таблица14[#All],13,0)/1000000</f>
        <v>13.89</v>
      </c>
      <c r="AJ262" s="21">
        <f>VLOOKUP(Таблица15[[#This Row],[Модель]],Таблица14[#All],14,0)/1000000</f>
        <v>19.989999999999998</v>
      </c>
      <c r="AK262" s="21">
        <f>Таблица15[[#This Row],[Средняя цена (USD)]]*Таблица15[[#This Row],[Кол-во проданных]]/1000000</f>
        <v>242.09800000000001</v>
      </c>
      <c r="AL262" s="39">
        <f>Таблица15[[#This Row],[Средняя цена млн. ₸]]/440*Таблица15[[#This Row],[Кол-во проданных]]</f>
        <v>405.25099999999998</v>
      </c>
      <c r="AM262" s="39">
        <f>Таблица15[[#This Row],[Средняя цена млн. ₸]]*Таблица15[[#This Row],[Кол-во проданных]]/1000</f>
        <v>178.31044</v>
      </c>
      <c r="AR262" s="22"/>
      <c r="AS262" s="22"/>
      <c r="AT262" s="22"/>
    </row>
    <row r="263" spans="20:46">
      <c r="T263" t="s">
        <v>15</v>
      </c>
      <c r="U263" t="s">
        <v>48</v>
      </c>
      <c r="V263" t="str">
        <f>VLOOKUP(Таблица15[[#This Row],[Модель]],Таблица14[#All],2,0)</f>
        <v>Внедорожник</v>
      </c>
      <c r="W263" s="20">
        <f>VLOOKUP(Таблица15[[#This Row],[Модель]],Таблица14[#All],3,0)</f>
        <v>23000</v>
      </c>
      <c r="X263" s="20">
        <f>VLOOKUP(Таблица15[[#This Row],[Модель]],Таблица14[#All],4,0)</f>
        <v>20000</v>
      </c>
      <c r="Y263" s="4">
        <f>VLOOKUP(Таблица15[[#This Row],[Модель]],Таблица14[#All],5,0)</f>
        <v>28000</v>
      </c>
      <c r="Z263" t="str">
        <f>VLOOKUP(Таблица15[[#This Row],[Модель]],Таблица14[#All],6,0)</f>
        <v>АКПП</v>
      </c>
      <c r="AA263" t="str">
        <f>VLOOKUP(Таблица15[[#This Row],[Модель]],Таблица14[#All],7,0)</f>
        <v>Бензин, Дизель, Гибрид</v>
      </c>
      <c r="AB263" t="str">
        <f>VLOOKUP(Таблица15[[#This Row],[Модель]],Таблица14[#All],8,0)</f>
        <v>Комфорт</v>
      </c>
      <c r="AC263" t="str">
        <f>VLOOKUP(Таблица15[[#This Row],[Модель]],Таблица14[#All],9,0)</f>
        <v>Средний</v>
      </c>
      <c r="AD263">
        <f>VLOOKUP(Таблица15[[#This Row],[Модель]],Таблица14[#All],10,0)</f>
        <v>190</v>
      </c>
      <c r="AE263">
        <f>VLOOKUP(Таблица15[[#This Row],[Модель]],Таблица14[#All],11,0)</f>
        <v>11.5</v>
      </c>
      <c r="AF263">
        <v>2022</v>
      </c>
      <c r="AG263">
        <v>3302</v>
      </c>
      <c r="AH263" s="22">
        <f>VLOOKUP(Таблица15[[#This Row],[Модель]],Таблица14[#All],12,0)/1000000</f>
        <v>16.940000000000001</v>
      </c>
      <c r="AI263" s="21">
        <f>VLOOKUP(Таблица15[[#This Row],[Модель]],Таблица14[#All],13,0)/1000000</f>
        <v>13.89</v>
      </c>
      <c r="AJ263" s="21">
        <f>VLOOKUP(Таблица15[[#This Row],[Модель]],Таблица14[#All],14,0)/1000000</f>
        <v>19.989999999999998</v>
      </c>
      <c r="AK263" s="21">
        <f>Таблица15[[#This Row],[Средняя цена (USD)]]*Таблица15[[#This Row],[Кол-во проданных]]/1000000</f>
        <v>75.945999999999998</v>
      </c>
      <c r="AL263" s="39">
        <f>Таблица15[[#This Row],[Средняя цена млн. ₸]]/440*Таблица15[[#This Row],[Кол-во проданных]]</f>
        <v>127.127</v>
      </c>
      <c r="AM263" s="39">
        <f>Таблица15[[#This Row],[Средняя цена млн. ₸]]*Таблица15[[#This Row],[Кол-во проданных]]/1000</f>
        <v>55.935880000000004</v>
      </c>
      <c r="AR263" s="22"/>
      <c r="AS263" s="22"/>
      <c r="AT263" s="22"/>
    </row>
    <row r="264" spans="20:46">
      <c r="T264" t="s">
        <v>15</v>
      </c>
      <c r="U264" t="s">
        <v>48</v>
      </c>
      <c r="V264" t="str">
        <f>VLOOKUP(Таблица15[[#This Row],[Модель]],Таблица14[#All],2,0)</f>
        <v>Внедорожник</v>
      </c>
      <c r="W264" s="20">
        <f>VLOOKUP(Таблица15[[#This Row],[Модель]],Таблица14[#All],3,0)</f>
        <v>23000</v>
      </c>
      <c r="X264" s="20">
        <f>VLOOKUP(Таблица15[[#This Row],[Модель]],Таблица14[#All],4,0)</f>
        <v>20000</v>
      </c>
      <c r="Y264" s="4">
        <f>VLOOKUP(Таблица15[[#This Row],[Модель]],Таблица14[#All],5,0)</f>
        <v>28000</v>
      </c>
      <c r="Z264" t="str">
        <f>VLOOKUP(Таблица15[[#This Row],[Модель]],Таблица14[#All],6,0)</f>
        <v>АКПП</v>
      </c>
      <c r="AA264" t="str">
        <f>VLOOKUP(Таблица15[[#This Row],[Модель]],Таблица14[#All],7,0)</f>
        <v>Бензин, Дизель, Гибрид</v>
      </c>
      <c r="AB264" t="str">
        <f>VLOOKUP(Таблица15[[#This Row],[Модель]],Таблица14[#All],8,0)</f>
        <v>Комфорт</v>
      </c>
      <c r="AC264" t="str">
        <f>VLOOKUP(Таблица15[[#This Row],[Модель]],Таблица14[#All],9,0)</f>
        <v>Средний</v>
      </c>
      <c r="AD264">
        <f>VLOOKUP(Таблица15[[#This Row],[Модель]],Таблица14[#All],10,0)</f>
        <v>190</v>
      </c>
      <c r="AE264">
        <f>VLOOKUP(Таблица15[[#This Row],[Модель]],Таблица14[#All],11,0)</f>
        <v>11.5</v>
      </c>
      <c r="AF264">
        <v>2021</v>
      </c>
      <c r="AG264">
        <v>2115</v>
      </c>
      <c r="AH264" s="22">
        <f>VLOOKUP(Таблица15[[#This Row],[Модель]],Таблица14[#All],12,0)/1000000</f>
        <v>16.940000000000001</v>
      </c>
      <c r="AI264" s="21">
        <f>VLOOKUP(Таблица15[[#This Row],[Модель]],Таблица14[#All],13,0)/1000000</f>
        <v>13.89</v>
      </c>
      <c r="AJ264" s="21">
        <f>VLOOKUP(Таблица15[[#This Row],[Модель]],Таблица14[#All],14,0)/1000000</f>
        <v>19.989999999999998</v>
      </c>
      <c r="AK264" s="21">
        <f>Таблица15[[#This Row],[Средняя цена (USD)]]*Таблица15[[#This Row],[Кол-во проданных]]/1000000</f>
        <v>48.645000000000003</v>
      </c>
      <c r="AL264" s="39">
        <f>Таблица15[[#This Row],[Средняя цена млн. ₸]]/440*Таблица15[[#This Row],[Кол-во проданных]]</f>
        <v>81.427499999999995</v>
      </c>
      <c r="AM264" s="39">
        <f>Таблица15[[#This Row],[Средняя цена млн. ₸]]*Таблица15[[#This Row],[Кол-во проданных]]/1000</f>
        <v>35.828100000000006</v>
      </c>
      <c r="AR264" s="22"/>
      <c r="AS264" s="22"/>
      <c r="AT264" s="22"/>
    </row>
    <row r="265" spans="20:46">
      <c r="T265" t="s">
        <v>15</v>
      </c>
      <c r="U265" t="s">
        <v>48</v>
      </c>
      <c r="V265" t="str">
        <f>VLOOKUP(Таблица15[[#This Row],[Модель]],Таблица14[#All],2,0)</f>
        <v>Внедорожник</v>
      </c>
      <c r="W265" s="20">
        <f>VLOOKUP(Таблица15[[#This Row],[Модель]],Таблица14[#All],3,0)</f>
        <v>23000</v>
      </c>
      <c r="X265" s="20">
        <f>VLOOKUP(Таблица15[[#This Row],[Модель]],Таблица14[#All],4,0)</f>
        <v>20000</v>
      </c>
      <c r="Y265" s="4">
        <f>VLOOKUP(Таблица15[[#This Row],[Модель]],Таблица14[#All],5,0)</f>
        <v>28000</v>
      </c>
      <c r="Z265" t="str">
        <f>VLOOKUP(Таблица15[[#This Row],[Модель]],Таблица14[#All],6,0)</f>
        <v>АКПП</v>
      </c>
      <c r="AA265" t="str">
        <f>VLOOKUP(Таблица15[[#This Row],[Модель]],Таблица14[#All],7,0)</f>
        <v>Бензин, Дизель, Гибрид</v>
      </c>
      <c r="AB265" t="str">
        <f>VLOOKUP(Таблица15[[#This Row],[Модель]],Таблица14[#All],8,0)</f>
        <v>Комфорт</v>
      </c>
      <c r="AC265" t="str">
        <f>VLOOKUP(Таблица15[[#This Row],[Модель]],Таблица14[#All],9,0)</f>
        <v>Средний</v>
      </c>
      <c r="AD265">
        <f>VLOOKUP(Таблица15[[#This Row],[Модель]],Таблица14[#All],10,0)</f>
        <v>190</v>
      </c>
      <c r="AE265">
        <f>VLOOKUP(Таблица15[[#This Row],[Модель]],Таблица14[#All],11,0)</f>
        <v>11.5</v>
      </c>
      <c r="AF265">
        <v>2020</v>
      </c>
      <c r="AG265">
        <v>1546</v>
      </c>
      <c r="AH265" s="22">
        <f>VLOOKUP(Таблица15[[#This Row],[Модель]],Таблица14[#All],12,0)/1000000</f>
        <v>16.940000000000001</v>
      </c>
      <c r="AI265" s="21">
        <f>VLOOKUP(Таблица15[[#This Row],[Модель]],Таблица14[#All],13,0)/1000000</f>
        <v>13.89</v>
      </c>
      <c r="AJ265" s="21">
        <f>VLOOKUP(Таблица15[[#This Row],[Модель]],Таблица14[#All],14,0)/1000000</f>
        <v>19.989999999999998</v>
      </c>
      <c r="AK265" s="21">
        <f>Таблица15[[#This Row],[Средняя цена (USD)]]*Таблица15[[#This Row],[Кол-во проданных]]/1000000</f>
        <v>35.558</v>
      </c>
      <c r="AL265" s="39">
        <f>Таблица15[[#This Row],[Средняя цена млн. ₸]]/440*Таблица15[[#This Row],[Кол-во проданных]]</f>
        <v>59.521000000000001</v>
      </c>
      <c r="AM265" s="39">
        <f>Таблица15[[#This Row],[Средняя цена млн. ₸]]*Таблица15[[#This Row],[Кол-во проданных]]/1000</f>
        <v>26.189240000000002</v>
      </c>
      <c r="AR265" s="22"/>
      <c r="AS265" s="22"/>
      <c r="AT265" s="22"/>
    </row>
    <row r="266" spans="20:46">
      <c r="T266" t="s">
        <v>15</v>
      </c>
      <c r="U266" t="s">
        <v>48</v>
      </c>
      <c r="V266" t="str">
        <f>VLOOKUP(Таблица15[[#This Row],[Модель]],Таблица14[#All],2,0)</f>
        <v>Внедорожник</v>
      </c>
      <c r="W266" s="20">
        <f>VLOOKUP(Таблица15[[#This Row],[Модель]],Таблица14[#All],3,0)</f>
        <v>23000</v>
      </c>
      <c r="X266" s="20">
        <f>VLOOKUP(Таблица15[[#This Row],[Модель]],Таблица14[#All],4,0)</f>
        <v>20000</v>
      </c>
      <c r="Y266" s="4">
        <f>VLOOKUP(Таблица15[[#This Row],[Модель]],Таблица14[#All],5,0)</f>
        <v>28000</v>
      </c>
      <c r="Z266" t="str">
        <f>VLOOKUP(Таблица15[[#This Row],[Модель]],Таблица14[#All],6,0)</f>
        <v>АКПП</v>
      </c>
      <c r="AA266" t="str">
        <f>VLOOKUP(Таблица15[[#This Row],[Модель]],Таблица14[#All],7,0)</f>
        <v>Бензин, Дизель, Гибрид</v>
      </c>
      <c r="AB266" t="str">
        <f>VLOOKUP(Таблица15[[#This Row],[Модель]],Таблица14[#All],8,0)</f>
        <v>Комфорт</v>
      </c>
      <c r="AC266" t="str">
        <f>VLOOKUP(Таблица15[[#This Row],[Модель]],Таблица14[#All],9,0)</f>
        <v>Средний</v>
      </c>
      <c r="AD266">
        <f>VLOOKUP(Таблица15[[#This Row],[Модель]],Таблица14[#All],10,0)</f>
        <v>190</v>
      </c>
      <c r="AE266">
        <f>VLOOKUP(Таблица15[[#This Row],[Модель]],Таблица14[#All],11,0)</f>
        <v>11.5</v>
      </c>
      <c r="AF266">
        <v>2019</v>
      </c>
      <c r="AG266">
        <v>588</v>
      </c>
      <c r="AH266" s="22">
        <f>VLOOKUP(Таблица15[[#This Row],[Модель]],Таблица14[#All],12,0)/1000000</f>
        <v>16.940000000000001</v>
      </c>
      <c r="AI266" s="21">
        <f>VLOOKUP(Таблица15[[#This Row],[Модель]],Таблица14[#All],13,0)/1000000</f>
        <v>13.89</v>
      </c>
      <c r="AJ266" s="21">
        <f>VLOOKUP(Таблица15[[#This Row],[Модель]],Таблица14[#All],14,0)/1000000</f>
        <v>19.989999999999998</v>
      </c>
      <c r="AK266" s="21">
        <f>Таблица15[[#This Row],[Средняя цена (USD)]]*Таблица15[[#This Row],[Кол-во проданных]]/1000000</f>
        <v>13.523999999999999</v>
      </c>
      <c r="AL266" s="39">
        <f>Таблица15[[#This Row],[Средняя цена млн. ₸]]/440*Таблица15[[#This Row],[Кол-во проданных]]</f>
        <v>22.637999999999998</v>
      </c>
      <c r="AM266" s="39">
        <f>Таблица15[[#This Row],[Средняя цена млн. ₸]]*Таблица15[[#This Row],[Кол-во проданных]]/1000</f>
        <v>9.960720000000002</v>
      </c>
      <c r="AR266" s="22"/>
      <c r="AS266" s="22"/>
      <c r="AT266" s="22"/>
    </row>
    <row r="267" spans="20:46">
      <c r="T267" t="s">
        <v>19</v>
      </c>
      <c r="U267" t="s">
        <v>78</v>
      </c>
      <c r="V267" t="str">
        <f>VLOOKUP(Таблица15[[#This Row],[Модель]],Таблица14[#All],2,0)</f>
        <v>Седан</v>
      </c>
      <c r="W267" s="20">
        <f>VLOOKUP(Таблица15[[#This Row],[Модель]],Таблица14[#All],3,0)</f>
        <v>8000</v>
      </c>
      <c r="X267" s="20">
        <f>VLOOKUP(Таблица15[[#This Row],[Модель]],Таблица14[#All],4,0)</f>
        <v>7000</v>
      </c>
      <c r="Y267" s="4">
        <f>VLOOKUP(Таблица15[[#This Row],[Модель]],Таблица14[#All],5,0)</f>
        <v>10000</v>
      </c>
      <c r="Z267" t="str">
        <f>VLOOKUP(Таблица15[[#This Row],[Модель]],Таблица14[#All],6,0)</f>
        <v>МКПП</v>
      </c>
      <c r="AA267" t="str">
        <f>VLOOKUP(Таблица15[[#This Row],[Модель]],Таблица14[#All],7,0)</f>
        <v>Бензин</v>
      </c>
      <c r="AB267" t="str">
        <f>VLOOKUP(Таблица15[[#This Row],[Модель]],Таблица14[#All],8,0)</f>
        <v>Эконом</v>
      </c>
      <c r="AC267" t="str">
        <f>VLOOKUP(Таблица15[[#This Row],[Модель]],Таблица14[#All],9,0)</f>
        <v>Маленький</v>
      </c>
      <c r="AD267">
        <f>VLOOKUP(Таблица15[[#This Row],[Модель]],Таблица14[#All],10,0)</f>
        <v>90</v>
      </c>
      <c r="AE267">
        <f>VLOOKUP(Таблица15[[#This Row],[Модель]],Таблица14[#All],11,0)</f>
        <v>17.5</v>
      </c>
      <c r="AF267">
        <v>2023</v>
      </c>
      <c r="AG267">
        <v>1345</v>
      </c>
      <c r="AH267" s="22">
        <f>VLOOKUP(Таблица15[[#This Row],[Модель]],Таблица14[#All],12,0)/1000000</f>
        <v>5.9850000000000003</v>
      </c>
      <c r="AI267" s="21">
        <f>VLOOKUP(Таблица15[[#This Row],[Модель]],Таблица14[#All],13,0)/1000000</f>
        <v>5.95</v>
      </c>
      <c r="AJ267" s="21">
        <f>VLOOKUP(Таблица15[[#This Row],[Модель]],Таблица14[#All],14,0)/1000000</f>
        <v>6.02</v>
      </c>
      <c r="AK267" s="21">
        <f>Таблица15[[#This Row],[Средняя цена (USD)]]*Таблица15[[#This Row],[Кол-во проданных]]/1000000</f>
        <v>10.76</v>
      </c>
      <c r="AL267" s="39">
        <f>Таблица15[[#This Row],[Средняя цена млн. ₸]]/440*Таблица15[[#This Row],[Кол-во проданных]]</f>
        <v>18.29505681818182</v>
      </c>
      <c r="AM267" s="39">
        <f>Таблица15[[#This Row],[Средняя цена млн. ₸]]*Таблица15[[#This Row],[Кол-во проданных]]/1000</f>
        <v>8.0498250000000002</v>
      </c>
      <c r="AR267" s="22"/>
      <c r="AS267" s="22"/>
      <c r="AT267" s="22"/>
    </row>
    <row r="268" spans="20:46">
      <c r="T268" t="s">
        <v>19</v>
      </c>
      <c r="U268" t="s">
        <v>78</v>
      </c>
      <c r="V268" t="str">
        <f>VLOOKUP(Таблица15[[#This Row],[Модель]],Таблица14[#All],2,0)</f>
        <v>Седан</v>
      </c>
      <c r="W268" s="20">
        <f>VLOOKUP(Таблица15[[#This Row],[Модель]],Таблица14[#All],3,0)</f>
        <v>8000</v>
      </c>
      <c r="X268" s="20">
        <f>VLOOKUP(Таблица15[[#This Row],[Модель]],Таблица14[#All],4,0)</f>
        <v>7000</v>
      </c>
      <c r="Y268" s="4">
        <f>VLOOKUP(Таблица15[[#This Row],[Модель]],Таблица14[#All],5,0)</f>
        <v>10000</v>
      </c>
      <c r="Z268" t="str">
        <f>VLOOKUP(Таблица15[[#This Row],[Модель]],Таблица14[#All],6,0)</f>
        <v>МКПП</v>
      </c>
      <c r="AA268" t="str">
        <f>VLOOKUP(Таблица15[[#This Row],[Модель]],Таблица14[#All],7,0)</f>
        <v>Бензин</v>
      </c>
      <c r="AB268" t="str">
        <f>VLOOKUP(Таблица15[[#This Row],[Модель]],Таблица14[#All],8,0)</f>
        <v>Эконом</v>
      </c>
      <c r="AC268" t="str">
        <f>VLOOKUP(Таблица15[[#This Row],[Модель]],Таблица14[#All],9,0)</f>
        <v>Маленький</v>
      </c>
      <c r="AD268">
        <f>VLOOKUP(Таблица15[[#This Row],[Модель]],Таблица14[#All],10,0)</f>
        <v>90</v>
      </c>
      <c r="AE268">
        <f>VLOOKUP(Таблица15[[#This Row],[Модель]],Таблица14[#All],11,0)</f>
        <v>17.5</v>
      </c>
      <c r="AF268">
        <v>2022</v>
      </c>
      <c r="AG268">
        <v>2786</v>
      </c>
      <c r="AH268" s="22">
        <f>VLOOKUP(Таблица15[[#This Row],[Модель]],Таблица14[#All],12,0)/1000000</f>
        <v>5.9850000000000003</v>
      </c>
      <c r="AI268" s="21">
        <f>VLOOKUP(Таблица15[[#This Row],[Модель]],Таблица14[#All],13,0)/1000000</f>
        <v>5.95</v>
      </c>
      <c r="AJ268" s="21">
        <f>VLOOKUP(Таблица15[[#This Row],[Модель]],Таблица14[#All],14,0)/1000000</f>
        <v>6.02</v>
      </c>
      <c r="AK268" s="21">
        <f>Таблица15[[#This Row],[Средняя цена (USD)]]*Таблица15[[#This Row],[Кол-во проданных]]/1000000</f>
        <v>22.288</v>
      </c>
      <c r="AL268" s="39">
        <f>Таблица15[[#This Row],[Средняя цена млн. ₸]]/440*Таблица15[[#This Row],[Кол-во проданных]]</f>
        <v>37.895931818181822</v>
      </c>
      <c r="AM268" s="39">
        <f>Таблица15[[#This Row],[Средняя цена млн. ₸]]*Таблица15[[#This Row],[Кол-во проданных]]/1000</f>
        <v>16.674209999999999</v>
      </c>
      <c r="AR268" s="22"/>
      <c r="AS268" s="22"/>
      <c r="AT268" s="22"/>
    </row>
    <row r="269" spans="20:46">
      <c r="T269" t="s">
        <v>19</v>
      </c>
      <c r="U269" t="s">
        <v>78</v>
      </c>
      <c r="V269" t="str">
        <f>VLOOKUP(Таблица15[[#This Row],[Модель]],Таблица14[#All],2,0)</f>
        <v>Седан</v>
      </c>
      <c r="W269" s="20">
        <f>VLOOKUP(Таблица15[[#This Row],[Модель]],Таблица14[#All],3,0)</f>
        <v>8000</v>
      </c>
      <c r="X269" s="20">
        <f>VLOOKUP(Таблица15[[#This Row],[Модель]],Таблица14[#All],4,0)</f>
        <v>7000</v>
      </c>
      <c r="Y269" s="4">
        <f>VLOOKUP(Таблица15[[#This Row],[Модель]],Таблица14[#All],5,0)</f>
        <v>10000</v>
      </c>
      <c r="Z269" t="str">
        <f>VLOOKUP(Таблица15[[#This Row],[Модель]],Таблица14[#All],6,0)</f>
        <v>МКПП</v>
      </c>
      <c r="AA269" t="str">
        <f>VLOOKUP(Таблица15[[#This Row],[Модель]],Таблица14[#All],7,0)</f>
        <v>Бензин</v>
      </c>
      <c r="AB269" t="str">
        <f>VLOOKUP(Таблица15[[#This Row],[Модель]],Таблица14[#All],8,0)</f>
        <v>Эконом</v>
      </c>
      <c r="AC269" t="str">
        <f>VLOOKUP(Таблица15[[#This Row],[Модель]],Таблица14[#All],9,0)</f>
        <v>Маленький</v>
      </c>
      <c r="AD269">
        <f>VLOOKUP(Таблица15[[#This Row],[Модель]],Таблица14[#All],10,0)</f>
        <v>90</v>
      </c>
      <c r="AE269">
        <f>VLOOKUP(Таблица15[[#This Row],[Модель]],Таблица14[#All],11,0)</f>
        <v>17.5</v>
      </c>
      <c r="AF269">
        <v>2021</v>
      </c>
      <c r="AG269">
        <v>2167</v>
      </c>
      <c r="AH269" s="22">
        <f>VLOOKUP(Таблица15[[#This Row],[Модель]],Таблица14[#All],12,0)/1000000</f>
        <v>5.9850000000000003</v>
      </c>
      <c r="AI269" s="21">
        <f>VLOOKUP(Таблица15[[#This Row],[Модель]],Таблица14[#All],13,0)/1000000</f>
        <v>5.95</v>
      </c>
      <c r="AJ269" s="21">
        <f>VLOOKUP(Таблица15[[#This Row],[Модель]],Таблица14[#All],14,0)/1000000</f>
        <v>6.02</v>
      </c>
      <c r="AK269" s="21">
        <f>Таблица15[[#This Row],[Средняя цена (USD)]]*Таблица15[[#This Row],[Кол-во проданных]]/1000000</f>
        <v>17.335999999999999</v>
      </c>
      <c r="AL269" s="39">
        <f>Таблица15[[#This Row],[Средняя цена млн. ₸]]/440*Таблица15[[#This Row],[Кол-во проданных]]</f>
        <v>29.476125000000003</v>
      </c>
      <c r="AM269" s="39">
        <f>Таблица15[[#This Row],[Средняя цена млн. ₸]]*Таблица15[[#This Row],[Кол-во проданных]]/1000</f>
        <v>12.969495</v>
      </c>
      <c r="AR269" s="22"/>
      <c r="AS269" s="22"/>
      <c r="AT269" s="22"/>
    </row>
    <row r="270" spans="20:46">
      <c r="T270" t="s">
        <v>19</v>
      </c>
      <c r="U270" t="s">
        <v>78</v>
      </c>
      <c r="V270" t="str">
        <f>VLOOKUP(Таблица15[[#This Row],[Модель]],Таблица14[#All],2,0)</f>
        <v>Седан</v>
      </c>
      <c r="W270" s="20">
        <f>VLOOKUP(Таблица15[[#This Row],[Модель]],Таблица14[#All],3,0)</f>
        <v>8000</v>
      </c>
      <c r="X270" s="20">
        <f>VLOOKUP(Таблица15[[#This Row],[Модель]],Таблица14[#All],4,0)</f>
        <v>7000</v>
      </c>
      <c r="Y270" s="4">
        <f>VLOOKUP(Таблица15[[#This Row],[Модель]],Таблица14[#All],5,0)</f>
        <v>10000</v>
      </c>
      <c r="Z270" t="str">
        <f>VLOOKUP(Таблица15[[#This Row],[Модель]],Таблица14[#All],6,0)</f>
        <v>МКПП</v>
      </c>
      <c r="AA270" t="str">
        <f>VLOOKUP(Таблица15[[#This Row],[Модель]],Таблица14[#All],7,0)</f>
        <v>Бензин</v>
      </c>
      <c r="AB270" t="str">
        <f>VLOOKUP(Таблица15[[#This Row],[Модель]],Таблица14[#All],8,0)</f>
        <v>Эконом</v>
      </c>
      <c r="AC270" t="str">
        <f>VLOOKUP(Таблица15[[#This Row],[Модель]],Таблица14[#All],9,0)</f>
        <v>Маленький</v>
      </c>
      <c r="AD270">
        <f>VLOOKUP(Таблица15[[#This Row],[Модель]],Таблица14[#All],10,0)</f>
        <v>90</v>
      </c>
      <c r="AE270">
        <f>VLOOKUP(Таблица15[[#This Row],[Модель]],Таблица14[#All],11,0)</f>
        <v>17.5</v>
      </c>
      <c r="AF270">
        <v>2020</v>
      </c>
      <c r="AG270">
        <v>7557</v>
      </c>
      <c r="AH270" s="22">
        <f>VLOOKUP(Таблица15[[#This Row],[Модель]],Таблица14[#All],12,0)/1000000</f>
        <v>5.9850000000000003</v>
      </c>
      <c r="AI270" s="21">
        <f>VLOOKUP(Таблица15[[#This Row],[Модель]],Таблица14[#All],13,0)/1000000</f>
        <v>5.95</v>
      </c>
      <c r="AJ270" s="21">
        <f>VLOOKUP(Таблица15[[#This Row],[Модель]],Таблица14[#All],14,0)/1000000</f>
        <v>6.02</v>
      </c>
      <c r="AK270" s="21">
        <f>Таблица15[[#This Row],[Средняя цена (USD)]]*Таблица15[[#This Row],[Кол-во проданных]]/1000000</f>
        <v>60.456000000000003</v>
      </c>
      <c r="AL270" s="39">
        <f>Таблица15[[#This Row],[Средняя цена млн. ₸]]/440*Таблица15[[#This Row],[Кол-во проданных]]</f>
        <v>102.79237500000001</v>
      </c>
      <c r="AM270" s="39">
        <f>Таблица15[[#This Row],[Средняя цена млн. ₸]]*Таблица15[[#This Row],[Кол-во проданных]]/1000</f>
        <v>45.228645000000007</v>
      </c>
      <c r="AR270" s="22"/>
      <c r="AS270" s="22"/>
      <c r="AT270" s="22"/>
    </row>
    <row r="271" spans="20:46">
      <c r="T271" t="s">
        <v>19</v>
      </c>
      <c r="U271" t="s">
        <v>78</v>
      </c>
      <c r="V271" t="str">
        <f>VLOOKUP(Таблица15[[#This Row],[Модель]],Таблица14[#All],2,0)</f>
        <v>Седан</v>
      </c>
      <c r="W271" s="20">
        <f>VLOOKUP(Таблица15[[#This Row],[Модель]],Таблица14[#All],3,0)</f>
        <v>8000</v>
      </c>
      <c r="X271" s="20">
        <f>VLOOKUP(Таблица15[[#This Row],[Модель]],Таблица14[#All],4,0)</f>
        <v>7000</v>
      </c>
      <c r="Y271" s="4">
        <f>VLOOKUP(Таблица15[[#This Row],[Модель]],Таблица14[#All],5,0)</f>
        <v>10000</v>
      </c>
      <c r="Z271" t="str">
        <f>VLOOKUP(Таблица15[[#This Row],[Модель]],Таблица14[#All],6,0)</f>
        <v>МКПП</v>
      </c>
      <c r="AA271" t="str">
        <f>VLOOKUP(Таблица15[[#This Row],[Модель]],Таблица14[#All],7,0)</f>
        <v>Бензин</v>
      </c>
      <c r="AB271" t="str">
        <f>VLOOKUP(Таблица15[[#This Row],[Модель]],Таблица14[#All],8,0)</f>
        <v>Эконом</v>
      </c>
      <c r="AC271" t="str">
        <f>VLOOKUP(Таблица15[[#This Row],[Модель]],Таблица14[#All],9,0)</f>
        <v>Маленький</v>
      </c>
      <c r="AD271">
        <f>VLOOKUP(Таблица15[[#This Row],[Модель]],Таблица14[#All],10,0)</f>
        <v>90</v>
      </c>
      <c r="AE271">
        <f>VLOOKUP(Таблица15[[#This Row],[Модель]],Таблица14[#All],11,0)</f>
        <v>17.5</v>
      </c>
      <c r="AF271">
        <v>2019</v>
      </c>
      <c r="AG271">
        <v>5046</v>
      </c>
      <c r="AH271" s="22">
        <f>VLOOKUP(Таблица15[[#This Row],[Модель]],Таблица14[#All],12,0)/1000000</f>
        <v>5.9850000000000003</v>
      </c>
      <c r="AI271" s="21">
        <f>VLOOKUP(Таблица15[[#This Row],[Модель]],Таблица14[#All],13,0)/1000000</f>
        <v>5.95</v>
      </c>
      <c r="AJ271" s="21">
        <f>VLOOKUP(Таблица15[[#This Row],[Модель]],Таблица14[#All],14,0)/1000000</f>
        <v>6.02</v>
      </c>
      <c r="AK271" s="21">
        <f>Таблица15[[#This Row],[Средняя цена (USD)]]*Таблица15[[#This Row],[Кол-во проданных]]/1000000</f>
        <v>40.368000000000002</v>
      </c>
      <c r="AL271" s="39">
        <f>Таблица15[[#This Row],[Средняя цена млн. ₸]]/440*Таблица15[[#This Row],[Кол-во проданных]]</f>
        <v>68.637068181818194</v>
      </c>
      <c r="AM271" s="39">
        <f>Таблица15[[#This Row],[Средняя цена млн. ₸]]*Таблица15[[#This Row],[Кол-во проданных]]/1000</f>
        <v>30.200310000000002</v>
      </c>
      <c r="AR271" s="22"/>
      <c r="AS271" s="22"/>
      <c r="AT271" s="22"/>
    </row>
    <row r="272" spans="20:46">
      <c r="T272" t="s">
        <v>19</v>
      </c>
      <c r="U272" t="s">
        <v>90</v>
      </c>
      <c r="V272" t="str">
        <f>VLOOKUP(Таблица15[[#This Row],[Модель]],Таблица14[#All],2,0)</f>
        <v>Универсал</v>
      </c>
      <c r="W272" s="20">
        <f>VLOOKUP(Таблица15[[#This Row],[Модель]],Таблица14[#All],3,0)</f>
        <v>10000</v>
      </c>
      <c r="X272" s="20">
        <f>VLOOKUP(Таблица15[[#This Row],[Модель]],Таблица14[#All],4,0)</f>
        <v>8000</v>
      </c>
      <c r="Y272" s="4">
        <f>VLOOKUP(Таблица15[[#This Row],[Модель]],Таблица14[#All],5,0)</f>
        <v>12000</v>
      </c>
      <c r="Z272" t="str">
        <f>VLOOKUP(Таблица15[[#This Row],[Модель]],Таблица14[#All],6,0)</f>
        <v>МКПП</v>
      </c>
      <c r="AA272" t="str">
        <f>VLOOKUP(Таблица15[[#This Row],[Модель]],Таблица14[#All],7,0)</f>
        <v>Бензин</v>
      </c>
      <c r="AB272" t="str">
        <f>VLOOKUP(Таблица15[[#This Row],[Модель]],Таблица14[#All],8,0)</f>
        <v>Эконом</v>
      </c>
      <c r="AC272" t="str">
        <f>VLOOKUP(Таблица15[[#This Row],[Модель]],Таблица14[#All],9,0)</f>
        <v>Средний</v>
      </c>
      <c r="AD272">
        <f>VLOOKUP(Таблица15[[#This Row],[Модель]],Таблица14[#All],10,0)</f>
        <v>105</v>
      </c>
      <c r="AE272">
        <f>VLOOKUP(Таблица15[[#This Row],[Модель]],Таблица14[#All],11,0)</f>
        <v>16</v>
      </c>
      <c r="AF272">
        <v>2023</v>
      </c>
      <c r="AG272">
        <v>0</v>
      </c>
      <c r="AH272" s="22">
        <f>VLOOKUP(Таблица15[[#This Row],[Модель]],Таблица14[#All],12,0)/1000000</f>
        <v>6.8819999999999997</v>
      </c>
      <c r="AI272" s="21">
        <f>VLOOKUP(Таблица15[[#This Row],[Модель]],Таблица14[#All],13,0)/1000000</f>
        <v>6.4740000000000002</v>
      </c>
      <c r="AJ272" s="21">
        <f>VLOOKUP(Таблица15[[#This Row],[Модель]],Таблица14[#All],14,0)/1000000</f>
        <v>7.29</v>
      </c>
      <c r="AK272" s="21">
        <f>Таблица15[[#This Row],[Средняя цена (USD)]]*Таблица15[[#This Row],[Кол-во проданных]]/1000000</f>
        <v>0</v>
      </c>
      <c r="AL272" s="39">
        <f>Таблица15[[#This Row],[Средняя цена млн. ₸]]/440*Таблица15[[#This Row],[Кол-во проданных]]</f>
        <v>0</v>
      </c>
      <c r="AM272" s="39">
        <f>Таблица15[[#This Row],[Средняя цена млн. ₸]]*Таблица15[[#This Row],[Кол-во проданных]]/1000</f>
        <v>0</v>
      </c>
      <c r="AR272" s="22"/>
      <c r="AS272" s="22"/>
      <c r="AT272" s="22"/>
    </row>
    <row r="273" spans="20:46">
      <c r="T273" t="s">
        <v>19</v>
      </c>
      <c r="U273" t="s">
        <v>90</v>
      </c>
      <c r="V273" t="str">
        <f>VLOOKUP(Таблица15[[#This Row],[Модель]],Таблица14[#All],2,0)</f>
        <v>Универсал</v>
      </c>
      <c r="W273" s="20">
        <f>VLOOKUP(Таблица15[[#This Row],[Модель]],Таблица14[#All],3,0)</f>
        <v>10000</v>
      </c>
      <c r="X273" s="20">
        <f>VLOOKUP(Таблица15[[#This Row],[Модель]],Таблица14[#All],4,0)</f>
        <v>8000</v>
      </c>
      <c r="Y273" s="4">
        <f>VLOOKUP(Таблица15[[#This Row],[Модель]],Таблица14[#All],5,0)</f>
        <v>12000</v>
      </c>
      <c r="Z273" t="str">
        <f>VLOOKUP(Таблица15[[#This Row],[Модель]],Таблица14[#All],6,0)</f>
        <v>МКПП</v>
      </c>
      <c r="AA273" t="str">
        <f>VLOOKUP(Таблица15[[#This Row],[Модель]],Таблица14[#All],7,0)</f>
        <v>Бензин</v>
      </c>
      <c r="AB273" t="str">
        <f>VLOOKUP(Таблица15[[#This Row],[Модель]],Таблица14[#All],8,0)</f>
        <v>Эконом</v>
      </c>
      <c r="AC273" t="str">
        <f>VLOOKUP(Таблица15[[#This Row],[Модель]],Таблица14[#All],9,0)</f>
        <v>Средний</v>
      </c>
      <c r="AD273">
        <f>VLOOKUP(Таблица15[[#This Row],[Модель]],Таблица14[#All],10,0)</f>
        <v>105</v>
      </c>
      <c r="AE273">
        <f>VLOOKUP(Таблица15[[#This Row],[Модель]],Таблица14[#All],11,0)</f>
        <v>16</v>
      </c>
      <c r="AF273">
        <v>2022</v>
      </c>
      <c r="AG273">
        <v>1170</v>
      </c>
      <c r="AH273" s="22">
        <f>VLOOKUP(Таблица15[[#This Row],[Модель]],Таблица14[#All],12,0)/1000000</f>
        <v>6.8819999999999997</v>
      </c>
      <c r="AI273" s="21">
        <f>VLOOKUP(Таблица15[[#This Row],[Модель]],Таблица14[#All],13,0)/1000000</f>
        <v>6.4740000000000002</v>
      </c>
      <c r="AJ273" s="21">
        <f>VLOOKUP(Таблица15[[#This Row],[Модель]],Таблица14[#All],14,0)/1000000</f>
        <v>7.29</v>
      </c>
      <c r="AK273" s="21">
        <f>Таблица15[[#This Row],[Средняя цена (USD)]]*Таблица15[[#This Row],[Кол-во проданных]]/1000000</f>
        <v>11.7</v>
      </c>
      <c r="AL273" s="39">
        <f>Таблица15[[#This Row],[Средняя цена млн. ₸]]/440*Таблица15[[#This Row],[Кол-во проданных]]</f>
        <v>18.299863636363636</v>
      </c>
      <c r="AM273" s="39">
        <f>Таблица15[[#This Row],[Средняя цена млн. ₸]]*Таблица15[[#This Row],[Кол-во проданных]]/1000</f>
        <v>8.0519400000000001</v>
      </c>
      <c r="AR273" s="22"/>
      <c r="AS273" s="22"/>
      <c r="AT273" s="22"/>
    </row>
    <row r="274" spans="20:46">
      <c r="T274" t="s">
        <v>19</v>
      </c>
      <c r="U274" t="s">
        <v>90</v>
      </c>
      <c r="V274" t="str">
        <f>VLOOKUP(Таблица15[[#This Row],[Модель]],Таблица14[#All],2,0)</f>
        <v>Универсал</v>
      </c>
      <c r="W274" s="20">
        <f>VLOOKUP(Таблица15[[#This Row],[Модель]],Таблица14[#All],3,0)</f>
        <v>10000</v>
      </c>
      <c r="X274" s="20">
        <f>VLOOKUP(Таблица15[[#This Row],[Модель]],Таблица14[#All],4,0)</f>
        <v>8000</v>
      </c>
      <c r="Y274" s="4">
        <f>VLOOKUP(Таблица15[[#This Row],[Модель]],Таблица14[#All],5,0)</f>
        <v>12000</v>
      </c>
      <c r="Z274" t="str">
        <f>VLOOKUP(Таблица15[[#This Row],[Модель]],Таблица14[#All],6,0)</f>
        <v>МКПП</v>
      </c>
      <c r="AA274" t="str">
        <f>VLOOKUP(Таблица15[[#This Row],[Модель]],Таблица14[#All],7,0)</f>
        <v>Бензин</v>
      </c>
      <c r="AB274" t="str">
        <f>VLOOKUP(Таблица15[[#This Row],[Модель]],Таблица14[#All],8,0)</f>
        <v>Эконом</v>
      </c>
      <c r="AC274" t="str">
        <f>VLOOKUP(Таблица15[[#This Row],[Модель]],Таблица14[#All],9,0)</f>
        <v>Средний</v>
      </c>
      <c r="AD274">
        <f>VLOOKUP(Таблица15[[#This Row],[Модель]],Таблица14[#All],10,0)</f>
        <v>105</v>
      </c>
      <c r="AE274">
        <f>VLOOKUP(Таблица15[[#This Row],[Модель]],Таблица14[#All],11,0)</f>
        <v>16</v>
      </c>
      <c r="AF274">
        <v>2021</v>
      </c>
      <c r="AG274">
        <v>2337</v>
      </c>
      <c r="AH274" s="22">
        <f>VLOOKUP(Таблица15[[#This Row],[Модель]],Таблица14[#All],12,0)/1000000</f>
        <v>6.8819999999999997</v>
      </c>
      <c r="AI274" s="21">
        <f>VLOOKUP(Таблица15[[#This Row],[Модель]],Таблица14[#All],13,0)/1000000</f>
        <v>6.4740000000000002</v>
      </c>
      <c r="AJ274" s="21">
        <f>VLOOKUP(Таблица15[[#This Row],[Модель]],Таблица14[#All],14,0)/1000000</f>
        <v>7.29</v>
      </c>
      <c r="AK274" s="21">
        <f>Таблица15[[#This Row],[Средняя цена (USD)]]*Таблица15[[#This Row],[Кол-во проданных]]/1000000</f>
        <v>23.37</v>
      </c>
      <c r="AL274" s="39">
        <f>Таблица15[[#This Row],[Средняя цена млн. ₸]]/440*Таблица15[[#This Row],[Кол-во проданных]]</f>
        <v>36.552804545454542</v>
      </c>
      <c r="AM274" s="39">
        <f>Таблица15[[#This Row],[Средняя цена млн. ₸]]*Таблица15[[#This Row],[Кол-во проданных]]/1000</f>
        <v>16.083233999999997</v>
      </c>
      <c r="AR274" s="22"/>
      <c r="AS274" s="22"/>
      <c r="AT274" s="22"/>
    </row>
    <row r="275" spans="20:46">
      <c r="T275" t="s">
        <v>19</v>
      </c>
      <c r="U275" t="s">
        <v>90</v>
      </c>
      <c r="V275" t="str">
        <f>VLOOKUP(Таблица15[[#This Row],[Модель]],Таблица14[#All],2,0)</f>
        <v>Универсал</v>
      </c>
      <c r="W275" s="20">
        <f>VLOOKUP(Таблица15[[#This Row],[Модель]],Таблица14[#All],3,0)</f>
        <v>10000</v>
      </c>
      <c r="X275" s="20">
        <f>VLOOKUP(Таблица15[[#This Row],[Модель]],Таблица14[#All],4,0)</f>
        <v>8000</v>
      </c>
      <c r="Y275" s="4">
        <f>VLOOKUP(Таблица15[[#This Row],[Модель]],Таблица14[#All],5,0)</f>
        <v>12000</v>
      </c>
      <c r="Z275" t="str">
        <f>VLOOKUP(Таблица15[[#This Row],[Модель]],Таблица14[#All],6,0)</f>
        <v>МКПП</v>
      </c>
      <c r="AA275" t="str">
        <f>VLOOKUP(Таблица15[[#This Row],[Модель]],Таблица14[#All],7,0)</f>
        <v>Бензин</v>
      </c>
      <c r="AB275" t="str">
        <f>VLOOKUP(Таблица15[[#This Row],[Модель]],Таблица14[#All],8,0)</f>
        <v>Эконом</v>
      </c>
      <c r="AC275" t="str">
        <f>VLOOKUP(Таблица15[[#This Row],[Модель]],Таблица14[#All],9,0)</f>
        <v>Средний</v>
      </c>
      <c r="AD275">
        <f>VLOOKUP(Таблица15[[#This Row],[Модель]],Таблица14[#All],10,0)</f>
        <v>105</v>
      </c>
      <c r="AE275">
        <f>VLOOKUP(Таблица15[[#This Row],[Модель]],Таблица14[#All],11,0)</f>
        <v>16</v>
      </c>
      <c r="AF275">
        <v>2020</v>
      </c>
      <c r="AG275">
        <v>2291</v>
      </c>
      <c r="AH275" s="22">
        <f>VLOOKUP(Таблица15[[#This Row],[Модель]],Таблица14[#All],12,0)/1000000</f>
        <v>6.8819999999999997</v>
      </c>
      <c r="AI275" s="21">
        <f>VLOOKUP(Таблица15[[#This Row],[Модель]],Таблица14[#All],13,0)/1000000</f>
        <v>6.4740000000000002</v>
      </c>
      <c r="AJ275" s="21">
        <f>VLOOKUP(Таблица15[[#This Row],[Модель]],Таблица14[#All],14,0)/1000000</f>
        <v>7.29</v>
      </c>
      <c r="AK275" s="21">
        <f>Таблица15[[#This Row],[Средняя цена (USD)]]*Таблица15[[#This Row],[Кол-во проданных]]/1000000</f>
        <v>22.91</v>
      </c>
      <c r="AL275" s="39">
        <f>Таблица15[[#This Row],[Средняя цена млн. ₸]]/440*Таблица15[[#This Row],[Кол-во проданных]]</f>
        <v>35.83332272727273</v>
      </c>
      <c r="AM275" s="39">
        <f>Таблица15[[#This Row],[Средняя цена млн. ₸]]*Таблица15[[#This Row],[Кол-во проданных]]/1000</f>
        <v>15.766661999999998</v>
      </c>
      <c r="AR275" s="22"/>
      <c r="AS275" s="22"/>
      <c r="AT275" s="22"/>
    </row>
    <row r="276" spans="20:46">
      <c r="T276" t="s">
        <v>19</v>
      </c>
      <c r="U276" t="s">
        <v>90</v>
      </c>
      <c r="V276" t="str">
        <f>VLOOKUP(Таблица15[[#This Row],[Модель]],Таблица14[#All],2,0)</f>
        <v>Универсал</v>
      </c>
      <c r="W276" s="20">
        <f>VLOOKUP(Таблица15[[#This Row],[Модель]],Таблица14[#All],3,0)</f>
        <v>10000</v>
      </c>
      <c r="X276" s="20">
        <f>VLOOKUP(Таблица15[[#This Row],[Модель]],Таблица14[#All],4,0)</f>
        <v>8000</v>
      </c>
      <c r="Y276" s="4">
        <f>VLOOKUP(Таблица15[[#This Row],[Модель]],Таблица14[#All],5,0)</f>
        <v>12000</v>
      </c>
      <c r="Z276" t="str">
        <f>VLOOKUP(Таблица15[[#This Row],[Модель]],Таблица14[#All],6,0)</f>
        <v>МКПП</v>
      </c>
      <c r="AA276" t="str">
        <f>VLOOKUP(Таблица15[[#This Row],[Модель]],Таблица14[#All],7,0)</f>
        <v>Бензин</v>
      </c>
      <c r="AB276" t="str">
        <f>VLOOKUP(Таблица15[[#This Row],[Модель]],Таблица14[#All],8,0)</f>
        <v>Эконом</v>
      </c>
      <c r="AC276" t="str">
        <f>VLOOKUP(Таблица15[[#This Row],[Модель]],Таблица14[#All],9,0)</f>
        <v>Средний</v>
      </c>
      <c r="AD276">
        <f>VLOOKUP(Таблица15[[#This Row],[Модель]],Таблица14[#All],10,0)</f>
        <v>105</v>
      </c>
      <c r="AE276">
        <f>VLOOKUP(Таблица15[[#This Row],[Модель]],Таблица14[#All],11,0)</f>
        <v>16</v>
      </c>
      <c r="AF276">
        <v>2019</v>
      </c>
      <c r="AG276">
        <v>2202</v>
      </c>
      <c r="AH276" s="22">
        <f>VLOOKUP(Таблица15[[#This Row],[Модель]],Таблица14[#All],12,0)/1000000</f>
        <v>6.8819999999999997</v>
      </c>
      <c r="AI276" s="21">
        <f>VLOOKUP(Таблица15[[#This Row],[Модель]],Таблица14[#All],13,0)/1000000</f>
        <v>6.4740000000000002</v>
      </c>
      <c r="AJ276" s="21">
        <f>VLOOKUP(Таблица15[[#This Row],[Модель]],Таблица14[#All],14,0)/1000000</f>
        <v>7.29</v>
      </c>
      <c r="AK276" s="21">
        <f>Таблица15[[#This Row],[Средняя цена (USD)]]*Таблица15[[#This Row],[Кол-во проданных]]/1000000</f>
        <v>22.02</v>
      </c>
      <c r="AL276" s="39">
        <f>Таблица15[[#This Row],[Средняя цена млн. ₸]]/440*Таблица15[[#This Row],[Кол-во проданных]]</f>
        <v>34.441281818181821</v>
      </c>
      <c r="AM276" s="39">
        <f>Таблица15[[#This Row],[Средняя цена млн. ₸]]*Таблица15[[#This Row],[Кол-во проданных]]/1000</f>
        <v>15.154163999999998</v>
      </c>
      <c r="AR276" s="22"/>
      <c r="AS276" s="22"/>
      <c r="AT276" s="22"/>
    </row>
    <row r="277" spans="20:46">
      <c r="T277" t="s">
        <v>19</v>
      </c>
      <c r="U277" t="s">
        <v>94</v>
      </c>
      <c r="V277" t="str">
        <f>VLOOKUP(Таблица15[[#This Row],[Модель]],Таблица14[#All],2,0)</f>
        <v>Внедорожник</v>
      </c>
      <c r="W277" s="20">
        <f>VLOOKUP(Таблица15[[#This Row],[Модель]],Таблица14[#All],3,0)</f>
        <v>12000</v>
      </c>
      <c r="X277" s="20">
        <f>VLOOKUP(Таблица15[[#This Row],[Модель]],Таблица14[#All],4,0)</f>
        <v>10000</v>
      </c>
      <c r="Y277" s="4">
        <f>VLOOKUP(Таблица15[[#This Row],[Модель]],Таблица14[#All],5,0)</f>
        <v>14000</v>
      </c>
      <c r="Z277" t="str">
        <f>VLOOKUP(Таблица15[[#This Row],[Модель]],Таблица14[#All],6,0)</f>
        <v>МКПП</v>
      </c>
      <c r="AA277" t="str">
        <f>VLOOKUP(Таблица15[[#This Row],[Модель]],Таблица14[#All],7,0)</f>
        <v>Бензин</v>
      </c>
      <c r="AB277" t="str">
        <f>VLOOKUP(Таблица15[[#This Row],[Модель]],Таблица14[#All],8,0)</f>
        <v>Эконом</v>
      </c>
      <c r="AC277" t="str">
        <f>VLOOKUP(Таблица15[[#This Row],[Модель]],Таблица14[#All],9,0)</f>
        <v>Средний</v>
      </c>
      <c r="AD277">
        <f>VLOOKUP(Таблица15[[#This Row],[Модель]],Таблица14[#All],10,0)</f>
        <v>120</v>
      </c>
      <c r="AE277">
        <f>VLOOKUP(Таблица15[[#This Row],[Модель]],Таблица14[#All],11,0)</f>
        <v>15</v>
      </c>
      <c r="AF277">
        <v>2023</v>
      </c>
      <c r="AG277">
        <v>0</v>
      </c>
      <c r="AH277" s="22">
        <f>VLOOKUP(Таблица15[[#This Row],[Модель]],Таблица14[#All],12,0)/1000000</f>
        <v>6.5</v>
      </c>
      <c r="AI277" s="21">
        <f>VLOOKUP(Таблица15[[#This Row],[Модель]],Таблица14[#All],13,0)/1000000</f>
        <v>5.9</v>
      </c>
      <c r="AJ277" s="21">
        <f>VLOOKUP(Таблица15[[#This Row],[Модель]],Таблица14[#All],14,0)/1000000</f>
        <v>7.1</v>
      </c>
      <c r="AK277" s="21">
        <f>Таблица15[[#This Row],[Средняя цена (USD)]]*Таблица15[[#This Row],[Кол-во проданных]]/1000000</f>
        <v>0</v>
      </c>
      <c r="AL277" s="39">
        <f>Таблица15[[#This Row],[Средняя цена млн. ₸]]/440*Таблица15[[#This Row],[Кол-во проданных]]</f>
        <v>0</v>
      </c>
      <c r="AM277" s="39">
        <f>Таблица15[[#This Row],[Средняя цена млн. ₸]]*Таблица15[[#This Row],[Кол-во проданных]]/1000</f>
        <v>0</v>
      </c>
      <c r="AR277" s="22"/>
      <c r="AS277" s="22"/>
      <c r="AT277" s="22"/>
    </row>
    <row r="278" spans="20:46">
      <c r="T278" t="s">
        <v>19</v>
      </c>
      <c r="U278" t="s">
        <v>94</v>
      </c>
      <c r="V278" t="str">
        <f>VLOOKUP(Таблица15[[#This Row],[Модель]],Таблица14[#All],2,0)</f>
        <v>Внедорожник</v>
      </c>
      <c r="W278" s="20">
        <f>VLOOKUP(Таблица15[[#This Row],[Модель]],Таблица14[#All],3,0)</f>
        <v>12000</v>
      </c>
      <c r="X278" s="20">
        <f>VLOOKUP(Таблица15[[#This Row],[Модель]],Таблица14[#All],4,0)</f>
        <v>10000</v>
      </c>
      <c r="Y278" s="4">
        <f>VLOOKUP(Таблица15[[#This Row],[Модель]],Таблица14[#All],5,0)</f>
        <v>14000</v>
      </c>
      <c r="Z278" t="str">
        <f>VLOOKUP(Таблица15[[#This Row],[Модель]],Таблица14[#All],6,0)</f>
        <v>МКПП</v>
      </c>
      <c r="AA278" t="str">
        <f>VLOOKUP(Таблица15[[#This Row],[Модель]],Таблица14[#All],7,0)</f>
        <v>Бензин</v>
      </c>
      <c r="AB278" t="str">
        <f>VLOOKUP(Таблица15[[#This Row],[Модель]],Таблица14[#All],8,0)</f>
        <v>Эконом</v>
      </c>
      <c r="AC278" t="str">
        <f>VLOOKUP(Таблица15[[#This Row],[Модель]],Таблица14[#All],9,0)</f>
        <v>Средний</v>
      </c>
      <c r="AD278">
        <f>VLOOKUP(Таблица15[[#This Row],[Модель]],Таблица14[#All],10,0)</f>
        <v>120</v>
      </c>
      <c r="AE278">
        <f>VLOOKUP(Таблица15[[#This Row],[Модель]],Таблица14[#All],11,0)</f>
        <v>15</v>
      </c>
      <c r="AF278">
        <v>2022</v>
      </c>
      <c r="AG278">
        <v>672</v>
      </c>
      <c r="AH278" s="22">
        <f>VLOOKUP(Таблица15[[#This Row],[Модель]],Таблица14[#All],12,0)/1000000</f>
        <v>6.5</v>
      </c>
      <c r="AI278" s="21">
        <f>VLOOKUP(Таблица15[[#This Row],[Модель]],Таблица14[#All],13,0)/1000000</f>
        <v>5.9</v>
      </c>
      <c r="AJ278" s="21">
        <f>VLOOKUP(Таблица15[[#This Row],[Модель]],Таблица14[#All],14,0)/1000000</f>
        <v>7.1</v>
      </c>
      <c r="AK278" s="21">
        <f>Таблица15[[#This Row],[Средняя цена (USD)]]*Таблица15[[#This Row],[Кол-во проданных]]/1000000</f>
        <v>8.0640000000000001</v>
      </c>
      <c r="AL278" s="39">
        <f>Таблица15[[#This Row],[Средняя цена млн. ₸]]/440*Таблица15[[#This Row],[Кол-во проданных]]</f>
        <v>9.9272727272727277</v>
      </c>
      <c r="AM278" s="39">
        <f>Таблица15[[#This Row],[Средняя цена млн. ₸]]*Таблица15[[#This Row],[Кол-во проданных]]/1000</f>
        <v>4.3680000000000003</v>
      </c>
      <c r="AR278" s="22"/>
      <c r="AS278" s="22"/>
      <c r="AT278" s="22"/>
    </row>
    <row r="279" spans="20:46">
      <c r="T279" t="s">
        <v>19</v>
      </c>
      <c r="U279" t="s">
        <v>94</v>
      </c>
      <c r="V279" t="str">
        <f>VLOOKUP(Таблица15[[#This Row],[Модель]],Таблица14[#All],2,0)</f>
        <v>Внедорожник</v>
      </c>
      <c r="W279" s="20">
        <f>VLOOKUP(Таблица15[[#This Row],[Модель]],Таблица14[#All],3,0)</f>
        <v>12000</v>
      </c>
      <c r="X279" s="20">
        <f>VLOOKUP(Таблица15[[#This Row],[Модель]],Таблица14[#All],4,0)</f>
        <v>10000</v>
      </c>
      <c r="Y279" s="4">
        <f>VLOOKUP(Таблица15[[#This Row],[Модель]],Таблица14[#All],5,0)</f>
        <v>14000</v>
      </c>
      <c r="Z279" t="str">
        <f>VLOOKUP(Таблица15[[#This Row],[Модель]],Таблица14[#All],6,0)</f>
        <v>МКПП</v>
      </c>
      <c r="AA279" t="str">
        <f>VLOOKUP(Таблица15[[#This Row],[Модель]],Таблица14[#All],7,0)</f>
        <v>Бензин</v>
      </c>
      <c r="AB279" t="str">
        <f>VLOOKUP(Таблица15[[#This Row],[Модель]],Таблица14[#All],8,0)</f>
        <v>Эконом</v>
      </c>
      <c r="AC279" t="str">
        <f>VLOOKUP(Таблица15[[#This Row],[Модель]],Таблица14[#All],9,0)</f>
        <v>Средний</v>
      </c>
      <c r="AD279">
        <f>VLOOKUP(Таблица15[[#This Row],[Модель]],Таблица14[#All],10,0)</f>
        <v>120</v>
      </c>
      <c r="AE279">
        <f>VLOOKUP(Таблица15[[#This Row],[Модель]],Таблица14[#All],11,0)</f>
        <v>15</v>
      </c>
      <c r="AF279">
        <v>2021</v>
      </c>
      <c r="AG279">
        <v>0</v>
      </c>
      <c r="AH279" s="22">
        <f>VLOOKUP(Таблица15[[#This Row],[Модель]],Таблица14[#All],12,0)/1000000</f>
        <v>6.5</v>
      </c>
      <c r="AI279" s="21">
        <f>VLOOKUP(Таблица15[[#This Row],[Модель]],Таблица14[#All],13,0)/1000000</f>
        <v>5.9</v>
      </c>
      <c r="AJ279" s="21">
        <f>VLOOKUP(Таблица15[[#This Row],[Модель]],Таблица14[#All],14,0)/1000000</f>
        <v>7.1</v>
      </c>
      <c r="AK279" s="21">
        <f>Таблица15[[#This Row],[Средняя цена (USD)]]*Таблица15[[#This Row],[Кол-во проданных]]/1000000</f>
        <v>0</v>
      </c>
      <c r="AL279" s="39">
        <f>Таблица15[[#This Row],[Средняя цена млн. ₸]]/440*Таблица15[[#This Row],[Кол-во проданных]]</f>
        <v>0</v>
      </c>
      <c r="AM279" s="39">
        <f>Таблица15[[#This Row],[Средняя цена млн. ₸]]*Таблица15[[#This Row],[Кол-во проданных]]/1000</f>
        <v>0</v>
      </c>
      <c r="AR279" s="22"/>
      <c r="AS279" s="22"/>
      <c r="AT279" s="22"/>
    </row>
    <row r="280" spans="20:46">
      <c r="T280" t="s">
        <v>19</v>
      </c>
      <c r="U280" t="s">
        <v>94</v>
      </c>
      <c r="V280" t="str">
        <f>VLOOKUP(Таблица15[[#This Row],[Модель]],Таблица14[#All],2,0)</f>
        <v>Внедорожник</v>
      </c>
      <c r="W280" s="20">
        <f>VLOOKUP(Таблица15[[#This Row],[Модель]],Таблица14[#All],3,0)</f>
        <v>12000</v>
      </c>
      <c r="X280" s="20">
        <f>VLOOKUP(Таблица15[[#This Row],[Модель]],Таблица14[#All],4,0)</f>
        <v>10000</v>
      </c>
      <c r="Y280" s="4">
        <f>VLOOKUP(Таблица15[[#This Row],[Модель]],Таблица14[#All],5,0)</f>
        <v>14000</v>
      </c>
      <c r="Z280" t="str">
        <f>VLOOKUP(Таблица15[[#This Row],[Модель]],Таблица14[#All],6,0)</f>
        <v>МКПП</v>
      </c>
      <c r="AA280" t="str">
        <f>VLOOKUP(Таблица15[[#This Row],[Модель]],Таблица14[#All],7,0)</f>
        <v>Бензин</v>
      </c>
      <c r="AB280" t="str">
        <f>VLOOKUP(Таблица15[[#This Row],[Модель]],Таблица14[#All],8,0)</f>
        <v>Эконом</v>
      </c>
      <c r="AC280" t="str">
        <f>VLOOKUP(Таблица15[[#This Row],[Модель]],Таблица14[#All],9,0)</f>
        <v>Средний</v>
      </c>
      <c r="AD280">
        <f>VLOOKUP(Таблица15[[#This Row],[Модель]],Таблица14[#All],10,0)</f>
        <v>120</v>
      </c>
      <c r="AE280">
        <f>VLOOKUP(Таблица15[[#This Row],[Модель]],Таблица14[#All],11,0)</f>
        <v>15</v>
      </c>
      <c r="AF280">
        <v>2020</v>
      </c>
      <c r="AG280">
        <v>0</v>
      </c>
      <c r="AH280" s="22">
        <f>VLOOKUP(Таблица15[[#This Row],[Модель]],Таблица14[#All],12,0)/1000000</f>
        <v>6.5</v>
      </c>
      <c r="AI280" s="21">
        <f>VLOOKUP(Таблица15[[#This Row],[Модель]],Таблица14[#All],13,0)/1000000</f>
        <v>5.9</v>
      </c>
      <c r="AJ280" s="21">
        <f>VLOOKUP(Таблица15[[#This Row],[Модель]],Таблица14[#All],14,0)/1000000</f>
        <v>7.1</v>
      </c>
      <c r="AK280" s="21">
        <f>Таблица15[[#This Row],[Средняя цена (USD)]]*Таблица15[[#This Row],[Кол-во проданных]]/1000000</f>
        <v>0</v>
      </c>
      <c r="AL280" s="39">
        <f>Таблица15[[#This Row],[Средняя цена млн. ₸]]/440*Таблица15[[#This Row],[Кол-во проданных]]</f>
        <v>0</v>
      </c>
      <c r="AM280" s="39">
        <f>Таблица15[[#This Row],[Средняя цена млн. ₸]]*Таблица15[[#This Row],[Кол-во проданных]]/1000</f>
        <v>0</v>
      </c>
      <c r="AR280" s="22"/>
      <c r="AS280" s="22"/>
      <c r="AT280" s="22"/>
    </row>
    <row r="281" spans="20:46">
      <c r="T281" t="s">
        <v>19</v>
      </c>
      <c r="U281" t="s">
        <v>94</v>
      </c>
      <c r="V281" t="str">
        <f>VLOOKUP(Таблица15[[#This Row],[Модель]],Таблица14[#All],2,0)</f>
        <v>Внедорожник</v>
      </c>
      <c r="W281" s="20">
        <f>VLOOKUP(Таблица15[[#This Row],[Модель]],Таблица14[#All],3,0)</f>
        <v>12000</v>
      </c>
      <c r="X281" s="20">
        <f>VLOOKUP(Таблица15[[#This Row],[Модель]],Таблица14[#All],4,0)</f>
        <v>10000</v>
      </c>
      <c r="Y281" s="4">
        <f>VLOOKUP(Таблица15[[#This Row],[Модель]],Таблица14[#All],5,0)</f>
        <v>14000</v>
      </c>
      <c r="Z281" t="str">
        <f>VLOOKUP(Таблица15[[#This Row],[Модель]],Таблица14[#All],6,0)</f>
        <v>МКПП</v>
      </c>
      <c r="AA281" t="str">
        <f>VLOOKUP(Таблица15[[#This Row],[Модель]],Таблица14[#All],7,0)</f>
        <v>Бензин</v>
      </c>
      <c r="AB281" t="str">
        <f>VLOOKUP(Таблица15[[#This Row],[Модель]],Таблица14[#All],8,0)</f>
        <v>Эконом</v>
      </c>
      <c r="AC281" t="str">
        <f>VLOOKUP(Таблица15[[#This Row],[Модель]],Таблица14[#All],9,0)</f>
        <v>Средний</v>
      </c>
      <c r="AD281">
        <f>VLOOKUP(Таблица15[[#This Row],[Модель]],Таблица14[#All],10,0)</f>
        <v>120</v>
      </c>
      <c r="AE281">
        <f>VLOOKUP(Таблица15[[#This Row],[Модель]],Таблица14[#All],11,0)</f>
        <v>15</v>
      </c>
      <c r="AF281">
        <v>2019</v>
      </c>
      <c r="AG281">
        <v>0</v>
      </c>
      <c r="AH281" s="22">
        <f>VLOOKUP(Таблица15[[#This Row],[Модель]],Таблица14[#All],12,0)/1000000</f>
        <v>6.5</v>
      </c>
      <c r="AI281" s="21">
        <f>VLOOKUP(Таблица15[[#This Row],[Модель]],Таблица14[#All],13,0)/1000000</f>
        <v>5.9</v>
      </c>
      <c r="AJ281" s="21">
        <f>VLOOKUP(Таблица15[[#This Row],[Модель]],Таблица14[#All],14,0)/1000000</f>
        <v>7.1</v>
      </c>
      <c r="AK281" s="21">
        <f>Таблица15[[#This Row],[Средняя цена (USD)]]*Таблица15[[#This Row],[Кол-во проданных]]/1000000</f>
        <v>0</v>
      </c>
      <c r="AL281" s="39">
        <f>Таблица15[[#This Row],[Средняя цена млн. ₸]]/440*Таблица15[[#This Row],[Кол-во проданных]]</f>
        <v>0</v>
      </c>
      <c r="AM281" s="39">
        <f>Таблица15[[#This Row],[Средняя цена млн. ₸]]*Таблица15[[#This Row],[Кол-во проданных]]/1000</f>
        <v>0</v>
      </c>
      <c r="AR281" s="22"/>
      <c r="AS281" s="22"/>
      <c r="AT281" s="22"/>
    </row>
    <row r="282" spans="20:46">
      <c r="T282" t="s">
        <v>19</v>
      </c>
      <c r="U282" t="s">
        <v>97</v>
      </c>
      <c r="V282" t="str">
        <f>VLOOKUP(Таблица15[[#This Row],[Модель]],Таблица14[#All],2,0)</f>
        <v>Внедорожник</v>
      </c>
      <c r="W282" s="20">
        <f>VLOOKUP(Таблица15[[#This Row],[Модель]],Таблица14[#All],3,0)</f>
        <v>14000</v>
      </c>
      <c r="X282" s="20">
        <f>VLOOKUP(Таблица15[[#This Row],[Модель]],Таблица14[#All],4,0)</f>
        <v>12000</v>
      </c>
      <c r="Y282" s="4">
        <f>VLOOKUP(Таблица15[[#This Row],[Модель]],Таблица14[#All],5,0)</f>
        <v>16000</v>
      </c>
      <c r="Z282" t="str">
        <f>VLOOKUP(Таблица15[[#This Row],[Модель]],Таблица14[#All],6,0)</f>
        <v>МКПП</v>
      </c>
      <c r="AA282" t="str">
        <f>VLOOKUP(Таблица15[[#This Row],[Модель]],Таблица14[#All],7,0)</f>
        <v>Бензин</v>
      </c>
      <c r="AB282" t="str">
        <f>VLOOKUP(Таблица15[[#This Row],[Модель]],Таблица14[#All],8,0)</f>
        <v>Эконом</v>
      </c>
      <c r="AC282" t="str">
        <f>VLOOKUP(Таблица15[[#This Row],[Модель]],Таблица14[#All],9,0)</f>
        <v>Средний</v>
      </c>
      <c r="AD282">
        <f>VLOOKUP(Таблица15[[#This Row],[Модель]],Таблица14[#All],10,0)</f>
        <v>135</v>
      </c>
      <c r="AE282">
        <f>VLOOKUP(Таблица15[[#This Row],[Модель]],Таблица14[#All],11,0)</f>
        <v>14</v>
      </c>
      <c r="AF282">
        <v>2023</v>
      </c>
      <c r="AG282">
        <v>0</v>
      </c>
      <c r="AH282" s="22">
        <f>VLOOKUP(Таблица15[[#This Row],[Модель]],Таблица14[#All],12,0)/1000000</f>
        <v>7.83</v>
      </c>
      <c r="AI282" s="21">
        <f>VLOOKUP(Таблица15[[#This Row],[Модель]],Таблица14[#All],13,0)/1000000</f>
        <v>7.16</v>
      </c>
      <c r="AJ282" s="21">
        <f>VLOOKUP(Таблица15[[#This Row],[Модель]],Таблица14[#All],14,0)/1000000</f>
        <v>8.5</v>
      </c>
      <c r="AK282" s="21">
        <f>Таблица15[[#This Row],[Средняя цена (USD)]]*Таблица15[[#This Row],[Кол-во проданных]]/1000000</f>
        <v>0</v>
      </c>
      <c r="AL282" s="39">
        <f>Таблица15[[#This Row],[Средняя цена млн. ₸]]/440*Таблица15[[#This Row],[Кол-во проданных]]</f>
        <v>0</v>
      </c>
      <c r="AM282" s="39">
        <f>Таблица15[[#This Row],[Средняя цена млн. ₸]]*Таблица15[[#This Row],[Кол-во проданных]]/1000</f>
        <v>0</v>
      </c>
      <c r="AR282" s="22"/>
      <c r="AS282" s="22"/>
      <c r="AT282" s="22"/>
    </row>
    <row r="283" spans="20:46">
      <c r="T283" t="s">
        <v>19</v>
      </c>
      <c r="U283" t="s">
        <v>97</v>
      </c>
      <c r="V283" t="str">
        <f>VLOOKUP(Таблица15[[#This Row],[Модель]],Таблица14[#All],2,0)</f>
        <v>Внедорожник</v>
      </c>
      <c r="W283" s="20">
        <f>VLOOKUP(Таблица15[[#This Row],[Модель]],Таблица14[#All],3,0)</f>
        <v>14000</v>
      </c>
      <c r="X283" s="20">
        <f>VLOOKUP(Таблица15[[#This Row],[Модель]],Таблица14[#All],4,0)</f>
        <v>12000</v>
      </c>
      <c r="Y283" s="4">
        <f>VLOOKUP(Таблица15[[#This Row],[Модель]],Таблица14[#All],5,0)</f>
        <v>16000</v>
      </c>
      <c r="Z283" t="str">
        <f>VLOOKUP(Таблица15[[#This Row],[Модель]],Таблица14[#All],6,0)</f>
        <v>МКПП</v>
      </c>
      <c r="AA283" t="str">
        <f>VLOOKUP(Таблица15[[#This Row],[Модель]],Таблица14[#All],7,0)</f>
        <v>Бензин</v>
      </c>
      <c r="AB283" t="str">
        <f>VLOOKUP(Таблица15[[#This Row],[Модель]],Таблица14[#All],8,0)</f>
        <v>Эконом</v>
      </c>
      <c r="AC283" t="str">
        <f>VLOOKUP(Таблица15[[#This Row],[Модель]],Таблица14[#All],9,0)</f>
        <v>Средний</v>
      </c>
      <c r="AD283">
        <f>VLOOKUP(Таблица15[[#This Row],[Модель]],Таблица14[#All],10,0)</f>
        <v>135</v>
      </c>
      <c r="AE283">
        <f>VLOOKUP(Таблица15[[#This Row],[Модель]],Таблица14[#All],11,0)</f>
        <v>14</v>
      </c>
      <c r="AF283">
        <v>2022</v>
      </c>
      <c r="AG283">
        <v>500</v>
      </c>
      <c r="AH283" s="22">
        <f>VLOOKUP(Таблица15[[#This Row],[Модель]],Таблица14[#All],12,0)/1000000</f>
        <v>7.83</v>
      </c>
      <c r="AI283" s="21">
        <f>VLOOKUP(Таблица15[[#This Row],[Модель]],Таблица14[#All],13,0)/1000000</f>
        <v>7.16</v>
      </c>
      <c r="AJ283" s="21">
        <f>VLOOKUP(Таблица15[[#This Row],[Модель]],Таблица14[#All],14,0)/1000000</f>
        <v>8.5</v>
      </c>
      <c r="AK283" s="21">
        <f>Таблица15[[#This Row],[Средняя цена (USD)]]*Таблица15[[#This Row],[Кол-во проданных]]/1000000</f>
        <v>7</v>
      </c>
      <c r="AL283" s="39">
        <f>Таблица15[[#This Row],[Средняя цена млн. ₸]]/440*Таблица15[[#This Row],[Кол-во проданных]]</f>
        <v>8.8977272727272716</v>
      </c>
      <c r="AM283" s="39">
        <f>Таблица15[[#This Row],[Средняя цена млн. ₸]]*Таблица15[[#This Row],[Кол-во проданных]]/1000</f>
        <v>3.915</v>
      </c>
      <c r="AR283" s="22"/>
      <c r="AS283" s="22"/>
      <c r="AT283" s="22"/>
    </row>
    <row r="284" spans="20:46">
      <c r="T284" t="s">
        <v>19</v>
      </c>
      <c r="U284" t="s">
        <v>97</v>
      </c>
      <c r="V284" t="str">
        <f>VLOOKUP(Таблица15[[#This Row],[Модель]],Таблица14[#All],2,0)</f>
        <v>Внедорожник</v>
      </c>
      <c r="W284" s="20">
        <f>VLOOKUP(Таблица15[[#This Row],[Модель]],Таблица14[#All],3,0)</f>
        <v>14000</v>
      </c>
      <c r="X284" s="20">
        <f>VLOOKUP(Таблица15[[#This Row],[Модель]],Таблица14[#All],4,0)</f>
        <v>12000</v>
      </c>
      <c r="Y284" s="4">
        <f>VLOOKUP(Таблица15[[#This Row],[Модель]],Таблица14[#All],5,0)</f>
        <v>16000</v>
      </c>
      <c r="Z284" t="str">
        <f>VLOOKUP(Таблица15[[#This Row],[Модель]],Таблица14[#All],6,0)</f>
        <v>МКПП</v>
      </c>
      <c r="AA284" t="str">
        <f>VLOOKUP(Таблица15[[#This Row],[Модель]],Таблица14[#All],7,0)</f>
        <v>Бензин</v>
      </c>
      <c r="AB284" t="str">
        <f>VLOOKUP(Таблица15[[#This Row],[Модель]],Таблица14[#All],8,0)</f>
        <v>Эконом</v>
      </c>
      <c r="AC284" t="str">
        <f>VLOOKUP(Таблица15[[#This Row],[Модель]],Таблица14[#All],9,0)</f>
        <v>Средний</v>
      </c>
      <c r="AD284">
        <f>VLOOKUP(Таблица15[[#This Row],[Модель]],Таблица14[#All],10,0)</f>
        <v>135</v>
      </c>
      <c r="AE284">
        <f>VLOOKUP(Таблица15[[#This Row],[Модель]],Таблица14[#All],11,0)</f>
        <v>14</v>
      </c>
      <c r="AF284">
        <v>2021</v>
      </c>
      <c r="AG284">
        <v>1204</v>
      </c>
      <c r="AH284" s="22">
        <f>VLOOKUP(Таблица15[[#This Row],[Модель]],Таблица14[#All],12,0)/1000000</f>
        <v>7.83</v>
      </c>
      <c r="AI284" s="21">
        <f>VLOOKUP(Таблица15[[#This Row],[Модель]],Таблица14[#All],13,0)/1000000</f>
        <v>7.16</v>
      </c>
      <c r="AJ284" s="21">
        <f>VLOOKUP(Таблица15[[#This Row],[Модель]],Таблица14[#All],14,0)/1000000</f>
        <v>8.5</v>
      </c>
      <c r="AK284" s="21">
        <f>Таблица15[[#This Row],[Средняя цена (USD)]]*Таблица15[[#This Row],[Кол-во проданных]]/1000000</f>
        <v>16.856000000000002</v>
      </c>
      <c r="AL284" s="39">
        <f>Таблица15[[#This Row],[Средняя цена млн. ₸]]/440*Таблица15[[#This Row],[Кол-во проданных]]</f>
        <v>21.425727272727272</v>
      </c>
      <c r="AM284" s="39">
        <f>Таблица15[[#This Row],[Средняя цена млн. ₸]]*Таблица15[[#This Row],[Кол-во проданных]]/1000</f>
        <v>9.4273199999999999</v>
      </c>
      <c r="AR284" s="22"/>
      <c r="AS284" s="22"/>
      <c r="AT284" s="22"/>
    </row>
    <row r="285" spans="20:46">
      <c r="T285" t="s">
        <v>19</v>
      </c>
      <c r="U285" t="s">
        <v>97</v>
      </c>
      <c r="V285" t="str">
        <f>VLOOKUP(Таблица15[[#This Row],[Модель]],Таблица14[#All],2,0)</f>
        <v>Внедорожник</v>
      </c>
      <c r="W285" s="20">
        <f>VLOOKUP(Таблица15[[#This Row],[Модель]],Таблица14[#All],3,0)</f>
        <v>14000</v>
      </c>
      <c r="X285" s="20">
        <f>VLOOKUP(Таблица15[[#This Row],[Модель]],Таблица14[#All],4,0)</f>
        <v>12000</v>
      </c>
      <c r="Y285" s="4">
        <f>VLOOKUP(Таблица15[[#This Row],[Модель]],Таблица14[#All],5,0)</f>
        <v>16000</v>
      </c>
      <c r="Z285" t="str">
        <f>VLOOKUP(Таблица15[[#This Row],[Модель]],Таблица14[#All],6,0)</f>
        <v>МКПП</v>
      </c>
      <c r="AA285" t="str">
        <f>VLOOKUP(Таблица15[[#This Row],[Модель]],Таблица14[#All],7,0)</f>
        <v>Бензин</v>
      </c>
      <c r="AB285" t="str">
        <f>VLOOKUP(Таблица15[[#This Row],[Модель]],Таблица14[#All],8,0)</f>
        <v>Эконом</v>
      </c>
      <c r="AC285" t="str">
        <f>VLOOKUP(Таблица15[[#This Row],[Модель]],Таблица14[#All],9,0)</f>
        <v>Средний</v>
      </c>
      <c r="AD285">
        <f>VLOOKUP(Таблица15[[#This Row],[Модель]],Таблица14[#All],10,0)</f>
        <v>135</v>
      </c>
      <c r="AE285">
        <f>VLOOKUP(Таблица15[[#This Row],[Модель]],Таблица14[#All],11,0)</f>
        <v>14</v>
      </c>
      <c r="AF285">
        <v>2020</v>
      </c>
      <c r="AG285">
        <v>3193</v>
      </c>
      <c r="AH285" s="22">
        <f>VLOOKUP(Таблица15[[#This Row],[Модель]],Таблица14[#All],12,0)/1000000</f>
        <v>7.83</v>
      </c>
      <c r="AI285" s="21">
        <f>VLOOKUP(Таблица15[[#This Row],[Модель]],Таблица14[#All],13,0)/1000000</f>
        <v>7.16</v>
      </c>
      <c r="AJ285" s="21">
        <f>VLOOKUP(Таблица15[[#This Row],[Модель]],Таблица14[#All],14,0)/1000000</f>
        <v>8.5</v>
      </c>
      <c r="AK285" s="21">
        <f>Таблица15[[#This Row],[Средняя цена (USD)]]*Таблица15[[#This Row],[Кол-во проданных]]/1000000</f>
        <v>44.701999999999998</v>
      </c>
      <c r="AL285" s="39">
        <f>Таблица15[[#This Row],[Средняя цена млн. ₸]]/440*Таблица15[[#This Row],[Кол-во проданных]]</f>
        <v>56.820886363636362</v>
      </c>
      <c r="AM285" s="39">
        <f>Таблица15[[#This Row],[Средняя цена млн. ₸]]*Таблица15[[#This Row],[Кол-во проданных]]/1000</f>
        <v>25.001189999999998</v>
      </c>
      <c r="AR285" s="22"/>
      <c r="AS285" s="22"/>
      <c r="AT285" s="22"/>
    </row>
    <row r="286" spans="20:46">
      <c r="T286" t="s">
        <v>19</v>
      </c>
      <c r="U286" t="s">
        <v>97</v>
      </c>
      <c r="V286" t="str">
        <f>VLOOKUP(Таблица15[[#This Row],[Модель]],Таблица14[#All],2,0)</f>
        <v>Внедорожник</v>
      </c>
      <c r="W286" s="20">
        <f>VLOOKUP(Таблица15[[#This Row],[Модель]],Таблица14[#All],3,0)</f>
        <v>14000</v>
      </c>
      <c r="X286" s="20">
        <f>VLOOKUP(Таблица15[[#This Row],[Модель]],Таблица14[#All],4,0)</f>
        <v>12000</v>
      </c>
      <c r="Y286" s="4">
        <f>VLOOKUP(Таблица15[[#This Row],[Модель]],Таблица14[#All],5,0)</f>
        <v>16000</v>
      </c>
      <c r="Z286" t="str">
        <f>VLOOKUP(Таблица15[[#This Row],[Модель]],Таблица14[#All],6,0)</f>
        <v>МКПП</v>
      </c>
      <c r="AA286" t="str">
        <f>VLOOKUP(Таблица15[[#This Row],[Модель]],Таблица14[#All],7,0)</f>
        <v>Бензин</v>
      </c>
      <c r="AB286" t="str">
        <f>VLOOKUP(Таблица15[[#This Row],[Модель]],Таблица14[#All],8,0)</f>
        <v>Эконом</v>
      </c>
      <c r="AC286" t="str">
        <f>VLOOKUP(Таблица15[[#This Row],[Модель]],Таблица14[#All],9,0)</f>
        <v>Средний</v>
      </c>
      <c r="AD286">
        <f>VLOOKUP(Таблица15[[#This Row],[Модель]],Таблица14[#All],10,0)</f>
        <v>135</v>
      </c>
      <c r="AE286">
        <f>VLOOKUP(Таблица15[[#This Row],[Модель]],Таблица14[#All],11,0)</f>
        <v>14</v>
      </c>
      <c r="AF286">
        <v>2019</v>
      </c>
      <c r="AG286">
        <v>3742</v>
      </c>
      <c r="AH286" s="22">
        <f>VLOOKUP(Таблица15[[#This Row],[Модель]],Таблица14[#All],12,0)/1000000</f>
        <v>7.83</v>
      </c>
      <c r="AI286" s="21">
        <f>VLOOKUP(Таблица15[[#This Row],[Модель]],Таблица14[#All],13,0)/1000000</f>
        <v>7.16</v>
      </c>
      <c r="AJ286" s="21">
        <f>VLOOKUP(Таблица15[[#This Row],[Модель]],Таблица14[#All],14,0)/1000000</f>
        <v>8.5</v>
      </c>
      <c r="AK286" s="21">
        <f>Таблица15[[#This Row],[Средняя цена (USD)]]*Таблица15[[#This Row],[Кол-во проданных]]/1000000</f>
        <v>52.387999999999998</v>
      </c>
      <c r="AL286" s="39">
        <f>Таблица15[[#This Row],[Средняя цена млн. ₸]]/440*Таблица15[[#This Row],[Кол-во проданных]]</f>
        <v>66.590590909090906</v>
      </c>
      <c r="AM286" s="39">
        <f>Таблица15[[#This Row],[Средняя цена млн. ₸]]*Таблица15[[#This Row],[Кол-во проданных]]/1000</f>
        <v>29.299859999999999</v>
      </c>
      <c r="AR286" s="22"/>
      <c r="AS286" s="22"/>
      <c r="AT286" s="22"/>
    </row>
    <row r="287" spans="20:46">
      <c r="T287" t="s">
        <v>19</v>
      </c>
      <c r="U287" t="s">
        <v>32</v>
      </c>
      <c r="V287" t="str">
        <f>VLOOKUP(Таблица15[[#This Row],[Модель]],Таблица14[#All],2,0)</f>
        <v>Седан</v>
      </c>
      <c r="W287" s="20">
        <f>VLOOKUP(Таблица15[[#This Row],[Модель]],Таблица14[#All],3,0)</f>
        <v>10000</v>
      </c>
      <c r="X287" s="20">
        <f>VLOOKUP(Таблица15[[#This Row],[Модель]],Таблица14[#All],4,0)</f>
        <v>8000</v>
      </c>
      <c r="Y287" s="4">
        <f>VLOOKUP(Таблица15[[#This Row],[Модель]],Таблица14[#All],5,0)</f>
        <v>12000</v>
      </c>
      <c r="Z287" t="str">
        <f>VLOOKUP(Таблица15[[#This Row],[Модель]],Таблица14[#All],6,0)</f>
        <v>МКПП, АКПП</v>
      </c>
      <c r="AA287" t="str">
        <f>VLOOKUP(Таблица15[[#This Row],[Модель]],Таблица14[#All],7,0)</f>
        <v>Бензин</v>
      </c>
      <c r="AB287" t="str">
        <f>VLOOKUP(Таблица15[[#This Row],[Модель]],Таблица14[#All],8,0)</f>
        <v>Эконом</v>
      </c>
      <c r="AC287" t="str">
        <f>VLOOKUP(Таблица15[[#This Row],[Модель]],Таблица14[#All],9,0)</f>
        <v>Маленький</v>
      </c>
      <c r="AD287">
        <f>VLOOKUP(Таблица15[[#This Row],[Модель]],Таблица14[#All],10,0)</f>
        <v>100</v>
      </c>
      <c r="AE287">
        <f>VLOOKUP(Таблица15[[#This Row],[Модель]],Таблица14[#All],11,0)</f>
        <v>16.5</v>
      </c>
      <c r="AF287">
        <v>2023</v>
      </c>
      <c r="AG287">
        <v>0</v>
      </c>
      <c r="AH287" s="22">
        <f>VLOOKUP(Таблица15[[#This Row],[Модель]],Таблица14[#All],12,0)/1000000</f>
        <v>7.44</v>
      </c>
      <c r="AI287" s="21">
        <f>VLOOKUP(Таблица15[[#This Row],[Модель]],Таблица14[#All],13,0)/1000000</f>
        <v>6.19</v>
      </c>
      <c r="AJ287" s="21">
        <f>VLOOKUP(Таблица15[[#This Row],[Модель]],Таблица14[#All],14,0)/1000000</f>
        <v>8.69</v>
      </c>
      <c r="AK287" s="21">
        <f>Таблица15[[#This Row],[Средняя цена (USD)]]*Таблица15[[#This Row],[Кол-во проданных]]/1000000</f>
        <v>0</v>
      </c>
      <c r="AL287" s="39">
        <f>Таблица15[[#This Row],[Средняя цена млн. ₸]]/440*Таблица15[[#This Row],[Кол-во проданных]]</f>
        <v>0</v>
      </c>
      <c r="AM287" s="39">
        <f>Таблица15[[#This Row],[Средняя цена млн. ₸]]*Таблица15[[#This Row],[Кол-во проданных]]/1000</f>
        <v>0</v>
      </c>
      <c r="AR287" s="22"/>
      <c r="AS287" s="22"/>
      <c r="AT287" s="22"/>
    </row>
    <row r="288" spans="20:46">
      <c r="T288" t="s">
        <v>19</v>
      </c>
      <c r="U288" t="s">
        <v>32</v>
      </c>
      <c r="V288" t="str">
        <f>VLOOKUP(Таблица15[[#This Row],[Модель]],Таблица14[#All],2,0)</f>
        <v>Седан</v>
      </c>
      <c r="W288" s="20">
        <f>VLOOKUP(Таблица15[[#This Row],[Модель]],Таблица14[#All],3,0)</f>
        <v>10000</v>
      </c>
      <c r="X288" s="20">
        <f>VLOOKUP(Таблица15[[#This Row],[Модель]],Таблица14[#All],4,0)</f>
        <v>8000</v>
      </c>
      <c r="Y288" s="4">
        <f>VLOOKUP(Таблица15[[#This Row],[Модель]],Таблица14[#All],5,0)</f>
        <v>12000</v>
      </c>
      <c r="Z288" t="str">
        <f>VLOOKUP(Таблица15[[#This Row],[Модель]],Таблица14[#All],6,0)</f>
        <v>МКПП, АКПП</v>
      </c>
      <c r="AA288" t="str">
        <f>VLOOKUP(Таблица15[[#This Row],[Модель]],Таблица14[#All],7,0)</f>
        <v>Бензин</v>
      </c>
      <c r="AB288" t="str">
        <f>VLOOKUP(Таблица15[[#This Row],[Модель]],Таблица14[#All],8,0)</f>
        <v>Эконом</v>
      </c>
      <c r="AC288" t="str">
        <f>VLOOKUP(Таблица15[[#This Row],[Модель]],Таблица14[#All],9,0)</f>
        <v>Маленький</v>
      </c>
      <c r="AD288">
        <f>VLOOKUP(Таблица15[[#This Row],[Модель]],Таблица14[#All],10,0)</f>
        <v>100</v>
      </c>
      <c r="AE288">
        <f>VLOOKUP(Таблица15[[#This Row],[Модель]],Таблица14[#All],11,0)</f>
        <v>16.5</v>
      </c>
      <c r="AF288">
        <v>2022</v>
      </c>
      <c r="AG288">
        <v>1912</v>
      </c>
      <c r="AH288" s="22">
        <f>VLOOKUP(Таблица15[[#This Row],[Модель]],Таблица14[#All],12,0)/1000000</f>
        <v>7.44</v>
      </c>
      <c r="AI288" s="21">
        <f>VLOOKUP(Таблица15[[#This Row],[Модель]],Таблица14[#All],13,0)/1000000</f>
        <v>6.19</v>
      </c>
      <c r="AJ288" s="21">
        <f>VLOOKUP(Таблица15[[#This Row],[Модель]],Таблица14[#All],14,0)/1000000</f>
        <v>8.69</v>
      </c>
      <c r="AK288" s="21">
        <f>Таблица15[[#This Row],[Средняя цена (USD)]]*Таблица15[[#This Row],[Кол-во проданных]]/1000000</f>
        <v>19.12</v>
      </c>
      <c r="AL288" s="39">
        <f>Таблица15[[#This Row],[Средняя цена млн. ₸]]/440*Таблица15[[#This Row],[Кол-во проданных]]</f>
        <v>32.330181818181813</v>
      </c>
      <c r="AM288" s="39">
        <f>Таблица15[[#This Row],[Средняя цена млн. ₸]]*Таблица15[[#This Row],[Кол-во проданных]]/1000</f>
        <v>14.225280000000001</v>
      </c>
      <c r="AR288" s="22"/>
      <c r="AS288" s="22"/>
      <c r="AT288" s="22"/>
    </row>
    <row r="289" spans="20:46">
      <c r="T289" t="s">
        <v>19</v>
      </c>
      <c r="U289" t="s">
        <v>32</v>
      </c>
      <c r="V289" t="str">
        <f>VLOOKUP(Таблица15[[#This Row],[Модель]],Таблица14[#All],2,0)</f>
        <v>Седан</v>
      </c>
      <c r="W289" s="20">
        <f>VLOOKUP(Таблица15[[#This Row],[Модель]],Таблица14[#All],3,0)</f>
        <v>10000</v>
      </c>
      <c r="X289" s="20">
        <f>VLOOKUP(Таблица15[[#This Row],[Модель]],Таблица14[#All],4,0)</f>
        <v>8000</v>
      </c>
      <c r="Y289" s="4">
        <f>VLOOKUP(Таблица15[[#This Row],[Модель]],Таблица14[#All],5,0)</f>
        <v>12000</v>
      </c>
      <c r="Z289" t="str">
        <f>VLOOKUP(Таблица15[[#This Row],[Модель]],Таблица14[#All],6,0)</f>
        <v>МКПП, АКПП</v>
      </c>
      <c r="AA289" t="str">
        <f>VLOOKUP(Таблица15[[#This Row],[Модель]],Таблица14[#All],7,0)</f>
        <v>Бензин</v>
      </c>
      <c r="AB289" t="str">
        <f>VLOOKUP(Таблица15[[#This Row],[Модель]],Таблица14[#All],8,0)</f>
        <v>Эконом</v>
      </c>
      <c r="AC289" t="str">
        <f>VLOOKUP(Таблица15[[#This Row],[Модель]],Таблица14[#All],9,0)</f>
        <v>Маленький</v>
      </c>
      <c r="AD289">
        <f>VLOOKUP(Таблица15[[#This Row],[Модель]],Таблица14[#All],10,0)</f>
        <v>100</v>
      </c>
      <c r="AE289">
        <f>VLOOKUP(Таблица15[[#This Row],[Модель]],Таблица14[#All],11,0)</f>
        <v>16.5</v>
      </c>
      <c r="AF289">
        <v>2021</v>
      </c>
      <c r="AG289">
        <v>3174</v>
      </c>
      <c r="AH289" s="22">
        <f>VLOOKUP(Таблица15[[#This Row],[Модель]],Таблица14[#All],12,0)/1000000</f>
        <v>7.44</v>
      </c>
      <c r="AI289" s="21">
        <f>VLOOKUP(Таблица15[[#This Row],[Модель]],Таблица14[#All],13,0)/1000000</f>
        <v>6.19</v>
      </c>
      <c r="AJ289" s="21">
        <f>VLOOKUP(Таблица15[[#This Row],[Модель]],Таблица14[#All],14,0)/1000000</f>
        <v>8.69</v>
      </c>
      <c r="AK289" s="21">
        <f>Таблица15[[#This Row],[Средняя цена (USD)]]*Таблица15[[#This Row],[Кол-во проданных]]/1000000</f>
        <v>31.74</v>
      </c>
      <c r="AL289" s="39">
        <f>Таблица15[[#This Row],[Средняя цена млн. ₸]]/440*Таблица15[[#This Row],[Кол-во проданных]]</f>
        <v>53.669454545454542</v>
      </c>
      <c r="AM289" s="39">
        <f>Таблица15[[#This Row],[Средняя цена млн. ₸]]*Таблица15[[#This Row],[Кол-во проданных]]/1000</f>
        <v>23.614560000000001</v>
      </c>
      <c r="AR289" s="22"/>
      <c r="AS289" s="22"/>
      <c r="AT289" s="22"/>
    </row>
    <row r="290" spans="20:46">
      <c r="T290" t="s">
        <v>19</v>
      </c>
      <c r="U290" t="s">
        <v>32</v>
      </c>
      <c r="V290" t="str">
        <f>VLOOKUP(Таблица15[[#This Row],[Модель]],Таблица14[#All],2,0)</f>
        <v>Седан</v>
      </c>
      <c r="W290" s="20">
        <f>VLOOKUP(Таблица15[[#This Row],[Модель]],Таблица14[#All],3,0)</f>
        <v>10000</v>
      </c>
      <c r="X290" s="20">
        <f>VLOOKUP(Таблица15[[#This Row],[Модель]],Таблица14[#All],4,0)</f>
        <v>8000</v>
      </c>
      <c r="Y290" s="4">
        <f>VLOOKUP(Таблица15[[#This Row],[Модель]],Таблица14[#All],5,0)</f>
        <v>12000</v>
      </c>
      <c r="Z290" t="str">
        <f>VLOOKUP(Таблица15[[#This Row],[Модель]],Таблица14[#All],6,0)</f>
        <v>МКПП, АКПП</v>
      </c>
      <c r="AA290" t="str">
        <f>VLOOKUP(Таблица15[[#This Row],[Модель]],Таблица14[#All],7,0)</f>
        <v>Бензин</v>
      </c>
      <c r="AB290" t="str">
        <f>VLOOKUP(Таблица15[[#This Row],[Модель]],Таблица14[#All],8,0)</f>
        <v>Эконом</v>
      </c>
      <c r="AC290" t="str">
        <f>VLOOKUP(Таблица15[[#This Row],[Модель]],Таблица14[#All],9,0)</f>
        <v>Маленький</v>
      </c>
      <c r="AD290">
        <f>VLOOKUP(Таблица15[[#This Row],[Модель]],Таблица14[#All],10,0)</f>
        <v>100</v>
      </c>
      <c r="AE290">
        <f>VLOOKUP(Таблица15[[#This Row],[Модель]],Таблица14[#All],11,0)</f>
        <v>16.5</v>
      </c>
      <c r="AF290">
        <v>2020</v>
      </c>
      <c r="AG290">
        <v>4038</v>
      </c>
      <c r="AH290" s="22">
        <f>VLOOKUP(Таблица15[[#This Row],[Модель]],Таблица14[#All],12,0)/1000000</f>
        <v>7.44</v>
      </c>
      <c r="AI290" s="21">
        <f>VLOOKUP(Таблица15[[#This Row],[Модель]],Таблица14[#All],13,0)/1000000</f>
        <v>6.19</v>
      </c>
      <c r="AJ290" s="21">
        <f>VLOOKUP(Таблица15[[#This Row],[Модель]],Таблица14[#All],14,0)/1000000</f>
        <v>8.69</v>
      </c>
      <c r="AK290" s="21">
        <f>Таблица15[[#This Row],[Средняя цена (USD)]]*Таблица15[[#This Row],[Кол-во проданных]]/1000000</f>
        <v>40.380000000000003</v>
      </c>
      <c r="AL290" s="39">
        <f>Таблица15[[#This Row],[Средняя цена млн. ₸]]/440*Таблица15[[#This Row],[Кол-во проданных]]</f>
        <v>68.278909090909082</v>
      </c>
      <c r="AM290" s="39">
        <f>Таблица15[[#This Row],[Средняя цена млн. ₸]]*Таблица15[[#This Row],[Кол-во проданных]]/1000</f>
        <v>30.042720000000003</v>
      </c>
      <c r="AR290" s="22"/>
      <c r="AS290" s="22"/>
      <c r="AT290" s="22"/>
    </row>
    <row r="291" spans="20:46">
      <c r="T291" t="s">
        <v>19</v>
      </c>
      <c r="U291" t="s">
        <v>32</v>
      </c>
      <c r="V291" t="str">
        <f>VLOOKUP(Таблица15[[#This Row],[Модель]],Таблица14[#All],2,0)</f>
        <v>Седан</v>
      </c>
      <c r="W291" s="20">
        <f>VLOOKUP(Таблица15[[#This Row],[Модель]],Таблица14[#All],3,0)</f>
        <v>10000</v>
      </c>
      <c r="X291" s="20">
        <f>VLOOKUP(Таблица15[[#This Row],[Модель]],Таблица14[#All],4,0)</f>
        <v>8000</v>
      </c>
      <c r="Y291" s="4">
        <f>VLOOKUP(Таблица15[[#This Row],[Модель]],Таблица14[#All],5,0)</f>
        <v>12000</v>
      </c>
      <c r="Z291" t="str">
        <f>VLOOKUP(Таблица15[[#This Row],[Модель]],Таблица14[#All],6,0)</f>
        <v>МКПП, АКПП</v>
      </c>
      <c r="AA291" t="str">
        <f>VLOOKUP(Таблица15[[#This Row],[Модель]],Таблица14[#All],7,0)</f>
        <v>Бензин</v>
      </c>
      <c r="AB291" t="str">
        <f>VLOOKUP(Таблица15[[#This Row],[Модель]],Таблица14[#All],8,0)</f>
        <v>Эконом</v>
      </c>
      <c r="AC291" t="str">
        <f>VLOOKUP(Таблица15[[#This Row],[Модель]],Таблица14[#All],9,0)</f>
        <v>Маленький</v>
      </c>
      <c r="AD291">
        <f>VLOOKUP(Таблица15[[#This Row],[Модель]],Таблица14[#All],10,0)</f>
        <v>100</v>
      </c>
      <c r="AE291">
        <f>VLOOKUP(Таблица15[[#This Row],[Модель]],Таблица14[#All],11,0)</f>
        <v>16.5</v>
      </c>
      <c r="AF291">
        <v>2019</v>
      </c>
      <c r="AG291">
        <v>3731</v>
      </c>
      <c r="AH291" s="22">
        <f>VLOOKUP(Таблица15[[#This Row],[Модель]],Таблица14[#All],12,0)/1000000</f>
        <v>7.44</v>
      </c>
      <c r="AI291" s="21">
        <f>VLOOKUP(Таблица15[[#This Row],[Модель]],Таблица14[#All],13,0)/1000000</f>
        <v>6.19</v>
      </c>
      <c r="AJ291" s="21">
        <f>VLOOKUP(Таблица15[[#This Row],[Модель]],Таблица14[#All],14,0)/1000000</f>
        <v>8.69</v>
      </c>
      <c r="AK291" s="21">
        <f>Таблица15[[#This Row],[Средняя цена (USD)]]*Таблица15[[#This Row],[Кол-во проданных]]/1000000</f>
        <v>37.31</v>
      </c>
      <c r="AL291" s="39">
        <f>Таблица15[[#This Row],[Средняя цена млн. ₸]]/440*Таблица15[[#This Row],[Кол-во проданных]]</f>
        <v>63.087818181818179</v>
      </c>
      <c r="AM291" s="39">
        <f>Таблица15[[#This Row],[Средняя цена млн. ₸]]*Таблица15[[#This Row],[Кол-во проданных]]/1000</f>
        <v>27.758640000000003</v>
      </c>
      <c r="AR291" s="22"/>
      <c r="AS291" s="22"/>
      <c r="AT291" s="22"/>
    </row>
    <row r="292" spans="20:46">
      <c r="T292" t="s">
        <v>19</v>
      </c>
      <c r="U292" t="s">
        <v>118</v>
      </c>
      <c r="V292" t="str">
        <f>VLOOKUP(Таблица15[[#This Row],[Модель]],Таблица14[#All],2,0)</f>
        <v>Хэтчбэк</v>
      </c>
      <c r="W292" s="20">
        <f>VLOOKUP(Таблица15[[#This Row],[Модель]],Таблица14[#All],3,0)</f>
        <v>12000</v>
      </c>
      <c r="X292" s="20">
        <f>VLOOKUP(Таблица15[[#This Row],[Модель]],Таблица14[#All],4,0)</f>
        <v>10000</v>
      </c>
      <c r="Y292" s="4">
        <f>VLOOKUP(Таблица15[[#This Row],[Модель]],Таблица14[#All],5,0)</f>
        <v>14000</v>
      </c>
      <c r="Z292" t="str">
        <f>VLOOKUP(Таблица15[[#This Row],[Модель]],Таблица14[#All],6,0)</f>
        <v>МКПП, АКПП</v>
      </c>
      <c r="AA292" t="str">
        <f>VLOOKUP(Таблица15[[#This Row],[Модель]],Таблица14[#All],7,0)</f>
        <v>Бензин</v>
      </c>
      <c r="AB292" t="str">
        <f>VLOOKUP(Таблица15[[#This Row],[Модель]],Таблица14[#All],8,0)</f>
        <v>Эконом</v>
      </c>
      <c r="AC292" t="str">
        <f>VLOOKUP(Таблица15[[#This Row],[Модель]],Таблица14[#All],9,0)</f>
        <v>Маленький</v>
      </c>
      <c r="AD292">
        <f>VLOOKUP(Таблица15[[#This Row],[Модель]],Таблица14[#All],10,0)</f>
        <v>110</v>
      </c>
      <c r="AE292">
        <f>VLOOKUP(Таблица15[[#This Row],[Модель]],Таблица14[#All],11,0)</f>
        <v>16</v>
      </c>
      <c r="AF292">
        <v>2023</v>
      </c>
      <c r="AG292">
        <v>0</v>
      </c>
      <c r="AH292" s="22">
        <f>VLOOKUP(Таблица15[[#This Row],[Модель]],Таблица14[#All],12,0)/1000000</f>
        <v>6.95</v>
      </c>
      <c r="AI292" s="21">
        <f>VLOOKUP(Таблица15[[#This Row],[Модель]],Таблица14[#All],13,0)/1000000</f>
        <v>6.69</v>
      </c>
      <c r="AJ292" s="21">
        <f>VLOOKUP(Таблица15[[#This Row],[Модель]],Таблица14[#All],14,0)/1000000</f>
        <v>7.21</v>
      </c>
      <c r="AK292" s="21">
        <f>Таблица15[[#This Row],[Средняя цена (USD)]]*Таблица15[[#This Row],[Кол-во проданных]]/1000000</f>
        <v>0</v>
      </c>
      <c r="AL292" s="39">
        <f>Таблица15[[#This Row],[Средняя цена млн. ₸]]/440*Таблица15[[#This Row],[Кол-во проданных]]</f>
        <v>0</v>
      </c>
      <c r="AM292" s="39">
        <f>Таблица15[[#This Row],[Средняя цена млн. ₸]]*Таблица15[[#This Row],[Кол-во проданных]]/1000</f>
        <v>0</v>
      </c>
      <c r="AR292" s="22"/>
      <c r="AS292" s="22"/>
      <c r="AT292" s="22"/>
    </row>
    <row r="293" spans="20:46">
      <c r="T293" t="s">
        <v>19</v>
      </c>
      <c r="U293" t="s">
        <v>118</v>
      </c>
      <c r="V293" t="str">
        <f>VLOOKUP(Таблица15[[#This Row],[Модель]],Таблица14[#All],2,0)</f>
        <v>Хэтчбэк</v>
      </c>
      <c r="W293" s="20">
        <f>VLOOKUP(Таблица15[[#This Row],[Модель]],Таблица14[#All],3,0)</f>
        <v>12000</v>
      </c>
      <c r="X293" s="20">
        <f>VLOOKUP(Таблица15[[#This Row],[Модель]],Таблица14[#All],4,0)</f>
        <v>10000</v>
      </c>
      <c r="Y293" s="4">
        <f>VLOOKUP(Таблица15[[#This Row],[Модель]],Таблица14[#All],5,0)</f>
        <v>14000</v>
      </c>
      <c r="Z293" t="str">
        <f>VLOOKUP(Таблица15[[#This Row],[Модель]],Таблица14[#All],6,0)</f>
        <v>МКПП, АКПП</v>
      </c>
      <c r="AA293" t="str">
        <f>VLOOKUP(Таблица15[[#This Row],[Модель]],Таблица14[#All],7,0)</f>
        <v>Бензин</v>
      </c>
      <c r="AB293" t="str">
        <f>VLOOKUP(Таблица15[[#This Row],[Модель]],Таблица14[#All],8,0)</f>
        <v>Эконом</v>
      </c>
      <c r="AC293" t="str">
        <f>VLOOKUP(Таблица15[[#This Row],[Модель]],Таблица14[#All],9,0)</f>
        <v>Маленький</v>
      </c>
      <c r="AD293">
        <f>VLOOKUP(Таблица15[[#This Row],[Модель]],Таблица14[#All],10,0)</f>
        <v>110</v>
      </c>
      <c r="AE293">
        <f>VLOOKUP(Таблица15[[#This Row],[Модель]],Таблица14[#All],11,0)</f>
        <v>16</v>
      </c>
      <c r="AF293">
        <v>2022</v>
      </c>
      <c r="AG293">
        <v>0</v>
      </c>
      <c r="AH293" s="22">
        <f>VLOOKUP(Таблица15[[#This Row],[Модель]],Таблица14[#All],12,0)/1000000</f>
        <v>6.95</v>
      </c>
      <c r="AI293" s="21">
        <f>VLOOKUP(Таблица15[[#This Row],[Модель]],Таблица14[#All],13,0)/1000000</f>
        <v>6.69</v>
      </c>
      <c r="AJ293" s="21">
        <f>VLOOKUP(Таблица15[[#This Row],[Модель]],Таблица14[#All],14,0)/1000000</f>
        <v>7.21</v>
      </c>
      <c r="AK293" s="21">
        <f>Таблица15[[#This Row],[Средняя цена (USD)]]*Таблица15[[#This Row],[Кол-во проданных]]/1000000</f>
        <v>0</v>
      </c>
      <c r="AL293" s="39">
        <f>Таблица15[[#This Row],[Средняя цена млн. ₸]]/440*Таблица15[[#This Row],[Кол-во проданных]]</f>
        <v>0</v>
      </c>
      <c r="AM293" s="39">
        <f>Таблица15[[#This Row],[Средняя цена млн. ₸]]*Таблица15[[#This Row],[Кол-во проданных]]/1000</f>
        <v>0</v>
      </c>
      <c r="AR293" s="22"/>
      <c r="AS293" s="22"/>
      <c r="AT293" s="22"/>
    </row>
    <row r="294" spans="20:46">
      <c r="T294" t="s">
        <v>19</v>
      </c>
      <c r="U294" t="s">
        <v>118</v>
      </c>
      <c r="V294" t="str">
        <f>VLOOKUP(Таблица15[[#This Row],[Модель]],Таблица14[#All],2,0)</f>
        <v>Хэтчбэк</v>
      </c>
      <c r="W294" s="20">
        <f>VLOOKUP(Таблица15[[#This Row],[Модель]],Таблица14[#All],3,0)</f>
        <v>12000</v>
      </c>
      <c r="X294" s="20">
        <f>VLOOKUP(Таблица15[[#This Row],[Модель]],Таблица14[#All],4,0)</f>
        <v>10000</v>
      </c>
      <c r="Y294" s="4">
        <f>VLOOKUP(Таблица15[[#This Row],[Модель]],Таблица14[#All],5,0)</f>
        <v>14000</v>
      </c>
      <c r="Z294" t="str">
        <f>VLOOKUP(Таблица15[[#This Row],[Модель]],Таблица14[#All],6,0)</f>
        <v>МКПП, АКПП</v>
      </c>
      <c r="AA294" t="str">
        <f>VLOOKUP(Таблица15[[#This Row],[Модель]],Таблица14[#All],7,0)</f>
        <v>Бензин</v>
      </c>
      <c r="AB294" t="str">
        <f>VLOOKUP(Таблица15[[#This Row],[Модель]],Таблица14[#All],8,0)</f>
        <v>Эконом</v>
      </c>
      <c r="AC294" t="str">
        <f>VLOOKUP(Таблица15[[#This Row],[Модель]],Таблица14[#All],9,0)</f>
        <v>Маленький</v>
      </c>
      <c r="AD294">
        <f>VLOOKUP(Таблица15[[#This Row],[Модель]],Таблица14[#All],10,0)</f>
        <v>110</v>
      </c>
      <c r="AE294">
        <f>VLOOKUP(Таблица15[[#This Row],[Модель]],Таблица14[#All],11,0)</f>
        <v>16</v>
      </c>
      <c r="AF294">
        <v>2021</v>
      </c>
      <c r="AG294">
        <v>0</v>
      </c>
      <c r="AH294" s="22">
        <f>VLOOKUP(Таблица15[[#This Row],[Модель]],Таблица14[#All],12,0)/1000000</f>
        <v>6.95</v>
      </c>
      <c r="AI294" s="21">
        <f>VLOOKUP(Таблица15[[#This Row],[Модель]],Таблица14[#All],13,0)/1000000</f>
        <v>6.69</v>
      </c>
      <c r="AJ294" s="21">
        <f>VLOOKUP(Таблица15[[#This Row],[Модель]],Таблица14[#All],14,0)/1000000</f>
        <v>7.21</v>
      </c>
      <c r="AK294" s="21">
        <f>Таблица15[[#This Row],[Средняя цена (USD)]]*Таблица15[[#This Row],[Кол-во проданных]]/1000000</f>
        <v>0</v>
      </c>
      <c r="AL294" s="39">
        <f>Таблица15[[#This Row],[Средняя цена млн. ₸]]/440*Таблица15[[#This Row],[Кол-во проданных]]</f>
        <v>0</v>
      </c>
      <c r="AM294" s="39">
        <f>Таблица15[[#This Row],[Средняя цена млн. ₸]]*Таблица15[[#This Row],[Кол-во проданных]]/1000</f>
        <v>0</v>
      </c>
      <c r="AR294" s="22"/>
      <c r="AS294" s="22"/>
      <c r="AT294" s="22"/>
    </row>
    <row r="295" spans="20:46">
      <c r="T295" t="s">
        <v>19</v>
      </c>
      <c r="U295" t="s">
        <v>118</v>
      </c>
      <c r="V295" t="str">
        <f>VLOOKUP(Таблица15[[#This Row],[Модель]],Таблица14[#All],2,0)</f>
        <v>Хэтчбэк</v>
      </c>
      <c r="W295" s="20">
        <f>VLOOKUP(Таблица15[[#This Row],[Модель]],Таблица14[#All],3,0)</f>
        <v>12000</v>
      </c>
      <c r="X295" s="20">
        <f>VLOOKUP(Таблица15[[#This Row],[Модель]],Таблица14[#All],4,0)</f>
        <v>10000</v>
      </c>
      <c r="Y295" s="4">
        <f>VLOOKUP(Таблица15[[#This Row],[Модель]],Таблица14[#All],5,0)</f>
        <v>14000</v>
      </c>
      <c r="Z295" t="str">
        <f>VLOOKUP(Таблица15[[#This Row],[Модель]],Таблица14[#All],6,0)</f>
        <v>МКПП, АКПП</v>
      </c>
      <c r="AA295" t="str">
        <f>VLOOKUP(Таблица15[[#This Row],[Модель]],Таблица14[#All],7,0)</f>
        <v>Бензин</v>
      </c>
      <c r="AB295" t="str">
        <f>VLOOKUP(Таблица15[[#This Row],[Модель]],Таблица14[#All],8,0)</f>
        <v>Эконом</v>
      </c>
      <c r="AC295" t="str">
        <f>VLOOKUP(Таблица15[[#This Row],[Модель]],Таблица14[#All],9,0)</f>
        <v>Маленький</v>
      </c>
      <c r="AD295">
        <f>VLOOKUP(Таблица15[[#This Row],[Модель]],Таблица14[#All],10,0)</f>
        <v>110</v>
      </c>
      <c r="AE295">
        <f>VLOOKUP(Таблица15[[#This Row],[Модель]],Таблица14[#All],11,0)</f>
        <v>16</v>
      </c>
      <c r="AF295">
        <v>2020</v>
      </c>
      <c r="AG295">
        <v>339</v>
      </c>
      <c r="AH295" s="22">
        <f>VLOOKUP(Таблица15[[#This Row],[Модель]],Таблица14[#All],12,0)/1000000</f>
        <v>6.95</v>
      </c>
      <c r="AI295" s="21">
        <f>VLOOKUP(Таблица15[[#This Row],[Модель]],Таблица14[#All],13,0)/1000000</f>
        <v>6.69</v>
      </c>
      <c r="AJ295" s="21">
        <f>VLOOKUP(Таблица15[[#This Row],[Модель]],Таблица14[#All],14,0)/1000000</f>
        <v>7.21</v>
      </c>
      <c r="AK295" s="21">
        <f>Таблица15[[#This Row],[Средняя цена (USD)]]*Таблица15[[#This Row],[Кол-во проданных]]/1000000</f>
        <v>4.0679999999999996</v>
      </c>
      <c r="AL295" s="39">
        <f>Таблица15[[#This Row],[Средняя цена млн. ₸]]/440*Таблица15[[#This Row],[Кол-во проданных]]</f>
        <v>5.3546590909090916</v>
      </c>
      <c r="AM295" s="39">
        <f>Таблица15[[#This Row],[Средняя цена млн. ₸]]*Таблица15[[#This Row],[Кол-во проданных]]/1000</f>
        <v>2.3560500000000002</v>
      </c>
      <c r="AR295" s="22"/>
      <c r="AS295" s="22"/>
      <c r="AT295" s="22"/>
    </row>
    <row r="296" spans="20:46">
      <c r="T296" t="s">
        <v>19</v>
      </c>
      <c r="U296" t="s">
        <v>118</v>
      </c>
      <c r="V296" t="str">
        <f>VLOOKUP(Таблица15[[#This Row],[Модель]],Таблица14[#All],2,0)</f>
        <v>Хэтчбэк</v>
      </c>
      <c r="W296" s="20">
        <f>VLOOKUP(Таблица15[[#This Row],[Модель]],Таблица14[#All],3,0)</f>
        <v>12000</v>
      </c>
      <c r="X296" s="20">
        <f>VLOOKUP(Таблица15[[#This Row],[Модель]],Таблица14[#All],4,0)</f>
        <v>10000</v>
      </c>
      <c r="Y296" s="4">
        <f>VLOOKUP(Таблица15[[#This Row],[Модель]],Таблица14[#All],5,0)</f>
        <v>14000</v>
      </c>
      <c r="Z296" t="str">
        <f>VLOOKUP(Таблица15[[#This Row],[Модель]],Таблица14[#All],6,0)</f>
        <v>МКПП, АКПП</v>
      </c>
      <c r="AA296" t="str">
        <f>VLOOKUP(Таблица15[[#This Row],[Модель]],Таблица14[#All],7,0)</f>
        <v>Бензин</v>
      </c>
      <c r="AB296" t="str">
        <f>VLOOKUP(Таблица15[[#This Row],[Модель]],Таблица14[#All],8,0)</f>
        <v>Эконом</v>
      </c>
      <c r="AC296" t="str">
        <f>VLOOKUP(Таблица15[[#This Row],[Модель]],Таблица14[#All],9,0)</f>
        <v>Маленький</v>
      </c>
      <c r="AD296">
        <f>VLOOKUP(Таблица15[[#This Row],[Модель]],Таблица14[#All],10,0)</f>
        <v>110</v>
      </c>
      <c r="AE296">
        <f>VLOOKUP(Таблица15[[#This Row],[Модель]],Таблица14[#All],11,0)</f>
        <v>16</v>
      </c>
      <c r="AF296">
        <v>2019</v>
      </c>
      <c r="AG296">
        <v>632</v>
      </c>
      <c r="AH296" s="22">
        <f>VLOOKUP(Таблица15[[#This Row],[Модель]],Таблица14[#All],12,0)/1000000</f>
        <v>6.95</v>
      </c>
      <c r="AI296" s="21">
        <f>VLOOKUP(Таблица15[[#This Row],[Модель]],Таблица14[#All],13,0)/1000000</f>
        <v>6.69</v>
      </c>
      <c r="AJ296" s="21">
        <f>VLOOKUP(Таблица15[[#This Row],[Модель]],Таблица14[#All],14,0)/1000000</f>
        <v>7.21</v>
      </c>
      <c r="AK296" s="21">
        <f>Таблица15[[#This Row],[Средняя цена (USD)]]*Таблица15[[#This Row],[Кол-во проданных]]/1000000</f>
        <v>7.5839999999999996</v>
      </c>
      <c r="AL296" s="39">
        <f>Таблица15[[#This Row],[Средняя цена млн. ₸]]/440*Таблица15[[#This Row],[Кол-во проданных]]</f>
        <v>9.9827272727272742</v>
      </c>
      <c r="AM296" s="39">
        <f>Таблица15[[#This Row],[Средняя цена млн. ₸]]*Таблица15[[#This Row],[Кол-во проданных]]/1000</f>
        <v>4.3924000000000003</v>
      </c>
      <c r="AR296" s="22"/>
      <c r="AS296" s="22"/>
      <c r="AT296" s="22"/>
    </row>
    <row r="297" spans="20:46">
      <c r="T297" t="s">
        <v>5</v>
      </c>
      <c r="U297" t="s">
        <v>44</v>
      </c>
      <c r="V297" t="str">
        <f>VLOOKUP(Таблица15[[#This Row],[Модель]],Таблица14[#All],2,0)</f>
        <v>Седан</v>
      </c>
      <c r="W297" s="20">
        <f>VLOOKUP(Таблица15[[#This Row],[Модель]],Таблица14[#All],3,0)</f>
        <v>45000</v>
      </c>
      <c r="X297" s="20">
        <f>VLOOKUP(Таблица15[[#This Row],[Модель]],Таблица14[#All],4,0)</f>
        <v>40000</v>
      </c>
      <c r="Y297" s="4">
        <f>VLOOKUP(Таблица15[[#This Row],[Модель]],Таблица14[#All],5,0)</f>
        <v>55000</v>
      </c>
      <c r="Z297" t="str">
        <f>VLOOKUP(Таблица15[[#This Row],[Модель]],Таблица14[#All],6,0)</f>
        <v>АКПП</v>
      </c>
      <c r="AA297" t="str">
        <f>VLOOKUP(Таблица15[[#This Row],[Модель]],Таблица14[#All],7,0)</f>
        <v>Бензин, Гибрид</v>
      </c>
      <c r="AB297" t="str">
        <f>VLOOKUP(Таблица15[[#This Row],[Модель]],Таблица14[#All],8,0)</f>
        <v>Люкс</v>
      </c>
      <c r="AC297" t="str">
        <f>VLOOKUP(Таблица15[[#This Row],[Модель]],Таблица14[#All],9,0)</f>
        <v>Средний</v>
      </c>
      <c r="AD297">
        <f>VLOOKUP(Таблица15[[#This Row],[Модель]],Таблица14[#All],10,0)</f>
        <v>300</v>
      </c>
      <c r="AE297">
        <f>VLOOKUP(Таблица15[[#This Row],[Модель]],Таблица14[#All],11,0)</f>
        <v>10.5</v>
      </c>
      <c r="AF297">
        <v>2023</v>
      </c>
      <c r="AG297">
        <v>0</v>
      </c>
      <c r="AH297" s="22">
        <f>VLOOKUP(Таблица15[[#This Row],[Модель]],Таблица14[#All],12,0)/1000000</f>
        <v>32.731499999999997</v>
      </c>
      <c r="AI297" s="21">
        <f>VLOOKUP(Таблица15[[#This Row],[Модель]],Таблица14[#All],13,0)/1000000</f>
        <v>28.75</v>
      </c>
      <c r="AJ297" s="21">
        <f>VLOOKUP(Таблица15[[#This Row],[Модель]],Таблица14[#All],14,0)/1000000</f>
        <v>36.713000000000001</v>
      </c>
      <c r="AK297" s="21">
        <f>Таблица15[[#This Row],[Средняя цена (USD)]]*Таблица15[[#This Row],[Кол-во проданных]]/1000000</f>
        <v>0</v>
      </c>
      <c r="AL297" s="39">
        <f>Таблица15[[#This Row],[Средняя цена млн. ₸]]/440*Таблица15[[#This Row],[Кол-во проданных]]</f>
        <v>0</v>
      </c>
      <c r="AM297" s="39">
        <f>Таблица15[[#This Row],[Средняя цена млн. ₸]]*Таблица15[[#This Row],[Кол-во проданных]]/1000</f>
        <v>0</v>
      </c>
      <c r="AR297" s="22"/>
      <c r="AS297" s="22"/>
      <c r="AT297" s="22"/>
    </row>
    <row r="298" spans="20:46">
      <c r="T298" t="s">
        <v>5</v>
      </c>
      <c r="U298" t="s">
        <v>44</v>
      </c>
      <c r="V298" t="str">
        <f>VLOOKUP(Таблица15[[#This Row],[Модель]],Таблица14[#All],2,0)</f>
        <v>Седан</v>
      </c>
      <c r="W298" s="20">
        <f>VLOOKUP(Таблица15[[#This Row],[Модель]],Таблица14[#All],3,0)</f>
        <v>45000</v>
      </c>
      <c r="X298" s="20">
        <f>VLOOKUP(Таблица15[[#This Row],[Модель]],Таблица14[#All],4,0)</f>
        <v>40000</v>
      </c>
      <c r="Y298" s="4">
        <f>VLOOKUP(Таблица15[[#This Row],[Модель]],Таблица14[#All],5,0)</f>
        <v>55000</v>
      </c>
      <c r="Z298" t="str">
        <f>VLOOKUP(Таблица15[[#This Row],[Модель]],Таблица14[#All],6,0)</f>
        <v>АКПП</v>
      </c>
      <c r="AA298" t="str">
        <f>VLOOKUP(Таблица15[[#This Row],[Модель]],Таблица14[#All],7,0)</f>
        <v>Бензин, Гибрид</v>
      </c>
      <c r="AB298" t="str">
        <f>VLOOKUP(Таблица15[[#This Row],[Модель]],Таблица14[#All],8,0)</f>
        <v>Люкс</v>
      </c>
      <c r="AC298" t="str">
        <f>VLOOKUP(Таблица15[[#This Row],[Модель]],Таблица14[#All],9,0)</f>
        <v>Средний</v>
      </c>
      <c r="AD298">
        <f>VLOOKUP(Таблица15[[#This Row],[Модель]],Таблица14[#All],10,0)</f>
        <v>300</v>
      </c>
      <c r="AE298">
        <f>VLOOKUP(Таблица15[[#This Row],[Модель]],Таблица14[#All],11,0)</f>
        <v>10.5</v>
      </c>
      <c r="AF298">
        <v>2022</v>
      </c>
      <c r="AG298">
        <v>0</v>
      </c>
      <c r="AH298" s="22">
        <f>VLOOKUP(Таблица15[[#This Row],[Модель]],Таблица14[#All],12,0)/1000000</f>
        <v>32.731499999999997</v>
      </c>
      <c r="AI298" s="21">
        <f>VLOOKUP(Таблица15[[#This Row],[Модель]],Таблица14[#All],13,0)/1000000</f>
        <v>28.75</v>
      </c>
      <c r="AJ298" s="21">
        <f>VLOOKUP(Таблица15[[#This Row],[Модель]],Таблица14[#All],14,0)/1000000</f>
        <v>36.713000000000001</v>
      </c>
      <c r="AK298" s="21">
        <f>Таблица15[[#This Row],[Средняя цена (USD)]]*Таблица15[[#This Row],[Кол-во проданных]]/1000000</f>
        <v>0</v>
      </c>
      <c r="AL298" s="39">
        <f>Таблица15[[#This Row],[Средняя цена млн. ₸]]/440*Таблица15[[#This Row],[Кол-во проданных]]</f>
        <v>0</v>
      </c>
      <c r="AM298" s="39">
        <f>Таблица15[[#This Row],[Средняя цена млн. ₸]]*Таблица15[[#This Row],[Кол-во проданных]]/1000</f>
        <v>0</v>
      </c>
      <c r="AR298" s="22"/>
      <c r="AS298" s="22"/>
      <c r="AT298" s="22"/>
    </row>
    <row r="299" spans="20:46">
      <c r="T299" t="s">
        <v>5</v>
      </c>
      <c r="U299" t="s">
        <v>44</v>
      </c>
      <c r="V299" t="str">
        <f>VLOOKUP(Таблица15[[#This Row],[Модель]],Таблица14[#All],2,0)</f>
        <v>Седан</v>
      </c>
      <c r="W299" s="20">
        <f>VLOOKUP(Таблица15[[#This Row],[Модель]],Таблица14[#All],3,0)</f>
        <v>45000</v>
      </c>
      <c r="X299" s="20">
        <f>VLOOKUP(Таблица15[[#This Row],[Модель]],Таблица14[#All],4,0)</f>
        <v>40000</v>
      </c>
      <c r="Y299" s="4">
        <f>VLOOKUP(Таблица15[[#This Row],[Модель]],Таблица14[#All],5,0)</f>
        <v>55000</v>
      </c>
      <c r="Z299" t="str">
        <f>VLOOKUP(Таблица15[[#This Row],[Модель]],Таблица14[#All],6,0)</f>
        <v>АКПП</v>
      </c>
      <c r="AA299" t="str">
        <f>VLOOKUP(Таблица15[[#This Row],[Модель]],Таблица14[#All],7,0)</f>
        <v>Бензин, Гибрид</v>
      </c>
      <c r="AB299" t="str">
        <f>VLOOKUP(Таблица15[[#This Row],[Модель]],Таблица14[#All],8,0)</f>
        <v>Люкс</v>
      </c>
      <c r="AC299" t="str">
        <f>VLOOKUP(Таблица15[[#This Row],[Модель]],Таблица14[#All],9,0)</f>
        <v>Средний</v>
      </c>
      <c r="AD299">
        <f>VLOOKUP(Таблица15[[#This Row],[Модель]],Таблица14[#All],10,0)</f>
        <v>300</v>
      </c>
      <c r="AE299">
        <f>VLOOKUP(Таблица15[[#This Row],[Модель]],Таблица14[#All],11,0)</f>
        <v>10.5</v>
      </c>
      <c r="AF299">
        <v>2021</v>
      </c>
      <c r="AG299">
        <v>0</v>
      </c>
      <c r="AH299" s="22">
        <f>VLOOKUP(Таблица15[[#This Row],[Модель]],Таблица14[#All],12,0)/1000000</f>
        <v>32.731499999999997</v>
      </c>
      <c r="AI299" s="21">
        <f>VLOOKUP(Таблица15[[#This Row],[Модель]],Таблица14[#All],13,0)/1000000</f>
        <v>28.75</v>
      </c>
      <c r="AJ299" s="21">
        <f>VLOOKUP(Таблица15[[#This Row],[Модель]],Таблица14[#All],14,0)/1000000</f>
        <v>36.713000000000001</v>
      </c>
      <c r="AK299" s="21">
        <f>Таблица15[[#This Row],[Средняя цена (USD)]]*Таблица15[[#This Row],[Кол-во проданных]]/1000000</f>
        <v>0</v>
      </c>
      <c r="AL299" s="39">
        <f>Таблица15[[#This Row],[Средняя цена млн. ₸]]/440*Таблица15[[#This Row],[Кол-во проданных]]</f>
        <v>0</v>
      </c>
      <c r="AM299" s="39">
        <f>Таблица15[[#This Row],[Средняя цена млн. ₸]]*Таблица15[[#This Row],[Кол-во проданных]]/1000</f>
        <v>0</v>
      </c>
      <c r="AR299" s="22"/>
      <c r="AS299" s="22"/>
      <c r="AT299" s="22"/>
    </row>
    <row r="300" spans="20:46">
      <c r="T300" t="s">
        <v>5</v>
      </c>
      <c r="U300" t="s">
        <v>44</v>
      </c>
      <c r="V300" t="str">
        <f>VLOOKUP(Таблица15[[#This Row],[Модель]],Таблица14[#All],2,0)</f>
        <v>Седан</v>
      </c>
      <c r="W300" s="20">
        <f>VLOOKUP(Таблица15[[#This Row],[Модель]],Таблица14[#All],3,0)</f>
        <v>45000</v>
      </c>
      <c r="X300" s="20">
        <f>VLOOKUP(Таблица15[[#This Row],[Модель]],Таблица14[#All],4,0)</f>
        <v>40000</v>
      </c>
      <c r="Y300" s="4">
        <f>VLOOKUP(Таблица15[[#This Row],[Модель]],Таблица14[#All],5,0)</f>
        <v>55000</v>
      </c>
      <c r="Z300" t="str">
        <f>VLOOKUP(Таблица15[[#This Row],[Модель]],Таблица14[#All],6,0)</f>
        <v>АКПП</v>
      </c>
      <c r="AA300" t="str">
        <f>VLOOKUP(Таблица15[[#This Row],[Модель]],Таблица14[#All],7,0)</f>
        <v>Бензин, Гибрид</v>
      </c>
      <c r="AB300" t="str">
        <f>VLOOKUP(Таблица15[[#This Row],[Модель]],Таблица14[#All],8,0)</f>
        <v>Люкс</v>
      </c>
      <c r="AC300" t="str">
        <f>VLOOKUP(Таблица15[[#This Row],[Модель]],Таблица14[#All],9,0)</f>
        <v>Средний</v>
      </c>
      <c r="AD300">
        <f>VLOOKUP(Таблица15[[#This Row],[Модель]],Таблица14[#All],10,0)</f>
        <v>300</v>
      </c>
      <c r="AE300">
        <f>VLOOKUP(Таблица15[[#This Row],[Модель]],Таблица14[#All],11,0)</f>
        <v>10.5</v>
      </c>
      <c r="AF300">
        <v>2020</v>
      </c>
      <c r="AG300">
        <v>0</v>
      </c>
      <c r="AH300" s="22">
        <f>VLOOKUP(Таблица15[[#This Row],[Модель]],Таблица14[#All],12,0)/1000000</f>
        <v>32.731499999999997</v>
      </c>
      <c r="AI300" s="21">
        <f>VLOOKUP(Таблица15[[#This Row],[Модель]],Таблица14[#All],13,0)/1000000</f>
        <v>28.75</v>
      </c>
      <c r="AJ300" s="21">
        <f>VLOOKUP(Таблица15[[#This Row],[Модель]],Таблица14[#All],14,0)/1000000</f>
        <v>36.713000000000001</v>
      </c>
      <c r="AK300" s="21">
        <f>Таблица15[[#This Row],[Средняя цена (USD)]]*Таблица15[[#This Row],[Кол-во проданных]]/1000000</f>
        <v>0</v>
      </c>
      <c r="AL300" s="39">
        <f>Таблица15[[#This Row],[Средняя цена млн. ₸]]/440*Таблица15[[#This Row],[Кол-во проданных]]</f>
        <v>0</v>
      </c>
      <c r="AM300" s="39">
        <f>Таблица15[[#This Row],[Средняя цена млн. ₸]]*Таблица15[[#This Row],[Кол-во проданных]]/1000</f>
        <v>0</v>
      </c>
      <c r="AR300" s="22"/>
      <c r="AS300" s="22"/>
      <c r="AT300" s="22"/>
    </row>
    <row r="301" spans="20:46">
      <c r="T301" t="s">
        <v>5</v>
      </c>
      <c r="U301" t="s">
        <v>44</v>
      </c>
      <c r="V301" t="str">
        <f>VLOOKUP(Таблица15[[#This Row],[Модель]],Таблица14[#All],2,0)</f>
        <v>Седан</v>
      </c>
      <c r="W301" s="20">
        <f>VLOOKUP(Таблица15[[#This Row],[Модель]],Таблица14[#All],3,0)</f>
        <v>45000</v>
      </c>
      <c r="X301" s="20">
        <f>VLOOKUP(Таблица15[[#This Row],[Модель]],Таблица14[#All],4,0)</f>
        <v>40000</v>
      </c>
      <c r="Y301" s="4">
        <f>VLOOKUP(Таблица15[[#This Row],[Модель]],Таблица14[#All],5,0)</f>
        <v>55000</v>
      </c>
      <c r="Z301" t="str">
        <f>VLOOKUP(Таблица15[[#This Row],[Модель]],Таблица14[#All],6,0)</f>
        <v>АКПП</v>
      </c>
      <c r="AA301" t="str">
        <f>VLOOKUP(Таблица15[[#This Row],[Модель]],Таблица14[#All],7,0)</f>
        <v>Бензин, Гибрид</v>
      </c>
      <c r="AB301" t="str">
        <f>VLOOKUP(Таблица15[[#This Row],[Модель]],Таблица14[#All],8,0)</f>
        <v>Люкс</v>
      </c>
      <c r="AC301" t="str">
        <f>VLOOKUP(Таблица15[[#This Row],[Модель]],Таблица14[#All],9,0)</f>
        <v>Средний</v>
      </c>
      <c r="AD301">
        <f>VLOOKUP(Таблица15[[#This Row],[Модель]],Таблица14[#All],10,0)</f>
        <v>300</v>
      </c>
      <c r="AE301">
        <f>VLOOKUP(Таблица15[[#This Row],[Модель]],Таблица14[#All],11,0)</f>
        <v>10.5</v>
      </c>
      <c r="AF301">
        <v>2019</v>
      </c>
      <c r="AG301">
        <v>242</v>
      </c>
      <c r="AH301" s="22">
        <f>VLOOKUP(Таблица15[[#This Row],[Модель]],Таблица14[#All],12,0)/1000000</f>
        <v>32.731499999999997</v>
      </c>
      <c r="AI301" s="21">
        <f>VLOOKUP(Таблица15[[#This Row],[Модель]],Таблица14[#All],13,0)/1000000</f>
        <v>28.75</v>
      </c>
      <c r="AJ301" s="21">
        <f>VLOOKUP(Таблица15[[#This Row],[Модель]],Таблица14[#All],14,0)/1000000</f>
        <v>36.713000000000001</v>
      </c>
      <c r="AK301" s="21">
        <f>Таблица15[[#This Row],[Средняя цена (USD)]]*Таблица15[[#This Row],[Кол-во проданных]]/1000000</f>
        <v>10.89</v>
      </c>
      <c r="AL301" s="39">
        <f>Таблица15[[#This Row],[Средняя цена млн. ₸]]/440*Таблица15[[#This Row],[Кол-во проданных]]</f>
        <v>18.002324999999999</v>
      </c>
      <c r="AM301" s="39">
        <f>Таблица15[[#This Row],[Средняя цена млн. ₸]]*Таблица15[[#This Row],[Кол-во проданных]]/1000</f>
        <v>7.921022999999999</v>
      </c>
      <c r="AR301" s="22"/>
      <c r="AS301" s="22"/>
      <c r="AT301" s="22"/>
    </row>
    <row r="302" spans="20:46">
      <c r="T302" t="s">
        <v>5</v>
      </c>
      <c r="U302" t="s">
        <v>45</v>
      </c>
      <c r="V302" t="str">
        <f>VLOOKUP(Таблица15[[#This Row],[Модель]],Таблица14[#All],2,0)</f>
        <v>Внедорожник</v>
      </c>
      <c r="W302" s="20">
        <f>VLOOKUP(Таблица15[[#This Row],[Модель]],Таблица14[#All],3,0)</f>
        <v>90000</v>
      </c>
      <c r="X302" s="20">
        <f>VLOOKUP(Таблица15[[#This Row],[Модель]],Таблица14[#All],4,0)</f>
        <v>80000</v>
      </c>
      <c r="Y302" s="4">
        <f>VLOOKUP(Таблица15[[#This Row],[Модель]],Таблица14[#All],5,0)</f>
        <v>110000</v>
      </c>
      <c r="Z302" t="str">
        <f>VLOOKUP(Таблица15[[#This Row],[Модель]],Таблица14[#All],6,0)</f>
        <v>АКПП</v>
      </c>
      <c r="AA302" t="str">
        <f>VLOOKUP(Таблица15[[#This Row],[Модель]],Таблица14[#All],7,0)</f>
        <v>Бензин, Гибрид</v>
      </c>
      <c r="AB302" t="str">
        <f>VLOOKUP(Таблица15[[#This Row],[Модель]],Таблица14[#All],8,0)</f>
        <v>Люкс</v>
      </c>
      <c r="AC302" t="str">
        <f>VLOOKUP(Таблица15[[#This Row],[Модель]],Таблица14[#All],9,0)</f>
        <v>Большой</v>
      </c>
      <c r="AD302">
        <f>VLOOKUP(Таблица15[[#This Row],[Модель]],Таблица14[#All],10,0)</f>
        <v>409</v>
      </c>
      <c r="AE302">
        <f>VLOOKUP(Таблица15[[#This Row],[Модель]],Таблица14[#All],11,0)</f>
        <v>8</v>
      </c>
      <c r="AF302">
        <v>2023</v>
      </c>
      <c r="AG302">
        <v>975</v>
      </c>
      <c r="AH302" s="22">
        <f>VLOOKUP(Таблица15[[#This Row],[Модель]],Таблица14[#All],12,0)/1000000</f>
        <v>85.37</v>
      </c>
      <c r="AI302" s="21">
        <f>VLOOKUP(Таблица15[[#This Row],[Модель]],Таблица14[#All],13,0)/1000000</f>
        <v>75.94</v>
      </c>
      <c r="AJ302" s="21">
        <f>VLOOKUP(Таблица15[[#This Row],[Модель]],Таблица14[#All],14,0)/1000000</f>
        <v>94.8</v>
      </c>
      <c r="AK302" s="21">
        <f>Таблица15[[#This Row],[Средняя цена (USD)]]*Таблица15[[#This Row],[Кол-во проданных]]/1000000</f>
        <v>87.75</v>
      </c>
      <c r="AL302" s="39">
        <f>Таблица15[[#This Row],[Средняя цена млн. ₸]]/440*Таблица15[[#This Row],[Кол-во проданных]]</f>
        <v>189.1721590909091</v>
      </c>
      <c r="AM302" s="39">
        <f>Таблица15[[#This Row],[Средняя цена млн. ₸]]*Таблица15[[#This Row],[Кол-во проданных]]/1000</f>
        <v>83.235749999999996</v>
      </c>
      <c r="AR302" s="22"/>
      <c r="AS302" s="22"/>
      <c r="AT302" s="22"/>
    </row>
    <row r="303" spans="20:46">
      <c r="T303" t="s">
        <v>5</v>
      </c>
      <c r="U303" t="s">
        <v>45</v>
      </c>
      <c r="V303" t="str">
        <f>VLOOKUP(Таблица15[[#This Row],[Модель]],Таблица14[#All],2,0)</f>
        <v>Внедорожник</v>
      </c>
      <c r="W303" s="20">
        <f>VLOOKUP(Таблица15[[#This Row],[Модель]],Таблица14[#All],3,0)</f>
        <v>90000</v>
      </c>
      <c r="X303" s="20">
        <f>VLOOKUP(Таблица15[[#This Row],[Модель]],Таблица14[#All],4,0)</f>
        <v>80000</v>
      </c>
      <c r="Y303" s="4">
        <f>VLOOKUP(Таблица15[[#This Row],[Модель]],Таблица14[#All],5,0)</f>
        <v>110000</v>
      </c>
      <c r="Z303" t="str">
        <f>VLOOKUP(Таблица15[[#This Row],[Модель]],Таблица14[#All],6,0)</f>
        <v>АКПП</v>
      </c>
      <c r="AA303" t="str">
        <f>VLOOKUP(Таблица15[[#This Row],[Модель]],Таблица14[#All],7,0)</f>
        <v>Бензин, Гибрид</v>
      </c>
      <c r="AB303" t="str">
        <f>VLOOKUP(Таблица15[[#This Row],[Модель]],Таблица14[#All],8,0)</f>
        <v>Люкс</v>
      </c>
      <c r="AC303" t="str">
        <f>VLOOKUP(Таблица15[[#This Row],[Модель]],Таблица14[#All],9,0)</f>
        <v>Большой</v>
      </c>
      <c r="AD303">
        <f>VLOOKUP(Таблица15[[#This Row],[Модель]],Таблица14[#All],10,0)</f>
        <v>409</v>
      </c>
      <c r="AE303">
        <f>VLOOKUP(Таблица15[[#This Row],[Модель]],Таблица14[#All],11,0)</f>
        <v>8</v>
      </c>
      <c r="AF303">
        <v>2022</v>
      </c>
      <c r="AG303">
        <v>841</v>
      </c>
      <c r="AH303" s="22">
        <f>VLOOKUP(Таблица15[[#This Row],[Модель]],Таблица14[#All],12,0)/1000000</f>
        <v>85.37</v>
      </c>
      <c r="AI303" s="21">
        <f>VLOOKUP(Таблица15[[#This Row],[Модель]],Таблица14[#All],13,0)/1000000</f>
        <v>75.94</v>
      </c>
      <c r="AJ303" s="21">
        <f>VLOOKUP(Таблица15[[#This Row],[Модель]],Таблица14[#All],14,0)/1000000</f>
        <v>94.8</v>
      </c>
      <c r="AK303" s="21">
        <f>Таблица15[[#This Row],[Средняя цена (USD)]]*Таблица15[[#This Row],[Кол-во проданных]]/1000000</f>
        <v>75.69</v>
      </c>
      <c r="AL303" s="39">
        <f>Таблица15[[#This Row],[Средняя цена млн. ₸]]/440*Таблица15[[#This Row],[Кол-во проданных]]</f>
        <v>163.17311363636364</v>
      </c>
      <c r="AM303" s="39">
        <f>Таблица15[[#This Row],[Средняя цена млн. ₸]]*Таблица15[[#This Row],[Кол-во проданных]]/1000</f>
        <v>71.796170000000004</v>
      </c>
      <c r="AR303" s="22"/>
      <c r="AS303" s="22"/>
      <c r="AT303" s="22"/>
    </row>
    <row r="304" spans="20:46">
      <c r="T304" t="s">
        <v>5</v>
      </c>
      <c r="U304" t="s">
        <v>45</v>
      </c>
      <c r="V304" t="str">
        <f>VLOOKUP(Таблица15[[#This Row],[Модель]],Таблица14[#All],2,0)</f>
        <v>Внедорожник</v>
      </c>
      <c r="W304" s="20">
        <f>VLOOKUP(Таблица15[[#This Row],[Модель]],Таблица14[#All],3,0)</f>
        <v>90000</v>
      </c>
      <c r="X304" s="20">
        <f>VLOOKUP(Таблица15[[#This Row],[Модель]],Таблица14[#All],4,0)</f>
        <v>80000</v>
      </c>
      <c r="Y304" s="4">
        <f>VLOOKUP(Таблица15[[#This Row],[Модель]],Таблица14[#All],5,0)</f>
        <v>110000</v>
      </c>
      <c r="Z304" t="str">
        <f>VLOOKUP(Таблица15[[#This Row],[Модель]],Таблица14[#All],6,0)</f>
        <v>АКПП</v>
      </c>
      <c r="AA304" t="str">
        <f>VLOOKUP(Таблица15[[#This Row],[Модель]],Таблица14[#All],7,0)</f>
        <v>Бензин, Гибрид</v>
      </c>
      <c r="AB304" t="str">
        <f>VLOOKUP(Таблица15[[#This Row],[Модель]],Таблица14[#All],8,0)</f>
        <v>Люкс</v>
      </c>
      <c r="AC304" t="str">
        <f>VLOOKUP(Таблица15[[#This Row],[Модель]],Таблица14[#All],9,0)</f>
        <v>Большой</v>
      </c>
      <c r="AD304">
        <f>VLOOKUP(Таблица15[[#This Row],[Модель]],Таблица14[#All],10,0)</f>
        <v>409</v>
      </c>
      <c r="AE304">
        <f>VLOOKUP(Таблица15[[#This Row],[Модель]],Таблица14[#All],11,0)</f>
        <v>8</v>
      </c>
      <c r="AF304">
        <v>2021</v>
      </c>
      <c r="AG304">
        <v>0</v>
      </c>
      <c r="AH304" s="22">
        <f>VLOOKUP(Таблица15[[#This Row],[Модель]],Таблица14[#All],12,0)/1000000</f>
        <v>85.37</v>
      </c>
      <c r="AI304" s="21">
        <f>VLOOKUP(Таблица15[[#This Row],[Модель]],Таблица14[#All],13,0)/1000000</f>
        <v>75.94</v>
      </c>
      <c r="AJ304" s="21">
        <f>VLOOKUP(Таблица15[[#This Row],[Модель]],Таблица14[#All],14,0)/1000000</f>
        <v>94.8</v>
      </c>
      <c r="AK304" s="21">
        <f>Таблица15[[#This Row],[Средняя цена (USD)]]*Таблица15[[#This Row],[Кол-во проданных]]/1000000</f>
        <v>0</v>
      </c>
      <c r="AL304" s="39">
        <f>Таблица15[[#This Row],[Средняя цена млн. ₸]]/440*Таблица15[[#This Row],[Кол-во проданных]]</f>
        <v>0</v>
      </c>
      <c r="AM304" s="39">
        <f>Таблица15[[#This Row],[Средняя цена млн. ₸]]*Таблица15[[#This Row],[Кол-во проданных]]/1000</f>
        <v>0</v>
      </c>
      <c r="AR304" s="22"/>
      <c r="AS304" s="22"/>
      <c r="AT304" s="22"/>
    </row>
    <row r="305" spans="20:46">
      <c r="T305" t="s">
        <v>5</v>
      </c>
      <c r="U305" t="s">
        <v>45</v>
      </c>
      <c r="V305" t="str">
        <f>VLOOKUP(Таблица15[[#This Row],[Модель]],Таблица14[#All],2,0)</f>
        <v>Внедорожник</v>
      </c>
      <c r="W305" s="20">
        <f>VLOOKUP(Таблица15[[#This Row],[Модель]],Таблица14[#All],3,0)</f>
        <v>90000</v>
      </c>
      <c r="X305" s="20">
        <f>VLOOKUP(Таблица15[[#This Row],[Модель]],Таблица14[#All],4,0)</f>
        <v>80000</v>
      </c>
      <c r="Y305" s="4">
        <f>VLOOKUP(Таблица15[[#This Row],[Модель]],Таблица14[#All],5,0)</f>
        <v>110000</v>
      </c>
      <c r="Z305" t="str">
        <f>VLOOKUP(Таблица15[[#This Row],[Модель]],Таблица14[#All],6,0)</f>
        <v>АКПП</v>
      </c>
      <c r="AA305" t="str">
        <f>VLOOKUP(Таблица15[[#This Row],[Модель]],Таблица14[#All],7,0)</f>
        <v>Бензин, Гибрид</v>
      </c>
      <c r="AB305" t="str">
        <f>VLOOKUP(Таблица15[[#This Row],[Модель]],Таблица14[#All],8,0)</f>
        <v>Люкс</v>
      </c>
      <c r="AC305" t="str">
        <f>VLOOKUP(Таблица15[[#This Row],[Модель]],Таблица14[#All],9,0)</f>
        <v>Большой</v>
      </c>
      <c r="AD305">
        <f>VLOOKUP(Таблица15[[#This Row],[Модель]],Таблица14[#All],10,0)</f>
        <v>409</v>
      </c>
      <c r="AE305">
        <f>VLOOKUP(Таблица15[[#This Row],[Модель]],Таблица14[#All],11,0)</f>
        <v>8</v>
      </c>
      <c r="AF305">
        <v>2020</v>
      </c>
      <c r="AG305">
        <v>298</v>
      </c>
      <c r="AH305" s="22">
        <f>VLOOKUP(Таблица15[[#This Row],[Модель]],Таблица14[#All],12,0)/1000000</f>
        <v>85.37</v>
      </c>
      <c r="AI305" s="21">
        <f>VLOOKUP(Таблица15[[#This Row],[Модель]],Таблица14[#All],13,0)/1000000</f>
        <v>75.94</v>
      </c>
      <c r="AJ305" s="21">
        <f>VLOOKUP(Таблица15[[#This Row],[Модель]],Таблица14[#All],14,0)/1000000</f>
        <v>94.8</v>
      </c>
      <c r="AK305" s="21">
        <f>Таблица15[[#This Row],[Средняя цена (USD)]]*Таблица15[[#This Row],[Кол-во проданных]]/1000000</f>
        <v>26.82</v>
      </c>
      <c r="AL305" s="39">
        <f>Таблица15[[#This Row],[Средняя цена млн. ₸]]/440*Таблица15[[#This Row],[Кол-во проданных]]</f>
        <v>57.81877272727273</v>
      </c>
      <c r="AM305" s="39">
        <f>Таблица15[[#This Row],[Средняя цена млн. ₸]]*Таблица15[[#This Row],[Кол-во проданных]]/1000</f>
        <v>25.440260000000002</v>
      </c>
      <c r="AR305" s="22"/>
      <c r="AS305" s="22"/>
      <c r="AT305" s="22"/>
    </row>
    <row r="306" spans="20:46">
      <c r="T306" t="s">
        <v>5</v>
      </c>
      <c r="U306" t="s">
        <v>45</v>
      </c>
      <c r="V306" t="str">
        <f>VLOOKUP(Таблица15[[#This Row],[Модель]],Таблица14[#All],2,0)</f>
        <v>Внедорожник</v>
      </c>
      <c r="W306" s="20">
        <f>VLOOKUP(Таблица15[[#This Row],[Модель]],Таблица14[#All],3,0)</f>
        <v>90000</v>
      </c>
      <c r="X306" s="20">
        <f>VLOOKUP(Таблица15[[#This Row],[Модель]],Таблица14[#All],4,0)</f>
        <v>80000</v>
      </c>
      <c r="Y306" s="4">
        <f>VLOOKUP(Таблица15[[#This Row],[Модель]],Таблица14[#All],5,0)</f>
        <v>110000</v>
      </c>
      <c r="Z306" t="str">
        <f>VLOOKUP(Таблица15[[#This Row],[Модель]],Таблица14[#All],6,0)</f>
        <v>АКПП</v>
      </c>
      <c r="AA306" t="str">
        <f>VLOOKUP(Таблица15[[#This Row],[Модель]],Таблица14[#All],7,0)</f>
        <v>Бензин, Гибрид</v>
      </c>
      <c r="AB306" t="str">
        <f>VLOOKUP(Таблица15[[#This Row],[Модель]],Таблица14[#All],8,0)</f>
        <v>Люкс</v>
      </c>
      <c r="AC306" t="str">
        <f>VLOOKUP(Таблица15[[#This Row],[Модель]],Таблица14[#All],9,0)</f>
        <v>Большой</v>
      </c>
      <c r="AD306">
        <f>VLOOKUP(Таблица15[[#This Row],[Модель]],Таблица14[#All],10,0)</f>
        <v>409</v>
      </c>
      <c r="AE306">
        <f>VLOOKUP(Таблица15[[#This Row],[Модель]],Таблица14[#All],11,0)</f>
        <v>8</v>
      </c>
      <c r="AF306">
        <v>2019</v>
      </c>
      <c r="AG306">
        <v>387</v>
      </c>
      <c r="AH306" s="22">
        <f>VLOOKUP(Таблица15[[#This Row],[Модель]],Таблица14[#All],12,0)/1000000</f>
        <v>85.37</v>
      </c>
      <c r="AI306" s="21">
        <f>VLOOKUP(Таблица15[[#This Row],[Модель]],Таблица14[#All],13,0)/1000000</f>
        <v>75.94</v>
      </c>
      <c r="AJ306" s="21">
        <f>VLOOKUP(Таблица15[[#This Row],[Модель]],Таблица14[#All],14,0)/1000000</f>
        <v>94.8</v>
      </c>
      <c r="AK306" s="21">
        <f>Таблица15[[#This Row],[Средняя цена (USD)]]*Таблица15[[#This Row],[Кол-во проданных]]/1000000</f>
        <v>34.83</v>
      </c>
      <c r="AL306" s="39">
        <f>Таблица15[[#This Row],[Средняя цена млн. ₸]]/440*Таблица15[[#This Row],[Кол-во проданных]]</f>
        <v>75.086795454545467</v>
      </c>
      <c r="AM306" s="39">
        <f>Таблица15[[#This Row],[Средняя цена млн. ₸]]*Таблица15[[#This Row],[Кол-во проданных]]/1000</f>
        <v>33.03819</v>
      </c>
      <c r="AR306" s="22"/>
      <c r="AS306" s="22"/>
      <c r="AT306" s="22"/>
    </row>
    <row r="307" spans="20:46">
      <c r="T307" t="s">
        <v>5</v>
      </c>
      <c r="U307" t="s">
        <v>46</v>
      </c>
      <c r="V307" t="str">
        <f>VLOOKUP(Таблица15[[#This Row],[Модель]],Таблица14[#All],2,0)</f>
        <v>Внедорожник</v>
      </c>
      <c r="W307" s="20">
        <f>VLOOKUP(Таблица15[[#This Row],[Модель]],Таблица14[#All],3,0)</f>
        <v>40000</v>
      </c>
      <c r="X307" s="20">
        <f>VLOOKUP(Таблица15[[#This Row],[Модель]],Таблица14[#All],4,0)</f>
        <v>35000</v>
      </c>
      <c r="Y307" s="4">
        <f>VLOOKUP(Таблица15[[#This Row],[Модель]],Таблица14[#All],5,0)</f>
        <v>50000</v>
      </c>
      <c r="Z307" t="str">
        <f>VLOOKUP(Таблица15[[#This Row],[Модель]],Таблица14[#All],6,0)</f>
        <v>АКПП</v>
      </c>
      <c r="AA307" t="str">
        <f>VLOOKUP(Таблица15[[#This Row],[Модель]],Таблица14[#All],7,0)</f>
        <v>Бензин, Гибрид</v>
      </c>
      <c r="AB307" t="str">
        <f>VLOOKUP(Таблица15[[#This Row],[Модель]],Таблица14[#All],8,0)</f>
        <v>Люкс</v>
      </c>
      <c r="AC307" t="str">
        <f>VLOOKUP(Таблица15[[#This Row],[Модель]],Таблица14[#All],9,0)</f>
        <v>Средний</v>
      </c>
      <c r="AD307">
        <f>VLOOKUP(Таблица15[[#This Row],[Модель]],Таблица14[#All],10,0)</f>
        <v>275</v>
      </c>
      <c r="AE307">
        <f>VLOOKUP(Таблица15[[#This Row],[Модель]],Таблица14[#All],11,0)</f>
        <v>11</v>
      </c>
      <c r="AF307">
        <v>2023</v>
      </c>
      <c r="AG307">
        <v>0</v>
      </c>
      <c r="AH307" s="22">
        <f>VLOOKUP(Таблица15[[#This Row],[Модель]],Таблица14[#All],12,0)/1000000</f>
        <v>33.674999999999997</v>
      </c>
      <c r="AI307" s="21">
        <f>VLOOKUP(Таблица15[[#This Row],[Модель]],Таблица14[#All],13,0)/1000000</f>
        <v>29.37</v>
      </c>
      <c r="AJ307" s="21">
        <f>VLOOKUP(Таблица15[[#This Row],[Модель]],Таблица14[#All],14,0)/1000000</f>
        <v>37.979999999999997</v>
      </c>
      <c r="AK307" s="21">
        <f>Таблица15[[#This Row],[Средняя цена (USD)]]*Таблица15[[#This Row],[Кол-во проданных]]/1000000</f>
        <v>0</v>
      </c>
      <c r="AL307" s="39">
        <f>Таблица15[[#This Row],[Средняя цена млн. ₸]]/440*Таблица15[[#This Row],[Кол-во проданных]]</f>
        <v>0</v>
      </c>
      <c r="AM307" s="39">
        <f>Таблица15[[#This Row],[Средняя цена млн. ₸]]*Таблица15[[#This Row],[Кол-во проданных]]/1000</f>
        <v>0</v>
      </c>
      <c r="AR307" s="22"/>
      <c r="AS307" s="22"/>
      <c r="AT307" s="22"/>
    </row>
    <row r="308" spans="20:46">
      <c r="T308" t="s">
        <v>5</v>
      </c>
      <c r="U308" t="s">
        <v>46</v>
      </c>
      <c r="V308" t="str">
        <f>VLOOKUP(Таблица15[[#This Row],[Модель]],Таблица14[#All],2,0)</f>
        <v>Внедорожник</v>
      </c>
      <c r="W308" s="20">
        <f>VLOOKUP(Таблица15[[#This Row],[Модель]],Таблица14[#All],3,0)</f>
        <v>40000</v>
      </c>
      <c r="X308" s="20">
        <f>VLOOKUP(Таблица15[[#This Row],[Модель]],Таблица14[#All],4,0)</f>
        <v>35000</v>
      </c>
      <c r="Y308" s="4">
        <f>VLOOKUP(Таблица15[[#This Row],[Модель]],Таблица14[#All],5,0)</f>
        <v>50000</v>
      </c>
      <c r="Z308" t="str">
        <f>VLOOKUP(Таблица15[[#This Row],[Модель]],Таблица14[#All],6,0)</f>
        <v>АКПП</v>
      </c>
      <c r="AA308" t="str">
        <f>VLOOKUP(Таблица15[[#This Row],[Модель]],Таблица14[#All],7,0)</f>
        <v>Бензин, Гибрид</v>
      </c>
      <c r="AB308" t="str">
        <f>VLOOKUP(Таблица15[[#This Row],[Модель]],Таблица14[#All],8,0)</f>
        <v>Люкс</v>
      </c>
      <c r="AC308" t="str">
        <f>VLOOKUP(Таблица15[[#This Row],[Модель]],Таблица14[#All],9,0)</f>
        <v>Средний</v>
      </c>
      <c r="AD308">
        <f>VLOOKUP(Таблица15[[#This Row],[Модель]],Таблица14[#All],10,0)</f>
        <v>275</v>
      </c>
      <c r="AE308">
        <f>VLOOKUP(Таблица15[[#This Row],[Модель]],Таблица14[#All],11,0)</f>
        <v>11</v>
      </c>
      <c r="AF308">
        <v>2022</v>
      </c>
      <c r="AG308">
        <v>0</v>
      </c>
      <c r="AH308" s="22">
        <f>VLOOKUP(Таблица15[[#This Row],[Модель]],Таблица14[#All],12,0)/1000000</f>
        <v>33.674999999999997</v>
      </c>
      <c r="AI308" s="21">
        <f>VLOOKUP(Таблица15[[#This Row],[Модель]],Таблица14[#All],13,0)/1000000</f>
        <v>29.37</v>
      </c>
      <c r="AJ308" s="21">
        <f>VLOOKUP(Таблица15[[#This Row],[Модель]],Таблица14[#All],14,0)/1000000</f>
        <v>37.979999999999997</v>
      </c>
      <c r="AK308" s="21">
        <f>Таблица15[[#This Row],[Средняя цена (USD)]]*Таблица15[[#This Row],[Кол-во проданных]]/1000000</f>
        <v>0</v>
      </c>
      <c r="AL308" s="39">
        <f>Таблица15[[#This Row],[Средняя цена млн. ₸]]/440*Таблица15[[#This Row],[Кол-во проданных]]</f>
        <v>0</v>
      </c>
      <c r="AM308" s="39">
        <f>Таблица15[[#This Row],[Средняя цена млн. ₸]]*Таблица15[[#This Row],[Кол-во проданных]]/1000</f>
        <v>0</v>
      </c>
      <c r="AR308" s="22"/>
      <c r="AS308" s="22"/>
      <c r="AT308" s="22"/>
    </row>
    <row r="309" spans="20:46">
      <c r="T309" t="s">
        <v>5</v>
      </c>
      <c r="U309" t="s">
        <v>46</v>
      </c>
      <c r="V309" t="str">
        <f>VLOOKUP(Таблица15[[#This Row],[Модель]],Таблица14[#All],2,0)</f>
        <v>Внедорожник</v>
      </c>
      <c r="W309" s="20">
        <f>VLOOKUP(Таблица15[[#This Row],[Модель]],Таблица14[#All],3,0)</f>
        <v>40000</v>
      </c>
      <c r="X309" s="20">
        <f>VLOOKUP(Таблица15[[#This Row],[Модель]],Таблица14[#All],4,0)</f>
        <v>35000</v>
      </c>
      <c r="Y309" s="4">
        <f>VLOOKUP(Таблица15[[#This Row],[Модель]],Таблица14[#All],5,0)</f>
        <v>50000</v>
      </c>
      <c r="Z309" t="str">
        <f>VLOOKUP(Таблица15[[#This Row],[Модель]],Таблица14[#All],6,0)</f>
        <v>АКПП</v>
      </c>
      <c r="AA309" t="str">
        <f>VLOOKUP(Таблица15[[#This Row],[Модель]],Таблица14[#All],7,0)</f>
        <v>Бензин, Гибрид</v>
      </c>
      <c r="AB309" t="str">
        <f>VLOOKUP(Таблица15[[#This Row],[Модель]],Таблица14[#All],8,0)</f>
        <v>Люкс</v>
      </c>
      <c r="AC309" t="str">
        <f>VLOOKUP(Таблица15[[#This Row],[Модель]],Таблица14[#All],9,0)</f>
        <v>Средний</v>
      </c>
      <c r="AD309">
        <f>VLOOKUP(Таблица15[[#This Row],[Модель]],Таблица14[#All],10,0)</f>
        <v>275</v>
      </c>
      <c r="AE309">
        <f>VLOOKUP(Таблица15[[#This Row],[Модель]],Таблица14[#All],11,0)</f>
        <v>11</v>
      </c>
      <c r="AF309">
        <v>2021</v>
      </c>
      <c r="AG309">
        <v>0</v>
      </c>
      <c r="AH309" s="22">
        <f>VLOOKUP(Таблица15[[#This Row],[Модель]],Таблица14[#All],12,0)/1000000</f>
        <v>33.674999999999997</v>
      </c>
      <c r="AI309" s="21">
        <f>VLOOKUP(Таблица15[[#This Row],[Модель]],Таблица14[#All],13,0)/1000000</f>
        <v>29.37</v>
      </c>
      <c r="AJ309" s="21">
        <f>VLOOKUP(Таблица15[[#This Row],[Модель]],Таблица14[#All],14,0)/1000000</f>
        <v>37.979999999999997</v>
      </c>
      <c r="AK309" s="21">
        <f>Таблица15[[#This Row],[Средняя цена (USD)]]*Таблица15[[#This Row],[Кол-во проданных]]/1000000</f>
        <v>0</v>
      </c>
      <c r="AL309" s="39">
        <f>Таблица15[[#This Row],[Средняя цена млн. ₸]]/440*Таблица15[[#This Row],[Кол-во проданных]]</f>
        <v>0</v>
      </c>
      <c r="AM309" s="39">
        <f>Таблица15[[#This Row],[Средняя цена млн. ₸]]*Таблица15[[#This Row],[Кол-во проданных]]/1000</f>
        <v>0</v>
      </c>
      <c r="AR309" s="22"/>
      <c r="AS309" s="22"/>
      <c r="AT309" s="22"/>
    </row>
    <row r="310" spans="20:46">
      <c r="T310" t="s">
        <v>5</v>
      </c>
      <c r="U310" t="s">
        <v>46</v>
      </c>
      <c r="V310" t="str">
        <f>VLOOKUP(Таблица15[[#This Row],[Модель]],Таблица14[#All],2,0)</f>
        <v>Внедорожник</v>
      </c>
      <c r="W310" s="20">
        <f>VLOOKUP(Таблица15[[#This Row],[Модель]],Таблица14[#All],3,0)</f>
        <v>40000</v>
      </c>
      <c r="X310" s="20">
        <f>VLOOKUP(Таблица15[[#This Row],[Модель]],Таблица14[#All],4,0)</f>
        <v>35000</v>
      </c>
      <c r="Y310" s="4">
        <f>VLOOKUP(Таблица15[[#This Row],[Модель]],Таблица14[#All],5,0)</f>
        <v>50000</v>
      </c>
      <c r="Z310" t="str">
        <f>VLOOKUP(Таблица15[[#This Row],[Модель]],Таблица14[#All],6,0)</f>
        <v>АКПП</v>
      </c>
      <c r="AA310" t="str">
        <f>VLOOKUP(Таблица15[[#This Row],[Модель]],Таблица14[#All],7,0)</f>
        <v>Бензин, Гибрид</v>
      </c>
      <c r="AB310" t="str">
        <f>VLOOKUP(Таблица15[[#This Row],[Модель]],Таблица14[#All],8,0)</f>
        <v>Люкс</v>
      </c>
      <c r="AC310" t="str">
        <f>VLOOKUP(Таблица15[[#This Row],[Модель]],Таблица14[#All],9,0)</f>
        <v>Средний</v>
      </c>
      <c r="AD310">
        <f>VLOOKUP(Таблица15[[#This Row],[Модель]],Таблица14[#All],10,0)</f>
        <v>275</v>
      </c>
      <c r="AE310">
        <f>VLOOKUP(Таблица15[[#This Row],[Модель]],Таблица14[#All],11,0)</f>
        <v>11</v>
      </c>
      <c r="AF310">
        <v>2020</v>
      </c>
      <c r="AG310">
        <v>0</v>
      </c>
      <c r="AH310" s="22">
        <f>VLOOKUP(Таблица15[[#This Row],[Модель]],Таблица14[#All],12,0)/1000000</f>
        <v>33.674999999999997</v>
      </c>
      <c r="AI310" s="21">
        <f>VLOOKUP(Таблица15[[#This Row],[Модель]],Таблица14[#All],13,0)/1000000</f>
        <v>29.37</v>
      </c>
      <c r="AJ310" s="21">
        <f>VLOOKUP(Таблица15[[#This Row],[Модель]],Таблица14[#All],14,0)/1000000</f>
        <v>37.979999999999997</v>
      </c>
      <c r="AK310" s="21">
        <f>Таблица15[[#This Row],[Средняя цена (USD)]]*Таблица15[[#This Row],[Кол-во проданных]]/1000000</f>
        <v>0</v>
      </c>
      <c r="AL310" s="39">
        <f>Таблица15[[#This Row],[Средняя цена млн. ₸]]/440*Таблица15[[#This Row],[Кол-во проданных]]</f>
        <v>0</v>
      </c>
      <c r="AM310" s="39">
        <f>Таблица15[[#This Row],[Средняя цена млн. ₸]]*Таблица15[[#This Row],[Кол-во проданных]]/1000</f>
        <v>0</v>
      </c>
      <c r="AR310" s="22"/>
      <c r="AS310" s="22"/>
      <c r="AT310" s="22"/>
    </row>
    <row r="311" spans="20:46">
      <c r="T311" t="s">
        <v>5</v>
      </c>
      <c r="U311" t="s">
        <v>46</v>
      </c>
      <c r="V311" t="str">
        <f>VLOOKUP(Таблица15[[#This Row],[Модель]],Таблица14[#All],2,0)</f>
        <v>Внедорожник</v>
      </c>
      <c r="W311" s="20">
        <f>VLOOKUP(Таблица15[[#This Row],[Модель]],Таблица14[#All],3,0)</f>
        <v>40000</v>
      </c>
      <c r="X311" s="20">
        <f>VLOOKUP(Таблица15[[#This Row],[Модель]],Таблица14[#All],4,0)</f>
        <v>35000</v>
      </c>
      <c r="Y311" s="4">
        <f>VLOOKUP(Таблица15[[#This Row],[Модель]],Таблица14[#All],5,0)</f>
        <v>50000</v>
      </c>
      <c r="Z311" t="str">
        <f>VLOOKUP(Таблица15[[#This Row],[Модель]],Таблица14[#All],6,0)</f>
        <v>АКПП</v>
      </c>
      <c r="AA311" t="str">
        <f>VLOOKUP(Таблица15[[#This Row],[Модель]],Таблица14[#All],7,0)</f>
        <v>Бензин, Гибрид</v>
      </c>
      <c r="AB311" t="str">
        <f>VLOOKUP(Таблица15[[#This Row],[Модель]],Таблица14[#All],8,0)</f>
        <v>Люкс</v>
      </c>
      <c r="AC311" t="str">
        <f>VLOOKUP(Таблица15[[#This Row],[Модель]],Таблица14[#All],9,0)</f>
        <v>Средний</v>
      </c>
      <c r="AD311">
        <f>VLOOKUP(Таблица15[[#This Row],[Модель]],Таблица14[#All],10,0)</f>
        <v>275</v>
      </c>
      <c r="AE311">
        <f>VLOOKUP(Таблица15[[#This Row],[Модель]],Таблица14[#All],11,0)</f>
        <v>11</v>
      </c>
      <c r="AF311">
        <v>2019</v>
      </c>
      <c r="AG311">
        <v>264</v>
      </c>
      <c r="AH311" s="22">
        <f>VLOOKUP(Таблица15[[#This Row],[Модель]],Таблица14[#All],12,0)/1000000</f>
        <v>33.674999999999997</v>
      </c>
      <c r="AI311" s="21">
        <f>VLOOKUP(Таблица15[[#This Row],[Модель]],Таблица14[#All],13,0)/1000000</f>
        <v>29.37</v>
      </c>
      <c r="AJ311" s="21">
        <f>VLOOKUP(Таблица15[[#This Row],[Модель]],Таблица14[#All],14,0)/1000000</f>
        <v>37.979999999999997</v>
      </c>
      <c r="AK311" s="21">
        <f>Таблица15[[#This Row],[Средняя цена (USD)]]*Таблица15[[#This Row],[Кол-во проданных]]/1000000</f>
        <v>10.56</v>
      </c>
      <c r="AL311" s="39">
        <f>Таблица15[[#This Row],[Средняя цена млн. ₸]]/440*Таблица15[[#This Row],[Кол-во проданных]]</f>
        <v>20.204999999999998</v>
      </c>
      <c r="AM311" s="39">
        <f>Таблица15[[#This Row],[Средняя цена млн. ₸]]*Таблица15[[#This Row],[Кол-во проданных]]/1000</f>
        <v>8.8901999999999983</v>
      </c>
      <c r="AR311" s="22"/>
      <c r="AS311" s="22"/>
      <c r="AT311" s="22"/>
    </row>
    <row r="312" spans="20:46">
      <c r="T312" t="s">
        <v>5</v>
      </c>
      <c r="U312" t="s">
        <v>41</v>
      </c>
      <c r="V312" t="str">
        <f>VLOOKUP(Таблица15[[#This Row],[Модель]],Таблица14[#All],2,0)</f>
        <v>Внедорожник</v>
      </c>
      <c r="W312" s="20">
        <f>VLOOKUP(Таблица15[[#This Row],[Модель]],Таблица14[#All],3,0)</f>
        <v>50000</v>
      </c>
      <c r="X312" s="20">
        <f>VLOOKUP(Таблица15[[#This Row],[Модель]],Таблица14[#All],4,0)</f>
        <v>45000</v>
      </c>
      <c r="Y312" s="4">
        <f>VLOOKUP(Таблица15[[#This Row],[Модель]],Таблица14[#All],5,0)</f>
        <v>60000</v>
      </c>
      <c r="Z312" t="str">
        <f>VLOOKUP(Таблица15[[#This Row],[Модель]],Таблица14[#All],6,0)</f>
        <v>АКПП</v>
      </c>
      <c r="AA312" t="str">
        <f>VLOOKUP(Таблица15[[#This Row],[Модель]],Таблица14[#All],7,0)</f>
        <v>Бензин, Гибрид</v>
      </c>
      <c r="AB312" t="str">
        <f>VLOOKUP(Таблица15[[#This Row],[Модель]],Таблица14[#All],8,0)</f>
        <v>Люкс</v>
      </c>
      <c r="AC312" t="str">
        <f>VLOOKUP(Таблица15[[#This Row],[Модель]],Таблица14[#All],9,0)</f>
        <v>Средний</v>
      </c>
      <c r="AD312">
        <f>VLOOKUP(Таблица15[[#This Row],[Модель]],Таблица14[#All],10,0)</f>
        <v>350</v>
      </c>
      <c r="AE312">
        <f>VLOOKUP(Таблица15[[#This Row],[Модель]],Таблица14[#All],11,0)</f>
        <v>9.5</v>
      </c>
      <c r="AF312">
        <v>2023</v>
      </c>
      <c r="AG312">
        <v>2254</v>
      </c>
      <c r="AH312" s="22">
        <f>VLOOKUP(Таблица15[[#This Row],[Модель]],Таблица14[#All],12,0)/1000000</f>
        <v>39.965000000000003</v>
      </c>
      <c r="AI312" s="21">
        <f>VLOOKUP(Таблица15[[#This Row],[Модель]],Таблица14[#All],13,0)/1000000</f>
        <v>34.67</v>
      </c>
      <c r="AJ312" s="21">
        <f>VLOOKUP(Таблица15[[#This Row],[Модель]],Таблица14[#All],14,0)/1000000</f>
        <v>45.26</v>
      </c>
      <c r="AK312" s="21">
        <f>Таблица15[[#This Row],[Средняя цена (USD)]]*Таблица15[[#This Row],[Кол-во проданных]]/1000000</f>
        <v>112.7</v>
      </c>
      <c r="AL312" s="39">
        <f>Таблица15[[#This Row],[Средняя цена млн. ₸]]/440*Таблица15[[#This Row],[Кол-во проданных]]</f>
        <v>204.7297954545455</v>
      </c>
      <c r="AM312" s="39">
        <f>Таблица15[[#This Row],[Средняя цена млн. ₸]]*Таблица15[[#This Row],[Кол-во проданных]]/1000</f>
        <v>90.081109999999995</v>
      </c>
      <c r="AR312" s="22"/>
      <c r="AS312" s="22"/>
      <c r="AT312" s="22"/>
    </row>
    <row r="313" spans="20:46">
      <c r="T313" t="s">
        <v>5</v>
      </c>
      <c r="U313" t="s">
        <v>41</v>
      </c>
      <c r="V313" t="str">
        <f>VLOOKUP(Таблица15[[#This Row],[Модель]],Таблица14[#All],2,0)</f>
        <v>Внедорожник</v>
      </c>
      <c r="W313" s="20">
        <f>VLOOKUP(Таблица15[[#This Row],[Модель]],Таблица14[#All],3,0)</f>
        <v>50000</v>
      </c>
      <c r="X313" s="20">
        <f>VLOOKUP(Таблица15[[#This Row],[Модель]],Таблица14[#All],4,0)</f>
        <v>45000</v>
      </c>
      <c r="Y313" s="4">
        <f>VLOOKUP(Таблица15[[#This Row],[Модель]],Таблица14[#All],5,0)</f>
        <v>60000</v>
      </c>
      <c r="Z313" t="str">
        <f>VLOOKUP(Таблица15[[#This Row],[Модель]],Таблица14[#All],6,0)</f>
        <v>АКПП</v>
      </c>
      <c r="AA313" t="str">
        <f>VLOOKUP(Таблица15[[#This Row],[Модель]],Таблица14[#All],7,0)</f>
        <v>Бензин, Гибрид</v>
      </c>
      <c r="AB313" t="str">
        <f>VLOOKUP(Таблица15[[#This Row],[Модель]],Таблица14[#All],8,0)</f>
        <v>Люкс</v>
      </c>
      <c r="AC313" t="str">
        <f>VLOOKUP(Таблица15[[#This Row],[Модель]],Таблица14[#All],9,0)</f>
        <v>Средний</v>
      </c>
      <c r="AD313">
        <f>VLOOKUP(Таблица15[[#This Row],[Модель]],Таблица14[#All],10,0)</f>
        <v>350</v>
      </c>
      <c r="AE313">
        <f>VLOOKUP(Таблица15[[#This Row],[Модель]],Таблица14[#All],11,0)</f>
        <v>9.5</v>
      </c>
      <c r="AF313">
        <v>2022</v>
      </c>
      <c r="AG313">
        <v>916</v>
      </c>
      <c r="AH313" s="22">
        <f>VLOOKUP(Таблица15[[#This Row],[Модель]],Таблица14[#All],12,0)/1000000</f>
        <v>39.965000000000003</v>
      </c>
      <c r="AI313" s="21">
        <f>VLOOKUP(Таблица15[[#This Row],[Модель]],Таблица14[#All],13,0)/1000000</f>
        <v>34.67</v>
      </c>
      <c r="AJ313" s="21">
        <f>VLOOKUP(Таблица15[[#This Row],[Модель]],Таблица14[#All],14,0)/1000000</f>
        <v>45.26</v>
      </c>
      <c r="AK313" s="21">
        <f>Таблица15[[#This Row],[Средняя цена (USD)]]*Таблица15[[#This Row],[Кол-во проданных]]/1000000</f>
        <v>45.8</v>
      </c>
      <c r="AL313" s="39">
        <f>Таблица15[[#This Row],[Средняя цена млн. ₸]]/440*Таблица15[[#This Row],[Кол-во проданных]]</f>
        <v>83.199863636363645</v>
      </c>
      <c r="AM313" s="39">
        <f>Таблица15[[#This Row],[Средняя цена млн. ₸]]*Таблица15[[#This Row],[Кол-во проданных]]/1000</f>
        <v>36.607939999999999</v>
      </c>
      <c r="AR313" s="22"/>
      <c r="AS313" s="22"/>
      <c r="AT313" s="22"/>
    </row>
    <row r="314" spans="20:46">
      <c r="T314" t="s">
        <v>5</v>
      </c>
      <c r="U314" t="s">
        <v>41</v>
      </c>
      <c r="V314" t="str">
        <f>VLOOKUP(Таблица15[[#This Row],[Модель]],Таблица14[#All],2,0)</f>
        <v>Внедорожник</v>
      </c>
      <c r="W314" s="20">
        <f>VLOOKUP(Таблица15[[#This Row],[Модель]],Таблица14[#All],3,0)</f>
        <v>50000</v>
      </c>
      <c r="X314" s="20">
        <f>VLOOKUP(Таблица15[[#This Row],[Модель]],Таблица14[#All],4,0)</f>
        <v>45000</v>
      </c>
      <c r="Y314" s="4">
        <f>VLOOKUP(Таблица15[[#This Row],[Модель]],Таблица14[#All],5,0)</f>
        <v>60000</v>
      </c>
      <c r="Z314" t="str">
        <f>VLOOKUP(Таблица15[[#This Row],[Модель]],Таблица14[#All],6,0)</f>
        <v>АКПП</v>
      </c>
      <c r="AA314" t="str">
        <f>VLOOKUP(Таблица15[[#This Row],[Модель]],Таблица14[#All],7,0)</f>
        <v>Бензин, Гибрид</v>
      </c>
      <c r="AB314" t="str">
        <f>VLOOKUP(Таблица15[[#This Row],[Модель]],Таблица14[#All],8,0)</f>
        <v>Люкс</v>
      </c>
      <c r="AC314" t="str">
        <f>VLOOKUP(Таблица15[[#This Row],[Модель]],Таблица14[#All],9,0)</f>
        <v>Средний</v>
      </c>
      <c r="AD314">
        <f>VLOOKUP(Таблица15[[#This Row],[Модель]],Таблица14[#All],10,0)</f>
        <v>350</v>
      </c>
      <c r="AE314">
        <f>VLOOKUP(Таблица15[[#This Row],[Модель]],Таблица14[#All],11,0)</f>
        <v>9.5</v>
      </c>
      <c r="AF314">
        <v>2021</v>
      </c>
      <c r="AG314">
        <v>981</v>
      </c>
      <c r="AH314" s="22">
        <f>VLOOKUP(Таблица15[[#This Row],[Модель]],Таблица14[#All],12,0)/1000000</f>
        <v>39.965000000000003</v>
      </c>
      <c r="AI314" s="21">
        <f>VLOOKUP(Таблица15[[#This Row],[Модель]],Таблица14[#All],13,0)/1000000</f>
        <v>34.67</v>
      </c>
      <c r="AJ314" s="21">
        <f>VLOOKUP(Таблица15[[#This Row],[Модель]],Таблица14[#All],14,0)/1000000</f>
        <v>45.26</v>
      </c>
      <c r="AK314" s="21">
        <f>Таблица15[[#This Row],[Средняя цена (USD)]]*Таблица15[[#This Row],[Кол-во проданных]]/1000000</f>
        <v>49.05</v>
      </c>
      <c r="AL314" s="39">
        <f>Таблица15[[#This Row],[Средняя цена млн. ₸]]/440*Таблица15[[#This Row],[Кол-во проданных]]</f>
        <v>89.103784090909102</v>
      </c>
      <c r="AM314" s="39">
        <f>Таблица15[[#This Row],[Средняя цена млн. ₸]]*Таблица15[[#This Row],[Кол-во проданных]]/1000</f>
        <v>39.205665000000003</v>
      </c>
      <c r="AR314" s="22"/>
      <c r="AS314" s="22"/>
      <c r="AT314" s="22"/>
    </row>
    <row r="315" spans="20:46">
      <c r="T315" t="s">
        <v>5</v>
      </c>
      <c r="U315" t="s">
        <v>41</v>
      </c>
      <c r="V315" t="str">
        <f>VLOOKUP(Таблица15[[#This Row],[Модель]],Таблица14[#All],2,0)</f>
        <v>Внедорожник</v>
      </c>
      <c r="W315" s="20">
        <f>VLOOKUP(Таблица15[[#This Row],[Модель]],Таблица14[#All],3,0)</f>
        <v>50000</v>
      </c>
      <c r="X315" s="20">
        <f>VLOOKUP(Таблица15[[#This Row],[Модель]],Таблица14[#All],4,0)</f>
        <v>45000</v>
      </c>
      <c r="Y315" s="4">
        <f>VLOOKUP(Таблица15[[#This Row],[Модель]],Таблица14[#All],5,0)</f>
        <v>60000</v>
      </c>
      <c r="Z315" t="str">
        <f>VLOOKUP(Таблица15[[#This Row],[Модель]],Таблица14[#All],6,0)</f>
        <v>АКПП</v>
      </c>
      <c r="AA315" t="str">
        <f>VLOOKUP(Таблица15[[#This Row],[Модель]],Таблица14[#All],7,0)</f>
        <v>Бензин, Гибрид</v>
      </c>
      <c r="AB315" t="str">
        <f>VLOOKUP(Таблица15[[#This Row],[Модель]],Таблица14[#All],8,0)</f>
        <v>Люкс</v>
      </c>
      <c r="AC315" t="str">
        <f>VLOOKUP(Таблица15[[#This Row],[Модель]],Таблица14[#All],9,0)</f>
        <v>Средний</v>
      </c>
      <c r="AD315">
        <f>VLOOKUP(Таблица15[[#This Row],[Модель]],Таблица14[#All],10,0)</f>
        <v>350</v>
      </c>
      <c r="AE315">
        <f>VLOOKUP(Таблица15[[#This Row],[Модель]],Таблица14[#All],11,0)</f>
        <v>9.5</v>
      </c>
      <c r="AF315">
        <v>2020</v>
      </c>
      <c r="AG315">
        <v>587</v>
      </c>
      <c r="AH315" s="22">
        <f>VLOOKUP(Таблица15[[#This Row],[Модель]],Таблица14[#All],12,0)/1000000</f>
        <v>39.965000000000003</v>
      </c>
      <c r="AI315" s="21">
        <f>VLOOKUP(Таблица15[[#This Row],[Модель]],Таблица14[#All],13,0)/1000000</f>
        <v>34.67</v>
      </c>
      <c r="AJ315" s="21">
        <f>VLOOKUP(Таблица15[[#This Row],[Модель]],Таблица14[#All],14,0)/1000000</f>
        <v>45.26</v>
      </c>
      <c r="AK315" s="21">
        <f>Таблица15[[#This Row],[Средняя цена (USD)]]*Таблица15[[#This Row],[Кол-во проданных]]/1000000</f>
        <v>29.35</v>
      </c>
      <c r="AL315" s="39">
        <f>Таблица15[[#This Row],[Средняя цена млн. ₸]]/440*Таблица15[[#This Row],[Кол-во проданных]]</f>
        <v>53.316943181818189</v>
      </c>
      <c r="AM315" s="39">
        <f>Таблица15[[#This Row],[Средняя цена млн. ₸]]*Таблица15[[#This Row],[Кол-во проданных]]/1000</f>
        <v>23.459455000000002</v>
      </c>
      <c r="AR315" s="22"/>
      <c r="AS315" s="22"/>
      <c r="AT315" s="22"/>
    </row>
    <row r="316" spans="20:46">
      <c r="T316" t="s">
        <v>5</v>
      </c>
      <c r="U316" t="s">
        <v>41</v>
      </c>
      <c r="V316" t="str">
        <f>VLOOKUP(Таблица15[[#This Row],[Модель]],Таблица14[#All],2,0)</f>
        <v>Внедорожник</v>
      </c>
      <c r="W316" s="20">
        <f>VLOOKUP(Таблица15[[#This Row],[Модель]],Таблица14[#All],3,0)</f>
        <v>50000</v>
      </c>
      <c r="X316" s="20">
        <f>VLOOKUP(Таблица15[[#This Row],[Модель]],Таблица14[#All],4,0)</f>
        <v>45000</v>
      </c>
      <c r="Y316" s="4">
        <f>VLOOKUP(Таблица15[[#This Row],[Модель]],Таблица14[#All],5,0)</f>
        <v>60000</v>
      </c>
      <c r="Z316" t="str">
        <f>VLOOKUP(Таблица15[[#This Row],[Модель]],Таблица14[#All],6,0)</f>
        <v>АКПП</v>
      </c>
      <c r="AA316" t="str">
        <f>VLOOKUP(Таблица15[[#This Row],[Модель]],Таблица14[#All],7,0)</f>
        <v>Бензин, Гибрид</v>
      </c>
      <c r="AB316" t="str">
        <f>VLOOKUP(Таблица15[[#This Row],[Модель]],Таблица14[#All],8,0)</f>
        <v>Люкс</v>
      </c>
      <c r="AC316" t="str">
        <f>VLOOKUP(Таблица15[[#This Row],[Модель]],Таблица14[#All],9,0)</f>
        <v>Средний</v>
      </c>
      <c r="AD316">
        <f>VLOOKUP(Таблица15[[#This Row],[Модель]],Таблица14[#All],10,0)</f>
        <v>350</v>
      </c>
      <c r="AE316">
        <f>VLOOKUP(Таблица15[[#This Row],[Модель]],Таблица14[#All],11,0)</f>
        <v>9.5</v>
      </c>
      <c r="AF316">
        <v>2019</v>
      </c>
      <c r="AG316">
        <v>606</v>
      </c>
      <c r="AH316" s="22">
        <f>VLOOKUP(Таблица15[[#This Row],[Модель]],Таблица14[#All],12,0)/1000000</f>
        <v>39.965000000000003</v>
      </c>
      <c r="AI316" s="21">
        <f>VLOOKUP(Таблица15[[#This Row],[Модель]],Таблица14[#All],13,0)/1000000</f>
        <v>34.67</v>
      </c>
      <c r="AJ316" s="21">
        <f>VLOOKUP(Таблица15[[#This Row],[Модель]],Таблица14[#All],14,0)/1000000</f>
        <v>45.26</v>
      </c>
      <c r="AK316" s="21">
        <f>Таблица15[[#This Row],[Средняя цена (USD)]]*Таблица15[[#This Row],[Кол-во проданных]]/1000000</f>
        <v>30.3</v>
      </c>
      <c r="AL316" s="39">
        <f>Таблица15[[#This Row],[Средняя цена млн. ₸]]/440*Таблица15[[#This Row],[Кол-во проданных]]</f>
        <v>55.042704545454555</v>
      </c>
      <c r="AM316" s="39">
        <f>Таблица15[[#This Row],[Средняя цена млн. ₸]]*Таблица15[[#This Row],[Кол-во проданных]]/1000</f>
        <v>24.218790000000002</v>
      </c>
      <c r="AR316" s="22"/>
      <c r="AS316" s="22"/>
      <c r="AT316" s="22"/>
    </row>
    <row r="317" spans="20:46">
      <c r="T317" t="s">
        <v>139</v>
      </c>
      <c r="U317" t="s">
        <v>121</v>
      </c>
      <c r="V317" t="str">
        <f>VLOOKUP(Таблица15[[#This Row],[Модель]],Таблица14[#All],2,0)</f>
        <v>Внедорожник</v>
      </c>
      <c r="W317" s="20">
        <f>VLOOKUP(Таблица15[[#This Row],[Модель]],Таблица14[#All],3,0)</f>
        <v>25000</v>
      </c>
      <c r="X317" s="20">
        <f>VLOOKUP(Таблица15[[#This Row],[Модель]],Таблица14[#All],4,0)</f>
        <v>22000</v>
      </c>
      <c r="Y317" s="4">
        <f>VLOOKUP(Таблица15[[#This Row],[Модель]],Таблица14[#All],5,0)</f>
        <v>30000</v>
      </c>
      <c r="Z317" t="str">
        <f>VLOOKUP(Таблица15[[#This Row],[Модель]],Таблица14[#All],6,0)</f>
        <v>АКПП</v>
      </c>
      <c r="AA317" t="str">
        <f>VLOOKUP(Таблица15[[#This Row],[Модель]],Таблица14[#All],7,0)</f>
        <v>Бензин</v>
      </c>
      <c r="AB317" t="str">
        <f>VLOOKUP(Таблица15[[#This Row],[Модель]],Таблица14[#All],8,0)</f>
        <v>Комфорт</v>
      </c>
      <c r="AC317" t="str">
        <f>VLOOKUP(Таблица15[[#This Row],[Модель]],Таблица14[#All],9,0)</f>
        <v>Средний</v>
      </c>
      <c r="AD317">
        <f>VLOOKUP(Таблица15[[#This Row],[Модель]],Таблица14[#All],10,0)</f>
        <v>187</v>
      </c>
      <c r="AE317">
        <f>VLOOKUP(Таблица15[[#This Row],[Модель]],Таблица14[#All],11,0)</f>
        <v>12</v>
      </c>
      <c r="AF317">
        <v>2023</v>
      </c>
      <c r="AG317">
        <v>0</v>
      </c>
      <c r="AH317" s="22">
        <f>VLOOKUP(Таблица15[[#This Row],[Модель]],Таблица14[#All],12,0)/1000000</f>
        <v>17.646999999999998</v>
      </c>
      <c r="AI317" s="21">
        <f>VLOOKUP(Таблица15[[#This Row],[Модель]],Таблица14[#All],13,0)/1000000</f>
        <v>13.5</v>
      </c>
      <c r="AJ317" s="21">
        <f>VLOOKUP(Таблица15[[#This Row],[Модель]],Таблица14[#All],14,0)/1000000</f>
        <v>21.794</v>
      </c>
      <c r="AK317" s="21">
        <f>Таблица15[[#This Row],[Средняя цена (USD)]]*Таблица15[[#This Row],[Кол-во проданных]]/1000000</f>
        <v>0</v>
      </c>
      <c r="AL317" s="39">
        <f>Таблица15[[#This Row],[Средняя цена млн. ₸]]/440*Таблица15[[#This Row],[Кол-во проданных]]</f>
        <v>0</v>
      </c>
      <c r="AM317" s="39">
        <f>Таблица15[[#This Row],[Средняя цена млн. ₸]]*Таблица15[[#This Row],[Кол-во проданных]]/1000</f>
        <v>0</v>
      </c>
      <c r="AR317" s="22"/>
      <c r="AS317" s="22"/>
      <c r="AT317" s="22"/>
    </row>
    <row r="318" spans="20:46">
      <c r="T318" t="s">
        <v>139</v>
      </c>
      <c r="U318" t="s">
        <v>121</v>
      </c>
      <c r="V318" t="str">
        <f>VLOOKUP(Таблица15[[#This Row],[Модель]],Таблица14[#All],2,0)</f>
        <v>Внедорожник</v>
      </c>
      <c r="W318" s="20">
        <f>VLOOKUP(Таблица15[[#This Row],[Модель]],Таблица14[#All],3,0)</f>
        <v>25000</v>
      </c>
      <c r="X318" s="20">
        <f>VLOOKUP(Таблица15[[#This Row],[Модель]],Таблица14[#All],4,0)</f>
        <v>22000</v>
      </c>
      <c r="Y318" s="4">
        <f>VLOOKUP(Таблица15[[#This Row],[Модель]],Таблица14[#All],5,0)</f>
        <v>30000</v>
      </c>
      <c r="Z318" t="str">
        <f>VLOOKUP(Таблица15[[#This Row],[Модель]],Таблица14[#All],6,0)</f>
        <v>АКПП</v>
      </c>
      <c r="AA318" t="str">
        <f>VLOOKUP(Таблица15[[#This Row],[Модель]],Таблица14[#All],7,0)</f>
        <v>Бензин</v>
      </c>
      <c r="AB318" t="str">
        <f>VLOOKUP(Таблица15[[#This Row],[Модель]],Таблица14[#All],8,0)</f>
        <v>Комфорт</v>
      </c>
      <c r="AC318" t="str">
        <f>VLOOKUP(Таблица15[[#This Row],[Модель]],Таблица14[#All],9,0)</f>
        <v>Средний</v>
      </c>
      <c r="AD318">
        <f>VLOOKUP(Таблица15[[#This Row],[Модель]],Таблица14[#All],10,0)</f>
        <v>187</v>
      </c>
      <c r="AE318">
        <f>VLOOKUP(Таблица15[[#This Row],[Модель]],Таблица14[#All],11,0)</f>
        <v>12</v>
      </c>
      <c r="AF318">
        <v>2022</v>
      </c>
      <c r="AG318">
        <v>0</v>
      </c>
      <c r="AH318" s="22">
        <f>VLOOKUP(Таблица15[[#This Row],[Модель]],Таблица14[#All],12,0)/1000000</f>
        <v>17.646999999999998</v>
      </c>
      <c r="AI318" s="21">
        <f>VLOOKUP(Таблица15[[#This Row],[Модель]],Таблица14[#All],13,0)/1000000</f>
        <v>13.5</v>
      </c>
      <c r="AJ318" s="21">
        <f>VLOOKUP(Таблица15[[#This Row],[Модель]],Таблица14[#All],14,0)/1000000</f>
        <v>21.794</v>
      </c>
      <c r="AK318" s="21">
        <f>Таблица15[[#This Row],[Средняя цена (USD)]]*Таблица15[[#This Row],[Кол-во проданных]]/1000000</f>
        <v>0</v>
      </c>
      <c r="AL318" s="39">
        <f>Таблица15[[#This Row],[Средняя цена млн. ₸]]/440*Таблица15[[#This Row],[Кол-во проданных]]</f>
        <v>0</v>
      </c>
      <c r="AM318" s="39">
        <f>Таблица15[[#This Row],[Средняя цена млн. ₸]]*Таблица15[[#This Row],[Кол-во проданных]]/1000</f>
        <v>0</v>
      </c>
      <c r="AR318" s="22"/>
      <c r="AS318" s="22"/>
      <c r="AT318" s="22"/>
    </row>
    <row r="319" spans="20:46">
      <c r="T319" t="s">
        <v>139</v>
      </c>
      <c r="U319" t="s">
        <v>121</v>
      </c>
      <c r="V319" t="str">
        <f>VLOOKUP(Таблица15[[#This Row],[Модель]],Таблица14[#All],2,0)</f>
        <v>Внедорожник</v>
      </c>
      <c r="W319" s="20">
        <f>VLOOKUP(Таблица15[[#This Row],[Модель]],Таблица14[#All],3,0)</f>
        <v>25000</v>
      </c>
      <c r="X319" s="20">
        <f>VLOOKUP(Таблица15[[#This Row],[Модель]],Таблица14[#All],4,0)</f>
        <v>22000</v>
      </c>
      <c r="Y319" s="4">
        <f>VLOOKUP(Таблица15[[#This Row],[Модель]],Таблица14[#All],5,0)</f>
        <v>30000</v>
      </c>
      <c r="Z319" t="str">
        <f>VLOOKUP(Таблица15[[#This Row],[Модель]],Таблица14[#All],6,0)</f>
        <v>АКПП</v>
      </c>
      <c r="AA319" t="str">
        <f>VLOOKUP(Таблица15[[#This Row],[Модель]],Таблица14[#All],7,0)</f>
        <v>Бензин</v>
      </c>
      <c r="AB319" t="str">
        <f>VLOOKUP(Таблица15[[#This Row],[Модель]],Таблица14[#All],8,0)</f>
        <v>Комфорт</v>
      </c>
      <c r="AC319" t="str">
        <f>VLOOKUP(Таблица15[[#This Row],[Модель]],Таблица14[#All],9,0)</f>
        <v>Средний</v>
      </c>
      <c r="AD319">
        <f>VLOOKUP(Таблица15[[#This Row],[Модель]],Таблица14[#All],10,0)</f>
        <v>187</v>
      </c>
      <c r="AE319">
        <f>VLOOKUP(Таблица15[[#This Row],[Модель]],Таблица14[#All],11,0)</f>
        <v>12</v>
      </c>
      <c r="AF319">
        <v>2021</v>
      </c>
      <c r="AG319">
        <v>0</v>
      </c>
      <c r="AH319" s="22">
        <f>VLOOKUP(Таблица15[[#This Row],[Модель]],Таблица14[#All],12,0)/1000000</f>
        <v>17.646999999999998</v>
      </c>
      <c r="AI319" s="21">
        <f>VLOOKUP(Таблица15[[#This Row],[Модель]],Таблица14[#All],13,0)/1000000</f>
        <v>13.5</v>
      </c>
      <c r="AJ319" s="21">
        <f>VLOOKUP(Таблица15[[#This Row],[Модель]],Таблица14[#All],14,0)/1000000</f>
        <v>21.794</v>
      </c>
      <c r="AK319" s="21">
        <f>Таблица15[[#This Row],[Средняя цена (USD)]]*Таблица15[[#This Row],[Кол-во проданных]]/1000000</f>
        <v>0</v>
      </c>
      <c r="AL319" s="39">
        <f>Таблица15[[#This Row],[Средняя цена млн. ₸]]/440*Таблица15[[#This Row],[Кол-во проданных]]</f>
        <v>0</v>
      </c>
      <c r="AM319" s="39">
        <f>Таблица15[[#This Row],[Средняя цена млн. ₸]]*Таблица15[[#This Row],[Кол-во проданных]]/1000</f>
        <v>0</v>
      </c>
      <c r="AR319" s="22"/>
      <c r="AS319" s="22"/>
      <c r="AT319" s="22"/>
    </row>
    <row r="320" spans="20:46">
      <c r="T320" t="s">
        <v>139</v>
      </c>
      <c r="U320" t="s">
        <v>121</v>
      </c>
      <c r="V320" t="str">
        <f>VLOOKUP(Таблица15[[#This Row],[Модель]],Таблица14[#All],2,0)</f>
        <v>Внедорожник</v>
      </c>
      <c r="W320" s="20">
        <f>VLOOKUP(Таблица15[[#This Row],[Модель]],Таблица14[#All],3,0)</f>
        <v>25000</v>
      </c>
      <c r="X320" s="20">
        <f>VLOOKUP(Таблица15[[#This Row],[Модель]],Таблица14[#All],4,0)</f>
        <v>22000</v>
      </c>
      <c r="Y320" s="4">
        <f>VLOOKUP(Таблица15[[#This Row],[Модель]],Таблица14[#All],5,0)</f>
        <v>30000</v>
      </c>
      <c r="Z320" t="str">
        <f>VLOOKUP(Таблица15[[#This Row],[Модель]],Таблица14[#All],6,0)</f>
        <v>АКПП</v>
      </c>
      <c r="AA320" t="str">
        <f>VLOOKUP(Таблица15[[#This Row],[Модель]],Таблица14[#All],7,0)</f>
        <v>Бензин</v>
      </c>
      <c r="AB320" t="str">
        <f>VLOOKUP(Таблица15[[#This Row],[Модель]],Таблица14[#All],8,0)</f>
        <v>Комфорт</v>
      </c>
      <c r="AC320" t="str">
        <f>VLOOKUP(Таблица15[[#This Row],[Модель]],Таблица14[#All],9,0)</f>
        <v>Средний</v>
      </c>
      <c r="AD320">
        <f>VLOOKUP(Таблица15[[#This Row],[Модель]],Таблица14[#All],10,0)</f>
        <v>187</v>
      </c>
      <c r="AE320">
        <f>VLOOKUP(Таблица15[[#This Row],[Модель]],Таблица14[#All],11,0)</f>
        <v>12</v>
      </c>
      <c r="AF320">
        <v>2020</v>
      </c>
      <c r="AG320">
        <v>0</v>
      </c>
      <c r="AH320" s="22">
        <f>VLOOKUP(Таблица15[[#This Row],[Модель]],Таблица14[#All],12,0)/1000000</f>
        <v>17.646999999999998</v>
      </c>
      <c r="AI320" s="21">
        <f>VLOOKUP(Таблица15[[#This Row],[Модель]],Таблица14[#All],13,0)/1000000</f>
        <v>13.5</v>
      </c>
      <c r="AJ320" s="21">
        <f>VLOOKUP(Таблица15[[#This Row],[Модель]],Таблица14[#All],14,0)/1000000</f>
        <v>21.794</v>
      </c>
      <c r="AK320" s="21">
        <f>Таблица15[[#This Row],[Средняя цена (USD)]]*Таблица15[[#This Row],[Кол-во проданных]]/1000000</f>
        <v>0</v>
      </c>
      <c r="AL320" s="39">
        <f>Таблица15[[#This Row],[Средняя цена млн. ₸]]/440*Таблица15[[#This Row],[Кол-во проданных]]</f>
        <v>0</v>
      </c>
      <c r="AM320" s="39">
        <f>Таблица15[[#This Row],[Средняя цена млн. ₸]]*Таблица15[[#This Row],[Кол-во проданных]]/1000</f>
        <v>0</v>
      </c>
      <c r="AR320" s="22"/>
      <c r="AS320" s="22"/>
      <c r="AT320" s="22"/>
    </row>
    <row r="321" spans="20:46">
      <c r="T321" t="s">
        <v>139</v>
      </c>
      <c r="U321" t="s">
        <v>121</v>
      </c>
      <c r="V321" t="str">
        <f>VLOOKUP(Таблица15[[#This Row],[Модель]],Таблица14[#All],2,0)</f>
        <v>Внедорожник</v>
      </c>
      <c r="W321" s="20">
        <f>VLOOKUP(Таблица15[[#This Row],[Модель]],Таблица14[#All],3,0)</f>
        <v>25000</v>
      </c>
      <c r="X321" s="20">
        <f>VLOOKUP(Таблица15[[#This Row],[Модель]],Таблица14[#All],4,0)</f>
        <v>22000</v>
      </c>
      <c r="Y321" s="4">
        <f>VLOOKUP(Таблица15[[#This Row],[Модель]],Таблица14[#All],5,0)</f>
        <v>30000</v>
      </c>
      <c r="Z321" t="str">
        <f>VLOOKUP(Таблица15[[#This Row],[Модель]],Таблица14[#All],6,0)</f>
        <v>АКПП</v>
      </c>
      <c r="AA321" t="str">
        <f>VLOOKUP(Таблица15[[#This Row],[Модель]],Таблица14[#All],7,0)</f>
        <v>Бензин</v>
      </c>
      <c r="AB321" t="str">
        <f>VLOOKUP(Таблица15[[#This Row],[Модель]],Таблица14[#All],8,0)</f>
        <v>Комфорт</v>
      </c>
      <c r="AC321" t="str">
        <f>VLOOKUP(Таблица15[[#This Row],[Модель]],Таблица14[#All],9,0)</f>
        <v>Средний</v>
      </c>
      <c r="AD321">
        <f>VLOOKUP(Таблица15[[#This Row],[Модель]],Таблица14[#All],10,0)</f>
        <v>187</v>
      </c>
      <c r="AE321">
        <f>VLOOKUP(Таблица15[[#This Row],[Модель]],Таблица14[#All],11,0)</f>
        <v>12</v>
      </c>
      <c r="AF321">
        <v>2019</v>
      </c>
      <c r="AG321">
        <v>251</v>
      </c>
      <c r="AH321" s="22">
        <f>VLOOKUP(Таблица15[[#This Row],[Модель]],Таблица14[#All],12,0)/1000000</f>
        <v>17.646999999999998</v>
      </c>
      <c r="AI321" s="21">
        <f>VLOOKUP(Таблица15[[#This Row],[Модель]],Таблица14[#All],13,0)/1000000</f>
        <v>13.5</v>
      </c>
      <c r="AJ321" s="21">
        <f>VLOOKUP(Таблица15[[#This Row],[Модель]],Таблица14[#All],14,0)/1000000</f>
        <v>21.794</v>
      </c>
      <c r="AK321" s="21">
        <f>Таблица15[[#This Row],[Средняя цена (USD)]]*Таблица15[[#This Row],[Кол-во проданных]]/1000000</f>
        <v>6.2750000000000004</v>
      </c>
      <c r="AL321" s="39">
        <f>Таблица15[[#This Row],[Средняя цена млн. ₸]]/440*Таблица15[[#This Row],[Кол-во проданных]]</f>
        <v>10.066811363636363</v>
      </c>
      <c r="AM321" s="39">
        <f>Таблица15[[#This Row],[Средняя цена млн. ₸]]*Таблица15[[#This Row],[Кол-во проданных]]/1000</f>
        <v>4.4293969999999998</v>
      </c>
      <c r="AR321" s="22"/>
      <c r="AS321" s="22"/>
      <c r="AT321" s="22"/>
    </row>
    <row r="322" spans="20:46">
      <c r="T322" t="s">
        <v>9</v>
      </c>
      <c r="U322" t="s">
        <v>106</v>
      </c>
      <c r="V322" t="str">
        <f>VLOOKUP(Таблица15[[#This Row],[Модель]],Таблица14[#All],2,0)</f>
        <v>Внедорожник</v>
      </c>
      <c r="W322" s="20">
        <f>VLOOKUP(Таблица15[[#This Row],[Модель]],Таблица14[#All],3,0)</f>
        <v>25000</v>
      </c>
      <c r="X322" s="20">
        <f>VLOOKUP(Таблица15[[#This Row],[Модель]],Таблица14[#All],4,0)</f>
        <v>22000</v>
      </c>
      <c r="Y322" s="4">
        <f>VLOOKUP(Таблица15[[#This Row],[Модель]],Таблица14[#All],5,0)</f>
        <v>30000</v>
      </c>
      <c r="Z322" t="str">
        <f>VLOOKUP(Таблица15[[#This Row],[Модель]],Таблица14[#All],6,0)</f>
        <v>АКПП</v>
      </c>
      <c r="AA322" t="str">
        <f>VLOOKUP(Таблица15[[#This Row],[Модель]],Таблица14[#All],7,0)</f>
        <v>Бензин, Дизель, Гибрид</v>
      </c>
      <c r="AB322" t="str">
        <f>VLOOKUP(Таблица15[[#This Row],[Модель]],Таблица14[#All],8,0)</f>
        <v>Комфорт</v>
      </c>
      <c r="AC322" t="str">
        <f>VLOOKUP(Таблица15[[#This Row],[Модель]],Таблица14[#All],9,0)</f>
        <v>Средний</v>
      </c>
      <c r="AD322">
        <f>VLOOKUP(Таблица15[[#This Row],[Модель]],Таблица14[#All],10,0)</f>
        <v>190</v>
      </c>
      <c r="AE322">
        <f>VLOOKUP(Таблица15[[#This Row],[Модель]],Таблица14[#All],11,0)</f>
        <v>11.5</v>
      </c>
      <c r="AF322">
        <v>2023</v>
      </c>
      <c r="AG322">
        <v>0</v>
      </c>
      <c r="AH322" s="22">
        <f>VLOOKUP(Таблица15[[#This Row],[Модель]],Таблица14[#All],12,0)/1000000</f>
        <v>18.574999999999999</v>
      </c>
      <c r="AI322" s="21">
        <f>VLOOKUP(Таблица15[[#This Row],[Модель]],Таблица14[#All],13,0)/1000000</f>
        <v>15.7</v>
      </c>
      <c r="AJ322" s="21">
        <f>VLOOKUP(Таблица15[[#This Row],[Модель]],Таблица14[#All],14,0)/1000000</f>
        <v>21.45</v>
      </c>
      <c r="AK322" s="21">
        <f>Таблица15[[#This Row],[Средняя цена (USD)]]*Таблица15[[#This Row],[Кол-во проданных]]/1000000</f>
        <v>0</v>
      </c>
      <c r="AL322" s="39">
        <f>Таблица15[[#This Row],[Средняя цена млн. ₸]]/440*Таблица15[[#This Row],[Кол-во проданных]]</f>
        <v>0</v>
      </c>
      <c r="AM322" s="39">
        <f>Таблица15[[#This Row],[Средняя цена млн. ₸]]*Таблица15[[#This Row],[Кол-во проданных]]/1000</f>
        <v>0</v>
      </c>
      <c r="AR322" s="22"/>
      <c r="AS322" s="22"/>
      <c r="AT322" s="22"/>
    </row>
    <row r="323" spans="20:46">
      <c r="T323" t="s">
        <v>9</v>
      </c>
      <c r="U323" t="s">
        <v>106</v>
      </c>
      <c r="V323" t="str">
        <f>VLOOKUP(Таблица15[[#This Row],[Модель]],Таблица14[#All],2,0)</f>
        <v>Внедорожник</v>
      </c>
      <c r="W323" s="20">
        <f>VLOOKUP(Таблица15[[#This Row],[Модель]],Таблица14[#All],3,0)</f>
        <v>25000</v>
      </c>
      <c r="X323" s="20">
        <f>VLOOKUP(Таблица15[[#This Row],[Модель]],Таблица14[#All],4,0)</f>
        <v>22000</v>
      </c>
      <c r="Y323" s="4">
        <f>VLOOKUP(Таблица15[[#This Row],[Модель]],Таблица14[#All],5,0)</f>
        <v>30000</v>
      </c>
      <c r="Z323" t="str">
        <f>VLOOKUP(Таблица15[[#This Row],[Модель]],Таблица14[#All],6,0)</f>
        <v>АКПП</v>
      </c>
      <c r="AA323" t="str">
        <f>VLOOKUP(Таблица15[[#This Row],[Модель]],Таблица14[#All],7,0)</f>
        <v>Бензин, Дизель, Гибрид</v>
      </c>
      <c r="AB323" t="str">
        <f>VLOOKUP(Таблица15[[#This Row],[Модель]],Таблица14[#All],8,0)</f>
        <v>Комфорт</v>
      </c>
      <c r="AC323" t="str">
        <f>VLOOKUP(Таблица15[[#This Row],[Модель]],Таблица14[#All],9,0)</f>
        <v>Средний</v>
      </c>
      <c r="AD323">
        <f>VLOOKUP(Таблица15[[#This Row],[Модель]],Таблица14[#All],10,0)</f>
        <v>190</v>
      </c>
      <c r="AE323">
        <f>VLOOKUP(Таблица15[[#This Row],[Модель]],Таблица14[#All],11,0)</f>
        <v>11.5</v>
      </c>
      <c r="AF323">
        <v>2022</v>
      </c>
      <c r="AG323">
        <v>0</v>
      </c>
      <c r="AH323" s="22">
        <f>VLOOKUP(Таблица15[[#This Row],[Модель]],Таблица14[#All],12,0)/1000000</f>
        <v>18.574999999999999</v>
      </c>
      <c r="AI323" s="21">
        <f>VLOOKUP(Таблица15[[#This Row],[Модель]],Таблица14[#All],13,0)/1000000</f>
        <v>15.7</v>
      </c>
      <c r="AJ323" s="21">
        <f>VLOOKUP(Таблица15[[#This Row],[Модель]],Таблица14[#All],14,0)/1000000</f>
        <v>21.45</v>
      </c>
      <c r="AK323" s="21">
        <f>Таблица15[[#This Row],[Средняя цена (USD)]]*Таблица15[[#This Row],[Кол-во проданных]]/1000000</f>
        <v>0</v>
      </c>
      <c r="AL323" s="39">
        <f>Таблица15[[#This Row],[Средняя цена млн. ₸]]/440*Таблица15[[#This Row],[Кол-во проданных]]</f>
        <v>0</v>
      </c>
      <c r="AM323" s="39">
        <f>Таблица15[[#This Row],[Средняя цена млн. ₸]]*Таблица15[[#This Row],[Кол-во проданных]]/1000</f>
        <v>0</v>
      </c>
      <c r="AR323" s="22"/>
      <c r="AS323" s="22"/>
      <c r="AT323" s="22"/>
    </row>
    <row r="324" spans="20:46">
      <c r="T324" t="s">
        <v>9</v>
      </c>
      <c r="U324" t="s">
        <v>106</v>
      </c>
      <c r="V324" t="str">
        <f>VLOOKUP(Таблица15[[#This Row],[Модель]],Таблица14[#All],2,0)</f>
        <v>Внедорожник</v>
      </c>
      <c r="W324" s="20">
        <f>VLOOKUP(Таблица15[[#This Row],[Модель]],Таблица14[#All],3,0)</f>
        <v>25000</v>
      </c>
      <c r="X324" s="20">
        <f>VLOOKUP(Таблица15[[#This Row],[Модель]],Таблица14[#All],4,0)</f>
        <v>22000</v>
      </c>
      <c r="Y324" s="4">
        <f>VLOOKUP(Таблица15[[#This Row],[Модель]],Таблица14[#All],5,0)</f>
        <v>30000</v>
      </c>
      <c r="Z324" t="str">
        <f>VLOOKUP(Таблица15[[#This Row],[Модель]],Таблица14[#All],6,0)</f>
        <v>АКПП</v>
      </c>
      <c r="AA324" t="str">
        <f>VLOOKUP(Таблица15[[#This Row],[Модель]],Таблица14[#All],7,0)</f>
        <v>Бензин, Дизель, Гибрид</v>
      </c>
      <c r="AB324" t="str">
        <f>VLOOKUP(Таблица15[[#This Row],[Модель]],Таблица14[#All],8,0)</f>
        <v>Комфорт</v>
      </c>
      <c r="AC324" t="str">
        <f>VLOOKUP(Таблица15[[#This Row],[Модель]],Таблица14[#All],9,0)</f>
        <v>Средний</v>
      </c>
      <c r="AD324">
        <f>VLOOKUP(Таблица15[[#This Row],[Модель]],Таблица14[#All],10,0)</f>
        <v>190</v>
      </c>
      <c r="AE324">
        <f>VLOOKUP(Таблица15[[#This Row],[Модель]],Таблица14[#All],11,0)</f>
        <v>11.5</v>
      </c>
      <c r="AF324">
        <v>2021</v>
      </c>
      <c r="AG324">
        <v>875</v>
      </c>
      <c r="AH324" s="22">
        <f>VLOOKUP(Таблица15[[#This Row],[Модель]],Таблица14[#All],12,0)/1000000</f>
        <v>18.574999999999999</v>
      </c>
      <c r="AI324" s="21">
        <f>VLOOKUP(Таблица15[[#This Row],[Модель]],Таблица14[#All],13,0)/1000000</f>
        <v>15.7</v>
      </c>
      <c r="AJ324" s="21">
        <f>VLOOKUP(Таблица15[[#This Row],[Модель]],Таблица14[#All],14,0)/1000000</f>
        <v>21.45</v>
      </c>
      <c r="AK324" s="21">
        <f>Таблица15[[#This Row],[Средняя цена (USD)]]*Таблица15[[#This Row],[Кол-во проданных]]/1000000</f>
        <v>21.875</v>
      </c>
      <c r="AL324" s="39">
        <f>Таблица15[[#This Row],[Средняя цена млн. ₸]]/440*Таблица15[[#This Row],[Кол-во проданных]]</f>
        <v>36.938920454545453</v>
      </c>
      <c r="AM324" s="39">
        <f>Таблица15[[#This Row],[Средняя цена млн. ₸]]*Таблица15[[#This Row],[Кол-во проданных]]/1000</f>
        <v>16.253125000000001</v>
      </c>
      <c r="AR324" s="22"/>
      <c r="AS324" s="22"/>
      <c r="AT324" s="22"/>
    </row>
    <row r="325" spans="20:46">
      <c r="T325" t="s">
        <v>9</v>
      </c>
      <c r="U325" t="s">
        <v>106</v>
      </c>
      <c r="V325" t="str">
        <f>VLOOKUP(Таблица15[[#This Row],[Модель]],Таблица14[#All],2,0)</f>
        <v>Внедорожник</v>
      </c>
      <c r="W325" s="20">
        <f>VLOOKUP(Таблица15[[#This Row],[Модель]],Таблица14[#All],3,0)</f>
        <v>25000</v>
      </c>
      <c r="X325" s="20">
        <f>VLOOKUP(Таблица15[[#This Row],[Модель]],Таблица14[#All],4,0)</f>
        <v>22000</v>
      </c>
      <c r="Y325" s="4">
        <f>VLOOKUP(Таблица15[[#This Row],[Модель]],Таблица14[#All],5,0)</f>
        <v>30000</v>
      </c>
      <c r="Z325" t="str">
        <f>VLOOKUP(Таблица15[[#This Row],[Модель]],Таблица14[#All],6,0)</f>
        <v>АКПП</v>
      </c>
      <c r="AA325" t="str">
        <f>VLOOKUP(Таблица15[[#This Row],[Модель]],Таблица14[#All],7,0)</f>
        <v>Бензин, Дизель, Гибрид</v>
      </c>
      <c r="AB325" t="str">
        <f>VLOOKUP(Таблица15[[#This Row],[Модель]],Таблица14[#All],8,0)</f>
        <v>Комфорт</v>
      </c>
      <c r="AC325" t="str">
        <f>VLOOKUP(Таблица15[[#This Row],[Модель]],Таблица14[#All],9,0)</f>
        <v>Средний</v>
      </c>
      <c r="AD325">
        <f>VLOOKUP(Таблица15[[#This Row],[Модель]],Таблица14[#All],10,0)</f>
        <v>190</v>
      </c>
      <c r="AE325">
        <f>VLOOKUP(Таблица15[[#This Row],[Модель]],Таблица14[#All],11,0)</f>
        <v>11.5</v>
      </c>
      <c r="AF325">
        <v>2020</v>
      </c>
      <c r="AG325">
        <v>522</v>
      </c>
      <c r="AH325" s="22">
        <f>VLOOKUP(Таблица15[[#This Row],[Модель]],Таблица14[#All],12,0)/1000000</f>
        <v>18.574999999999999</v>
      </c>
      <c r="AI325" s="21">
        <f>VLOOKUP(Таблица15[[#This Row],[Модель]],Таблица14[#All],13,0)/1000000</f>
        <v>15.7</v>
      </c>
      <c r="AJ325" s="21">
        <f>VLOOKUP(Таблица15[[#This Row],[Модель]],Таблица14[#All],14,0)/1000000</f>
        <v>21.45</v>
      </c>
      <c r="AK325" s="21">
        <f>Таблица15[[#This Row],[Средняя цена (USD)]]*Таблица15[[#This Row],[Кол-во проданных]]/1000000</f>
        <v>13.05</v>
      </c>
      <c r="AL325" s="39">
        <f>Таблица15[[#This Row],[Средняя цена млн. ₸]]/440*Таблица15[[#This Row],[Кол-во проданных]]</f>
        <v>22.036704545454544</v>
      </c>
      <c r="AM325" s="39">
        <f>Таблица15[[#This Row],[Средняя цена млн. ₸]]*Таблица15[[#This Row],[Кол-во проданных]]/1000</f>
        <v>9.6961499999999994</v>
      </c>
      <c r="AR325" s="22"/>
      <c r="AS325" s="22"/>
      <c r="AT325" s="22"/>
    </row>
    <row r="326" spans="20:46">
      <c r="T326" t="s">
        <v>9</v>
      </c>
      <c r="U326" t="s">
        <v>106</v>
      </c>
      <c r="V326" t="str">
        <f>VLOOKUP(Таблица15[[#This Row],[Модель]],Таблица14[#All],2,0)</f>
        <v>Внедорожник</v>
      </c>
      <c r="W326" s="20">
        <f>VLOOKUP(Таблица15[[#This Row],[Модель]],Таблица14[#All],3,0)</f>
        <v>25000</v>
      </c>
      <c r="X326" s="20">
        <f>VLOOKUP(Таблица15[[#This Row],[Модель]],Таблица14[#All],4,0)</f>
        <v>22000</v>
      </c>
      <c r="Y326" s="4">
        <f>VLOOKUP(Таблица15[[#This Row],[Модель]],Таблица14[#All],5,0)</f>
        <v>30000</v>
      </c>
      <c r="Z326" t="str">
        <f>VLOOKUP(Таблица15[[#This Row],[Модель]],Таблица14[#All],6,0)</f>
        <v>АКПП</v>
      </c>
      <c r="AA326" t="str">
        <f>VLOOKUP(Таблица15[[#This Row],[Модель]],Таблица14[#All],7,0)</f>
        <v>Бензин, Дизель, Гибрид</v>
      </c>
      <c r="AB326" t="str">
        <f>VLOOKUP(Таблица15[[#This Row],[Модель]],Таблица14[#All],8,0)</f>
        <v>Комфорт</v>
      </c>
      <c r="AC326" t="str">
        <f>VLOOKUP(Таблица15[[#This Row],[Модель]],Таблица14[#All],9,0)</f>
        <v>Средний</v>
      </c>
      <c r="AD326">
        <f>VLOOKUP(Таблица15[[#This Row],[Модель]],Таблица14[#All],10,0)</f>
        <v>190</v>
      </c>
      <c r="AE326">
        <f>VLOOKUP(Таблица15[[#This Row],[Модель]],Таблица14[#All],11,0)</f>
        <v>11.5</v>
      </c>
      <c r="AF326">
        <v>2019</v>
      </c>
      <c r="AG326">
        <v>464</v>
      </c>
      <c r="AH326" s="22">
        <f>VLOOKUP(Таблица15[[#This Row],[Модель]],Таблица14[#All],12,0)/1000000</f>
        <v>18.574999999999999</v>
      </c>
      <c r="AI326" s="21">
        <f>VLOOKUP(Таблица15[[#This Row],[Модель]],Таблица14[#All],13,0)/1000000</f>
        <v>15.7</v>
      </c>
      <c r="AJ326" s="21">
        <f>VLOOKUP(Таблица15[[#This Row],[Модель]],Таблица14[#All],14,0)/1000000</f>
        <v>21.45</v>
      </c>
      <c r="AK326" s="21">
        <f>Таблица15[[#This Row],[Средняя цена (USD)]]*Таблица15[[#This Row],[Кол-во проданных]]/1000000</f>
        <v>11.6</v>
      </c>
      <c r="AL326" s="39">
        <f>Таблица15[[#This Row],[Средняя цена млн. ₸]]/440*Таблица15[[#This Row],[Кол-во проданных]]</f>
        <v>19.588181818181816</v>
      </c>
      <c r="AM326" s="39">
        <f>Таблица15[[#This Row],[Средняя цена млн. ₸]]*Таблица15[[#This Row],[Кол-во проданных]]/1000</f>
        <v>8.6187999999999985</v>
      </c>
      <c r="AR326" s="22"/>
      <c r="AS326" s="22"/>
      <c r="AT326" s="22"/>
    </row>
    <row r="327" spans="20:46">
      <c r="T327" t="s">
        <v>22</v>
      </c>
      <c r="U327" t="s">
        <v>103</v>
      </c>
      <c r="V327" t="str">
        <f>VLOOKUP(Таблица15[[#This Row],[Модель]],Таблица14[#All],2,0)</f>
        <v>Кроссовер</v>
      </c>
      <c r="W327" s="20">
        <f>VLOOKUP(Таблица15[[#This Row],[Модель]],Таблица14[#All],3,0)</f>
        <v>20000</v>
      </c>
      <c r="X327" s="20">
        <f>VLOOKUP(Таблица15[[#This Row],[Модель]],Таблица14[#All],4,0)</f>
        <v>18000</v>
      </c>
      <c r="Y327" s="4">
        <f>VLOOKUP(Таблица15[[#This Row],[Модель]],Таблица14[#All],5,0)</f>
        <v>24000</v>
      </c>
      <c r="Z327" t="str">
        <f>VLOOKUP(Таблица15[[#This Row],[Модель]],Таблица14[#All],6,0)</f>
        <v>АКПП</v>
      </c>
      <c r="AA327" t="str">
        <f>VLOOKUP(Таблица15[[#This Row],[Модель]],Таблица14[#All],7,0)</f>
        <v>Бензин</v>
      </c>
      <c r="AB327" t="str">
        <f>VLOOKUP(Таблица15[[#This Row],[Модель]],Таблица14[#All],8,0)</f>
        <v>Комфорт</v>
      </c>
      <c r="AC327" t="str">
        <f>VLOOKUP(Таблица15[[#This Row],[Модель]],Таблица14[#All],9,0)</f>
        <v>Средний</v>
      </c>
      <c r="AD327">
        <f>VLOOKUP(Таблица15[[#This Row],[Модель]],Таблица14[#All],10,0)</f>
        <v>160</v>
      </c>
      <c r="AE327">
        <f>VLOOKUP(Таблица15[[#This Row],[Модель]],Таблица14[#All],11,0)</f>
        <v>12.5</v>
      </c>
      <c r="AF327">
        <v>2023</v>
      </c>
      <c r="AG327">
        <v>0</v>
      </c>
      <c r="AH327" s="22">
        <f>VLOOKUP(Таблица15[[#This Row],[Модель]],Таблица14[#All],12,0)/1000000</f>
        <v>16.858000000000001</v>
      </c>
      <c r="AI327" s="21">
        <f>VLOOKUP(Таблица15[[#This Row],[Модель]],Таблица14[#All],13,0)/1000000</f>
        <v>14.739000000000001</v>
      </c>
      <c r="AJ327" s="21">
        <f>VLOOKUP(Таблица15[[#This Row],[Модель]],Таблица14[#All],14,0)/1000000</f>
        <v>18.977</v>
      </c>
      <c r="AK327" s="21">
        <f>Таблица15[[#This Row],[Средняя цена (USD)]]*Таблица15[[#This Row],[Кол-во проданных]]/1000000</f>
        <v>0</v>
      </c>
      <c r="AL327" s="39">
        <f>Таблица15[[#This Row],[Средняя цена млн. ₸]]/440*Таблица15[[#This Row],[Кол-во проданных]]</f>
        <v>0</v>
      </c>
      <c r="AM327" s="39">
        <f>Таблица15[[#This Row],[Средняя цена млн. ₸]]*Таблица15[[#This Row],[Кол-во проданных]]/1000</f>
        <v>0</v>
      </c>
      <c r="AR327" s="22"/>
      <c r="AS327" s="22"/>
      <c r="AT327" s="22"/>
    </row>
    <row r="328" spans="20:46">
      <c r="T328" t="s">
        <v>22</v>
      </c>
      <c r="U328" t="s">
        <v>103</v>
      </c>
      <c r="V328" t="str">
        <f>VLOOKUP(Таблица15[[#This Row],[Модель]],Таблица14[#All],2,0)</f>
        <v>Кроссовер</v>
      </c>
      <c r="W328" s="20">
        <f>VLOOKUP(Таблица15[[#This Row],[Модель]],Таблица14[#All],3,0)</f>
        <v>20000</v>
      </c>
      <c r="X328" s="20">
        <f>VLOOKUP(Таблица15[[#This Row],[Модель]],Таблица14[#All],4,0)</f>
        <v>18000</v>
      </c>
      <c r="Y328" s="4">
        <f>VLOOKUP(Таблица15[[#This Row],[Модель]],Таблица14[#All],5,0)</f>
        <v>24000</v>
      </c>
      <c r="Z328" t="str">
        <f>VLOOKUP(Таблица15[[#This Row],[Модель]],Таблица14[#All],6,0)</f>
        <v>АКПП</v>
      </c>
      <c r="AA328" t="str">
        <f>VLOOKUP(Таблица15[[#This Row],[Модель]],Таблица14[#All],7,0)</f>
        <v>Бензин</v>
      </c>
      <c r="AB328" t="str">
        <f>VLOOKUP(Таблица15[[#This Row],[Модель]],Таблица14[#All],8,0)</f>
        <v>Комфорт</v>
      </c>
      <c r="AC328" t="str">
        <f>VLOOKUP(Таблица15[[#This Row],[Модель]],Таблица14[#All],9,0)</f>
        <v>Средний</v>
      </c>
      <c r="AD328">
        <f>VLOOKUP(Таблица15[[#This Row],[Модель]],Таблица14[#All],10,0)</f>
        <v>160</v>
      </c>
      <c r="AE328">
        <f>VLOOKUP(Таблица15[[#This Row],[Модель]],Таблица14[#All],11,0)</f>
        <v>12.5</v>
      </c>
      <c r="AF328">
        <v>2022</v>
      </c>
      <c r="AG328">
        <v>0</v>
      </c>
      <c r="AH328" s="22">
        <f>VLOOKUP(Таблица15[[#This Row],[Модель]],Таблица14[#All],12,0)/1000000</f>
        <v>16.858000000000001</v>
      </c>
      <c r="AI328" s="21">
        <f>VLOOKUP(Таблица15[[#This Row],[Модель]],Таблица14[#All],13,0)/1000000</f>
        <v>14.739000000000001</v>
      </c>
      <c r="AJ328" s="21">
        <f>VLOOKUP(Таблица15[[#This Row],[Модель]],Таблица14[#All],14,0)/1000000</f>
        <v>18.977</v>
      </c>
      <c r="AK328" s="21">
        <f>Таблица15[[#This Row],[Средняя цена (USD)]]*Таблица15[[#This Row],[Кол-во проданных]]/1000000</f>
        <v>0</v>
      </c>
      <c r="AL328" s="39">
        <f>Таблица15[[#This Row],[Средняя цена млн. ₸]]/440*Таблица15[[#This Row],[Кол-во проданных]]</f>
        <v>0</v>
      </c>
      <c r="AM328" s="39">
        <f>Таблица15[[#This Row],[Средняя цена млн. ₸]]*Таблица15[[#This Row],[Кол-во проданных]]/1000</f>
        <v>0</v>
      </c>
      <c r="AR328" s="22"/>
      <c r="AS328" s="22"/>
      <c r="AT328" s="22"/>
    </row>
    <row r="329" spans="20:46">
      <c r="T329" t="s">
        <v>22</v>
      </c>
      <c r="U329" t="s">
        <v>103</v>
      </c>
      <c r="V329" t="str">
        <f>VLOOKUP(Таблица15[[#This Row],[Модель]],Таблица14[#All],2,0)</f>
        <v>Кроссовер</v>
      </c>
      <c r="W329" s="20">
        <f>VLOOKUP(Таблица15[[#This Row],[Модель]],Таблица14[#All],3,0)</f>
        <v>20000</v>
      </c>
      <c r="X329" s="20">
        <f>VLOOKUP(Таблица15[[#This Row],[Модель]],Таблица14[#All],4,0)</f>
        <v>18000</v>
      </c>
      <c r="Y329" s="4">
        <f>VLOOKUP(Таблица15[[#This Row],[Модель]],Таблица14[#All],5,0)</f>
        <v>24000</v>
      </c>
      <c r="Z329" t="str">
        <f>VLOOKUP(Таблица15[[#This Row],[Модель]],Таблица14[#All],6,0)</f>
        <v>АКПП</v>
      </c>
      <c r="AA329" t="str">
        <f>VLOOKUP(Таблица15[[#This Row],[Модель]],Таблица14[#All],7,0)</f>
        <v>Бензин</v>
      </c>
      <c r="AB329" t="str">
        <f>VLOOKUP(Таблица15[[#This Row],[Модель]],Таблица14[#All],8,0)</f>
        <v>Комфорт</v>
      </c>
      <c r="AC329" t="str">
        <f>VLOOKUP(Таблица15[[#This Row],[Модель]],Таблица14[#All],9,0)</f>
        <v>Средний</v>
      </c>
      <c r="AD329">
        <f>VLOOKUP(Таблица15[[#This Row],[Модель]],Таблица14[#All],10,0)</f>
        <v>160</v>
      </c>
      <c r="AE329">
        <f>VLOOKUP(Таблица15[[#This Row],[Модель]],Таблица14[#All],11,0)</f>
        <v>12.5</v>
      </c>
      <c r="AF329">
        <v>2021</v>
      </c>
      <c r="AG329">
        <v>1443</v>
      </c>
      <c r="AH329" s="22">
        <f>VLOOKUP(Таблица15[[#This Row],[Модель]],Таблица14[#All],12,0)/1000000</f>
        <v>16.858000000000001</v>
      </c>
      <c r="AI329" s="21">
        <f>VLOOKUP(Таблица15[[#This Row],[Модель]],Таблица14[#All],13,0)/1000000</f>
        <v>14.739000000000001</v>
      </c>
      <c r="AJ329" s="21">
        <f>VLOOKUP(Таблица15[[#This Row],[Модель]],Таблица14[#All],14,0)/1000000</f>
        <v>18.977</v>
      </c>
      <c r="AK329" s="21">
        <f>Таблица15[[#This Row],[Средняя цена (USD)]]*Таблица15[[#This Row],[Кол-во проданных]]/1000000</f>
        <v>28.86</v>
      </c>
      <c r="AL329" s="39">
        <f>Таблица15[[#This Row],[Средняя цена млн. ₸]]/440*Таблица15[[#This Row],[Кол-во проданных]]</f>
        <v>55.286577272727271</v>
      </c>
      <c r="AM329" s="39">
        <f>Таблица15[[#This Row],[Средняя цена млн. ₸]]*Таблица15[[#This Row],[Кол-во проданных]]/1000</f>
        <v>24.326094000000001</v>
      </c>
      <c r="AR329" s="22"/>
      <c r="AS329" s="22"/>
      <c r="AT329" s="22"/>
    </row>
    <row r="330" spans="20:46">
      <c r="T330" t="s">
        <v>22</v>
      </c>
      <c r="U330" t="s">
        <v>103</v>
      </c>
      <c r="V330" t="str">
        <f>VLOOKUP(Таблица15[[#This Row],[Модель]],Таблица14[#All],2,0)</f>
        <v>Кроссовер</v>
      </c>
      <c r="W330" s="20">
        <f>VLOOKUP(Таблица15[[#This Row],[Модель]],Таблица14[#All],3,0)</f>
        <v>20000</v>
      </c>
      <c r="X330" s="20">
        <f>VLOOKUP(Таблица15[[#This Row],[Модель]],Таблица14[#All],4,0)</f>
        <v>18000</v>
      </c>
      <c r="Y330" s="4">
        <f>VLOOKUP(Таблица15[[#This Row],[Модель]],Таблица14[#All],5,0)</f>
        <v>24000</v>
      </c>
      <c r="Z330" t="str">
        <f>VLOOKUP(Таблица15[[#This Row],[Модель]],Таблица14[#All],6,0)</f>
        <v>АКПП</v>
      </c>
      <c r="AA330" t="str">
        <f>VLOOKUP(Таблица15[[#This Row],[Модель]],Таблица14[#All],7,0)</f>
        <v>Бензин</v>
      </c>
      <c r="AB330" t="str">
        <f>VLOOKUP(Таблица15[[#This Row],[Модель]],Таблица14[#All],8,0)</f>
        <v>Комфорт</v>
      </c>
      <c r="AC330" t="str">
        <f>VLOOKUP(Таблица15[[#This Row],[Модель]],Таблица14[#All],9,0)</f>
        <v>Средний</v>
      </c>
      <c r="AD330">
        <f>VLOOKUP(Таблица15[[#This Row],[Модель]],Таблица14[#All],10,0)</f>
        <v>160</v>
      </c>
      <c r="AE330">
        <f>VLOOKUP(Таблица15[[#This Row],[Модель]],Таблица14[#All],11,0)</f>
        <v>12.5</v>
      </c>
      <c r="AF330">
        <v>2020</v>
      </c>
      <c r="AG330">
        <v>684</v>
      </c>
      <c r="AH330" s="22">
        <f>VLOOKUP(Таблица15[[#This Row],[Модель]],Таблица14[#All],12,0)/1000000</f>
        <v>16.858000000000001</v>
      </c>
      <c r="AI330" s="21">
        <f>VLOOKUP(Таблица15[[#This Row],[Модель]],Таблица14[#All],13,0)/1000000</f>
        <v>14.739000000000001</v>
      </c>
      <c r="AJ330" s="21">
        <f>VLOOKUP(Таблица15[[#This Row],[Модель]],Таблица14[#All],14,0)/1000000</f>
        <v>18.977</v>
      </c>
      <c r="AK330" s="21">
        <f>Таблица15[[#This Row],[Средняя цена (USD)]]*Таблица15[[#This Row],[Кол-во проданных]]/1000000</f>
        <v>13.68</v>
      </c>
      <c r="AL330" s="39">
        <f>Таблица15[[#This Row],[Средняя цена млн. ₸]]/440*Таблица15[[#This Row],[Кол-во проданных]]</f>
        <v>26.206527272727271</v>
      </c>
      <c r="AM330" s="39">
        <f>Таблица15[[#This Row],[Средняя цена млн. ₸]]*Таблица15[[#This Row],[Кол-во проданных]]/1000</f>
        <v>11.530872</v>
      </c>
      <c r="AR330" s="22"/>
      <c r="AS330" s="22"/>
      <c r="AT330" s="22"/>
    </row>
    <row r="331" spans="20:46">
      <c r="T331" t="s">
        <v>22</v>
      </c>
      <c r="U331" t="s">
        <v>103</v>
      </c>
      <c r="V331" t="str">
        <f>VLOOKUP(Таблица15[[#This Row],[Модель]],Таблица14[#All],2,0)</f>
        <v>Кроссовер</v>
      </c>
      <c r="W331" s="20">
        <f>VLOOKUP(Таблица15[[#This Row],[Модель]],Таблица14[#All],3,0)</f>
        <v>20000</v>
      </c>
      <c r="X331" s="20">
        <f>VLOOKUP(Таблица15[[#This Row],[Модель]],Таблица14[#All],4,0)</f>
        <v>18000</v>
      </c>
      <c r="Y331" s="4">
        <f>VLOOKUP(Таблица15[[#This Row],[Модель]],Таблица14[#All],5,0)</f>
        <v>24000</v>
      </c>
      <c r="Z331" t="str">
        <f>VLOOKUP(Таблица15[[#This Row],[Модель]],Таблица14[#All],6,0)</f>
        <v>АКПП</v>
      </c>
      <c r="AA331" t="str">
        <f>VLOOKUP(Таблица15[[#This Row],[Модель]],Таблица14[#All],7,0)</f>
        <v>Бензин</v>
      </c>
      <c r="AB331" t="str">
        <f>VLOOKUP(Таблица15[[#This Row],[Модель]],Таблица14[#All],8,0)</f>
        <v>Комфорт</v>
      </c>
      <c r="AC331" t="str">
        <f>VLOOKUP(Таблица15[[#This Row],[Модель]],Таблица14[#All],9,0)</f>
        <v>Средний</v>
      </c>
      <c r="AD331">
        <f>VLOOKUP(Таблица15[[#This Row],[Модель]],Таблица14[#All],10,0)</f>
        <v>160</v>
      </c>
      <c r="AE331">
        <f>VLOOKUP(Таблица15[[#This Row],[Модель]],Таблица14[#All],11,0)</f>
        <v>12.5</v>
      </c>
      <c r="AF331">
        <v>2019</v>
      </c>
      <c r="AG331">
        <v>841</v>
      </c>
      <c r="AH331" s="22">
        <f>VLOOKUP(Таблица15[[#This Row],[Модель]],Таблица14[#All],12,0)/1000000</f>
        <v>16.858000000000001</v>
      </c>
      <c r="AI331" s="21">
        <f>VLOOKUP(Таблица15[[#This Row],[Модель]],Таблица14[#All],13,0)/1000000</f>
        <v>14.739000000000001</v>
      </c>
      <c r="AJ331" s="21">
        <f>VLOOKUP(Таблица15[[#This Row],[Модель]],Таблица14[#All],14,0)/1000000</f>
        <v>18.977</v>
      </c>
      <c r="AK331" s="21">
        <f>Таблица15[[#This Row],[Средняя цена (USD)]]*Таблица15[[#This Row],[Кол-во проданных]]/1000000</f>
        <v>16.82</v>
      </c>
      <c r="AL331" s="39">
        <f>Таблица15[[#This Row],[Средняя цена млн. ₸]]/440*Таблица15[[#This Row],[Кол-во проданных]]</f>
        <v>32.221768181818177</v>
      </c>
      <c r="AM331" s="39">
        <f>Таблица15[[#This Row],[Средняя цена млн. ₸]]*Таблица15[[#This Row],[Кол-во проданных]]/1000</f>
        <v>14.177578</v>
      </c>
      <c r="AR331" s="22"/>
      <c r="AS331" s="22"/>
      <c r="AT331" s="22"/>
    </row>
    <row r="332" spans="20:46">
      <c r="T332" t="s">
        <v>22</v>
      </c>
      <c r="U332" t="s">
        <v>104</v>
      </c>
      <c r="V332" t="str">
        <f>VLOOKUP(Таблица15[[#This Row],[Модель]],Таблица14[#All],2,0)</f>
        <v>Внедорожник</v>
      </c>
      <c r="W332" s="20">
        <f>VLOOKUP(Таблица15[[#This Row],[Модель]],Таблица14[#All],3,0)</f>
        <v>18000</v>
      </c>
      <c r="X332" s="20">
        <f>VLOOKUP(Таблица15[[#This Row],[Модель]],Таблица14[#All],4,0)</f>
        <v>16000</v>
      </c>
      <c r="Y332" s="4">
        <f>VLOOKUP(Таблица15[[#This Row],[Модель]],Таблица14[#All],5,0)</f>
        <v>22000</v>
      </c>
      <c r="Z332" t="str">
        <f>VLOOKUP(Таблица15[[#This Row],[Модель]],Таблица14[#All],6,0)</f>
        <v>МКПП, АКПП</v>
      </c>
      <c r="AA332" t="str">
        <f>VLOOKUP(Таблица15[[#This Row],[Модель]],Таблица14[#All],7,0)</f>
        <v>Бензин</v>
      </c>
      <c r="AB332" t="str">
        <f>VLOOKUP(Таблица15[[#This Row],[Модель]],Таблица14[#All],8,0)</f>
        <v>Комфорт</v>
      </c>
      <c r="AC332" t="str">
        <f>VLOOKUP(Таблица15[[#This Row],[Модель]],Таблица14[#All],9,0)</f>
        <v>Средний</v>
      </c>
      <c r="AD332">
        <f>VLOOKUP(Таблица15[[#This Row],[Модель]],Таблица14[#All],10,0)</f>
        <v>150</v>
      </c>
      <c r="AE332">
        <f>VLOOKUP(Таблица15[[#This Row],[Модель]],Таблица14[#All],11,0)</f>
        <v>13.5</v>
      </c>
      <c r="AF332">
        <v>2023</v>
      </c>
      <c r="AG332">
        <v>0</v>
      </c>
      <c r="AH332" s="22">
        <f>VLOOKUP(Таблица15[[#This Row],[Модель]],Таблица14[#All],12,0)/1000000</f>
        <v>11.93</v>
      </c>
      <c r="AI332" s="21">
        <f>VLOOKUP(Таблица15[[#This Row],[Модель]],Таблица14[#All],13,0)/1000000</f>
        <v>10.829000000000001</v>
      </c>
      <c r="AJ332" s="21">
        <f>VLOOKUP(Таблица15[[#This Row],[Модель]],Таблица14[#All],14,0)/1000000</f>
        <v>13.031000000000001</v>
      </c>
      <c r="AK332" s="21">
        <f>Таблица15[[#This Row],[Средняя цена (USD)]]*Таблица15[[#This Row],[Кол-во проданных]]/1000000</f>
        <v>0</v>
      </c>
      <c r="AL332" s="39">
        <f>Таблица15[[#This Row],[Средняя цена млн. ₸]]/440*Таблица15[[#This Row],[Кол-во проданных]]</f>
        <v>0</v>
      </c>
      <c r="AM332" s="39">
        <f>Таблица15[[#This Row],[Средняя цена млн. ₸]]*Таблица15[[#This Row],[Кол-во проданных]]/1000</f>
        <v>0</v>
      </c>
      <c r="AR332" s="22"/>
      <c r="AS332" s="22"/>
      <c r="AT332" s="22"/>
    </row>
    <row r="333" spans="20:46">
      <c r="T333" t="s">
        <v>22</v>
      </c>
      <c r="U333" t="s">
        <v>104</v>
      </c>
      <c r="V333" t="str">
        <f>VLOOKUP(Таблица15[[#This Row],[Модель]],Таблица14[#All],2,0)</f>
        <v>Внедорожник</v>
      </c>
      <c r="W333" s="20">
        <f>VLOOKUP(Таблица15[[#This Row],[Модель]],Таблица14[#All],3,0)</f>
        <v>18000</v>
      </c>
      <c r="X333" s="20">
        <f>VLOOKUP(Таблица15[[#This Row],[Модель]],Таблица14[#All],4,0)</f>
        <v>16000</v>
      </c>
      <c r="Y333" s="4">
        <f>VLOOKUP(Таблица15[[#This Row],[Модель]],Таблица14[#All],5,0)</f>
        <v>22000</v>
      </c>
      <c r="Z333" t="str">
        <f>VLOOKUP(Таблица15[[#This Row],[Модель]],Таблица14[#All],6,0)</f>
        <v>МКПП, АКПП</v>
      </c>
      <c r="AA333" t="str">
        <f>VLOOKUP(Таблица15[[#This Row],[Модель]],Таблица14[#All],7,0)</f>
        <v>Бензин</v>
      </c>
      <c r="AB333" t="str">
        <f>VLOOKUP(Таблица15[[#This Row],[Модель]],Таблица14[#All],8,0)</f>
        <v>Комфорт</v>
      </c>
      <c r="AC333" t="str">
        <f>VLOOKUP(Таблица15[[#This Row],[Модель]],Таблица14[#All],9,0)</f>
        <v>Средний</v>
      </c>
      <c r="AD333">
        <f>VLOOKUP(Таблица15[[#This Row],[Модель]],Таблица14[#All],10,0)</f>
        <v>150</v>
      </c>
      <c r="AE333">
        <f>VLOOKUP(Таблица15[[#This Row],[Модель]],Таблица14[#All],11,0)</f>
        <v>13.5</v>
      </c>
      <c r="AF333">
        <v>2022</v>
      </c>
      <c r="AG333">
        <v>0</v>
      </c>
      <c r="AH333" s="22">
        <f>VLOOKUP(Таблица15[[#This Row],[Модель]],Таблица14[#All],12,0)/1000000</f>
        <v>11.93</v>
      </c>
      <c r="AI333" s="21">
        <f>VLOOKUP(Таблица15[[#This Row],[Модель]],Таблица14[#All],13,0)/1000000</f>
        <v>10.829000000000001</v>
      </c>
      <c r="AJ333" s="21">
        <f>VLOOKUP(Таблица15[[#This Row],[Модель]],Таблица14[#All],14,0)/1000000</f>
        <v>13.031000000000001</v>
      </c>
      <c r="AK333" s="21">
        <f>Таблица15[[#This Row],[Средняя цена (USD)]]*Таблица15[[#This Row],[Кол-во проданных]]/1000000</f>
        <v>0</v>
      </c>
      <c r="AL333" s="39">
        <f>Таблица15[[#This Row],[Средняя цена млн. ₸]]/440*Таблица15[[#This Row],[Кол-во проданных]]</f>
        <v>0</v>
      </c>
      <c r="AM333" s="39">
        <f>Таблица15[[#This Row],[Средняя цена млн. ₸]]*Таблица15[[#This Row],[Кол-во проданных]]/1000</f>
        <v>0</v>
      </c>
      <c r="AR333" s="22"/>
      <c r="AS333" s="22"/>
      <c r="AT333" s="22"/>
    </row>
    <row r="334" spans="20:46">
      <c r="T334" t="s">
        <v>22</v>
      </c>
      <c r="U334" t="s">
        <v>104</v>
      </c>
      <c r="V334" t="str">
        <f>VLOOKUP(Таблица15[[#This Row],[Модель]],Таблица14[#All],2,0)</f>
        <v>Внедорожник</v>
      </c>
      <c r="W334" s="20">
        <f>VLOOKUP(Таблица15[[#This Row],[Модель]],Таблица14[#All],3,0)</f>
        <v>18000</v>
      </c>
      <c r="X334" s="20">
        <f>VLOOKUP(Таблица15[[#This Row],[Модель]],Таблица14[#All],4,0)</f>
        <v>16000</v>
      </c>
      <c r="Y334" s="4">
        <f>VLOOKUP(Таблица15[[#This Row],[Модель]],Таблица14[#All],5,0)</f>
        <v>22000</v>
      </c>
      <c r="Z334" t="str">
        <f>VLOOKUP(Таблица15[[#This Row],[Модель]],Таблица14[#All],6,0)</f>
        <v>МКПП, АКПП</v>
      </c>
      <c r="AA334" t="str">
        <f>VLOOKUP(Таблица15[[#This Row],[Модель]],Таблица14[#All],7,0)</f>
        <v>Бензин</v>
      </c>
      <c r="AB334" t="str">
        <f>VLOOKUP(Таблица15[[#This Row],[Модель]],Таблица14[#All],8,0)</f>
        <v>Комфорт</v>
      </c>
      <c r="AC334" t="str">
        <f>VLOOKUP(Таблица15[[#This Row],[Модель]],Таблица14[#All],9,0)</f>
        <v>Средний</v>
      </c>
      <c r="AD334">
        <f>VLOOKUP(Таблица15[[#This Row],[Модель]],Таблица14[#All],10,0)</f>
        <v>150</v>
      </c>
      <c r="AE334">
        <f>VLOOKUP(Таблица15[[#This Row],[Модель]],Таблица14[#All],11,0)</f>
        <v>13.5</v>
      </c>
      <c r="AF334">
        <v>2021</v>
      </c>
      <c r="AG334">
        <v>1091</v>
      </c>
      <c r="AH334" s="22">
        <f>VLOOKUP(Таблица15[[#This Row],[Модель]],Таблица14[#All],12,0)/1000000</f>
        <v>11.93</v>
      </c>
      <c r="AI334" s="21">
        <f>VLOOKUP(Таблица15[[#This Row],[Модель]],Таблица14[#All],13,0)/1000000</f>
        <v>10.829000000000001</v>
      </c>
      <c r="AJ334" s="21">
        <f>VLOOKUP(Таблица15[[#This Row],[Модель]],Таблица14[#All],14,0)/1000000</f>
        <v>13.031000000000001</v>
      </c>
      <c r="AK334" s="21">
        <f>Таблица15[[#This Row],[Средняя цена (USD)]]*Таблица15[[#This Row],[Кол-во проданных]]/1000000</f>
        <v>19.638000000000002</v>
      </c>
      <c r="AL334" s="39">
        <f>Таблица15[[#This Row],[Средняя цена млн. ₸]]/440*Таблица15[[#This Row],[Кол-во проданных]]</f>
        <v>29.580977272727274</v>
      </c>
      <c r="AM334" s="39">
        <f>Таблица15[[#This Row],[Средняя цена млн. ₸]]*Таблица15[[#This Row],[Кол-во проданных]]/1000</f>
        <v>13.01563</v>
      </c>
      <c r="AR334" s="22"/>
      <c r="AS334" s="22"/>
      <c r="AT334" s="22"/>
    </row>
    <row r="335" spans="20:46">
      <c r="T335" t="s">
        <v>22</v>
      </c>
      <c r="U335" t="s">
        <v>104</v>
      </c>
      <c r="V335" t="str">
        <f>VLOOKUP(Таблица15[[#This Row],[Модель]],Таблица14[#All],2,0)</f>
        <v>Внедорожник</v>
      </c>
      <c r="W335" s="20">
        <f>VLOOKUP(Таблица15[[#This Row],[Модель]],Таблица14[#All],3,0)</f>
        <v>18000</v>
      </c>
      <c r="X335" s="20">
        <f>VLOOKUP(Таблица15[[#This Row],[Модель]],Таблица14[#All],4,0)</f>
        <v>16000</v>
      </c>
      <c r="Y335" s="4">
        <f>VLOOKUP(Таблица15[[#This Row],[Модель]],Таблица14[#All],5,0)</f>
        <v>22000</v>
      </c>
      <c r="Z335" t="str">
        <f>VLOOKUP(Таблица15[[#This Row],[Модель]],Таблица14[#All],6,0)</f>
        <v>МКПП, АКПП</v>
      </c>
      <c r="AA335" t="str">
        <f>VLOOKUP(Таблица15[[#This Row],[Модель]],Таблица14[#All],7,0)</f>
        <v>Бензин</v>
      </c>
      <c r="AB335" t="str">
        <f>VLOOKUP(Таблица15[[#This Row],[Модель]],Таблица14[#All],8,0)</f>
        <v>Комфорт</v>
      </c>
      <c r="AC335" t="str">
        <f>VLOOKUP(Таблица15[[#This Row],[Модель]],Таблица14[#All],9,0)</f>
        <v>Средний</v>
      </c>
      <c r="AD335">
        <f>VLOOKUP(Таблица15[[#This Row],[Модель]],Таблица14[#All],10,0)</f>
        <v>150</v>
      </c>
      <c r="AE335">
        <f>VLOOKUP(Таблица15[[#This Row],[Модель]],Таблица14[#All],11,0)</f>
        <v>13.5</v>
      </c>
      <c r="AF335">
        <v>2020</v>
      </c>
      <c r="AG335">
        <v>856</v>
      </c>
      <c r="AH335" s="22">
        <f>VLOOKUP(Таблица15[[#This Row],[Модель]],Таблица14[#All],12,0)/1000000</f>
        <v>11.93</v>
      </c>
      <c r="AI335" s="21">
        <f>VLOOKUP(Таблица15[[#This Row],[Модель]],Таблица14[#All],13,0)/1000000</f>
        <v>10.829000000000001</v>
      </c>
      <c r="AJ335" s="21">
        <f>VLOOKUP(Таблица15[[#This Row],[Модель]],Таблица14[#All],14,0)/1000000</f>
        <v>13.031000000000001</v>
      </c>
      <c r="AK335" s="21">
        <f>Таблица15[[#This Row],[Средняя цена (USD)]]*Таблица15[[#This Row],[Кол-во проданных]]/1000000</f>
        <v>15.407999999999999</v>
      </c>
      <c r="AL335" s="39">
        <f>Таблица15[[#This Row],[Средняя цена млн. ₸]]/440*Таблица15[[#This Row],[Кол-во проданных]]</f>
        <v>23.209272727272726</v>
      </c>
      <c r="AM335" s="39">
        <f>Таблица15[[#This Row],[Средняя цена млн. ₸]]*Таблица15[[#This Row],[Кол-во проданных]]/1000</f>
        <v>10.21208</v>
      </c>
      <c r="AR335" s="22"/>
      <c r="AS335" s="22"/>
      <c r="AT335" s="22"/>
    </row>
    <row r="336" spans="20:46">
      <c r="T336" t="s">
        <v>22</v>
      </c>
      <c r="U336" t="s">
        <v>104</v>
      </c>
      <c r="V336" t="str">
        <f>VLOOKUP(Таблица15[[#This Row],[Модель]],Таблица14[#All],2,0)</f>
        <v>Внедорожник</v>
      </c>
      <c r="W336" s="20">
        <f>VLOOKUP(Таблица15[[#This Row],[Модель]],Таблица14[#All],3,0)</f>
        <v>18000</v>
      </c>
      <c r="X336" s="20">
        <f>VLOOKUP(Таблица15[[#This Row],[Модель]],Таблица14[#All],4,0)</f>
        <v>16000</v>
      </c>
      <c r="Y336" s="4">
        <f>VLOOKUP(Таблица15[[#This Row],[Модель]],Таблица14[#All],5,0)</f>
        <v>22000</v>
      </c>
      <c r="Z336" t="str">
        <f>VLOOKUP(Таблица15[[#This Row],[Модель]],Таблица14[#All],6,0)</f>
        <v>МКПП, АКПП</v>
      </c>
      <c r="AA336" t="str">
        <f>VLOOKUP(Таблица15[[#This Row],[Модель]],Таблица14[#All],7,0)</f>
        <v>Бензин</v>
      </c>
      <c r="AB336" t="str">
        <f>VLOOKUP(Таблица15[[#This Row],[Модель]],Таблица14[#All],8,0)</f>
        <v>Комфорт</v>
      </c>
      <c r="AC336" t="str">
        <f>VLOOKUP(Таблица15[[#This Row],[Модель]],Таблица14[#All],9,0)</f>
        <v>Средний</v>
      </c>
      <c r="AD336">
        <f>VLOOKUP(Таблица15[[#This Row],[Модель]],Таблица14[#All],10,0)</f>
        <v>150</v>
      </c>
      <c r="AE336">
        <f>VLOOKUP(Таблица15[[#This Row],[Модель]],Таблица14[#All],11,0)</f>
        <v>13.5</v>
      </c>
      <c r="AF336">
        <v>2019</v>
      </c>
      <c r="AG336">
        <v>789</v>
      </c>
      <c r="AH336" s="22">
        <f>VLOOKUP(Таблица15[[#This Row],[Модель]],Таблица14[#All],12,0)/1000000</f>
        <v>11.93</v>
      </c>
      <c r="AI336" s="21">
        <f>VLOOKUP(Таблица15[[#This Row],[Модель]],Таблица14[#All],13,0)/1000000</f>
        <v>10.829000000000001</v>
      </c>
      <c r="AJ336" s="21">
        <f>VLOOKUP(Таблица15[[#This Row],[Модель]],Таблица14[#All],14,0)/1000000</f>
        <v>13.031000000000001</v>
      </c>
      <c r="AK336" s="21">
        <f>Таблица15[[#This Row],[Средняя цена (USD)]]*Таблица15[[#This Row],[Кол-во проданных]]/1000000</f>
        <v>14.202</v>
      </c>
      <c r="AL336" s="39">
        <f>Таблица15[[#This Row],[Средняя цена млн. ₸]]/440*Таблица15[[#This Row],[Кол-во проданных]]</f>
        <v>21.392659090909092</v>
      </c>
      <c r="AM336" s="39">
        <f>Таблица15[[#This Row],[Средняя цена млн. ₸]]*Таблица15[[#This Row],[Кол-во проданных]]/1000</f>
        <v>9.4127700000000001</v>
      </c>
      <c r="AR336" s="22"/>
      <c r="AS336" s="22"/>
      <c r="AT336" s="22"/>
    </row>
    <row r="337" spans="20:46">
      <c r="T337" t="s">
        <v>22</v>
      </c>
      <c r="U337" t="s">
        <v>102</v>
      </c>
      <c r="V337" t="str">
        <f>VLOOKUP(Таблица15[[#This Row],[Модель]],Таблица14[#All],2,0)</f>
        <v>Внедорожник</v>
      </c>
      <c r="W337" s="20">
        <f>VLOOKUP(Таблица15[[#This Row],[Модель]],Таблица14[#All],3,0)</f>
        <v>25000</v>
      </c>
      <c r="X337" s="20">
        <f>VLOOKUP(Таблица15[[#This Row],[Модель]],Таблица14[#All],4,0)</f>
        <v>22000</v>
      </c>
      <c r="Y337" s="4">
        <f>VLOOKUP(Таблица15[[#This Row],[Модель]],Таблица14[#All],5,0)</f>
        <v>30000</v>
      </c>
      <c r="Z337" t="str">
        <f>VLOOKUP(Таблица15[[#This Row],[Модель]],Таблица14[#All],6,0)</f>
        <v>АКПП</v>
      </c>
      <c r="AA337" t="str">
        <f>VLOOKUP(Таблица15[[#This Row],[Модель]],Таблица14[#All],7,0)</f>
        <v>Бензин, Дизель, Гибрид</v>
      </c>
      <c r="AB337" t="str">
        <f>VLOOKUP(Таблица15[[#This Row],[Модель]],Таблица14[#All],8,0)</f>
        <v>Комфорт</v>
      </c>
      <c r="AC337" t="str">
        <f>VLOOKUP(Таблица15[[#This Row],[Модель]],Таблица14[#All],9,0)</f>
        <v>Средний</v>
      </c>
      <c r="AD337">
        <f>VLOOKUP(Таблица15[[#This Row],[Модель]],Таблица14[#All],10,0)</f>
        <v>190</v>
      </c>
      <c r="AE337">
        <f>VLOOKUP(Таблица15[[#This Row],[Модель]],Таблица14[#All],11,0)</f>
        <v>11.5</v>
      </c>
      <c r="AF337">
        <v>2023</v>
      </c>
      <c r="AG337">
        <v>0</v>
      </c>
      <c r="AH337" s="22">
        <f>VLOOKUP(Таблица15[[#This Row],[Модель]],Таблица14[#All],12,0)/1000000</f>
        <v>19.512499999999999</v>
      </c>
      <c r="AI337" s="21">
        <f>VLOOKUP(Таблица15[[#This Row],[Модель]],Таблица14[#All],13,0)/1000000</f>
        <v>16.856000000000002</v>
      </c>
      <c r="AJ337" s="21">
        <f>VLOOKUP(Таблица15[[#This Row],[Модель]],Таблица14[#All],14,0)/1000000</f>
        <v>22.169</v>
      </c>
      <c r="AK337" s="21">
        <f>Таблица15[[#This Row],[Средняя цена (USD)]]*Таблица15[[#This Row],[Кол-во проданных]]/1000000</f>
        <v>0</v>
      </c>
      <c r="AL337" s="39">
        <f>Таблица15[[#This Row],[Средняя цена млн. ₸]]/440*Таблица15[[#This Row],[Кол-во проданных]]</f>
        <v>0</v>
      </c>
      <c r="AM337" s="39">
        <f>Таблица15[[#This Row],[Средняя цена млн. ₸]]*Таблица15[[#This Row],[Кол-во проданных]]/1000</f>
        <v>0</v>
      </c>
      <c r="AR337" s="22"/>
      <c r="AS337" s="22"/>
      <c r="AT337" s="22"/>
    </row>
    <row r="338" spans="20:46">
      <c r="T338" t="s">
        <v>22</v>
      </c>
      <c r="U338" t="s">
        <v>102</v>
      </c>
      <c r="V338" t="str">
        <f>VLOOKUP(Таблица15[[#This Row],[Модель]],Таблица14[#All],2,0)</f>
        <v>Внедорожник</v>
      </c>
      <c r="W338" s="20">
        <f>VLOOKUP(Таблица15[[#This Row],[Модель]],Таблица14[#All],3,0)</f>
        <v>25000</v>
      </c>
      <c r="X338" s="20">
        <f>VLOOKUP(Таблица15[[#This Row],[Модель]],Таблица14[#All],4,0)</f>
        <v>22000</v>
      </c>
      <c r="Y338" s="4">
        <f>VLOOKUP(Таблица15[[#This Row],[Модель]],Таблица14[#All],5,0)</f>
        <v>30000</v>
      </c>
      <c r="Z338" t="str">
        <f>VLOOKUP(Таблица15[[#This Row],[Модель]],Таблица14[#All],6,0)</f>
        <v>АКПП</v>
      </c>
      <c r="AA338" t="str">
        <f>VLOOKUP(Таблица15[[#This Row],[Модель]],Таблица14[#All],7,0)</f>
        <v>Бензин, Дизель, Гибрид</v>
      </c>
      <c r="AB338" t="str">
        <f>VLOOKUP(Таблица15[[#This Row],[Модель]],Таблица14[#All],8,0)</f>
        <v>Комфорт</v>
      </c>
      <c r="AC338" t="str">
        <f>VLOOKUP(Таблица15[[#This Row],[Модель]],Таблица14[#All],9,0)</f>
        <v>Средний</v>
      </c>
      <c r="AD338">
        <f>VLOOKUP(Таблица15[[#This Row],[Модель]],Таблица14[#All],10,0)</f>
        <v>190</v>
      </c>
      <c r="AE338">
        <f>VLOOKUP(Таблица15[[#This Row],[Модель]],Таблица14[#All],11,0)</f>
        <v>11.5</v>
      </c>
      <c r="AF338">
        <v>2022</v>
      </c>
      <c r="AG338">
        <v>447</v>
      </c>
      <c r="AH338" s="22">
        <f>VLOOKUP(Таблица15[[#This Row],[Модель]],Таблица14[#All],12,0)/1000000</f>
        <v>19.512499999999999</v>
      </c>
      <c r="AI338" s="21">
        <f>VLOOKUP(Таблица15[[#This Row],[Модель]],Таблица14[#All],13,0)/1000000</f>
        <v>16.856000000000002</v>
      </c>
      <c r="AJ338" s="21">
        <f>VLOOKUP(Таблица15[[#This Row],[Модель]],Таблица14[#All],14,0)/1000000</f>
        <v>22.169</v>
      </c>
      <c r="AK338" s="21">
        <f>Таблица15[[#This Row],[Средняя цена (USD)]]*Таблица15[[#This Row],[Кол-во проданных]]/1000000</f>
        <v>11.175000000000001</v>
      </c>
      <c r="AL338" s="39">
        <f>Таблица15[[#This Row],[Средняя цена млн. ₸]]/440*Таблица15[[#This Row],[Кол-во проданных]]</f>
        <v>19.822926136363634</v>
      </c>
      <c r="AM338" s="39">
        <f>Таблица15[[#This Row],[Средняя цена млн. ₸]]*Таблица15[[#This Row],[Кол-во проданных]]/1000</f>
        <v>8.7220874999999989</v>
      </c>
      <c r="AR338" s="22"/>
      <c r="AS338" s="22"/>
      <c r="AT338" s="22"/>
    </row>
    <row r="339" spans="20:46">
      <c r="T339" t="s">
        <v>22</v>
      </c>
      <c r="U339" t="s">
        <v>102</v>
      </c>
      <c r="V339" t="str">
        <f>VLOOKUP(Таблица15[[#This Row],[Модель]],Таблица14[#All],2,0)</f>
        <v>Внедорожник</v>
      </c>
      <c r="W339" s="20">
        <f>VLOOKUP(Таблица15[[#This Row],[Модель]],Таблица14[#All],3,0)</f>
        <v>25000</v>
      </c>
      <c r="X339" s="20">
        <f>VLOOKUP(Таблица15[[#This Row],[Модель]],Таблица14[#All],4,0)</f>
        <v>22000</v>
      </c>
      <c r="Y339" s="4">
        <f>VLOOKUP(Таблица15[[#This Row],[Модель]],Таблица14[#All],5,0)</f>
        <v>30000</v>
      </c>
      <c r="Z339" t="str">
        <f>VLOOKUP(Таблица15[[#This Row],[Модель]],Таблица14[#All],6,0)</f>
        <v>АКПП</v>
      </c>
      <c r="AA339" t="str">
        <f>VLOOKUP(Таблица15[[#This Row],[Модель]],Таблица14[#All],7,0)</f>
        <v>Бензин, Дизель, Гибрид</v>
      </c>
      <c r="AB339" t="str">
        <f>VLOOKUP(Таблица15[[#This Row],[Модель]],Таблица14[#All],8,0)</f>
        <v>Комфорт</v>
      </c>
      <c r="AC339" t="str">
        <f>VLOOKUP(Таблица15[[#This Row],[Модель]],Таблица14[#All],9,0)</f>
        <v>Средний</v>
      </c>
      <c r="AD339">
        <f>VLOOKUP(Таблица15[[#This Row],[Модель]],Таблица14[#All],10,0)</f>
        <v>190</v>
      </c>
      <c r="AE339">
        <f>VLOOKUP(Таблица15[[#This Row],[Модель]],Таблица14[#All],11,0)</f>
        <v>11.5</v>
      </c>
      <c r="AF339">
        <v>2021</v>
      </c>
      <c r="AG339">
        <v>1363</v>
      </c>
      <c r="AH339" s="22">
        <f>VLOOKUP(Таблица15[[#This Row],[Модель]],Таблица14[#All],12,0)/1000000</f>
        <v>19.512499999999999</v>
      </c>
      <c r="AI339" s="21">
        <f>VLOOKUP(Таблица15[[#This Row],[Модель]],Таблица14[#All],13,0)/1000000</f>
        <v>16.856000000000002</v>
      </c>
      <c r="AJ339" s="21">
        <f>VLOOKUP(Таблица15[[#This Row],[Модель]],Таблица14[#All],14,0)/1000000</f>
        <v>22.169</v>
      </c>
      <c r="AK339" s="21">
        <f>Таблица15[[#This Row],[Средняя цена (USD)]]*Таблица15[[#This Row],[Кол-во проданных]]/1000000</f>
        <v>34.075000000000003</v>
      </c>
      <c r="AL339" s="39">
        <f>Таблица15[[#This Row],[Средняя цена млн. ₸]]/440*Таблица15[[#This Row],[Кол-во проданных]]</f>
        <v>60.444403409090903</v>
      </c>
      <c r="AM339" s="39">
        <f>Таблица15[[#This Row],[Средняя цена млн. ₸]]*Таблица15[[#This Row],[Кол-во проданных]]/1000</f>
        <v>26.595537499999999</v>
      </c>
      <c r="AR339" s="22"/>
      <c r="AS339" s="22"/>
      <c r="AT339" s="22"/>
    </row>
    <row r="340" spans="20:46">
      <c r="T340" t="s">
        <v>22</v>
      </c>
      <c r="U340" t="s">
        <v>102</v>
      </c>
      <c r="V340" t="str">
        <f>VLOOKUP(Таблица15[[#This Row],[Модель]],Таблица14[#All],2,0)</f>
        <v>Внедорожник</v>
      </c>
      <c r="W340" s="20">
        <f>VLOOKUP(Таблица15[[#This Row],[Модель]],Таблица14[#All],3,0)</f>
        <v>25000</v>
      </c>
      <c r="X340" s="20">
        <f>VLOOKUP(Таблица15[[#This Row],[Модель]],Таблица14[#All],4,0)</f>
        <v>22000</v>
      </c>
      <c r="Y340" s="4">
        <f>VLOOKUP(Таблица15[[#This Row],[Модель]],Таблица14[#All],5,0)</f>
        <v>30000</v>
      </c>
      <c r="Z340" t="str">
        <f>VLOOKUP(Таблица15[[#This Row],[Модель]],Таблица14[#All],6,0)</f>
        <v>АКПП</v>
      </c>
      <c r="AA340" t="str">
        <f>VLOOKUP(Таблица15[[#This Row],[Модель]],Таблица14[#All],7,0)</f>
        <v>Бензин, Дизель, Гибрид</v>
      </c>
      <c r="AB340" t="str">
        <f>VLOOKUP(Таблица15[[#This Row],[Модель]],Таблица14[#All],8,0)</f>
        <v>Комфорт</v>
      </c>
      <c r="AC340" t="str">
        <f>VLOOKUP(Таблица15[[#This Row],[Модель]],Таблица14[#All],9,0)</f>
        <v>Средний</v>
      </c>
      <c r="AD340">
        <f>VLOOKUP(Таблица15[[#This Row],[Модель]],Таблица14[#All],10,0)</f>
        <v>190</v>
      </c>
      <c r="AE340">
        <f>VLOOKUP(Таблица15[[#This Row],[Модель]],Таблица14[#All],11,0)</f>
        <v>11.5</v>
      </c>
      <c r="AF340">
        <v>2020</v>
      </c>
      <c r="AG340">
        <v>847</v>
      </c>
      <c r="AH340" s="22">
        <f>VLOOKUP(Таблица15[[#This Row],[Модель]],Таблица14[#All],12,0)/1000000</f>
        <v>19.512499999999999</v>
      </c>
      <c r="AI340" s="21">
        <f>VLOOKUP(Таблица15[[#This Row],[Модель]],Таблица14[#All],13,0)/1000000</f>
        <v>16.856000000000002</v>
      </c>
      <c r="AJ340" s="21">
        <f>VLOOKUP(Таблица15[[#This Row],[Модель]],Таблица14[#All],14,0)/1000000</f>
        <v>22.169</v>
      </c>
      <c r="AK340" s="21">
        <f>Таблица15[[#This Row],[Средняя цена (USD)]]*Таблица15[[#This Row],[Кол-во проданных]]/1000000</f>
        <v>21.175000000000001</v>
      </c>
      <c r="AL340" s="39">
        <f>Таблица15[[#This Row],[Средняя цена млн. ₸]]/440*Таблица15[[#This Row],[Кол-во проданных]]</f>
        <v>37.561562499999994</v>
      </c>
      <c r="AM340" s="39">
        <f>Таблица15[[#This Row],[Средняя цена млн. ₸]]*Таблица15[[#This Row],[Кол-во проданных]]/1000</f>
        <v>16.527087499999997</v>
      </c>
      <c r="AR340" s="22"/>
      <c r="AS340" s="22"/>
      <c r="AT340" s="22"/>
    </row>
    <row r="341" spans="20:46">
      <c r="T341" t="s">
        <v>22</v>
      </c>
      <c r="U341" t="s">
        <v>102</v>
      </c>
      <c r="V341" t="str">
        <f>VLOOKUP(Таблица15[[#This Row],[Модель]],Таблица14[#All],2,0)</f>
        <v>Внедорожник</v>
      </c>
      <c r="W341" s="20">
        <f>VLOOKUP(Таблица15[[#This Row],[Модель]],Таблица14[#All],3,0)</f>
        <v>25000</v>
      </c>
      <c r="X341" s="20">
        <f>VLOOKUP(Таблица15[[#This Row],[Модель]],Таблица14[#All],4,0)</f>
        <v>22000</v>
      </c>
      <c r="Y341" s="4">
        <f>VLOOKUP(Таблица15[[#This Row],[Модель]],Таблица14[#All],5,0)</f>
        <v>30000</v>
      </c>
      <c r="Z341" t="str">
        <f>VLOOKUP(Таблица15[[#This Row],[Модель]],Таблица14[#All],6,0)</f>
        <v>АКПП</v>
      </c>
      <c r="AA341" t="str">
        <f>VLOOKUP(Таблица15[[#This Row],[Модель]],Таблица14[#All],7,0)</f>
        <v>Бензин, Дизель, Гибрид</v>
      </c>
      <c r="AB341" t="str">
        <f>VLOOKUP(Таблица15[[#This Row],[Модель]],Таблица14[#All],8,0)</f>
        <v>Комфорт</v>
      </c>
      <c r="AC341" t="str">
        <f>VLOOKUP(Таблица15[[#This Row],[Модель]],Таблица14[#All],9,0)</f>
        <v>Средний</v>
      </c>
      <c r="AD341">
        <f>VLOOKUP(Таблица15[[#This Row],[Модель]],Таблица14[#All],10,0)</f>
        <v>190</v>
      </c>
      <c r="AE341">
        <f>VLOOKUP(Таблица15[[#This Row],[Модель]],Таблица14[#All],11,0)</f>
        <v>11.5</v>
      </c>
      <c r="AF341">
        <v>2019</v>
      </c>
      <c r="AG341">
        <v>661</v>
      </c>
      <c r="AH341" s="22">
        <f>VLOOKUP(Таблица15[[#This Row],[Модель]],Таблица14[#All],12,0)/1000000</f>
        <v>19.512499999999999</v>
      </c>
      <c r="AI341" s="21">
        <f>VLOOKUP(Таблица15[[#This Row],[Модель]],Таблица14[#All],13,0)/1000000</f>
        <v>16.856000000000002</v>
      </c>
      <c r="AJ341" s="21">
        <f>VLOOKUP(Таблица15[[#This Row],[Модель]],Таблица14[#All],14,0)/1000000</f>
        <v>22.169</v>
      </c>
      <c r="AK341" s="21">
        <f>Таблица15[[#This Row],[Средняя цена (USD)]]*Таблица15[[#This Row],[Кол-во проданных]]/1000000</f>
        <v>16.524999999999999</v>
      </c>
      <c r="AL341" s="39">
        <f>Таблица15[[#This Row],[Средняя цена млн. ₸]]/440*Таблица15[[#This Row],[Кол-во проданных]]</f>
        <v>29.313096590909087</v>
      </c>
      <c r="AM341" s="39">
        <f>Таблица15[[#This Row],[Средняя цена млн. ₸]]*Таблица15[[#This Row],[Кол-во проданных]]/1000</f>
        <v>12.897762499999999</v>
      </c>
      <c r="AR341" s="22"/>
      <c r="AS341" s="22"/>
      <c r="AT341" s="22"/>
    </row>
    <row r="342" spans="20:46">
      <c r="T342" t="s">
        <v>126</v>
      </c>
      <c r="U342" t="s">
        <v>86</v>
      </c>
      <c r="V342" t="str">
        <f>VLOOKUP(Таблица15[[#This Row],[Модель]],Таблица14[#All],2,0)</f>
        <v>Кроссовер</v>
      </c>
      <c r="W342" s="20">
        <f>VLOOKUP(Таблица15[[#This Row],[Модель]],Таблица14[#All],3,0)</f>
        <v>18000</v>
      </c>
      <c r="X342" s="20">
        <f>VLOOKUP(Таблица15[[#This Row],[Модель]],Таблица14[#All],4,0)</f>
        <v>16000</v>
      </c>
      <c r="Y342" s="4">
        <f>VLOOKUP(Таблица15[[#This Row],[Модель]],Таблица14[#All],5,0)</f>
        <v>22000</v>
      </c>
      <c r="Z342" t="str">
        <f>VLOOKUP(Таблица15[[#This Row],[Модель]],Таблица14[#All],6,0)</f>
        <v>АКПП</v>
      </c>
      <c r="AA342" t="str">
        <f>VLOOKUP(Таблица15[[#This Row],[Модель]],Таблица14[#All],7,0)</f>
        <v>Бензин</v>
      </c>
      <c r="AB342" t="str">
        <f>VLOOKUP(Таблица15[[#This Row],[Модель]],Таблица14[#All],8,0)</f>
        <v>Комфорт</v>
      </c>
      <c r="AC342" t="str">
        <f>VLOOKUP(Таблица15[[#This Row],[Модель]],Таблица14[#All],9,0)</f>
        <v>Средний</v>
      </c>
      <c r="AD342">
        <f>VLOOKUP(Таблица15[[#This Row],[Модель]],Таблица14[#All],10,0)</f>
        <v>150</v>
      </c>
      <c r="AE342">
        <f>VLOOKUP(Таблица15[[#This Row],[Модель]],Таблица14[#All],11,0)</f>
        <v>13.5</v>
      </c>
      <c r="AF342">
        <v>2023</v>
      </c>
      <c r="AG342">
        <v>820</v>
      </c>
      <c r="AH342" s="22">
        <f>VLOOKUP(Таблица15[[#This Row],[Модель]],Таблица14[#All],12,0)/1000000</f>
        <v>12.59</v>
      </c>
      <c r="AI342" s="21">
        <f>VLOOKUP(Таблица15[[#This Row],[Модель]],Таблица14[#All],13,0)/1000000</f>
        <v>11.89</v>
      </c>
      <c r="AJ342" s="21">
        <f>VLOOKUP(Таблица15[[#This Row],[Модель]],Таблица14[#All],14,0)/1000000</f>
        <v>13.29</v>
      </c>
      <c r="AK342" s="21">
        <f>Таблица15[[#This Row],[Средняя цена (USD)]]*Таблица15[[#This Row],[Кол-во проданных]]/1000000</f>
        <v>14.76</v>
      </c>
      <c r="AL342" s="39">
        <f>Таблица15[[#This Row],[Средняя цена млн. ₸]]/440*Таблица15[[#This Row],[Кол-во проданных]]</f>
        <v>23.463181818181816</v>
      </c>
      <c r="AM342" s="39">
        <f>Таблица15[[#This Row],[Средняя цена млн. ₸]]*Таблица15[[#This Row],[Кол-во проданных]]/1000</f>
        <v>10.323799999999999</v>
      </c>
      <c r="AR342" s="22"/>
      <c r="AS342" s="22"/>
      <c r="AT342" s="22"/>
    </row>
    <row r="343" spans="20:46">
      <c r="T343" t="s">
        <v>126</v>
      </c>
      <c r="U343" t="s">
        <v>86</v>
      </c>
      <c r="V343" t="str">
        <f>VLOOKUP(Таблица15[[#This Row],[Модель]],Таблица14[#All],2,0)</f>
        <v>Кроссовер</v>
      </c>
      <c r="W343" s="20">
        <f>VLOOKUP(Таблица15[[#This Row],[Модель]],Таблица14[#All],3,0)</f>
        <v>18000</v>
      </c>
      <c r="X343" s="20">
        <f>VLOOKUP(Таблица15[[#This Row],[Модель]],Таблица14[#All],4,0)</f>
        <v>16000</v>
      </c>
      <c r="Y343" s="4">
        <f>VLOOKUP(Таблица15[[#This Row],[Модель]],Таблица14[#All],5,0)</f>
        <v>22000</v>
      </c>
      <c r="Z343" t="str">
        <f>VLOOKUP(Таблица15[[#This Row],[Модель]],Таблица14[#All],6,0)</f>
        <v>АКПП</v>
      </c>
      <c r="AA343" t="str">
        <f>VLOOKUP(Таблица15[[#This Row],[Модель]],Таблица14[#All],7,0)</f>
        <v>Бензин</v>
      </c>
      <c r="AB343" t="str">
        <f>VLOOKUP(Таблица15[[#This Row],[Модель]],Таблица14[#All],8,0)</f>
        <v>Комфорт</v>
      </c>
      <c r="AC343" t="str">
        <f>VLOOKUP(Таблица15[[#This Row],[Модель]],Таблица14[#All],9,0)</f>
        <v>Средний</v>
      </c>
      <c r="AD343">
        <f>VLOOKUP(Таблица15[[#This Row],[Модель]],Таблица14[#All],10,0)</f>
        <v>150</v>
      </c>
      <c r="AE343">
        <f>VLOOKUP(Таблица15[[#This Row],[Модель]],Таблица14[#All],11,0)</f>
        <v>13.5</v>
      </c>
      <c r="AF343">
        <v>2022</v>
      </c>
      <c r="AG343">
        <v>0</v>
      </c>
      <c r="AH343" s="22">
        <f>VLOOKUP(Таблица15[[#This Row],[Модель]],Таблица14[#All],12,0)/1000000</f>
        <v>12.59</v>
      </c>
      <c r="AI343" s="21">
        <f>VLOOKUP(Таблица15[[#This Row],[Модель]],Таблица14[#All],13,0)/1000000</f>
        <v>11.89</v>
      </c>
      <c r="AJ343" s="21">
        <f>VLOOKUP(Таблица15[[#This Row],[Модель]],Таблица14[#All],14,0)/1000000</f>
        <v>13.29</v>
      </c>
      <c r="AK343" s="21">
        <f>Таблица15[[#This Row],[Средняя цена (USD)]]*Таблица15[[#This Row],[Кол-во проданных]]/1000000</f>
        <v>0</v>
      </c>
      <c r="AL343" s="39">
        <f>Таблица15[[#This Row],[Средняя цена млн. ₸]]/440*Таблица15[[#This Row],[Кол-во проданных]]</f>
        <v>0</v>
      </c>
      <c r="AM343" s="39">
        <f>Таблица15[[#This Row],[Средняя цена млн. ₸]]*Таблица15[[#This Row],[Кол-во проданных]]/1000</f>
        <v>0</v>
      </c>
      <c r="AR343" s="22"/>
      <c r="AS343" s="22"/>
      <c r="AT343" s="22"/>
    </row>
    <row r="344" spans="20:46">
      <c r="T344" t="s">
        <v>126</v>
      </c>
      <c r="U344" t="s">
        <v>86</v>
      </c>
      <c r="V344" t="str">
        <f>VLOOKUP(Таблица15[[#This Row],[Модель]],Таблица14[#All],2,0)</f>
        <v>Кроссовер</v>
      </c>
      <c r="W344" s="20">
        <f>VLOOKUP(Таблица15[[#This Row],[Модель]],Таблица14[#All],3,0)</f>
        <v>18000</v>
      </c>
      <c r="X344" s="20">
        <f>VLOOKUP(Таблица15[[#This Row],[Модель]],Таблица14[#All],4,0)</f>
        <v>16000</v>
      </c>
      <c r="Y344" s="4">
        <f>VLOOKUP(Таблица15[[#This Row],[Модель]],Таблица14[#All],5,0)</f>
        <v>22000</v>
      </c>
      <c r="Z344" t="str">
        <f>VLOOKUP(Таблица15[[#This Row],[Модель]],Таблица14[#All],6,0)</f>
        <v>АКПП</v>
      </c>
      <c r="AA344" t="str">
        <f>VLOOKUP(Таблица15[[#This Row],[Модель]],Таблица14[#All],7,0)</f>
        <v>Бензин</v>
      </c>
      <c r="AB344" t="str">
        <f>VLOOKUP(Таблица15[[#This Row],[Модель]],Таблица14[#All],8,0)</f>
        <v>Комфорт</v>
      </c>
      <c r="AC344" t="str">
        <f>VLOOKUP(Таблица15[[#This Row],[Модель]],Таблица14[#All],9,0)</f>
        <v>Средний</v>
      </c>
      <c r="AD344">
        <f>VLOOKUP(Таблица15[[#This Row],[Модель]],Таблица14[#All],10,0)</f>
        <v>150</v>
      </c>
      <c r="AE344">
        <f>VLOOKUP(Таблица15[[#This Row],[Модель]],Таблица14[#All],11,0)</f>
        <v>13.5</v>
      </c>
      <c r="AF344">
        <v>2021</v>
      </c>
      <c r="AG344">
        <v>0</v>
      </c>
      <c r="AH344" s="22">
        <f>VLOOKUP(Таблица15[[#This Row],[Модель]],Таблица14[#All],12,0)/1000000</f>
        <v>12.59</v>
      </c>
      <c r="AI344" s="21">
        <f>VLOOKUP(Таблица15[[#This Row],[Модель]],Таблица14[#All],13,0)/1000000</f>
        <v>11.89</v>
      </c>
      <c r="AJ344" s="21">
        <f>VLOOKUP(Таблица15[[#This Row],[Модель]],Таблица14[#All],14,0)/1000000</f>
        <v>13.29</v>
      </c>
      <c r="AK344" s="21">
        <f>Таблица15[[#This Row],[Средняя цена (USD)]]*Таблица15[[#This Row],[Кол-во проданных]]/1000000</f>
        <v>0</v>
      </c>
      <c r="AL344" s="39">
        <f>Таблица15[[#This Row],[Средняя цена млн. ₸]]/440*Таблица15[[#This Row],[Кол-во проданных]]</f>
        <v>0</v>
      </c>
      <c r="AM344" s="39">
        <f>Таблица15[[#This Row],[Средняя цена млн. ₸]]*Таблица15[[#This Row],[Кол-во проданных]]/1000</f>
        <v>0</v>
      </c>
      <c r="AR344" s="22"/>
      <c r="AS344" s="22"/>
      <c r="AT344" s="22"/>
    </row>
    <row r="345" spans="20:46">
      <c r="T345" t="s">
        <v>126</v>
      </c>
      <c r="U345" t="s">
        <v>86</v>
      </c>
      <c r="V345" t="str">
        <f>VLOOKUP(Таблица15[[#This Row],[Модель]],Таблица14[#All],2,0)</f>
        <v>Кроссовер</v>
      </c>
      <c r="W345" s="20">
        <f>VLOOKUP(Таблица15[[#This Row],[Модель]],Таблица14[#All],3,0)</f>
        <v>18000</v>
      </c>
      <c r="X345" s="20">
        <f>VLOOKUP(Таблица15[[#This Row],[Модель]],Таблица14[#All],4,0)</f>
        <v>16000</v>
      </c>
      <c r="Y345" s="4">
        <f>VLOOKUP(Таблица15[[#This Row],[Модель]],Таблица14[#All],5,0)</f>
        <v>22000</v>
      </c>
      <c r="Z345" t="str">
        <f>VLOOKUP(Таблица15[[#This Row],[Модель]],Таблица14[#All],6,0)</f>
        <v>АКПП</v>
      </c>
      <c r="AA345" t="str">
        <f>VLOOKUP(Таблица15[[#This Row],[Модель]],Таблица14[#All],7,0)</f>
        <v>Бензин</v>
      </c>
      <c r="AB345" t="str">
        <f>VLOOKUP(Таблица15[[#This Row],[Модель]],Таблица14[#All],8,0)</f>
        <v>Комфорт</v>
      </c>
      <c r="AC345" t="str">
        <f>VLOOKUP(Таблица15[[#This Row],[Модель]],Таблица14[#All],9,0)</f>
        <v>Средний</v>
      </c>
      <c r="AD345">
        <f>VLOOKUP(Таблица15[[#This Row],[Модель]],Таблица14[#All],10,0)</f>
        <v>150</v>
      </c>
      <c r="AE345">
        <f>VLOOKUP(Таблица15[[#This Row],[Модель]],Таблица14[#All],11,0)</f>
        <v>13.5</v>
      </c>
      <c r="AF345">
        <v>2020</v>
      </c>
      <c r="AG345">
        <v>0</v>
      </c>
      <c r="AH345" s="22">
        <f>VLOOKUP(Таблица15[[#This Row],[Модель]],Таблица14[#All],12,0)/1000000</f>
        <v>12.59</v>
      </c>
      <c r="AI345" s="21">
        <f>VLOOKUP(Таблица15[[#This Row],[Модель]],Таблица14[#All],13,0)/1000000</f>
        <v>11.89</v>
      </c>
      <c r="AJ345" s="21">
        <f>VLOOKUP(Таблица15[[#This Row],[Модель]],Таблица14[#All],14,0)/1000000</f>
        <v>13.29</v>
      </c>
      <c r="AK345" s="21">
        <f>Таблица15[[#This Row],[Средняя цена (USD)]]*Таблица15[[#This Row],[Кол-во проданных]]/1000000</f>
        <v>0</v>
      </c>
      <c r="AL345" s="39">
        <f>Таблица15[[#This Row],[Средняя цена млн. ₸]]/440*Таблица15[[#This Row],[Кол-во проданных]]</f>
        <v>0</v>
      </c>
      <c r="AM345" s="39">
        <f>Таблица15[[#This Row],[Средняя цена млн. ₸]]*Таблица15[[#This Row],[Кол-во проданных]]/1000</f>
        <v>0</v>
      </c>
      <c r="AR345" s="22"/>
      <c r="AS345" s="22"/>
      <c r="AT345" s="22"/>
    </row>
    <row r="346" spans="20:46">
      <c r="T346" t="s">
        <v>126</v>
      </c>
      <c r="U346" t="s">
        <v>86</v>
      </c>
      <c r="V346" t="str">
        <f>VLOOKUP(Таблица15[[#This Row],[Модель]],Таблица14[#All],2,0)</f>
        <v>Кроссовер</v>
      </c>
      <c r="W346" s="20">
        <f>VLOOKUP(Таблица15[[#This Row],[Модель]],Таблица14[#All],3,0)</f>
        <v>18000</v>
      </c>
      <c r="X346" s="20">
        <f>VLOOKUP(Таблица15[[#This Row],[Модель]],Таблица14[#All],4,0)</f>
        <v>16000</v>
      </c>
      <c r="Y346" s="4">
        <f>VLOOKUP(Таблица15[[#This Row],[Модель]],Таблица14[#All],5,0)</f>
        <v>22000</v>
      </c>
      <c r="Z346" t="str">
        <f>VLOOKUP(Таблица15[[#This Row],[Модель]],Таблица14[#All],6,0)</f>
        <v>АКПП</v>
      </c>
      <c r="AA346" t="str">
        <f>VLOOKUP(Таблица15[[#This Row],[Модель]],Таблица14[#All],7,0)</f>
        <v>Бензин</v>
      </c>
      <c r="AB346" t="str">
        <f>VLOOKUP(Таблица15[[#This Row],[Модель]],Таблица14[#All],8,0)</f>
        <v>Комфорт</v>
      </c>
      <c r="AC346" t="str">
        <f>VLOOKUP(Таблица15[[#This Row],[Модель]],Таблица14[#All],9,0)</f>
        <v>Средний</v>
      </c>
      <c r="AD346">
        <f>VLOOKUP(Таблица15[[#This Row],[Модель]],Таблица14[#All],10,0)</f>
        <v>150</v>
      </c>
      <c r="AE346">
        <f>VLOOKUP(Таблица15[[#This Row],[Модель]],Таблица14[#All],11,0)</f>
        <v>13.5</v>
      </c>
      <c r="AF346">
        <v>2019</v>
      </c>
      <c r="AG346">
        <v>0</v>
      </c>
      <c r="AH346" s="22">
        <f>VLOOKUP(Таблица15[[#This Row],[Модель]],Таблица14[#All],12,0)/1000000</f>
        <v>12.59</v>
      </c>
      <c r="AI346" s="21">
        <f>VLOOKUP(Таблица15[[#This Row],[Модель]],Таблица14[#All],13,0)/1000000</f>
        <v>11.89</v>
      </c>
      <c r="AJ346" s="21">
        <f>VLOOKUP(Таблица15[[#This Row],[Модель]],Таблица14[#All],14,0)/1000000</f>
        <v>13.29</v>
      </c>
      <c r="AK346" s="21">
        <f>Таблица15[[#This Row],[Средняя цена (USD)]]*Таблица15[[#This Row],[Кол-во проданных]]/1000000</f>
        <v>0</v>
      </c>
      <c r="AL346" s="39">
        <f>Таблица15[[#This Row],[Средняя цена млн. ₸]]/440*Таблица15[[#This Row],[Кол-во проданных]]</f>
        <v>0</v>
      </c>
      <c r="AM346" s="39">
        <f>Таблица15[[#This Row],[Средняя цена млн. ₸]]*Таблица15[[#This Row],[Кол-во проданных]]/1000</f>
        <v>0</v>
      </c>
      <c r="AR346" s="22"/>
      <c r="AS346" s="22"/>
      <c r="AT346" s="22"/>
    </row>
    <row r="347" spans="20:46">
      <c r="T347" t="s">
        <v>142</v>
      </c>
      <c r="U347" t="s">
        <v>114</v>
      </c>
      <c r="V347" t="str">
        <f>VLOOKUP(Таблица15[[#This Row],[Модель]],Таблица14[#All],2,0)</f>
        <v>Седан</v>
      </c>
      <c r="W347" s="20">
        <f>VLOOKUP(Таблица15[[#This Row],[Модель]],Таблица14[#All],3,0)</f>
        <v>8000</v>
      </c>
      <c r="X347" s="20">
        <f>VLOOKUP(Таблица15[[#This Row],[Модель]],Таблица14[#All],4,0)</f>
        <v>7000</v>
      </c>
      <c r="Y347" s="4">
        <f>VLOOKUP(Таблица15[[#This Row],[Модель]],Таблица14[#All],5,0)</f>
        <v>10000</v>
      </c>
      <c r="Z347" t="str">
        <f>VLOOKUP(Таблица15[[#This Row],[Модель]],Таблица14[#All],6,0)</f>
        <v>МКПП</v>
      </c>
      <c r="AA347" t="str">
        <f>VLOOKUP(Таблица15[[#This Row],[Модель]],Таблица14[#All],7,0)</f>
        <v>Бензин</v>
      </c>
      <c r="AB347" t="str">
        <f>VLOOKUP(Таблица15[[#This Row],[Модель]],Таблица14[#All],8,0)</f>
        <v>Эконом</v>
      </c>
      <c r="AC347" t="str">
        <f>VLOOKUP(Таблица15[[#This Row],[Модель]],Таблица14[#All],9,0)</f>
        <v>Маленький</v>
      </c>
      <c r="AD347">
        <f>VLOOKUP(Таблица15[[#This Row],[Модель]],Таблица14[#All],10,0)</f>
        <v>90</v>
      </c>
      <c r="AE347">
        <f>VLOOKUP(Таблица15[[#This Row],[Модель]],Таблица14[#All],11,0)</f>
        <v>17.5</v>
      </c>
      <c r="AF347">
        <v>2023</v>
      </c>
      <c r="AG347">
        <v>0</v>
      </c>
      <c r="AH347" s="22">
        <f>VLOOKUP(Таблица15[[#This Row],[Модель]],Таблица14[#All],12,0)/1000000</f>
        <v>6.38</v>
      </c>
      <c r="AI347" s="21">
        <f>VLOOKUP(Таблица15[[#This Row],[Модель]],Таблица14[#All],13,0)/1000000</f>
        <v>6.38</v>
      </c>
      <c r="AJ347" s="21">
        <f>VLOOKUP(Таблица15[[#This Row],[Модель]],Таблица14[#All],14,0)/1000000</f>
        <v>6.38</v>
      </c>
      <c r="AK347" s="21">
        <f>Таблица15[[#This Row],[Средняя цена (USD)]]*Таблица15[[#This Row],[Кол-во проданных]]/1000000</f>
        <v>0</v>
      </c>
      <c r="AL347" s="39">
        <f>Таблица15[[#This Row],[Средняя цена млн. ₸]]/440*Таблица15[[#This Row],[Кол-во проданных]]</f>
        <v>0</v>
      </c>
      <c r="AM347" s="39">
        <f>Таблица15[[#This Row],[Средняя цена млн. ₸]]*Таблица15[[#This Row],[Кол-во проданных]]/1000</f>
        <v>0</v>
      </c>
      <c r="AR347" s="22"/>
      <c r="AS347" s="22"/>
      <c r="AT347" s="22"/>
    </row>
    <row r="348" spans="20:46">
      <c r="T348" t="s">
        <v>142</v>
      </c>
      <c r="U348" t="s">
        <v>114</v>
      </c>
      <c r="V348" t="str">
        <f>VLOOKUP(Таблица15[[#This Row],[Модель]],Таблица14[#All],2,0)</f>
        <v>Седан</v>
      </c>
      <c r="W348" s="20">
        <f>VLOOKUP(Таблица15[[#This Row],[Модель]],Таблица14[#All],3,0)</f>
        <v>8000</v>
      </c>
      <c r="X348" s="20">
        <f>VLOOKUP(Таблица15[[#This Row],[Модель]],Таблица14[#All],4,0)</f>
        <v>7000</v>
      </c>
      <c r="Y348" s="4">
        <f>VLOOKUP(Таблица15[[#This Row],[Модель]],Таблица14[#All],5,0)</f>
        <v>10000</v>
      </c>
      <c r="Z348" t="str">
        <f>VLOOKUP(Таблица15[[#This Row],[Модель]],Таблица14[#All],6,0)</f>
        <v>МКПП</v>
      </c>
      <c r="AA348" t="str">
        <f>VLOOKUP(Таблица15[[#This Row],[Модель]],Таблица14[#All],7,0)</f>
        <v>Бензин</v>
      </c>
      <c r="AB348" t="str">
        <f>VLOOKUP(Таблица15[[#This Row],[Модель]],Таблица14[#All],8,0)</f>
        <v>Эконом</v>
      </c>
      <c r="AC348" t="str">
        <f>VLOOKUP(Таблица15[[#This Row],[Модель]],Таблица14[#All],9,0)</f>
        <v>Маленький</v>
      </c>
      <c r="AD348">
        <f>VLOOKUP(Таблица15[[#This Row],[Модель]],Таблица14[#All],10,0)</f>
        <v>90</v>
      </c>
      <c r="AE348">
        <f>VLOOKUP(Таблица15[[#This Row],[Модель]],Таблица14[#All],11,0)</f>
        <v>17.5</v>
      </c>
      <c r="AF348">
        <v>2022</v>
      </c>
      <c r="AG348">
        <v>0</v>
      </c>
      <c r="AH348" s="22">
        <f>VLOOKUP(Таблица15[[#This Row],[Модель]],Таблица14[#All],12,0)/1000000</f>
        <v>6.38</v>
      </c>
      <c r="AI348" s="21">
        <f>VLOOKUP(Таблица15[[#This Row],[Модель]],Таблица14[#All],13,0)/1000000</f>
        <v>6.38</v>
      </c>
      <c r="AJ348" s="21">
        <f>VLOOKUP(Таблица15[[#This Row],[Модель]],Таблица14[#All],14,0)/1000000</f>
        <v>6.38</v>
      </c>
      <c r="AK348" s="21">
        <f>Таблица15[[#This Row],[Средняя цена (USD)]]*Таблица15[[#This Row],[Кол-во проданных]]/1000000</f>
        <v>0</v>
      </c>
      <c r="AL348" s="39">
        <f>Таблица15[[#This Row],[Средняя цена млн. ₸]]/440*Таблица15[[#This Row],[Кол-во проданных]]</f>
        <v>0</v>
      </c>
      <c r="AM348" s="39">
        <f>Таблица15[[#This Row],[Средняя цена млн. ₸]]*Таблица15[[#This Row],[Кол-во проданных]]/1000</f>
        <v>0</v>
      </c>
      <c r="AR348" s="22"/>
      <c r="AS348" s="22"/>
      <c r="AT348" s="22"/>
    </row>
    <row r="349" spans="20:46">
      <c r="T349" t="s">
        <v>142</v>
      </c>
      <c r="U349" t="s">
        <v>114</v>
      </c>
      <c r="V349" t="str">
        <f>VLOOKUP(Таблица15[[#This Row],[Модель]],Таблица14[#All],2,0)</f>
        <v>Седан</v>
      </c>
      <c r="W349" s="20">
        <f>VLOOKUP(Таблица15[[#This Row],[Модель]],Таблица14[#All],3,0)</f>
        <v>8000</v>
      </c>
      <c r="X349" s="20">
        <f>VLOOKUP(Таблица15[[#This Row],[Модель]],Таблица14[#All],4,0)</f>
        <v>7000</v>
      </c>
      <c r="Y349" s="4">
        <f>VLOOKUP(Таблица15[[#This Row],[Модель]],Таблица14[#All],5,0)</f>
        <v>10000</v>
      </c>
      <c r="Z349" t="str">
        <f>VLOOKUP(Таблица15[[#This Row],[Модель]],Таблица14[#All],6,0)</f>
        <v>МКПП</v>
      </c>
      <c r="AA349" t="str">
        <f>VLOOKUP(Таблица15[[#This Row],[Модель]],Таблица14[#All],7,0)</f>
        <v>Бензин</v>
      </c>
      <c r="AB349" t="str">
        <f>VLOOKUP(Таблица15[[#This Row],[Модель]],Таблица14[#All],8,0)</f>
        <v>Эконом</v>
      </c>
      <c r="AC349" t="str">
        <f>VLOOKUP(Таблица15[[#This Row],[Модель]],Таблица14[#All],9,0)</f>
        <v>Маленький</v>
      </c>
      <c r="AD349">
        <f>VLOOKUP(Таблица15[[#This Row],[Модель]],Таблица14[#All],10,0)</f>
        <v>90</v>
      </c>
      <c r="AE349">
        <f>VLOOKUP(Таблица15[[#This Row],[Модель]],Таблица14[#All],11,0)</f>
        <v>17.5</v>
      </c>
      <c r="AF349">
        <v>2021</v>
      </c>
      <c r="AG349">
        <v>0</v>
      </c>
      <c r="AH349" s="22">
        <f>VLOOKUP(Таблица15[[#This Row],[Модель]],Таблица14[#All],12,0)/1000000</f>
        <v>6.38</v>
      </c>
      <c r="AI349" s="21">
        <f>VLOOKUP(Таблица15[[#This Row],[Модель]],Таблица14[#All],13,0)/1000000</f>
        <v>6.38</v>
      </c>
      <c r="AJ349" s="21">
        <f>VLOOKUP(Таблица15[[#This Row],[Модель]],Таблица14[#All],14,0)/1000000</f>
        <v>6.38</v>
      </c>
      <c r="AK349" s="21">
        <f>Таблица15[[#This Row],[Средняя цена (USD)]]*Таблица15[[#This Row],[Кол-во проданных]]/1000000</f>
        <v>0</v>
      </c>
      <c r="AL349" s="39">
        <f>Таблица15[[#This Row],[Средняя цена млн. ₸]]/440*Таблица15[[#This Row],[Кол-во проданных]]</f>
        <v>0</v>
      </c>
      <c r="AM349" s="39">
        <f>Таблица15[[#This Row],[Средняя цена млн. ₸]]*Таблица15[[#This Row],[Кол-во проданных]]/1000</f>
        <v>0</v>
      </c>
      <c r="AR349" s="22"/>
      <c r="AS349" s="22"/>
      <c r="AT349" s="22"/>
    </row>
    <row r="350" spans="20:46">
      <c r="T350" t="s">
        <v>142</v>
      </c>
      <c r="U350" t="s">
        <v>114</v>
      </c>
      <c r="V350" t="str">
        <f>VLOOKUP(Таблица15[[#This Row],[Модель]],Таблица14[#All],2,0)</f>
        <v>Седан</v>
      </c>
      <c r="W350" s="20">
        <f>VLOOKUP(Таблица15[[#This Row],[Модель]],Таблица14[#All],3,0)</f>
        <v>8000</v>
      </c>
      <c r="X350" s="20">
        <f>VLOOKUP(Таблица15[[#This Row],[Модель]],Таблица14[#All],4,0)</f>
        <v>7000</v>
      </c>
      <c r="Y350" s="4">
        <f>VLOOKUP(Таблица15[[#This Row],[Модель]],Таблица14[#All],5,0)</f>
        <v>10000</v>
      </c>
      <c r="Z350" t="str">
        <f>VLOOKUP(Таблица15[[#This Row],[Модель]],Таблица14[#All],6,0)</f>
        <v>МКПП</v>
      </c>
      <c r="AA350" t="str">
        <f>VLOOKUP(Таблица15[[#This Row],[Модель]],Таблица14[#All],7,0)</f>
        <v>Бензин</v>
      </c>
      <c r="AB350" t="str">
        <f>VLOOKUP(Таблица15[[#This Row],[Модель]],Таблица14[#All],8,0)</f>
        <v>Эконом</v>
      </c>
      <c r="AC350" t="str">
        <f>VLOOKUP(Таблица15[[#This Row],[Модель]],Таблица14[#All],9,0)</f>
        <v>Маленький</v>
      </c>
      <c r="AD350">
        <f>VLOOKUP(Таблица15[[#This Row],[Модель]],Таблица14[#All],10,0)</f>
        <v>90</v>
      </c>
      <c r="AE350">
        <f>VLOOKUP(Таблица15[[#This Row],[Модель]],Таблица14[#All],11,0)</f>
        <v>17.5</v>
      </c>
      <c r="AF350">
        <v>2020</v>
      </c>
      <c r="AG350">
        <v>5940</v>
      </c>
      <c r="AH350" s="22">
        <f>VLOOKUP(Таблица15[[#This Row],[Модель]],Таблица14[#All],12,0)/1000000</f>
        <v>6.38</v>
      </c>
      <c r="AI350" s="21">
        <f>VLOOKUP(Таблица15[[#This Row],[Модель]],Таблица14[#All],13,0)/1000000</f>
        <v>6.38</v>
      </c>
      <c r="AJ350" s="21">
        <f>VLOOKUP(Таблица15[[#This Row],[Модель]],Таблица14[#All],14,0)/1000000</f>
        <v>6.38</v>
      </c>
      <c r="AK350" s="21">
        <f>Таблица15[[#This Row],[Средняя цена (USD)]]*Таблица15[[#This Row],[Кол-во проданных]]/1000000</f>
        <v>47.52</v>
      </c>
      <c r="AL350" s="39">
        <f>Таблица15[[#This Row],[Средняя цена млн. ₸]]/440*Таблица15[[#This Row],[Кол-во проданных]]</f>
        <v>86.13</v>
      </c>
      <c r="AM350" s="39">
        <f>Таблица15[[#This Row],[Средняя цена млн. ₸]]*Таблица15[[#This Row],[Кол-во проданных]]/1000</f>
        <v>37.897199999999998</v>
      </c>
      <c r="AR350" s="22"/>
      <c r="AS350" s="22"/>
      <c r="AT350" s="22"/>
    </row>
    <row r="351" spans="20:46">
      <c r="T351" t="s">
        <v>142</v>
      </c>
      <c r="U351" t="s">
        <v>114</v>
      </c>
      <c r="V351" t="str">
        <f>VLOOKUP(Таблица15[[#This Row],[Модель]],Таблица14[#All],2,0)</f>
        <v>Седан</v>
      </c>
      <c r="W351" s="20">
        <f>VLOOKUP(Таблица15[[#This Row],[Модель]],Таблица14[#All],3,0)</f>
        <v>8000</v>
      </c>
      <c r="X351" s="20">
        <f>VLOOKUP(Таблица15[[#This Row],[Модель]],Таблица14[#All],4,0)</f>
        <v>7000</v>
      </c>
      <c r="Y351" s="4">
        <f>VLOOKUP(Таблица15[[#This Row],[Модель]],Таблица14[#All],5,0)</f>
        <v>10000</v>
      </c>
      <c r="Z351" t="str">
        <f>VLOOKUP(Таблица15[[#This Row],[Модель]],Таблица14[#All],6,0)</f>
        <v>МКПП</v>
      </c>
      <c r="AA351" t="str">
        <f>VLOOKUP(Таблица15[[#This Row],[Модель]],Таблица14[#All],7,0)</f>
        <v>Бензин</v>
      </c>
      <c r="AB351" t="str">
        <f>VLOOKUP(Таблица15[[#This Row],[Модель]],Таблица14[#All],8,0)</f>
        <v>Эконом</v>
      </c>
      <c r="AC351" t="str">
        <f>VLOOKUP(Таблица15[[#This Row],[Модель]],Таблица14[#All],9,0)</f>
        <v>Маленький</v>
      </c>
      <c r="AD351">
        <f>VLOOKUP(Таблица15[[#This Row],[Модель]],Таблица14[#All],10,0)</f>
        <v>90</v>
      </c>
      <c r="AE351">
        <f>VLOOKUP(Таблица15[[#This Row],[Модель]],Таблица14[#All],11,0)</f>
        <v>17.5</v>
      </c>
      <c r="AF351">
        <v>2019</v>
      </c>
      <c r="AG351">
        <v>2897</v>
      </c>
      <c r="AH351" s="22">
        <f>VLOOKUP(Таблица15[[#This Row],[Модель]],Таблица14[#All],12,0)/1000000</f>
        <v>6.38</v>
      </c>
      <c r="AI351" s="21">
        <f>VLOOKUP(Таблица15[[#This Row],[Модель]],Таблица14[#All],13,0)/1000000</f>
        <v>6.38</v>
      </c>
      <c r="AJ351" s="21">
        <f>VLOOKUP(Таблица15[[#This Row],[Модель]],Таблица14[#All],14,0)/1000000</f>
        <v>6.38</v>
      </c>
      <c r="AK351" s="21">
        <f>Таблица15[[#This Row],[Средняя цена (USD)]]*Таблица15[[#This Row],[Кол-во проданных]]/1000000</f>
        <v>23.175999999999998</v>
      </c>
      <c r="AL351" s="39">
        <f>Таблица15[[#This Row],[Средняя цена млн. ₸]]/440*Таблица15[[#This Row],[Кол-во проданных]]</f>
        <v>42.006499999999996</v>
      </c>
      <c r="AM351" s="39">
        <f>Таблица15[[#This Row],[Средняя цена млн. ₸]]*Таблица15[[#This Row],[Кол-во проданных]]/1000</f>
        <v>18.482860000000002</v>
      </c>
      <c r="AR351" s="22"/>
      <c r="AS351" s="22"/>
      <c r="AT351" s="22"/>
    </row>
    <row r="352" spans="20:46">
      <c r="T352" t="s">
        <v>142</v>
      </c>
      <c r="U352" t="s">
        <v>115</v>
      </c>
      <c r="V352" t="str">
        <f>VLOOKUP(Таблица15[[#This Row],[Модель]],Таблица14[#All],2,0)</f>
        <v>Седан</v>
      </c>
      <c r="W352" s="20">
        <f>VLOOKUP(Таблица15[[#This Row],[Модель]],Таблица14[#All],3,0)</f>
        <v>9000</v>
      </c>
      <c r="X352" s="20">
        <f>VLOOKUP(Таблица15[[#This Row],[Модель]],Таблица14[#All],4,0)</f>
        <v>8000</v>
      </c>
      <c r="Y352" s="4">
        <f>VLOOKUP(Таблица15[[#This Row],[Модель]],Таблица14[#All],5,0)</f>
        <v>11000</v>
      </c>
      <c r="Z352" t="str">
        <f>VLOOKUP(Таблица15[[#This Row],[Модель]],Таблица14[#All],6,0)</f>
        <v>МКПП</v>
      </c>
      <c r="AA352" t="str">
        <f>VLOOKUP(Таблица15[[#This Row],[Модель]],Таблица14[#All],7,0)</f>
        <v>Бензин</v>
      </c>
      <c r="AB352" t="str">
        <f>VLOOKUP(Таблица15[[#This Row],[Модель]],Таблица14[#All],8,0)</f>
        <v>Эконом</v>
      </c>
      <c r="AC352" t="str">
        <f>VLOOKUP(Таблица15[[#This Row],[Модель]],Таблица14[#All],9,0)</f>
        <v>Маленький</v>
      </c>
      <c r="AD352">
        <f>VLOOKUP(Таблица15[[#This Row],[Модель]],Таблица14[#All],10,0)</f>
        <v>95</v>
      </c>
      <c r="AE352">
        <f>VLOOKUP(Таблица15[[#This Row],[Модель]],Таблица14[#All],11,0)</f>
        <v>17</v>
      </c>
      <c r="AF352">
        <v>2023</v>
      </c>
      <c r="AG352">
        <v>0</v>
      </c>
      <c r="AH352" s="22">
        <f>VLOOKUP(Таблица15[[#This Row],[Модель]],Таблица14[#All],12,0)/1000000</f>
        <v>7</v>
      </c>
      <c r="AI352" s="21">
        <f>VLOOKUP(Таблица15[[#This Row],[Модель]],Таблица14[#All],13,0)/1000000</f>
        <v>7</v>
      </c>
      <c r="AJ352" s="21">
        <f>VLOOKUP(Таблица15[[#This Row],[Модель]],Таблица14[#All],14,0)/1000000</f>
        <v>7</v>
      </c>
      <c r="AK352" s="21">
        <f>Таблица15[[#This Row],[Средняя цена (USD)]]*Таблица15[[#This Row],[Кол-во проданных]]/1000000</f>
        <v>0</v>
      </c>
      <c r="AL352" s="39">
        <f>Таблица15[[#This Row],[Средняя цена млн. ₸]]/440*Таблица15[[#This Row],[Кол-во проданных]]</f>
        <v>0</v>
      </c>
      <c r="AM352" s="39">
        <f>Таблица15[[#This Row],[Средняя цена млн. ₸]]*Таблица15[[#This Row],[Кол-во проданных]]/1000</f>
        <v>0</v>
      </c>
      <c r="AR352" s="22"/>
      <c r="AS352" s="22"/>
      <c r="AT352" s="22"/>
    </row>
    <row r="353" spans="20:46">
      <c r="T353" t="s">
        <v>142</v>
      </c>
      <c r="U353" t="s">
        <v>115</v>
      </c>
      <c r="V353" t="str">
        <f>VLOOKUP(Таблица15[[#This Row],[Модель]],Таблица14[#All],2,0)</f>
        <v>Седан</v>
      </c>
      <c r="W353" s="20">
        <f>VLOOKUP(Таблица15[[#This Row],[Модель]],Таблица14[#All],3,0)</f>
        <v>9000</v>
      </c>
      <c r="X353" s="20">
        <f>VLOOKUP(Таблица15[[#This Row],[Модель]],Таблица14[#All],4,0)</f>
        <v>8000</v>
      </c>
      <c r="Y353" s="4">
        <f>VLOOKUP(Таблица15[[#This Row],[Модель]],Таблица14[#All],5,0)</f>
        <v>11000</v>
      </c>
      <c r="Z353" t="str">
        <f>VLOOKUP(Таблица15[[#This Row],[Модель]],Таблица14[#All],6,0)</f>
        <v>МКПП</v>
      </c>
      <c r="AA353" t="str">
        <f>VLOOKUP(Таблица15[[#This Row],[Модель]],Таблица14[#All],7,0)</f>
        <v>Бензин</v>
      </c>
      <c r="AB353" t="str">
        <f>VLOOKUP(Таблица15[[#This Row],[Модель]],Таблица14[#All],8,0)</f>
        <v>Эконом</v>
      </c>
      <c r="AC353" t="str">
        <f>VLOOKUP(Таблица15[[#This Row],[Модель]],Таблица14[#All],9,0)</f>
        <v>Маленький</v>
      </c>
      <c r="AD353">
        <f>VLOOKUP(Таблица15[[#This Row],[Модель]],Таблица14[#All],10,0)</f>
        <v>95</v>
      </c>
      <c r="AE353">
        <f>VLOOKUP(Таблица15[[#This Row],[Модель]],Таблица14[#All],11,0)</f>
        <v>17</v>
      </c>
      <c r="AF353">
        <v>2022</v>
      </c>
      <c r="AG353">
        <v>0</v>
      </c>
      <c r="AH353" s="22">
        <f>VLOOKUP(Таблица15[[#This Row],[Модель]],Таблица14[#All],12,0)/1000000</f>
        <v>7</v>
      </c>
      <c r="AI353" s="21">
        <f>VLOOKUP(Таблица15[[#This Row],[Модель]],Таблица14[#All],13,0)/1000000</f>
        <v>7</v>
      </c>
      <c r="AJ353" s="21">
        <f>VLOOKUP(Таблица15[[#This Row],[Модель]],Таблица14[#All],14,0)/1000000</f>
        <v>7</v>
      </c>
      <c r="AK353" s="21">
        <f>Таблица15[[#This Row],[Средняя цена (USD)]]*Таблица15[[#This Row],[Кол-во проданных]]/1000000</f>
        <v>0</v>
      </c>
      <c r="AL353" s="39">
        <f>Таблица15[[#This Row],[Средняя цена млн. ₸]]/440*Таблица15[[#This Row],[Кол-во проданных]]</f>
        <v>0</v>
      </c>
      <c r="AM353" s="39">
        <f>Таблица15[[#This Row],[Средняя цена млн. ₸]]*Таблица15[[#This Row],[Кол-во проданных]]/1000</f>
        <v>0</v>
      </c>
      <c r="AR353" s="22"/>
      <c r="AS353" s="22"/>
      <c r="AT353" s="22"/>
    </row>
    <row r="354" spans="20:46">
      <c r="T354" t="s">
        <v>142</v>
      </c>
      <c r="U354" t="s">
        <v>115</v>
      </c>
      <c r="V354" t="str">
        <f>VLOOKUP(Таблица15[[#This Row],[Модель]],Таблица14[#All],2,0)</f>
        <v>Седан</v>
      </c>
      <c r="W354" s="20">
        <f>VLOOKUP(Таблица15[[#This Row],[Модель]],Таблица14[#All],3,0)</f>
        <v>9000</v>
      </c>
      <c r="X354" s="20">
        <f>VLOOKUP(Таблица15[[#This Row],[Модель]],Таблица14[#All],4,0)</f>
        <v>8000</v>
      </c>
      <c r="Y354" s="4">
        <f>VLOOKUP(Таблица15[[#This Row],[Модель]],Таблица14[#All],5,0)</f>
        <v>11000</v>
      </c>
      <c r="Z354" t="str">
        <f>VLOOKUP(Таблица15[[#This Row],[Модель]],Таблица14[#All],6,0)</f>
        <v>МКПП</v>
      </c>
      <c r="AA354" t="str">
        <f>VLOOKUP(Таблица15[[#This Row],[Модель]],Таблица14[#All],7,0)</f>
        <v>Бензин</v>
      </c>
      <c r="AB354" t="str">
        <f>VLOOKUP(Таблица15[[#This Row],[Модель]],Таблица14[#All],8,0)</f>
        <v>Эконом</v>
      </c>
      <c r="AC354" t="str">
        <f>VLOOKUP(Таблица15[[#This Row],[Модель]],Таблица14[#All],9,0)</f>
        <v>Маленький</v>
      </c>
      <c r="AD354">
        <f>VLOOKUP(Таблица15[[#This Row],[Модель]],Таблица14[#All],10,0)</f>
        <v>95</v>
      </c>
      <c r="AE354">
        <f>VLOOKUP(Таблица15[[#This Row],[Модель]],Таблица14[#All],11,0)</f>
        <v>17</v>
      </c>
      <c r="AF354">
        <v>2021</v>
      </c>
      <c r="AG354">
        <v>0</v>
      </c>
      <c r="AH354" s="22">
        <f>VLOOKUP(Таблица15[[#This Row],[Модель]],Таблица14[#All],12,0)/1000000</f>
        <v>7</v>
      </c>
      <c r="AI354" s="21">
        <f>VLOOKUP(Таблица15[[#This Row],[Модель]],Таблица14[#All],13,0)/1000000</f>
        <v>7</v>
      </c>
      <c r="AJ354" s="21">
        <f>VLOOKUP(Таблица15[[#This Row],[Модель]],Таблица14[#All],14,0)/1000000</f>
        <v>7</v>
      </c>
      <c r="AK354" s="21">
        <f>Таблица15[[#This Row],[Средняя цена (USD)]]*Таблица15[[#This Row],[Кол-во проданных]]/1000000</f>
        <v>0</v>
      </c>
      <c r="AL354" s="39">
        <f>Таблица15[[#This Row],[Средняя цена млн. ₸]]/440*Таблица15[[#This Row],[Кол-во проданных]]</f>
        <v>0</v>
      </c>
      <c r="AM354" s="39">
        <f>Таблица15[[#This Row],[Средняя цена млн. ₸]]*Таблица15[[#This Row],[Кол-во проданных]]/1000</f>
        <v>0</v>
      </c>
      <c r="AR354" s="22"/>
      <c r="AS354" s="22"/>
      <c r="AT354" s="22"/>
    </row>
    <row r="355" spans="20:46">
      <c r="T355" t="s">
        <v>142</v>
      </c>
      <c r="U355" t="s">
        <v>115</v>
      </c>
      <c r="V355" t="str">
        <f>VLOOKUP(Таблица15[[#This Row],[Модель]],Таблица14[#All],2,0)</f>
        <v>Седан</v>
      </c>
      <c r="W355" s="20">
        <f>VLOOKUP(Таблица15[[#This Row],[Модель]],Таблица14[#All],3,0)</f>
        <v>9000</v>
      </c>
      <c r="X355" s="20">
        <f>VLOOKUP(Таблица15[[#This Row],[Модель]],Таблица14[#All],4,0)</f>
        <v>8000</v>
      </c>
      <c r="Y355" s="4">
        <f>VLOOKUP(Таблица15[[#This Row],[Модель]],Таблица14[#All],5,0)</f>
        <v>11000</v>
      </c>
      <c r="Z355" t="str">
        <f>VLOOKUP(Таблица15[[#This Row],[Модель]],Таблица14[#All],6,0)</f>
        <v>МКПП</v>
      </c>
      <c r="AA355" t="str">
        <f>VLOOKUP(Таблица15[[#This Row],[Модель]],Таблица14[#All],7,0)</f>
        <v>Бензин</v>
      </c>
      <c r="AB355" t="str">
        <f>VLOOKUP(Таблица15[[#This Row],[Модель]],Таблица14[#All],8,0)</f>
        <v>Эконом</v>
      </c>
      <c r="AC355" t="str">
        <f>VLOOKUP(Таблица15[[#This Row],[Модель]],Таблица14[#All],9,0)</f>
        <v>Маленький</v>
      </c>
      <c r="AD355">
        <f>VLOOKUP(Таблица15[[#This Row],[Модель]],Таблица14[#All],10,0)</f>
        <v>95</v>
      </c>
      <c r="AE355">
        <f>VLOOKUP(Таблица15[[#This Row],[Модель]],Таблица14[#All],11,0)</f>
        <v>17</v>
      </c>
      <c r="AF355">
        <v>2020</v>
      </c>
      <c r="AG355">
        <v>1096</v>
      </c>
      <c r="AH355" s="22">
        <f>VLOOKUP(Таблица15[[#This Row],[Модель]],Таблица14[#All],12,0)/1000000</f>
        <v>7</v>
      </c>
      <c r="AI355" s="21">
        <f>VLOOKUP(Таблица15[[#This Row],[Модель]],Таблица14[#All],13,0)/1000000</f>
        <v>7</v>
      </c>
      <c r="AJ355" s="21">
        <f>VLOOKUP(Таблица15[[#This Row],[Модель]],Таблица14[#All],14,0)/1000000</f>
        <v>7</v>
      </c>
      <c r="AK355" s="21">
        <f>Таблица15[[#This Row],[Средняя цена (USD)]]*Таблица15[[#This Row],[Кол-во проданных]]/1000000</f>
        <v>9.8640000000000008</v>
      </c>
      <c r="AL355" s="39">
        <f>Таблица15[[#This Row],[Средняя цена млн. ₸]]/440*Таблица15[[#This Row],[Кол-во проданных]]</f>
        <v>17.436363636363634</v>
      </c>
      <c r="AM355" s="39">
        <f>Таблица15[[#This Row],[Средняя цена млн. ₸]]*Таблица15[[#This Row],[Кол-во проданных]]/1000</f>
        <v>7.6719999999999997</v>
      </c>
      <c r="AR355" s="22"/>
      <c r="AS355" s="22"/>
      <c r="AT355" s="22"/>
    </row>
    <row r="356" spans="20:46">
      <c r="T356" t="s">
        <v>142</v>
      </c>
      <c r="U356" t="s">
        <v>115</v>
      </c>
      <c r="V356" t="str">
        <f>VLOOKUP(Таблица15[[#This Row],[Модель]],Таблица14[#All],2,0)</f>
        <v>Седан</v>
      </c>
      <c r="W356" s="20">
        <f>VLOOKUP(Таблица15[[#This Row],[Модель]],Таблица14[#All],3,0)</f>
        <v>9000</v>
      </c>
      <c r="X356" s="20">
        <f>VLOOKUP(Таблица15[[#This Row],[Модель]],Таблица14[#All],4,0)</f>
        <v>8000</v>
      </c>
      <c r="Y356" s="4">
        <f>VLOOKUP(Таблица15[[#This Row],[Модель]],Таблица14[#All],5,0)</f>
        <v>11000</v>
      </c>
      <c r="Z356" t="str">
        <f>VLOOKUP(Таблица15[[#This Row],[Модель]],Таблица14[#All],6,0)</f>
        <v>МКПП</v>
      </c>
      <c r="AA356" t="str">
        <f>VLOOKUP(Таблица15[[#This Row],[Модель]],Таблица14[#All],7,0)</f>
        <v>Бензин</v>
      </c>
      <c r="AB356" t="str">
        <f>VLOOKUP(Таблица15[[#This Row],[Модель]],Таблица14[#All],8,0)</f>
        <v>Эконом</v>
      </c>
      <c r="AC356" t="str">
        <f>VLOOKUP(Таблица15[[#This Row],[Модель]],Таблица14[#All],9,0)</f>
        <v>Маленький</v>
      </c>
      <c r="AD356">
        <f>VLOOKUP(Таблица15[[#This Row],[Модель]],Таблица14[#All],10,0)</f>
        <v>95</v>
      </c>
      <c r="AE356">
        <f>VLOOKUP(Таблица15[[#This Row],[Модель]],Таблица14[#All],11,0)</f>
        <v>17</v>
      </c>
      <c r="AF356">
        <v>2019</v>
      </c>
      <c r="AG356">
        <v>657</v>
      </c>
      <c r="AH356" s="22">
        <f>VLOOKUP(Таблица15[[#This Row],[Модель]],Таблица14[#All],12,0)/1000000</f>
        <v>7</v>
      </c>
      <c r="AI356" s="21">
        <f>VLOOKUP(Таблица15[[#This Row],[Модель]],Таблица14[#All],13,0)/1000000</f>
        <v>7</v>
      </c>
      <c r="AJ356" s="21">
        <f>VLOOKUP(Таблица15[[#This Row],[Модель]],Таблица14[#All],14,0)/1000000</f>
        <v>7</v>
      </c>
      <c r="AK356" s="21">
        <f>Таблица15[[#This Row],[Средняя цена (USD)]]*Таблица15[[#This Row],[Кол-во проданных]]/1000000</f>
        <v>5.9130000000000003</v>
      </c>
      <c r="AL356" s="39">
        <f>Таблица15[[#This Row],[Средняя цена млн. ₸]]/440*Таблица15[[#This Row],[Кол-во проданных]]</f>
        <v>10.452272727272726</v>
      </c>
      <c r="AM356" s="39">
        <f>Таблица15[[#This Row],[Средняя цена млн. ₸]]*Таблица15[[#This Row],[Кол-во проданных]]/1000</f>
        <v>4.5990000000000002</v>
      </c>
      <c r="AR356" s="22"/>
      <c r="AS356" s="22"/>
      <c r="AT356" s="22"/>
    </row>
    <row r="357" spans="20:46">
      <c r="T357" t="s">
        <v>23</v>
      </c>
      <c r="U357" t="s">
        <v>107</v>
      </c>
      <c r="V357" t="str">
        <f>VLOOKUP(Таблица15[[#This Row],[Модель]],Таблица14[#All],2,0)</f>
        <v>Кроссовер</v>
      </c>
      <c r="W357" s="20">
        <f>VLOOKUP(Таблица15[[#This Row],[Модель]],Таблица14[#All],3,0)</f>
        <v>20000</v>
      </c>
      <c r="X357" s="20">
        <f>VLOOKUP(Таблица15[[#This Row],[Модель]],Таблица14[#All],4,0)</f>
        <v>18000</v>
      </c>
      <c r="Y357" s="4">
        <f>VLOOKUP(Таблица15[[#This Row],[Модель]],Таблица14[#All],5,0)</f>
        <v>24000</v>
      </c>
      <c r="Z357" t="str">
        <f>VLOOKUP(Таблица15[[#This Row],[Модель]],Таблица14[#All],6,0)</f>
        <v>АКПП</v>
      </c>
      <c r="AA357" t="str">
        <f>VLOOKUP(Таблица15[[#This Row],[Модель]],Таблица14[#All],7,0)</f>
        <v>Бензин, Гибрид</v>
      </c>
      <c r="AB357" t="str">
        <f>VLOOKUP(Таблица15[[#This Row],[Модель]],Таблица14[#All],8,0)</f>
        <v>Комфорт</v>
      </c>
      <c r="AC357" t="str">
        <f>VLOOKUP(Таблица15[[#This Row],[Модель]],Таблица14[#All],9,0)</f>
        <v>Средний</v>
      </c>
      <c r="AD357">
        <f>VLOOKUP(Таблица15[[#This Row],[Модель]],Таблица14[#All],10,0)</f>
        <v>160</v>
      </c>
      <c r="AE357">
        <f>VLOOKUP(Таблица15[[#This Row],[Модель]],Таблица14[#All],11,0)</f>
        <v>12.5</v>
      </c>
      <c r="AF357">
        <v>2023</v>
      </c>
      <c r="AG357">
        <v>0</v>
      </c>
      <c r="AH357" s="22">
        <f>VLOOKUP(Таблица15[[#This Row],[Модель]],Таблица14[#All],12,0)/1000000</f>
        <v>10.99</v>
      </c>
      <c r="AI357" s="21">
        <f>VLOOKUP(Таблица15[[#This Row],[Модель]],Таблица14[#All],13,0)/1000000</f>
        <v>10.99</v>
      </c>
      <c r="AJ357" s="21">
        <f>VLOOKUP(Таблица15[[#This Row],[Модель]],Таблица14[#All],14,0)/1000000</f>
        <v>10.99</v>
      </c>
      <c r="AK357" s="21">
        <f>Таблица15[[#This Row],[Средняя цена (USD)]]*Таблица15[[#This Row],[Кол-во проданных]]/1000000</f>
        <v>0</v>
      </c>
      <c r="AL357" s="39">
        <f>Таблица15[[#This Row],[Средняя цена млн. ₸]]/440*Таблица15[[#This Row],[Кол-во проданных]]</f>
        <v>0</v>
      </c>
      <c r="AM357" s="39">
        <f>Таблица15[[#This Row],[Средняя цена млн. ₸]]*Таблица15[[#This Row],[Кол-во проданных]]/1000</f>
        <v>0</v>
      </c>
      <c r="AR357" s="22"/>
      <c r="AS357" s="22"/>
      <c r="AT357" s="22"/>
    </row>
    <row r="358" spans="20:46">
      <c r="T358" t="s">
        <v>23</v>
      </c>
      <c r="U358" t="s">
        <v>107</v>
      </c>
      <c r="V358" t="str">
        <f>VLOOKUP(Таблица15[[#This Row],[Модель]],Таблица14[#All],2,0)</f>
        <v>Кроссовер</v>
      </c>
      <c r="W358" s="20">
        <f>VLOOKUP(Таблица15[[#This Row],[Модель]],Таблица14[#All],3,0)</f>
        <v>20000</v>
      </c>
      <c r="X358" s="20">
        <f>VLOOKUP(Таблица15[[#This Row],[Модель]],Таблица14[#All],4,0)</f>
        <v>18000</v>
      </c>
      <c r="Y358" s="4">
        <f>VLOOKUP(Таблица15[[#This Row],[Модель]],Таблица14[#All],5,0)</f>
        <v>24000</v>
      </c>
      <c r="Z358" t="str">
        <f>VLOOKUP(Таблица15[[#This Row],[Модель]],Таблица14[#All],6,0)</f>
        <v>АКПП</v>
      </c>
      <c r="AA358" t="str">
        <f>VLOOKUP(Таблица15[[#This Row],[Модель]],Таблица14[#All],7,0)</f>
        <v>Бензин, Гибрид</v>
      </c>
      <c r="AB358" t="str">
        <f>VLOOKUP(Таблица15[[#This Row],[Модель]],Таблица14[#All],8,0)</f>
        <v>Комфорт</v>
      </c>
      <c r="AC358" t="str">
        <f>VLOOKUP(Таблица15[[#This Row],[Модель]],Таблица14[#All],9,0)</f>
        <v>Средний</v>
      </c>
      <c r="AD358">
        <f>VLOOKUP(Таблица15[[#This Row],[Модель]],Таблица14[#All],10,0)</f>
        <v>160</v>
      </c>
      <c r="AE358">
        <f>VLOOKUP(Таблица15[[#This Row],[Модель]],Таблица14[#All],11,0)</f>
        <v>12.5</v>
      </c>
      <c r="AF358">
        <v>2022</v>
      </c>
      <c r="AG358">
        <v>0</v>
      </c>
      <c r="AH358" s="22">
        <f>VLOOKUP(Таблица15[[#This Row],[Модель]],Таблица14[#All],12,0)/1000000</f>
        <v>10.99</v>
      </c>
      <c r="AI358" s="21">
        <f>VLOOKUP(Таблица15[[#This Row],[Модель]],Таблица14[#All],13,0)/1000000</f>
        <v>10.99</v>
      </c>
      <c r="AJ358" s="21">
        <f>VLOOKUP(Таблица15[[#This Row],[Модель]],Таблица14[#All],14,0)/1000000</f>
        <v>10.99</v>
      </c>
      <c r="AK358" s="21">
        <f>Таблица15[[#This Row],[Средняя цена (USD)]]*Таблица15[[#This Row],[Кол-во проданных]]/1000000</f>
        <v>0</v>
      </c>
      <c r="AL358" s="39">
        <f>Таблица15[[#This Row],[Средняя цена млн. ₸]]/440*Таблица15[[#This Row],[Кол-во проданных]]</f>
        <v>0</v>
      </c>
      <c r="AM358" s="39">
        <f>Таблица15[[#This Row],[Средняя цена млн. ₸]]*Таблица15[[#This Row],[Кол-во проданных]]/1000</f>
        <v>0</v>
      </c>
      <c r="AR358" s="22"/>
      <c r="AS358" s="22"/>
      <c r="AT358" s="22"/>
    </row>
    <row r="359" spans="20:46">
      <c r="T359" t="s">
        <v>23</v>
      </c>
      <c r="U359" t="s">
        <v>107</v>
      </c>
      <c r="V359" t="str">
        <f>VLOOKUP(Таблица15[[#This Row],[Модель]],Таблица14[#All],2,0)</f>
        <v>Кроссовер</v>
      </c>
      <c r="W359" s="20">
        <f>VLOOKUP(Таблица15[[#This Row],[Модель]],Таблица14[#All],3,0)</f>
        <v>20000</v>
      </c>
      <c r="X359" s="20">
        <f>VLOOKUP(Таблица15[[#This Row],[Модель]],Таблица14[#All],4,0)</f>
        <v>18000</v>
      </c>
      <c r="Y359" s="4">
        <f>VLOOKUP(Таблица15[[#This Row],[Модель]],Таблица14[#All],5,0)</f>
        <v>24000</v>
      </c>
      <c r="Z359" t="str">
        <f>VLOOKUP(Таблица15[[#This Row],[Модель]],Таблица14[#All],6,0)</f>
        <v>АКПП</v>
      </c>
      <c r="AA359" t="str">
        <f>VLOOKUP(Таблица15[[#This Row],[Модель]],Таблица14[#All],7,0)</f>
        <v>Бензин, Гибрид</v>
      </c>
      <c r="AB359" t="str">
        <f>VLOOKUP(Таблица15[[#This Row],[Модель]],Таблица14[#All],8,0)</f>
        <v>Комфорт</v>
      </c>
      <c r="AC359" t="str">
        <f>VLOOKUP(Таблица15[[#This Row],[Модель]],Таблица14[#All],9,0)</f>
        <v>Средний</v>
      </c>
      <c r="AD359">
        <f>VLOOKUP(Таблица15[[#This Row],[Модель]],Таблица14[#All],10,0)</f>
        <v>160</v>
      </c>
      <c r="AE359">
        <f>VLOOKUP(Таблица15[[#This Row],[Модель]],Таблица14[#All],11,0)</f>
        <v>12.5</v>
      </c>
      <c r="AF359">
        <v>2021</v>
      </c>
      <c r="AG359">
        <v>719</v>
      </c>
      <c r="AH359" s="22">
        <f>VLOOKUP(Таблица15[[#This Row],[Модель]],Таблица14[#All],12,0)/1000000</f>
        <v>10.99</v>
      </c>
      <c r="AI359" s="21">
        <f>VLOOKUP(Таблица15[[#This Row],[Модель]],Таблица14[#All],13,0)/1000000</f>
        <v>10.99</v>
      </c>
      <c r="AJ359" s="21">
        <f>VLOOKUP(Таблица15[[#This Row],[Модель]],Таблица14[#All],14,0)/1000000</f>
        <v>10.99</v>
      </c>
      <c r="AK359" s="21">
        <f>Таблица15[[#This Row],[Средняя цена (USD)]]*Таблица15[[#This Row],[Кол-во проданных]]/1000000</f>
        <v>14.38</v>
      </c>
      <c r="AL359" s="39">
        <f>Таблица15[[#This Row],[Средняя цена млн. ₸]]/440*Таблица15[[#This Row],[Кол-во проданных]]</f>
        <v>17.958659090909091</v>
      </c>
      <c r="AM359" s="39">
        <f>Таблица15[[#This Row],[Средняя цена млн. ₸]]*Таблица15[[#This Row],[Кол-во проданных]]/1000</f>
        <v>7.9018100000000002</v>
      </c>
      <c r="AR359" s="22"/>
      <c r="AS359" s="22"/>
      <c r="AT359" s="22"/>
    </row>
    <row r="360" spans="20:46">
      <c r="T360" t="s">
        <v>23</v>
      </c>
      <c r="U360" t="s">
        <v>107</v>
      </c>
      <c r="V360" t="str">
        <f>VLOOKUP(Таблица15[[#This Row],[Модель]],Таблица14[#All],2,0)</f>
        <v>Кроссовер</v>
      </c>
      <c r="W360" s="20">
        <f>VLOOKUP(Таблица15[[#This Row],[Модель]],Таблица14[#All],3,0)</f>
        <v>20000</v>
      </c>
      <c r="X360" s="20">
        <f>VLOOKUP(Таблица15[[#This Row],[Модель]],Таблица14[#All],4,0)</f>
        <v>18000</v>
      </c>
      <c r="Y360" s="4">
        <f>VLOOKUP(Таблица15[[#This Row],[Модель]],Таблица14[#All],5,0)</f>
        <v>24000</v>
      </c>
      <c r="Z360" t="str">
        <f>VLOOKUP(Таблица15[[#This Row],[Модель]],Таблица14[#All],6,0)</f>
        <v>АКПП</v>
      </c>
      <c r="AA360" t="str">
        <f>VLOOKUP(Таблица15[[#This Row],[Модель]],Таблица14[#All],7,0)</f>
        <v>Бензин, Гибрид</v>
      </c>
      <c r="AB360" t="str">
        <f>VLOOKUP(Таблица15[[#This Row],[Модель]],Таблица14[#All],8,0)</f>
        <v>Комфорт</v>
      </c>
      <c r="AC360" t="str">
        <f>VLOOKUP(Таблица15[[#This Row],[Модель]],Таблица14[#All],9,0)</f>
        <v>Средний</v>
      </c>
      <c r="AD360">
        <f>VLOOKUP(Таблица15[[#This Row],[Модель]],Таблица14[#All],10,0)</f>
        <v>160</v>
      </c>
      <c r="AE360">
        <f>VLOOKUP(Таблица15[[#This Row],[Модель]],Таблица14[#All],11,0)</f>
        <v>12.5</v>
      </c>
      <c r="AF360">
        <v>2020</v>
      </c>
      <c r="AG360">
        <v>379</v>
      </c>
      <c r="AH360" s="22">
        <f>VLOOKUP(Таблица15[[#This Row],[Модель]],Таблица14[#All],12,0)/1000000</f>
        <v>10.99</v>
      </c>
      <c r="AI360" s="21">
        <f>VLOOKUP(Таблица15[[#This Row],[Модель]],Таблица14[#All],13,0)/1000000</f>
        <v>10.99</v>
      </c>
      <c r="AJ360" s="21">
        <f>VLOOKUP(Таблица15[[#This Row],[Модель]],Таблица14[#All],14,0)/1000000</f>
        <v>10.99</v>
      </c>
      <c r="AK360" s="21">
        <f>Таблица15[[#This Row],[Средняя цена (USD)]]*Таблица15[[#This Row],[Кол-во проданных]]/1000000</f>
        <v>7.58</v>
      </c>
      <c r="AL360" s="39">
        <f>Таблица15[[#This Row],[Средняя цена млн. ₸]]/440*Таблица15[[#This Row],[Кол-во проданных]]</f>
        <v>9.4663863636363637</v>
      </c>
      <c r="AM360" s="39">
        <f>Таблица15[[#This Row],[Средняя цена млн. ₸]]*Таблица15[[#This Row],[Кол-во проданных]]/1000</f>
        <v>4.1652100000000001</v>
      </c>
      <c r="AR360" s="22"/>
      <c r="AS360" s="22"/>
      <c r="AT360" s="22"/>
    </row>
    <row r="361" spans="20:46">
      <c r="T361" t="s">
        <v>23</v>
      </c>
      <c r="U361" t="s">
        <v>107</v>
      </c>
      <c r="V361" t="str">
        <f>VLOOKUP(Таблица15[[#This Row],[Модель]],Таблица14[#All],2,0)</f>
        <v>Кроссовер</v>
      </c>
      <c r="W361" s="20">
        <f>VLOOKUP(Таблица15[[#This Row],[Модель]],Таблица14[#All],3,0)</f>
        <v>20000</v>
      </c>
      <c r="X361" s="20">
        <f>VLOOKUP(Таблица15[[#This Row],[Модель]],Таблица14[#All],4,0)</f>
        <v>18000</v>
      </c>
      <c r="Y361" s="4">
        <f>VLOOKUP(Таблица15[[#This Row],[Модель]],Таблица14[#All],5,0)</f>
        <v>24000</v>
      </c>
      <c r="Z361" t="str">
        <f>VLOOKUP(Таблица15[[#This Row],[Модель]],Таблица14[#All],6,0)</f>
        <v>АКПП</v>
      </c>
      <c r="AA361" t="str">
        <f>VLOOKUP(Таблица15[[#This Row],[Модель]],Таблица14[#All],7,0)</f>
        <v>Бензин, Гибрид</v>
      </c>
      <c r="AB361" t="str">
        <f>VLOOKUP(Таблица15[[#This Row],[Модель]],Таблица14[#All],8,0)</f>
        <v>Комфорт</v>
      </c>
      <c r="AC361" t="str">
        <f>VLOOKUP(Таблица15[[#This Row],[Модель]],Таблица14[#All],9,0)</f>
        <v>Средний</v>
      </c>
      <c r="AD361">
        <f>VLOOKUP(Таблица15[[#This Row],[Модель]],Таблица14[#All],10,0)</f>
        <v>160</v>
      </c>
      <c r="AE361">
        <f>VLOOKUP(Таблица15[[#This Row],[Модель]],Таблица14[#All],11,0)</f>
        <v>12.5</v>
      </c>
      <c r="AF361">
        <v>2019</v>
      </c>
      <c r="AG361">
        <v>213</v>
      </c>
      <c r="AH361" s="22">
        <f>VLOOKUP(Таблица15[[#This Row],[Модель]],Таблица14[#All],12,0)/1000000</f>
        <v>10.99</v>
      </c>
      <c r="AI361" s="21">
        <f>VLOOKUP(Таблица15[[#This Row],[Модель]],Таблица14[#All],13,0)/1000000</f>
        <v>10.99</v>
      </c>
      <c r="AJ361" s="21">
        <f>VLOOKUP(Таблица15[[#This Row],[Модель]],Таблица14[#All],14,0)/1000000</f>
        <v>10.99</v>
      </c>
      <c r="AK361" s="21">
        <f>Таблица15[[#This Row],[Средняя цена (USD)]]*Таблица15[[#This Row],[Кол-во проданных]]/1000000</f>
        <v>4.26</v>
      </c>
      <c r="AL361" s="39">
        <f>Таблица15[[#This Row],[Средняя цена млн. ₸]]/440*Таблица15[[#This Row],[Кол-во проданных]]</f>
        <v>5.3201590909090903</v>
      </c>
      <c r="AM361" s="39">
        <f>Таблица15[[#This Row],[Средняя цена млн. ₸]]*Таблица15[[#This Row],[Кол-во проданных]]/1000</f>
        <v>2.3408699999999998</v>
      </c>
      <c r="AR361" s="22"/>
      <c r="AS361" s="22"/>
      <c r="AT361" s="22"/>
    </row>
    <row r="362" spans="20:46">
      <c r="T362" t="s">
        <v>23</v>
      </c>
      <c r="U362" t="s">
        <v>111</v>
      </c>
      <c r="V362" t="str">
        <f>VLOOKUP(Таблица15[[#This Row],[Модель]],Таблица14[#All],2,0)</f>
        <v>Кроссовер</v>
      </c>
      <c r="W362" s="20">
        <f>VLOOKUP(Таблица15[[#This Row],[Модель]],Таблица14[#All],3,0)</f>
        <v>20000</v>
      </c>
      <c r="X362" s="20">
        <f>VLOOKUP(Таблица15[[#This Row],[Модель]],Таблица14[#All],4,0)</f>
        <v>18000</v>
      </c>
      <c r="Y362" s="4">
        <f>VLOOKUP(Таблица15[[#This Row],[Модель]],Таблица14[#All],5,0)</f>
        <v>24000</v>
      </c>
      <c r="Z362" t="str">
        <f>VLOOKUP(Таблица15[[#This Row],[Модель]],Таблица14[#All],6,0)</f>
        <v>АКПП</v>
      </c>
      <c r="AA362" t="str">
        <f>VLOOKUP(Таблица15[[#This Row],[Модель]],Таблица14[#All],7,0)</f>
        <v>Бензин</v>
      </c>
      <c r="AB362" t="str">
        <f>VLOOKUP(Таблица15[[#This Row],[Модель]],Таблица14[#All],8,0)</f>
        <v>Комфорт</v>
      </c>
      <c r="AC362" t="str">
        <f>VLOOKUP(Таблица15[[#This Row],[Модель]],Таблица14[#All],9,0)</f>
        <v>Средний</v>
      </c>
      <c r="AD362">
        <f>VLOOKUP(Таблица15[[#This Row],[Модель]],Таблица14[#All],10,0)</f>
        <v>160</v>
      </c>
      <c r="AE362">
        <f>VLOOKUP(Таблица15[[#This Row],[Модель]],Таблица14[#All],11,0)</f>
        <v>12.5</v>
      </c>
      <c r="AF362">
        <v>2023</v>
      </c>
      <c r="AG362">
        <v>0</v>
      </c>
      <c r="AH362" s="22">
        <f>VLOOKUP(Таблица15[[#This Row],[Модель]],Таблица14[#All],12,0)/1000000</f>
        <v>9</v>
      </c>
      <c r="AI362" s="21">
        <f>VLOOKUP(Таблица15[[#This Row],[Модель]],Таблица14[#All],13,0)/1000000</f>
        <v>9</v>
      </c>
      <c r="AJ362" s="21">
        <f>VLOOKUP(Таблица15[[#This Row],[Модель]],Таблица14[#All],14,0)/1000000</f>
        <v>9</v>
      </c>
      <c r="AK362" s="21">
        <f>Таблица15[[#This Row],[Средняя цена (USD)]]*Таблица15[[#This Row],[Кол-во проданных]]/1000000</f>
        <v>0</v>
      </c>
      <c r="AL362" s="39">
        <f>Таблица15[[#This Row],[Средняя цена млн. ₸]]/440*Таблица15[[#This Row],[Кол-во проданных]]</f>
        <v>0</v>
      </c>
      <c r="AM362" s="39">
        <f>Таблица15[[#This Row],[Средняя цена млн. ₸]]*Таблица15[[#This Row],[Кол-во проданных]]/1000</f>
        <v>0</v>
      </c>
      <c r="AR362" s="22"/>
      <c r="AS362" s="22"/>
      <c r="AT362" s="22"/>
    </row>
    <row r="363" spans="20:46">
      <c r="T363" t="s">
        <v>23</v>
      </c>
      <c r="U363" t="s">
        <v>111</v>
      </c>
      <c r="V363" t="str">
        <f>VLOOKUP(Таблица15[[#This Row],[Модель]],Таблица14[#All],2,0)</f>
        <v>Кроссовер</v>
      </c>
      <c r="W363" s="20">
        <f>VLOOKUP(Таблица15[[#This Row],[Модель]],Таблица14[#All],3,0)</f>
        <v>20000</v>
      </c>
      <c r="X363" s="20">
        <f>VLOOKUP(Таблица15[[#This Row],[Модель]],Таблица14[#All],4,0)</f>
        <v>18000</v>
      </c>
      <c r="Y363" s="4">
        <f>VLOOKUP(Таблица15[[#This Row],[Модель]],Таблица14[#All],5,0)</f>
        <v>24000</v>
      </c>
      <c r="Z363" t="str">
        <f>VLOOKUP(Таблица15[[#This Row],[Модель]],Таблица14[#All],6,0)</f>
        <v>АКПП</v>
      </c>
      <c r="AA363" t="str">
        <f>VLOOKUP(Таблица15[[#This Row],[Модель]],Таблица14[#All],7,0)</f>
        <v>Бензин</v>
      </c>
      <c r="AB363" t="str">
        <f>VLOOKUP(Таблица15[[#This Row],[Модель]],Таблица14[#All],8,0)</f>
        <v>Комфорт</v>
      </c>
      <c r="AC363" t="str">
        <f>VLOOKUP(Таблица15[[#This Row],[Модель]],Таблица14[#All],9,0)</f>
        <v>Средний</v>
      </c>
      <c r="AD363">
        <f>VLOOKUP(Таблица15[[#This Row],[Модель]],Таблица14[#All],10,0)</f>
        <v>160</v>
      </c>
      <c r="AE363">
        <f>VLOOKUP(Таблица15[[#This Row],[Модель]],Таблица14[#All],11,0)</f>
        <v>12.5</v>
      </c>
      <c r="AF363">
        <v>2022</v>
      </c>
      <c r="AG363">
        <v>0</v>
      </c>
      <c r="AH363" s="22">
        <f>VLOOKUP(Таблица15[[#This Row],[Модель]],Таблица14[#All],12,0)/1000000</f>
        <v>9</v>
      </c>
      <c r="AI363" s="21">
        <f>VLOOKUP(Таблица15[[#This Row],[Модель]],Таблица14[#All],13,0)/1000000</f>
        <v>9</v>
      </c>
      <c r="AJ363" s="21">
        <f>VLOOKUP(Таблица15[[#This Row],[Модель]],Таблица14[#All],14,0)/1000000</f>
        <v>9</v>
      </c>
      <c r="AK363" s="21">
        <f>Таблица15[[#This Row],[Средняя цена (USD)]]*Таблица15[[#This Row],[Кол-во проданных]]/1000000</f>
        <v>0</v>
      </c>
      <c r="AL363" s="39">
        <f>Таблица15[[#This Row],[Средняя цена млн. ₸]]/440*Таблица15[[#This Row],[Кол-во проданных]]</f>
        <v>0</v>
      </c>
      <c r="AM363" s="39">
        <f>Таблица15[[#This Row],[Средняя цена млн. ₸]]*Таблица15[[#This Row],[Кол-во проданных]]/1000</f>
        <v>0</v>
      </c>
      <c r="AR363" s="22"/>
      <c r="AS363" s="22"/>
      <c r="AT363" s="22"/>
    </row>
    <row r="364" spans="20:46">
      <c r="T364" t="s">
        <v>23</v>
      </c>
      <c r="U364" t="s">
        <v>111</v>
      </c>
      <c r="V364" t="str">
        <f>VLOOKUP(Таблица15[[#This Row],[Модель]],Таблица14[#All],2,0)</f>
        <v>Кроссовер</v>
      </c>
      <c r="W364" s="20">
        <f>VLOOKUP(Таблица15[[#This Row],[Модель]],Таблица14[#All],3,0)</f>
        <v>20000</v>
      </c>
      <c r="X364" s="20">
        <f>VLOOKUP(Таблица15[[#This Row],[Модель]],Таблица14[#All],4,0)</f>
        <v>18000</v>
      </c>
      <c r="Y364" s="4">
        <f>VLOOKUP(Таблица15[[#This Row],[Модель]],Таблица14[#All],5,0)</f>
        <v>24000</v>
      </c>
      <c r="Z364" t="str">
        <f>VLOOKUP(Таблица15[[#This Row],[Модель]],Таблица14[#All],6,0)</f>
        <v>АКПП</v>
      </c>
      <c r="AA364" t="str">
        <f>VLOOKUP(Таблица15[[#This Row],[Модель]],Таблица14[#All],7,0)</f>
        <v>Бензин</v>
      </c>
      <c r="AB364" t="str">
        <f>VLOOKUP(Таблица15[[#This Row],[Модель]],Таблица14[#All],8,0)</f>
        <v>Комфорт</v>
      </c>
      <c r="AC364" t="str">
        <f>VLOOKUP(Таблица15[[#This Row],[Модель]],Таблица14[#All],9,0)</f>
        <v>Средний</v>
      </c>
      <c r="AD364">
        <f>VLOOKUP(Таблица15[[#This Row],[Модель]],Таблица14[#All],10,0)</f>
        <v>160</v>
      </c>
      <c r="AE364">
        <f>VLOOKUP(Таблица15[[#This Row],[Модель]],Таблица14[#All],11,0)</f>
        <v>12.5</v>
      </c>
      <c r="AF364">
        <v>2021</v>
      </c>
      <c r="AG364">
        <v>531</v>
      </c>
      <c r="AH364" s="22">
        <f>VLOOKUP(Таблица15[[#This Row],[Модель]],Таблица14[#All],12,0)/1000000</f>
        <v>9</v>
      </c>
      <c r="AI364" s="21">
        <f>VLOOKUP(Таблица15[[#This Row],[Модель]],Таблица14[#All],13,0)/1000000</f>
        <v>9</v>
      </c>
      <c r="AJ364" s="21">
        <f>VLOOKUP(Таблица15[[#This Row],[Модель]],Таблица14[#All],14,0)/1000000</f>
        <v>9</v>
      </c>
      <c r="AK364" s="21">
        <f>Таблица15[[#This Row],[Средняя цена (USD)]]*Таблица15[[#This Row],[Кол-во проданных]]/1000000</f>
        <v>10.62</v>
      </c>
      <c r="AL364" s="39">
        <f>Таблица15[[#This Row],[Средняя цена млн. ₸]]/440*Таблица15[[#This Row],[Кол-во проданных]]</f>
        <v>10.861363636363636</v>
      </c>
      <c r="AM364" s="39">
        <f>Таблица15[[#This Row],[Средняя цена млн. ₸]]*Таблица15[[#This Row],[Кол-во проданных]]/1000</f>
        <v>4.7789999999999999</v>
      </c>
      <c r="AR364" s="22"/>
      <c r="AS364" s="22"/>
      <c r="AT364" s="22"/>
    </row>
    <row r="365" spans="20:46">
      <c r="T365" t="s">
        <v>23</v>
      </c>
      <c r="U365" t="s">
        <v>111</v>
      </c>
      <c r="V365" t="str">
        <f>VLOOKUP(Таблица15[[#This Row],[Модель]],Таблица14[#All],2,0)</f>
        <v>Кроссовер</v>
      </c>
      <c r="W365" s="20">
        <f>VLOOKUP(Таблица15[[#This Row],[Модель]],Таблица14[#All],3,0)</f>
        <v>20000</v>
      </c>
      <c r="X365" s="20">
        <f>VLOOKUP(Таблица15[[#This Row],[Модель]],Таблица14[#All],4,0)</f>
        <v>18000</v>
      </c>
      <c r="Y365" s="4">
        <f>VLOOKUP(Таблица15[[#This Row],[Модель]],Таблица14[#All],5,0)</f>
        <v>24000</v>
      </c>
      <c r="Z365" t="str">
        <f>VLOOKUP(Таблица15[[#This Row],[Модель]],Таблица14[#All],6,0)</f>
        <v>АКПП</v>
      </c>
      <c r="AA365" t="str">
        <f>VLOOKUP(Таблица15[[#This Row],[Модель]],Таблица14[#All],7,0)</f>
        <v>Бензин</v>
      </c>
      <c r="AB365" t="str">
        <f>VLOOKUP(Таблица15[[#This Row],[Модель]],Таблица14[#All],8,0)</f>
        <v>Комфорт</v>
      </c>
      <c r="AC365" t="str">
        <f>VLOOKUP(Таблица15[[#This Row],[Модель]],Таблица14[#All],9,0)</f>
        <v>Средний</v>
      </c>
      <c r="AD365">
        <f>VLOOKUP(Таблица15[[#This Row],[Модель]],Таблица14[#All],10,0)</f>
        <v>160</v>
      </c>
      <c r="AE365">
        <f>VLOOKUP(Таблица15[[#This Row],[Модель]],Таблица14[#All],11,0)</f>
        <v>12.5</v>
      </c>
      <c r="AF365">
        <v>2020</v>
      </c>
      <c r="AG365">
        <v>281</v>
      </c>
      <c r="AH365" s="22">
        <f>VLOOKUP(Таблица15[[#This Row],[Модель]],Таблица14[#All],12,0)/1000000</f>
        <v>9</v>
      </c>
      <c r="AI365" s="21">
        <f>VLOOKUP(Таблица15[[#This Row],[Модель]],Таблица14[#All],13,0)/1000000</f>
        <v>9</v>
      </c>
      <c r="AJ365" s="21">
        <f>VLOOKUP(Таблица15[[#This Row],[Модель]],Таблица14[#All],14,0)/1000000</f>
        <v>9</v>
      </c>
      <c r="AK365" s="21">
        <f>Таблица15[[#This Row],[Средняя цена (USD)]]*Таблица15[[#This Row],[Кол-во проданных]]/1000000</f>
        <v>5.62</v>
      </c>
      <c r="AL365" s="39">
        <f>Таблица15[[#This Row],[Средняя цена млн. ₸]]/440*Таблица15[[#This Row],[Кол-во проданных]]</f>
        <v>5.747727272727273</v>
      </c>
      <c r="AM365" s="39">
        <f>Таблица15[[#This Row],[Средняя цена млн. ₸]]*Таблица15[[#This Row],[Кол-во проданных]]/1000</f>
        <v>2.5289999999999999</v>
      </c>
      <c r="AR365" s="22"/>
      <c r="AS365" s="22"/>
      <c r="AT365" s="22"/>
    </row>
    <row r="366" spans="20:46">
      <c r="T366" t="s">
        <v>23</v>
      </c>
      <c r="U366" t="s">
        <v>111</v>
      </c>
      <c r="V366" t="str">
        <f>VLOOKUP(Таблица15[[#This Row],[Модель]],Таблица14[#All],2,0)</f>
        <v>Кроссовер</v>
      </c>
      <c r="W366" s="20">
        <f>VLOOKUP(Таблица15[[#This Row],[Модель]],Таблица14[#All],3,0)</f>
        <v>20000</v>
      </c>
      <c r="X366" s="20">
        <f>VLOOKUP(Таблица15[[#This Row],[Модель]],Таблица14[#All],4,0)</f>
        <v>18000</v>
      </c>
      <c r="Y366" s="4">
        <f>VLOOKUP(Таблица15[[#This Row],[Модель]],Таблица14[#All],5,0)</f>
        <v>24000</v>
      </c>
      <c r="Z366" t="str">
        <f>VLOOKUP(Таблица15[[#This Row],[Модель]],Таблица14[#All],6,0)</f>
        <v>АКПП</v>
      </c>
      <c r="AA366" t="str">
        <f>VLOOKUP(Таблица15[[#This Row],[Модель]],Таблица14[#All],7,0)</f>
        <v>Бензин</v>
      </c>
      <c r="AB366" t="str">
        <f>VLOOKUP(Таблица15[[#This Row],[Модель]],Таблица14[#All],8,0)</f>
        <v>Комфорт</v>
      </c>
      <c r="AC366" t="str">
        <f>VLOOKUP(Таблица15[[#This Row],[Модель]],Таблица14[#All],9,0)</f>
        <v>Средний</v>
      </c>
      <c r="AD366">
        <f>VLOOKUP(Таблица15[[#This Row],[Модель]],Таблица14[#All],10,0)</f>
        <v>160</v>
      </c>
      <c r="AE366">
        <f>VLOOKUP(Таблица15[[#This Row],[Модель]],Таблица14[#All],11,0)</f>
        <v>12.5</v>
      </c>
      <c r="AF366">
        <v>2019</v>
      </c>
      <c r="AG366">
        <v>308</v>
      </c>
      <c r="AH366" s="22">
        <f>VLOOKUP(Таблица15[[#This Row],[Модель]],Таблица14[#All],12,0)/1000000</f>
        <v>9</v>
      </c>
      <c r="AI366" s="21">
        <f>VLOOKUP(Таблица15[[#This Row],[Модель]],Таблица14[#All],13,0)/1000000</f>
        <v>9</v>
      </c>
      <c r="AJ366" s="21">
        <f>VLOOKUP(Таблица15[[#This Row],[Модель]],Таблица14[#All],14,0)/1000000</f>
        <v>9</v>
      </c>
      <c r="AK366" s="21">
        <f>Таблица15[[#This Row],[Средняя цена (USD)]]*Таблица15[[#This Row],[Кол-во проданных]]/1000000</f>
        <v>6.16</v>
      </c>
      <c r="AL366" s="39">
        <f>Таблица15[[#This Row],[Средняя цена млн. ₸]]/440*Таблица15[[#This Row],[Кол-во проданных]]</f>
        <v>6.3</v>
      </c>
      <c r="AM366" s="39">
        <f>Таблица15[[#This Row],[Средняя цена млн. ₸]]*Таблица15[[#This Row],[Кол-во проданных]]/1000</f>
        <v>2.7719999999999998</v>
      </c>
      <c r="AR366" s="22"/>
      <c r="AS366" s="22"/>
      <c r="AT366" s="22"/>
    </row>
    <row r="367" spans="20:46">
      <c r="T367" t="s">
        <v>23</v>
      </c>
      <c r="U367" t="s">
        <v>101</v>
      </c>
      <c r="V367" t="str">
        <f>VLOOKUP(Таблица15[[#This Row],[Модель]],Таблица14[#All],2,0)</f>
        <v>Внедорожник</v>
      </c>
      <c r="W367" s="20">
        <f>VLOOKUP(Таблица15[[#This Row],[Модель]],Таблица14[#All],3,0)</f>
        <v>18000</v>
      </c>
      <c r="X367" s="20">
        <f>VLOOKUP(Таблица15[[#This Row],[Модель]],Таблица14[#All],4,0)</f>
        <v>16000</v>
      </c>
      <c r="Y367" s="4">
        <f>VLOOKUP(Таблица15[[#This Row],[Модель]],Таблица14[#All],5,0)</f>
        <v>22000</v>
      </c>
      <c r="Z367" t="str">
        <f>VLOOKUP(Таблица15[[#This Row],[Модель]],Таблица14[#All],6,0)</f>
        <v>МКПП, АКПП</v>
      </c>
      <c r="AA367" t="str">
        <f>VLOOKUP(Таблица15[[#This Row],[Модель]],Таблица14[#All],7,0)</f>
        <v>Бензин, Дизель</v>
      </c>
      <c r="AB367" t="str">
        <f>VLOOKUP(Таблица15[[#This Row],[Модель]],Таблица14[#All],8,0)</f>
        <v>Комфорт</v>
      </c>
      <c r="AC367" t="str">
        <f>VLOOKUP(Таблица15[[#This Row],[Модель]],Таблица14[#All],9,0)</f>
        <v>Средний</v>
      </c>
      <c r="AD367">
        <f>VLOOKUP(Таблица15[[#This Row],[Модель]],Таблица14[#All],10,0)</f>
        <v>150</v>
      </c>
      <c r="AE367">
        <f>VLOOKUP(Таблица15[[#This Row],[Модель]],Таблица14[#All],11,0)</f>
        <v>13.5</v>
      </c>
      <c r="AF367">
        <v>2023</v>
      </c>
      <c r="AG367">
        <v>0</v>
      </c>
      <c r="AH367" s="22">
        <f>VLOOKUP(Таблица15[[#This Row],[Модель]],Таблица14[#All],12,0)/1000000</f>
        <v>9.99</v>
      </c>
      <c r="AI367" s="21">
        <f>VLOOKUP(Таблица15[[#This Row],[Модель]],Таблица14[#All],13,0)/1000000</f>
        <v>9.99</v>
      </c>
      <c r="AJ367" s="21">
        <f>VLOOKUP(Таблица15[[#This Row],[Модель]],Таблица14[#All],14,0)/1000000</f>
        <v>9.99</v>
      </c>
      <c r="AK367" s="21">
        <f>Таблица15[[#This Row],[Средняя цена (USD)]]*Таблица15[[#This Row],[Кол-во проданных]]/1000000</f>
        <v>0</v>
      </c>
      <c r="AL367" s="39">
        <f>Таблица15[[#This Row],[Средняя цена млн. ₸]]/440*Таблица15[[#This Row],[Кол-во проданных]]</f>
        <v>0</v>
      </c>
      <c r="AM367" s="39">
        <f>Таблица15[[#This Row],[Средняя цена млн. ₸]]*Таблица15[[#This Row],[Кол-во проданных]]/1000</f>
        <v>0</v>
      </c>
      <c r="AR367" s="22"/>
      <c r="AS367" s="22"/>
      <c r="AT367" s="22"/>
    </row>
    <row r="368" spans="20:46">
      <c r="T368" t="s">
        <v>23</v>
      </c>
      <c r="U368" t="s">
        <v>101</v>
      </c>
      <c r="V368" t="str">
        <f>VLOOKUP(Таблица15[[#This Row],[Модель]],Таблица14[#All],2,0)</f>
        <v>Внедорожник</v>
      </c>
      <c r="W368" s="20">
        <f>VLOOKUP(Таблица15[[#This Row],[Модель]],Таблица14[#All],3,0)</f>
        <v>18000</v>
      </c>
      <c r="X368" s="20">
        <f>VLOOKUP(Таблица15[[#This Row],[Модель]],Таблица14[#All],4,0)</f>
        <v>16000</v>
      </c>
      <c r="Y368" s="4">
        <f>VLOOKUP(Таблица15[[#This Row],[Модель]],Таблица14[#All],5,0)</f>
        <v>22000</v>
      </c>
      <c r="Z368" t="str">
        <f>VLOOKUP(Таблица15[[#This Row],[Модель]],Таблица14[#All],6,0)</f>
        <v>МКПП, АКПП</v>
      </c>
      <c r="AA368" t="str">
        <f>VLOOKUP(Таблица15[[#This Row],[Модель]],Таблица14[#All],7,0)</f>
        <v>Бензин, Дизель</v>
      </c>
      <c r="AB368" t="str">
        <f>VLOOKUP(Таблица15[[#This Row],[Модель]],Таблица14[#All],8,0)</f>
        <v>Комфорт</v>
      </c>
      <c r="AC368" t="str">
        <f>VLOOKUP(Таблица15[[#This Row],[Модель]],Таблица14[#All],9,0)</f>
        <v>Средний</v>
      </c>
      <c r="AD368">
        <f>VLOOKUP(Таблица15[[#This Row],[Модель]],Таблица14[#All],10,0)</f>
        <v>150</v>
      </c>
      <c r="AE368">
        <f>VLOOKUP(Таблица15[[#This Row],[Модель]],Таблица14[#All],11,0)</f>
        <v>13.5</v>
      </c>
      <c r="AF368">
        <v>2022</v>
      </c>
      <c r="AG368">
        <v>457</v>
      </c>
      <c r="AH368" s="22">
        <f>VLOOKUP(Таблица15[[#This Row],[Модель]],Таблица14[#All],12,0)/1000000</f>
        <v>9.99</v>
      </c>
      <c r="AI368" s="21">
        <f>VLOOKUP(Таблица15[[#This Row],[Модель]],Таблица14[#All],13,0)/1000000</f>
        <v>9.99</v>
      </c>
      <c r="AJ368" s="21">
        <f>VLOOKUP(Таблица15[[#This Row],[Модель]],Таблица14[#All],14,0)/1000000</f>
        <v>9.99</v>
      </c>
      <c r="AK368" s="21">
        <f>Таблица15[[#This Row],[Средняя цена (USD)]]*Таблица15[[#This Row],[Кол-во проданных]]/1000000</f>
        <v>8.2260000000000009</v>
      </c>
      <c r="AL368" s="39">
        <f>Таблица15[[#This Row],[Средняя цена млн. ₸]]/440*Таблица15[[#This Row],[Кол-во проданных]]</f>
        <v>10.375977272727274</v>
      </c>
      <c r="AM368" s="39">
        <f>Таблица15[[#This Row],[Средняя цена млн. ₸]]*Таблица15[[#This Row],[Кол-во проданных]]/1000</f>
        <v>4.5654300000000001</v>
      </c>
      <c r="AR368" s="22"/>
      <c r="AS368" s="22"/>
      <c r="AT368" s="22"/>
    </row>
    <row r="369" spans="20:46">
      <c r="T369" t="s">
        <v>23</v>
      </c>
      <c r="U369" t="s">
        <v>101</v>
      </c>
      <c r="V369" t="str">
        <f>VLOOKUP(Таблица15[[#This Row],[Модель]],Таблица14[#All],2,0)</f>
        <v>Внедорожник</v>
      </c>
      <c r="W369" s="20">
        <f>VLOOKUP(Таблица15[[#This Row],[Модель]],Таблица14[#All],3,0)</f>
        <v>18000</v>
      </c>
      <c r="X369" s="20">
        <f>VLOOKUP(Таблица15[[#This Row],[Модель]],Таблица14[#All],4,0)</f>
        <v>16000</v>
      </c>
      <c r="Y369" s="4">
        <f>VLOOKUP(Таблица15[[#This Row],[Модель]],Таблица14[#All],5,0)</f>
        <v>22000</v>
      </c>
      <c r="Z369" t="str">
        <f>VLOOKUP(Таблица15[[#This Row],[Модель]],Таблица14[#All],6,0)</f>
        <v>МКПП, АКПП</v>
      </c>
      <c r="AA369" t="str">
        <f>VLOOKUP(Таблица15[[#This Row],[Модель]],Таблица14[#All],7,0)</f>
        <v>Бензин, Дизель</v>
      </c>
      <c r="AB369" t="str">
        <f>VLOOKUP(Таблица15[[#This Row],[Модель]],Таблица14[#All],8,0)</f>
        <v>Комфорт</v>
      </c>
      <c r="AC369" t="str">
        <f>VLOOKUP(Таблица15[[#This Row],[Модель]],Таблица14[#All],9,0)</f>
        <v>Средний</v>
      </c>
      <c r="AD369">
        <f>VLOOKUP(Таблица15[[#This Row],[Модель]],Таблица14[#All],10,0)</f>
        <v>150</v>
      </c>
      <c r="AE369">
        <f>VLOOKUP(Таблица15[[#This Row],[Модель]],Таблица14[#All],11,0)</f>
        <v>13.5</v>
      </c>
      <c r="AF369">
        <v>2021</v>
      </c>
      <c r="AG369">
        <v>1104</v>
      </c>
      <c r="AH369" s="22">
        <f>VLOOKUP(Таблица15[[#This Row],[Модель]],Таблица14[#All],12,0)/1000000</f>
        <v>9.99</v>
      </c>
      <c r="AI369" s="21">
        <f>VLOOKUP(Таблица15[[#This Row],[Модель]],Таблица14[#All],13,0)/1000000</f>
        <v>9.99</v>
      </c>
      <c r="AJ369" s="21">
        <f>VLOOKUP(Таблица15[[#This Row],[Модель]],Таблица14[#All],14,0)/1000000</f>
        <v>9.99</v>
      </c>
      <c r="AK369" s="21">
        <f>Таблица15[[#This Row],[Средняя цена (USD)]]*Таблица15[[#This Row],[Кол-во проданных]]/1000000</f>
        <v>19.872</v>
      </c>
      <c r="AL369" s="39">
        <f>Таблица15[[#This Row],[Средняя цена млн. ₸]]/440*Таблица15[[#This Row],[Кол-во проданных]]</f>
        <v>25.065818181818184</v>
      </c>
      <c r="AM369" s="39">
        <f>Таблица15[[#This Row],[Средняя цена млн. ₸]]*Таблица15[[#This Row],[Кол-во проданных]]/1000</f>
        <v>11.028960000000001</v>
      </c>
      <c r="AR369" s="22"/>
      <c r="AS369" s="22"/>
      <c r="AT369" s="22"/>
    </row>
    <row r="370" spans="20:46">
      <c r="T370" t="s">
        <v>23</v>
      </c>
      <c r="U370" t="s">
        <v>101</v>
      </c>
      <c r="V370" t="str">
        <f>VLOOKUP(Таблица15[[#This Row],[Модель]],Таблица14[#All],2,0)</f>
        <v>Внедорожник</v>
      </c>
      <c r="W370" s="20">
        <f>VLOOKUP(Таблица15[[#This Row],[Модель]],Таблица14[#All],3,0)</f>
        <v>18000</v>
      </c>
      <c r="X370" s="20">
        <f>VLOOKUP(Таблица15[[#This Row],[Модель]],Таблица14[#All],4,0)</f>
        <v>16000</v>
      </c>
      <c r="Y370" s="4">
        <f>VLOOKUP(Таблица15[[#This Row],[Модель]],Таблица14[#All],5,0)</f>
        <v>22000</v>
      </c>
      <c r="Z370" t="str">
        <f>VLOOKUP(Таблица15[[#This Row],[Модель]],Таблица14[#All],6,0)</f>
        <v>МКПП, АКПП</v>
      </c>
      <c r="AA370" t="str">
        <f>VLOOKUP(Таблица15[[#This Row],[Модель]],Таблица14[#All],7,0)</f>
        <v>Бензин, Дизель</v>
      </c>
      <c r="AB370" t="str">
        <f>VLOOKUP(Таблица15[[#This Row],[Модель]],Таблица14[#All],8,0)</f>
        <v>Комфорт</v>
      </c>
      <c r="AC370" t="str">
        <f>VLOOKUP(Таблица15[[#This Row],[Модель]],Таблица14[#All],9,0)</f>
        <v>Средний</v>
      </c>
      <c r="AD370">
        <f>VLOOKUP(Таблица15[[#This Row],[Модель]],Таблица14[#All],10,0)</f>
        <v>150</v>
      </c>
      <c r="AE370">
        <f>VLOOKUP(Таблица15[[#This Row],[Модель]],Таблица14[#All],11,0)</f>
        <v>13.5</v>
      </c>
      <c r="AF370">
        <v>2020</v>
      </c>
      <c r="AG370">
        <v>774</v>
      </c>
      <c r="AH370" s="22">
        <f>VLOOKUP(Таблица15[[#This Row],[Модель]],Таблица14[#All],12,0)/1000000</f>
        <v>9.99</v>
      </c>
      <c r="AI370" s="21">
        <f>VLOOKUP(Таблица15[[#This Row],[Модель]],Таблица14[#All],13,0)/1000000</f>
        <v>9.99</v>
      </c>
      <c r="AJ370" s="21">
        <f>VLOOKUP(Таблица15[[#This Row],[Модель]],Таблица14[#All],14,0)/1000000</f>
        <v>9.99</v>
      </c>
      <c r="AK370" s="21">
        <f>Таблица15[[#This Row],[Средняя цена (USD)]]*Таблица15[[#This Row],[Кол-во проданных]]/1000000</f>
        <v>13.932</v>
      </c>
      <c r="AL370" s="39">
        <f>Таблица15[[#This Row],[Средняя цена млн. ₸]]/440*Таблица15[[#This Row],[Кол-во проданных]]</f>
        <v>17.573318181818184</v>
      </c>
      <c r="AM370" s="39">
        <f>Таблица15[[#This Row],[Средняя цена млн. ₸]]*Таблица15[[#This Row],[Кол-во проданных]]/1000</f>
        <v>7.7322600000000001</v>
      </c>
      <c r="AR370" s="22"/>
      <c r="AS370" s="22"/>
      <c r="AT370" s="22"/>
    </row>
    <row r="371" spans="20:46">
      <c r="T371" t="s">
        <v>23</v>
      </c>
      <c r="U371" t="s">
        <v>101</v>
      </c>
      <c r="V371" t="str">
        <f>VLOOKUP(Таблица15[[#This Row],[Модель]],Таблица14[#All],2,0)</f>
        <v>Внедорожник</v>
      </c>
      <c r="W371" s="20">
        <f>VLOOKUP(Таблица15[[#This Row],[Модель]],Таблица14[#All],3,0)</f>
        <v>18000</v>
      </c>
      <c r="X371" s="20">
        <f>VLOOKUP(Таблица15[[#This Row],[Модель]],Таблица14[#All],4,0)</f>
        <v>16000</v>
      </c>
      <c r="Y371" s="4">
        <f>VLOOKUP(Таблица15[[#This Row],[Модель]],Таблица14[#All],5,0)</f>
        <v>22000</v>
      </c>
      <c r="Z371" t="str">
        <f>VLOOKUP(Таблица15[[#This Row],[Модель]],Таблица14[#All],6,0)</f>
        <v>МКПП, АКПП</v>
      </c>
      <c r="AA371" t="str">
        <f>VLOOKUP(Таблица15[[#This Row],[Модель]],Таблица14[#All],7,0)</f>
        <v>Бензин, Дизель</v>
      </c>
      <c r="AB371" t="str">
        <f>VLOOKUP(Таблица15[[#This Row],[Модель]],Таблица14[#All],8,0)</f>
        <v>Комфорт</v>
      </c>
      <c r="AC371" t="str">
        <f>VLOOKUP(Таблица15[[#This Row],[Модель]],Таблица14[#All],9,0)</f>
        <v>Средний</v>
      </c>
      <c r="AD371">
        <f>VLOOKUP(Таблица15[[#This Row],[Модель]],Таблица14[#All],10,0)</f>
        <v>150</v>
      </c>
      <c r="AE371">
        <f>VLOOKUP(Таблица15[[#This Row],[Модель]],Таблица14[#All],11,0)</f>
        <v>13.5</v>
      </c>
      <c r="AF371">
        <v>2019</v>
      </c>
      <c r="AG371">
        <v>973</v>
      </c>
      <c r="AH371" s="22">
        <f>VLOOKUP(Таблица15[[#This Row],[Модель]],Таблица14[#All],12,0)/1000000</f>
        <v>9.99</v>
      </c>
      <c r="AI371" s="21">
        <f>VLOOKUP(Таблица15[[#This Row],[Модель]],Таблица14[#All],13,0)/1000000</f>
        <v>9.99</v>
      </c>
      <c r="AJ371" s="21">
        <f>VLOOKUP(Таблица15[[#This Row],[Модель]],Таблица14[#All],14,0)/1000000</f>
        <v>9.99</v>
      </c>
      <c r="AK371" s="21">
        <f>Таблица15[[#This Row],[Средняя цена (USD)]]*Таблица15[[#This Row],[Кол-во проданных]]/1000000</f>
        <v>17.513999999999999</v>
      </c>
      <c r="AL371" s="39">
        <f>Таблица15[[#This Row],[Средняя цена млн. ₸]]/440*Таблица15[[#This Row],[Кол-во проданных]]</f>
        <v>22.091522727272729</v>
      </c>
      <c r="AM371" s="39">
        <f>Таблица15[[#This Row],[Средняя цена млн. ₸]]*Таблица15[[#This Row],[Кол-во проданных]]/1000</f>
        <v>9.7202700000000011</v>
      </c>
      <c r="AR371" s="22"/>
      <c r="AS371" s="22"/>
      <c r="AT371" s="22"/>
    </row>
    <row r="372" spans="20:46">
      <c r="T372" t="s">
        <v>23</v>
      </c>
      <c r="U372" t="s">
        <v>109</v>
      </c>
      <c r="V372" t="str">
        <f>VLOOKUP(Таблица15[[#This Row],[Модель]],Таблица14[#All],2,0)</f>
        <v>Седан</v>
      </c>
      <c r="W372" s="20">
        <f>VLOOKUP(Таблица15[[#This Row],[Модель]],Таблица14[#All],3,0)</f>
        <v>10000</v>
      </c>
      <c r="X372" s="20">
        <f>VLOOKUP(Таблица15[[#This Row],[Модель]],Таблица14[#All],4,0)</f>
        <v>8000</v>
      </c>
      <c r="Y372" s="4">
        <f>VLOOKUP(Таблица15[[#This Row],[Модель]],Таблица14[#All],5,0)</f>
        <v>12000</v>
      </c>
      <c r="Z372" t="str">
        <f>VLOOKUP(Таблица15[[#This Row],[Модель]],Таблица14[#All],6,0)</f>
        <v>МКПП</v>
      </c>
      <c r="AA372" t="str">
        <f>VLOOKUP(Таблица15[[#This Row],[Модель]],Таблица14[#All],7,0)</f>
        <v>Бензин</v>
      </c>
      <c r="AB372" t="str">
        <f>VLOOKUP(Таблица15[[#This Row],[Модель]],Таблица14[#All],8,0)</f>
        <v>Эконом</v>
      </c>
      <c r="AC372" t="str">
        <f>VLOOKUP(Таблица15[[#This Row],[Модель]],Таблица14[#All],9,0)</f>
        <v>Маленький</v>
      </c>
      <c r="AD372">
        <f>VLOOKUP(Таблица15[[#This Row],[Модель]],Таблица14[#All],10,0)</f>
        <v>100</v>
      </c>
      <c r="AE372">
        <f>VLOOKUP(Таблица15[[#This Row],[Модель]],Таблица14[#All],11,0)</f>
        <v>16.5</v>
      </c>
      <c r="AF372">
        <v>2023</v>
      </c>
      <c r="AG372">
        <v>0</v>
      </c>
      <c r="AH372" s="22">
        <f>VLOOKUP(Таблица15[[#This Row],[Модель]],Таблица14[#All],12,0)/1000000</f>
        <v>9.1935000000000002</v>
      </c>
      <c r="AI372" s="21">
        <f>VLOOKUP(Таблица15[[#This Row],[Модель]],Таблица14[#All],13,0)/1000000</f>
        <v>8.3889999999999993</v>
      </c>
      <c r="AJ372" s="21">
        <f>VLOOKUP(Таблица15[[#This Row],[Модель]],Таблица14[#All],14,0)/1000000</f>
        <v>9.9979999999999993</v>
      </c>
      <c r="AK372" s="21">
        <f>Таблица15[[#This Row],[Средняя цена (USD)]]*Таблица15[[#This Row],[Кол-во проданных]]/1000000</f>
        <v>0</v>
      </c>
      <c r="AL372" s="39">
        <f>Таблица15[[#This Row],[Средняя цена млн. ₸]]/440*Таблица15[[#This Row],[Кол-во проданных]]</f>
        <v>0</v>
      </c>
      <c r="AM372" s="39">
        <f>Таблица15[[#This Row],[Средняя цена млн. ₸]]*Таблица15[[#This Row],[Кол-во проданных]]/1000</f>
        <v>0</v>
      </c>
      <c r="AR372" s="22"/>
      <c r="AS372" s="22"/>
      <c r="AT372" s="22"/>
    </row>
    <row r="373" spans="20:46">
      <c r="T373" t="s">
        <v>23</v>
      </c>
      <c r="U373" t="s">
        <v>109</v>
      </c>
      <c r="V373" t="str">
        <f>VLOOKUP(Таблица15[[#This Row],[Модель]],Таблица14[#All],2,0)</f>
        <v>Седан</v>
      </c>
      <c r="W373" s="20">
        <f>VLOOKUP(Таблица15[[#This Row],[Модель]],Таблица14[#All],3,0)</f>
        <v>10000</v>
      </c>
      <c r="X373" s="20">
        <f>VLOOKUP(Таблица15[[#This Row],[Модель]],Таблица14[#All],4,0)</f>
        <v>8000</v>
      </c>
      <c r="Y373" s="4">
        <f>VLOOKUP(Таблица15[[#This Row],[Модель]],Таблица14[#All],5,0)</f>
        <v>12000</v>
      </c>
      <c r="Z373" t="str">
        <f>VLOOKUP(Таблица15[[#This Row],[Модель]],Таблица14[#All],6,0)</f>
        <v>МКПП</v>
      </c>
      <c r="AA373" t="str">
        <f>VLOOKUP(Таблица15[[#This Row],[Модель]],Таблица14[#All],7,0)</f>
        <v>Бензин</v>
      </c>
      <c r="AB373" t="str">
        <f>VLOOKUP(Таблица15[[#This Row],[Модель]],Таблица14[#All],8,0)</f>
        <v>Эконом</v>
      </c>
      <c r="AC373" t="str">
        <f>VLOOKUP(Таблица15[[#This Row],[Модель]],Таблица14[#All],9,0)</f>
        <v>Маленький</v>
      </c>
      <c r="AD373">
        <f>VLOOKUP(Таблица15[[#This Row],[Модель]],Таблица14[#All],10,0)</f>
        <v>100</v>
      </c>
      <c r="AE373">
        <f>VLOOKUP(Таблица15[[#This Row],[Модель]],Таблица14[#All],11,0)</f>
        <v>16.5</v>
      </c>
      <c r="AF373">
        <v>2022</v>
      </c>
      <c r="AG373">
        <v>0</v>
      </c>
      <c r="AH373" s="22">
        <f>VLOOKUP(Таблица15[[#This Row],[Модель]],Таблица14[#All],12,0)/1000000</f>
        <v>9.1935000000000002</v>
      </c>
      <c r="AI373" s="21">
        <f>VLOOKUP(Таблица15[[#This Row],[Модель]],Таблица14[#All],13,0)/1000000</f>
        <v>8.3889999999999993</v>
      </c>
      <c r="AJ373" s="21">
        <f>VLOOKUP(Таблица15[[#This Row],[Модель]],Таблица14[#All],14,0)/1000000</f>
        <v>9.9979999999999993</v>
      </c>
      <c r="AK373" s="21">
        <f>Таблица15[[#This Row],[Средняя цена (USD)]]*Таблица15[[#This Row],[Кол-во проданных]]/1000000</f>
        <v>0</v>
      </c>
      <c r="AL373" s="39">
        <f>Таблица15[[#This Row],[Средняя цена млн. ₸]]/440*Таблица15[[#This Row],[Кол-во проданных]]</f>
        <v>0</v>
      </c>
      <c r="AM373" s="39">
        <f>Таблица15[[#This Row],[Средняя цена млн. ₸]]*Таблица15[[#This Row],[Кол-во проданных]]/1000</f>
        <v>0</v>
      </c>
      <c r="AR373" s="22"/>
      <c r="AS373" s="22"/>
      <c r="AT373" s="22"/>
    </row>
    <row r="374" spans="20:46">
      <c r="T374" t="s">
        <v>23</v>
      </c>
      <c r="U374" t="s">
        <v>109</v>
      </c>
      <c r="V374" t="str">
        <f>VLOOKUP(Таблица15[[#This Row],[Модель]],Таблица14[#All],2,0)</f>
        <v>Седан</v>
      </c>
      <c r="W374" s="20">
        <f>VLOOKUP(Таблица15[[#This Row],[Модель]],Таблица14[#All],3,0)</f>
        <v>10000</v>
      </c>
      <c r="X374" s="20">
        <f>VLOOKUP(Таблица15[[#This Row],[Модель]],Таблица14[#All],4,0)</f>
        <v>8000</v>
      </c>
      <c r="Y374" s="4">
        <f>VLOOKUP(Таблица15[[#This Row],[Модель]],Таблица14[#All],5,0)</f>
        <v>12000</v>
      </c>
      <c r="Z374" t="str">
        <f>VLOOKUP(Таблица15[[#This Row],[Модель]],Таблица14[#All],6,0)</f>
        <v>МКПП</v>
      </c>
      <c r="AA374" t="str">
        <f>VLOOKUP(Таблица15[[#This Row],[Модель]],Таблица14[#All],7,0)</f>
        <v>Бензин</v>
      </c>
      <c r="AB374" t="str">
        <f>VLOOKUP(Таблица15[[#This Row],[Модель]],Таблица14[#All],8,0)</f>
        <v>Эконом</v>
      </c>
      <c r="AC374" t="str">
        <f>VLOOKUP(Таблица15[[#This Row],[Модель]],Таблица14[#All],9,0)</f>
        <v>Маленький</v>
      </c>
      <c r="AD374">
        <f>VLOOKUP(Таблица15[[#This Row],[Модель]],Таблица14[#All],10,0)</f>
        <v>100</v>
      </c>
      <c r="AE374">
        <f>VLOOKUP(Таблица15[[#This Row],[Модель]],Таблица14[#All],11,0)</f>
        <v>16.5</v>
      </c>
      <c r="AF374">
        <v>2021</v>
      </c>
      <c r="AG374">
        <v>625</v>
      </c>
      <c r="AH374" s="22">
        <f>VLOOKUP(Таблица15[[#This Row],[Модель]],Таблица14[#All],12,0)/1000000</f>
        <v>9.1935000000000002</v>
      </c>
      <c r="AI374" s="21">
        <f>VLOOKUP(Таблица15[[#This Row],[Модель]],Таблица14[#All],13,0)/1000000</f>
        <v>8.3889999999999993</v>
      </c>
      <c r="AJ374" s="21">
        <f>VLOOKUP(Таблица15[[#This Row],[Модель]],Таблица14[#All],14,0)/1000000</f>
        <v>9.9979999999999993</v>
      </c>
      <c r="AK374" s="21">
        <f>Таблица15[[#This Row],[Средняя цена (USD)]]*Таблица15[[#This Row],[Кол-во проданных]]/1000000</f>
        <v>6.25</v>
      </c>
      <c r="AL374" s="39">
        <f>Таблица15[[#This Row],[Средняя цена млн. ₸]]/440*Таблица15[[#This Row],[Кол-во проданных]]</f>
        <v>13.058948863636365</v>
      </c>
      <c r="AM374" s="39">
        <f>Таблица15[[#This Row],[Средняя цена млн. ₸]]*Таблица15[[#This Row],[Кол-во проданных]]/1000</f>
        <v>5.7459375000000001</v>
      </c>
      <c r="AR374" s="22"/>
      <c r="AS374" s="22"/>
      <c r="AT374" s="22"/>
    </row>
    <row r="375" spans="20:46">
      <c r="T375" t="s">
        <v>23</v>
      </c>
      <c r="U375" t="s">
        <v>109</v>
      </c>
      <c r="V375" t="str">
        <f>VLOOKUP(Таблица15[[#This Row],[Модель]],Таблица14[#All],2,0)</f>
        <v>Седан</v>
      </c>
      <c r="W375" s="20">
        <f>VLOOKUP(Таблица15[[#This Row],[Модель]],Таблица14[#All],3,0)</f>
        <v>10000</v>
      </c>
      <c r="X375" s="20">
        <f>VLOOKUP(Таблица15[[#This Row],[Модель]],Таблица14[#All],4,0)</f>
        <v>8000</v>
      </c>
      <c r="Y375" s="4">
        <f>VLOOKUP(Таблица15[[#This Row],[Модель]],Таблица14[#All],5,0)</f>
        <v>12000</v>
      </c>
      <c r="Z375" t="str">
        <f>VLOOKUP(Таблица15[[#This Row],[Модель]],Таблица14[#All],6,0)</f>
        <v>МКПП</v>
      </c>
      <c r="AA375" t="str">
        <f>VLOOKUP(Таблица15[[#This Row],[Модель]],Таблица14[#All],7,0)</f>
        <v>Бензин</v>
      </c>
      <c r="AB375" t="str">
        <f>VLOOKUP(Таблица15[[#This Row],[Модель]],Таблица14[#All],8,0)</f>
        <v>Эконом</v>
      </c>
      <c r="AC375" t="str">
        <f>VLOOKUP(Таблица15[[#This Row],[Модель]],Таблица14[#All],9,0)</f>
        <v>Маленький</v>
      </c>
      <c r="AD375">
        <f>VLOOKUP(Таблица15[[#This Row],[Модель]],Таблица14[#All],10,0)</f>
        <v>100</v>
      </c>
      <c r="AE375">
        <f>VLOOKUP(Таблица15[[#This Row],[Модель]],Таблица14[#All],11,0)</f>
        <v>16.5</v>
      </c>
      <c r="AF375">
        <v>2020</v>
      </c>
      <c r="AG375">
        <v>509</v>
      </c>
      <c r="AH375" s="22">
        <f>VLOOKUP(Таблица15[[#This Row],[Модель]],Таблица14[#All],12,0)/1000000</f>
        <v>9.1935000000000002</v>
      </c>
      <c r="AI375" s="21">
        <f>VLOOKUP(Таблица15[[#This Row],[Модель]],Таблица14[#All],13,0)/1000000</f>
        <v>8.3889999999999993</v>
      </c>
      <c r="AJ375" s="21">
        <f>VLOOKUP(Таблица15[[#This Row],[Модель]],Таблица14[#All],14,0)/1000000</f>
        <v>9.9979999999999993</v>
      </c>
      <c r="AK375" s="21">
        <f>Таблица15[[#This Row],[Средняя цена (USD)]]*Таблица15[[#This Row],[Кол-во проданных]]/1000000</f>
        <v>5.09</v>
      </c>
      <c r="AL375" s="39">
        <f>Таблица15[[#This Row],[Средняя цена млн. ₸]]/440*Таблица15[[#This Row],[Кол-во проданных]]</f>
        <v>10.635207954545455</v>
      </c>
      <c r="AM375" s="39">
        <f>Таблица15[[#This Row],[Средняя цена млн. ₸]]*Таблица15[[#This Row],[Кол-во проданных]]/1000</f>
        <v>4.6794915000000001</v>
      </c>
      <c r="AR375" s="22"/>
      <c r="AS375" s="22"/>
      <c r="AT375" s="22"/>
    </row>
    <row r="376" spans="20:46">
      <c r="T376" t="s">
        <v>23</v>
      </c>
      <c r="U376" t="s">
        <v>109</v>
      </c>
      <c r="V376" t="str">
        <f>VLOOKUP(Таблица15[[#This Row],[Модель]],Таблица14[#All],2,0)</f>
        <v>Седан</v>
      </c>
      <c r="W376" s="20">
        <f>VLOOKUP(Таблица15[[#This Row],[Модель]],Таблица14[#All],3,0)</f>
        <v>10000</v>
      </c>
      <c r="X376" s="20">
        <f>VLOOKUP(Таблица15[[#This Row],[Модель]],Таблица14[#All],4,0)</f>
        <v>8000</v>
      </c>
      <c r="Y376" s="4">
        <f>VLOOKUP(Таблица15[[#This Row],[Модель]],Таблица14[#All],5,0)</f>
        <v>12000</v>
      </c>
      <c r="Z376" t="str">
        <f>VLOOKUP(Таблица15[[#This Row],[Модель]],Таблица14[#All],6,0)</f>
        <v>МКПП</v>
      </c>
      <c r="AA376" t="str">
        <f>VLOOKUP(Таблица15[[#This Row],[Модель]],Таблица14[#All],7,0)</f>
        <v>Бензин</v>
      </c>
      <c r="AB376" t="str">
        <f>VLOOKUP(Таблица15[[#This Row],[Модель]],Таблица14[#All],8,0)</f>
        <v>Эконом</v>
      </c>
      <c r="AC376" t="str">
        <f>VLOOKUP(Таблица15[[#This Row],[Модель]],Таблица14[#All],9,0)</f>
        <v>Маленький</v>
      </c>
      <c r="AD376">
        <f>VLOOKUP(Таблица15[[#This Row],[Модель]],Таблица14[#All],10,0)</f>
        <v>100</v>
      </c>
      <c r="AE376">
        <f>VLOOKUP(Таблица15[[#This Row],[Модель]],Таблица14[#All],11,0)</f>
        <v>16.5</v>
      </c>
      <c r="AF376">
        <v>2019</v>
      </c>
      <c r="AG376">
        <v>425</v>
      </c>
      <c r="AH376" s="22">
        <f>VLOOKUP(Таблица15[[#This Row],[Модель]],Таблица14[#All],12,0)/1000000</f>
        <v>9.1935000000000002</v>
      </c>
      <c r="AI376" s="21">
        <f>VLOOKUP(Таблица15[[#This Row],[Модель]],Таблица14[#All],13,0)/1000000</f>
        <v>8.3889999999999993</v>
      </c>
      <c r="AJ376" s="21">
        <f>VLOOKUP(Таблица15[[#This Row],[Модель]],Таблица14[#All],14,0)/1000000</f>
        <v>9.9979999999999993</v>
      </c>
      <c r="AK376" s="21">
        <f>Таблица15[[#This Row],[Средняя цена (USD)]]*Таблица15[[#This Row],[Кол-во проданных]]/1000000</f>
        <v>4.25</v>
      </c>
      <c r="AL376" s="39">
        <f>Таблица15[[#This Row],[Средняя цена млн. ₸]]/440*Таблица15[[#This Row],[Кол-во проданных]]</f>
        <v>8.880085227272728</v>
      </c>
      <c r="AM376" s="39">
        <f>Таблица15[[#This Row],[Средняя цена млн. ₸]]*Таблица15[[#This Row],[Кол-во проданных]]/1000</f>
        <v>3.9072375000000004</v>
      </c>
      <c r="AR376" s="22"/>
      <c r="AS376" s="22"/>
      <c r="AT376" s="22"/>
    </row>
    <row r="377" spans="20:46">
      <c r="T377" t="s">
        <v>23</v>
      </c>
      <c r="U377" t="s">
        <v>110</v>
      </c>
      <c r="V377" t="str">
        <f>VLOOKUP(Таблица15[[#This Row],[Модель]],Таблица14[#All],2,0)</f>
        <v>Хэтчбэк</v>
      </c>
      <c r="W377" s="20">
        <f>VLOOKUP(Таблица15[[#This Row],[Модель]],Таблица14[#All],3,0)</f>
        <v>12000</v>
      </c>
      <c r="X377" s="20">
        <f>VLOOKUP(Таблица15[[#This Row],[Модель]],Таблица14[#All],4,0)</f>
        <v>10000</v>
      </c>
      <c r="Y377" s="4">
        <f>VLOOKUP(Таблица15[[#This Row],[Модель]],Таблица14[#All],5,0)</f>
        <v>14000</v>
      </c>
      <c r="Z377" t="str">
        <f>VLOOKUP(Таблица15[[#This Row],[Модель]],Таблица14[#All],6,0)</f>
        <v>МКПП, АКПП</v>
      </c>
      <c r="AA377" t="str">
        <f>VLOOKUP(Таблица15[[#This Row],[Модель]],Таблица14[#All],7,0)</f>
        <v>Бензин</v>
      </c>
      <c r="AB377" t="str">
        <f>VLOOKUP(Таблица15[[#This Row],[Модель]],Таблица14[#All],8,0)</f>
        <v>Эконом</v>
      </c>
      <c r="AC377" t="str">
        <f>VLOOKUP(Таблица15[[#This Row],[Модель]],Таблица14[#All],9,0)</f>
        <v>Маленький</v>
      </c>
      <c r="AD377">
        <f>VLOOKUP(Таблица15[[#This Row],[Модель]],Таблица14[#All],10,0)</f>
        <v>100</v>
      </c>
      <c r="AE377">
        <f>VLOOKUP(Таблица15[[#This Row],[Модель]],Таблица14[#All],11,0)</f>
        <v>16.5</v>
      </c>
      <c r="AF377">
        <v>2023</v>
      </c>
      <c r="AG377">
        <v>0</v>
      </c>
      <c r="AH377" s="22">
        <f>VLOOKUP(Таблица15[[#This Row],[Модель]],Таблица14[#All],12,0)/1000000</f>
        <v>8.5</v>
      </c>
      <c r="AI377" s="21">
        <f>VLOOKUP(Таблица15[[#This Row],[Модель]],Таблица14[#All],13,0)/1000000</f>
        <v>8.5</v>
      </c>
      <c r="AJ377" s="21">
        <f>VLOOKUP(Таблица15[[#This Row],[Модель]],Таблица14[#All],14,0)/1000000</f>
        <v>8.5</v>
      </c>
      <c r="AK377" s="21">
        <f>Таблица15[[#This Row],[Средняя цена (USD)]]*Таблица15[[#This Row],[Кол-во проданных]]/1000000</f>
        <v>0</v>
      </c>
      <c r="AL377" s="39">
        <f>Таблица15[[#This Row],[Средняя цена млн. ₸]]/440*Таблица15[[#This Row],[Кол-во проданных]]</f>
        <v>0</v>
      </c>
      <c r="AM377" s="39">
        <f>Таблица15[[#This Row],[Средняя цена млн. ₸]]*Таблица15[[#This Row],[Кол-во проданных]]/1000</f>
        <v>0</v>
      </c>
      <c r="AR377" s="22"/>
      <c r="AS377" s="22"/>
      <c r="AT377" s="22"/>
    </row>
    <row r="378" spans="20:46">
      <c r="T378" t="s">
        <v>23</v>
      </c>
      <c r="U378" t="s">
        <v>110</v>
      </c>
      <c r="V378" t="str">
        <f>VLOOKUP(Таблица15[[#This Row],[Модель]],Таблица14[#All],2,0)</f>
        <v>Хэтчбэк</v>
      </c>
      <c r="W378" s="20">
        <f>VLOOKUP(Таблица15[[#This Row],[Модель]],Таблица14[#All],3,0)</f>
        <v>12000</v>
      </c>
      <c r="X378" s="20">
        <f>VLOOKUP(Таблица15[[#This Row],[Модель]],Таблица14[#All],4,0)</f>
        <v>10000</v>
      </c>
      <c r="Y378" s="4">
        <f>VLOOKUP(Таблица15[[#This Row],[Модель]],Таблица14[#All],5,0)</f>
        <v>14000</v>
      </c>
      <c r="Z378" t="str">
        <f>VLOOKUP(Таблица15[[#This Row],[Модель]],Таблица14[#All],6,0)</f>
        <v>МКПП, АКПП</v>
      </c>
      <c r="AA378" t="str">
        <f>VLOOKUP(Таблица15[[#This Row],[Модель]],Таблица14[#All],7,0)</f>
        <v>Бензин</v>
      </c>
      <c r="AB378" t="str">
        <f>VLOOKUP(Таблица15[[#This Row],[Модель]],Таблица14[#All],8,0)</f>
        <v>Эконом</v>
      </c>
      <c r="AC378" t="str">
        <f>VLOOKUP(Таблица15[[#This Row],[Модель]],Таблица14[#All],9,0)</f>
        <v>Маленький</v>
      </c>
      <c r="AD378">
        <f>VLOOKUP(Таблица15[[#This Row],[Модель]],Таблица14[#All],10,0)</f>
        <v>100</v>
      </c>
      <c r="AE378">
        <f>VLOOKUP(Таблица15[[#This Row],[Модель]],Таблица14[#All],11,0)</f>
        <v>16.5</v>
      </c>
      <c r="AF378">
        <v>2022</v>
      </c>
      <c r="AG378">
        <v>0</v>
      </c>
      <c r="AH378" s="22">
        <f>VLOOKUP(Таблица15[[#This Row],[Модель]],Таблица14[#All],12,0)/1000000</f>
        <v>8.5</v>
      </c>
      <c r="AI378" s="21">
        <f>VLOOKUP(Таблица15[[#This Row],[Модель]],Таблица14[#All],13,0)/1000000</f>
        <v>8.5</v>
      </c>
      <c r="AJ378" s="21">
        <f>VLOOKUP(Таблица15[[#This Row],[Модель]],Таблица14[#All],14,0)/1000000</f>
        <v>8.5</v>
      </c>
      <c r="AK378" s="21">
        <f>Таблица15[[#This Row],[Средняя цена (USD)]]*Таблица15[[#This Row],[Кол-во проданных]]/1000000</f>
        <v>0</v>
      </c>
      <c r="AL378" s="39">
        <f>Таблица15[[#This Row],[Средняя цена млн. ₸]]/440*Таблица15[[#This Row],[Кол-во проданных]]</f>
        <v>0</v>
      </c>
      <c r="AM378" s="39">
        <f>Таблица15[[#This Row],[Средняя цена млн. ₸]]*Таблица15[[#This Row],[Кол-во проданных]]/1000</f>
        <v>0</v>
      </c>
      <c r="AR378" s="22"/>
      <c r="AS378" s="22"/>
      <c r="AT378" s="22"/>
    </row>
    <row r="379" spans="20:46">
      <c r="T379" t="s">
        <v>23</v>
      </c>
      <c r="U379" t="s">
        <v>110</v>
      </c>
      <c r="V379" t="str">
        <f>VLOOKUP(Таблица15[[#This Row],[Модель]],Таблица14[#All],2,0)</f>
        <v>Хэтчбэк</v>
      </c>
      <c r="W379" s="20">
        <f>VLOOKUP(Таблица15[[#This Row],[Модель]],Таблица14[#All],3,0)</f>
        <v>12000</v>
      </c>
      <c r="X379" s="20">
        <f>VLOOKUP(Таблица15[[#This Row],[Модель]],Таблица14[#All],4,0)</f>
        <v>10000</v>
      </c>
      <c r="Y379" s="4">
        <f>VLOOKUP(Таблица15[[#This Row],[Модель]],Таблица14[#All],5,0)</f>
        <v>14000</v>
      </c>
      <c r="Z379" t="str">
        <f>VLOOKUP(Таблица15[[#This Row],[Модель]],Таблица14[#All],6,0)</f>
        <v>МКПП, АКПП</v>
      </c>
      <c r="AA379" t="str">
        <f>VLOOKUP(Таблица15[[#This Row],[Модель]],Таблица14[#All],7,0)</f>
        <v>Бензин</v>
      </c>
      <c r="AB379" t="str">
        <f>VLOOKUP(Таблица15[[#This Row],[Модель]],Таблица14[#All],8,0)</f>
        <v>Эконом</v>
      </c>
      <c r="AC379" t="str">
        <f>VLOOKUP(Таблица15[[#This Row],[Модель]],Таблица14[#All],9,0)</f>
        <v>Маленький</v>
      </c>
      <c r="AD379">
        <f>VLOOKUP(Таблица15[[#This Row],[Модель]],Таблица14[#All],10,0)</f>
        <v>100</v>
      </c>
      <c r="AE379">
        <f>VLOOKUP(Таблица15[[#This Row],[Модель]],Таблица14[#All],11,0)</f>
        <v>16.5</v>
      </c>
      <c r="AF379">
        <v>2021</v>
      </c>
      <c r="AG379">
        <v>575</v>
      </c>
      <c r="AH379" s="22">
        <f>VLOOKUP(Таблица15[[#This Row],[Модель]],Таблица14[#All],12,0)/1000000</f>
        <v>8.5</v>
      </c>
      <c r="AI379" s="21">
        <f>VLOOKUP(Таблица15[[#This Row],[Модель]],Таблица14[#All],13,0)/1000000</f>
        <v>8.5</v>
      </c>
      <c r="AJ379" s="21">
        <f>VLOOKUP(Таблица15[[#This Row],[Модель]],Таблица14[#All],14,0)/1000000</f>
        <v>8.5</v>
      </c>
      <c r="AK379" s="21">
        <f>Таблица15[[#This Row],[Средняя цена (USD)]]*Таблица15[[#This Row],[Кол-во проданных]]/1000000</f>
        <v>6.9</v>
      </c>
      <c r="AL379" s="39">
        <f>Таблица15[[#This Row],[Средняя цена млн. ₸]]/440*Таблица15[[#This Row],[Кол-во проданных]]</f>
        <v>11.107954545454545</v>
      </c>
      <c r="AM379" s="39">
        <f>Таблица15[[#This Row],[Средняя цена млн. ₸]]*Таблица15[[#This Row],[Кол-во проданных]]/1000</f>
        <v>4.8875000000000002</v>
      </c>
      <c r="AR379" s="22"/>
      <c r="AS379" s="22"/>
      <c r="AT379" s="22"/>
    </row>
    <row r="380" spans="20:46">
      <c r="T380" t="s">
        <v>23</v>
      </c>
      <c r="U380" t="s">
        <v>110</v>
      </c>
      <c r="V380" t="str">
        <f>VLOOKUP(Таблица15[[#This Row],[Модель]],Таблица14[#All],2,0)</f>
        <v>Хэтчбэк</v>
      </c>
      <c r="W380" s="20">
        <f>VLOOKUP(Таблица15[[#This Row],[Модель]],Таблица14[#All],3,0)</f>
        <v>12000</v>
      </c>
      <c r="X380" s="20">
        <f>VLOOKUP(Таблица15[[#This Row],[Модель]],Таблица14[#All],4,0)</f>
        <v>10000</v>
      </c>
      <c r="Y380" s="4">
        <f>VLOOKUP(Таблица15[[#This Row],[Модель]],Таблица14[#All],5,0)</f>
        <v>14000</v>
      </c>
      <c r="Z380" t="str">
        <f>VLOOKUP(Таблица15[[#This Row],[Модель]],Таблица14[#All],6,0)</f>
        <v>МКПП, АКПП</v>
      </c>
      <c r="AA380" t="str">
        <f>VLOOKUP(Таблица15[[#This Row],[Модель]],Таблица14[#All],7,0)</f>
        <v>Бензин</v>
      </c>
      <c r="AB380" t="str">
        <f>VLOOKUP(Таблица15[[#This Row],[Модель]],Таблица14[#All],8,0)</f>
        <v>Эконом</v>
      </c>
      <c r="AC380" t="str">
        <f>VLOOKUP(Таблица15[[#This Row],[Модель]],Таблица14[#All],9,0)</f>
        <v>Маленький</v>
      </c>
      <c r="AD380">
        <f>VLOOKUP(Таблица15[[#This Row],[Модель]],Таблица14[#All],10,0)</f>
        <v>100</v>
      </c>
      <c r="AE380">
        <f>VLOOKUP(Таблица15[[#This Row],[Модель]],Таблица14[#All],11,0)</f>
        <v>16.5</v>
      </c>
      <c r="AF380">
        <v>2020</v>
      </c>
      <c r="AG380">
        <v>584</v>
      </c>
      <c r="AH380" s="22">
        <f>VLOOKUP(Таблица15[[#This Row],[Модель]],Таблица14[#All],12,0)/1000000</f>
        <v>8.5</v>
      </c>
      <c r="AI380" s="21">
        <f>VLOOKUP(Таблица15[[#This Row],[Модель]],Таблица14[#All],13,0)/1000000</f>
        <v>8.5</v>
      </c>
      <c r="AJ380" s="21">
        <f>VLOOKUP(Таблица15[[#This Row],[Модель]],Таблица14[#All],14,0)/1000000</f>
        <v>8.5</v>
      </c>
      <c r="AK380" s="21">
        <f>Таблица15[[#This Row],[Средняя цена (USD)]]*Таблица15[[#This Row],[Кол-во проданных]]/1000000</f>
        <v>7.008</v>
      </c>
      <c r="AL380" s="39">
        <f>Таблица15[[#This Row],[Средняя цена млн. ₸]]/440*Таблица15[[#This Row],[Кол-во проданных]]</f>
        <v>11.281818181818181</v>
      </c>
      <c r="AM380" s="39">
        <f>Таблица15[[#This Row],[Средняя цена млн. ₸]]*Таблица15[[#This Row],[Кол-во проданных]]/1000</f>
        <v>4.9640000000000004</v>
      </c>
      <c r="AR380" s="22"/>
      <c r="AS380" s="22"/>
      <c r="AT380" s="22"/>
    </row>
    <row r="381" spans="20:46">
      <c r="T381" t="s">
        <v>23</v>
      </c>
      <c r="U381" t="s">
        <v>110</v>
      </c>
      <c r="V381" t="str">
        <f>VLOOKUP(Таблица15[[#This Row],[Модель]],Таблица14[#All],2,0)</f>
        <v>Хэтчбэк</v>
      </c>
      <c r="W381" s="20">
        <f>VLOOKUP(Таблица15[[#This Row],[Модель]],Таблица14[#All],3,0)</f>
        <v>12000</v>
      </c>
      <c r="X381" s="20">
        <f>VLOOKUP(Таблица15[[#This Row],[Модель]],Таблица14[#All],4,0)</f>
        <v>10000</v>
      </c>
      <c r="Y381" s="4">
        <f>VLOOKUP(Таблица15[[#This Row],[Модель]],Таблица14[#All],5,0)</f>
        <v>14000</v>
      </c>
      <c r="Z381" t="str">
        <f>VLOOKUP(Таблица15[[#This Row],[Модель]],Таблица14[#All],6,0)</f>
        <v>МКПП, АКПП</v>
      </c>
      <c r="AA381" t="str">
        <f>VLOOKUP(Таблица15[[#This Row],[Модель]],Таблица14[#All],7,0)</f>
        <v>Бензин</v>
      </c>
      <c r="AB381" t="str">
        <f>VLOOKUP(Таблица15[[#This Row],[Модель]],Таблица14[#All],8,0)</f>
        <v>Эконом</v>
      </c>
      <c r="AC381" t="str">
        <f>VLOOKUP(Таблица15[[#This Row],[Модель]],Таблица14[#All],9,0)</f>
        <v>Маленький</v>
      </c>
      <c r="AD381">
        <f>VLOOKUP(Таблица15[[#This Row],[Модель]],Таблица14[#All],10,0)</f>
        <v>100</v>
      </c>
      <c r="AE381">
        <f>VLOOKUP(Таблица15[[#This Row],[Модель]],Таблица14[#All],11,0)</f>
        <v>16.5</v>
      </c>
      <c r="AF381">
        <v>2019</v>
      </c>
      <c r="AG381">
        <v>606</v>
      </c>
      <c r="AH381" s="22">
        <f>VLOOKUP(Таблица15[[#This Row],[Модель]],Таблица14[#All],12,0)/1000000</f>
        <v>8.5</v>
      </c>
      <c r="AI381" s="21">
        <f>VLOOKUP(Таблица15[[#This Row],[Модель]],Таблица14[#All],13,0)/1000000</f>
        <v>8.5</v>
      </c>
      <c r="AJ381" s="21">
        <f>VLOOKUP(Таблица15[[#This Row],[Модель]],Таблица14[#All],14,0)/1000000</f>
        <v>8.5</v>
      </c>
      <c r="AK381" s="21">
        <f>Таблица15[[#This Row],[Средняя цена (USD)]]*Таблица15[[#This Row],[Кол-во проданных]]/1000000</f>
        <v>7.2720000000000002</v>
      </c>
      <c r="AL381" s="39">
        <f>Таблица15[[#This Row],[Средняя цена млн. ₸]]/440*Таблица15[[#This Row],[Кол-во проданных]]</f>
        <v>11.706818181818182</v>
      </c>
      <c r="AM381" s="39">
        <f>Таблица15[[#This Row],[Средняя цена млн. ₸]]*Таблица15[[#This Row],[Кол-во проданных]]/1000</f>
        <v>5.1509999999999998</v>
      </c>
      <c r="AR381" s="22"/>
      <c r="AS381" s="22"/>
      <c r="AT381" s="22"/>
    </row>
    <row r="382" spans="20:46">
      <c r="T382" t="s">
        <v>141</v>
      </c>
      <c r="U382" t="s">
        <v>119</v>
      </c>
      <c r="V382" t="str">
        <f>VLOOKUP(Таблица15[[#This Row],[Модель]],Таблица14[#All],2,0)</f>
        <v>Седан</v>
      </c>
      <c r="W382" s="20">
        <f>VLOOKUP(Таблица15[[#This Row],[Модель]],Таблица14[#All],3,0)</f>
        <v>22000</v>
      </c>
      <c r="X382" s="20">
        <f>VLOOKUP(Таблица15[[#This Row],[Модель]],Таблица14[#All],4,0)</f>
        <v>19000</v>
      </c>
      <c r="Y382" s="4">
        <f>VLOOKUP(Таблица15[[#This Row],[Модель]],Таблица14[#All],5,0)</f>
        <v>25000</v>
      </c>
      <c r="Z382" t="str">
        <f>VLOOKUP(Таблица15[[#This Row],[Модель]],Таблица14[#All],6,0)</f>
        <v>МКПП, АКПП</v>
      </c>
      <c r="AA382" t="str">
        <f>VLOOKUP(Таблица15[[#This Row],[Модель]],Таблица14[#All],7,0)</f>
        <v>Бензин, Дизель</v>
      </c>
      <c r="AB382" t="str">
        <f>VLOOKUP(Таблица15[[#This Row],[Модель]],Таблица14[#All],8,0)</f>
        <v>Комфорт</v>
      </c>
      <c r="AC382" t="str">
        <f>VLOOKUP(Таблица15[[#This Row],[Модель]],Таблица14[#All],9,0)</f>
        <v>Средний</v>
      </c>
      <c r="AD382">
        <f>VLOOKUP(Таблица15[[#This Row],[Модель]],Таблица14[#All],10,0)</f>
        <v>180</v>
      </c>
      <c r="AE382">
        <f>VLOOKUP(Таблица15[[#This Row],[Модель]],Таблица14[#All],11,0)</f>
        <v>12</v>
      </c>
      <c r="AF382">
        <v>2023</v>
      </c>
      <c r="AG382">
        <v>0</v>
      </c>
      <c r="AH382" s="22">
        <f>VLOOKUP(Таблица15[[#This Row],[Модель]],Таблица14[#All],12,0)/1000000</f>
        <v>14.8</v>
      </c>
      <c r="AI382" s="21">
        <f>VLOOKUP(Таблица15[[#This Row],[Модель]],Таблица14[#All],13,0)/1000000</f>
        <v>14.8</v>
      </c>
      <c r="AJ382" s="21">
        <f>VLOOKUP(Таблица15[[#This Row],[Модель]],Таблица14[#All],14,0)/1000000</f>
        <v>14.8</v>
      </c>
      <c r="AK382" s="21">
        <f>Таблица15[[#This Row],[Средняя цена (USD)]]*Таблица15[[#This Row],[Кол-во проданных]]/1000000</f>
        <v>0</v>
      </c>
      <c r="AL382" s="39">
        <f>Таблица15[[#This Row],[Средняя цена млн. ₸]]/440*Таблица15[[#This Row],[Кол-во проданных]]</f>
        <v>0</v>
      </c>
      <c r="AM382" s="39">
        <f>Таблица15[[#This Row],[Средняя цена млн. ₸]]*Таблица15[[#This Row],[Кол-во проданных]]/1000</f>
        <v>0</v>
      </c>
      <c r="AR382" s="22"/>
      <c r="AS382" s="22"/>
      <c r="AT382" s="22"/>
    </row>
    <row r="383" spans="20:46">
      <c r="T383" t="s">
        <v>141</v>
      </c>
      <c r="U383" t="s">
        <v>119</v>
      </c>
      <c r="V383" t="str">
        <f>VLOOKUP(Таблица15[[#This Row],[Модель]],Таблица14[#All],2,0)</f>
        <v>Седан</v>
      </c>
      <c r="W383" s="20">
        <f>VLOOKUP(Таблица15[[#This Row],[Модель]],Таблица14[#All],3,0)</f>
        <v>22000</v>
      </c>
      <c r="X383" s="20">
        <f>VLOOKUP(Таблица15[[#This Row],[Модель]],Таблица14[#All],4,0)</f>
        <v>19000</v>
      </c>
      <c r="Y383" s="4">
        <f>VLOOKUP(Таблица15[[#This Row],[Модель]],Таблица14[#All],5,0)</f>
        <v>25000</v>
      </c>
      <c r="Z383" t="str">
        <f>VLOOKUP(Таблица15[[#This Row],[Модель]],Таблица14[#All],6,0)</f>
        <v>МКПП, АКПП</v>
      </c>
      <c r="AA383" t="str">
        <f>VLOOKUP(Таблица15[[#This Row],[Модель]],Таблица14[#All],7,0)</f>
        <v>Бензин, Дизель</v>
      </c>
      <c r="AB383" t="str">
        <f>VLOOKUP(Таблица15[[#This Row],[Модель]],Таблица14[#All],8,0)</f>
        <v>Комфорт</v>
      </c>
      <c r="AC383" t="str">
        <f>VLOOKUP(Таблица15[[#This Row],[Модель]],Таблица14[#All],9,0)</f>
        <v>Средний</v>
      </c>
      <c r="AD383">
        <f>VLOOKUP(Таблица15[[#This Row],[Модель]],Таблица14[#All],10,0)</f>
        <v>180</v>
      </c>
      <c r="AE383">
        <f>VLOOKUP(Таблица15[[#This Row],[Модель]],Таблица14[#All],11,0)</f>
        <v>12</v>
      </c>
      <c r="AF383">
        <v>2022</v>
      </c>
      <c r="AG383">
        <v>0</v>
      </c>
      <c r="AH383" s="22">
        <f>VLOOKUP(Таблица15[[#This Row],[Модель]],Таблица14[#All],12,0)/1000000</f>
        <v>14.8</v>
      </c>
      <c r="AI383" s="21">
        <f>VLOOKUP(Таблица15[[#This Row],[Модель]],Таблица14[#All],13,0)/1000000</f>
        <v>14.8</v>
      </c>
      <c r="AJ383" s="21">
        <f>VLOOKUP(Таблица15[[#This Row],[Модель]],Таблица14[#All],14,0)/1000000</f>
        <v>14.8</v>
      </c>
      <c r="AK383" s="21">
        <f>Таблица15[[#This Row],[Средняя цена (USD)]]*Таблица15[[#This Row],[Кол-во проданных]]/1000000</f>
        <v>0</v>
      </c>
      <c r="AL383" s="39">
        <f>Таблица15[[#This Row],[Средняя цена млн. ₸]]/440*Таблица15[[#This Row],[Кол-во проданных]]</f>
        <v>0</v>
      </c>
      <c r="AM383" s="39">
        <f>Таблица15[[#This Row],[Средняя цена млн. ₸]]*Таблица15[[#This Row],[Кол-во проданных]]/1000</f>
        <v>0</v>
      </c>
      <c r="AR383" s="22"/>
      <c r="AS383" s="22"/>
      <c r="AT383" s="22"/>
    </row>
    <row r="384" spans="20:46">
      <c r="T384" t="s">
        <v>141</v>
      </c>
      <c r="U384" t="s">
        <v>119</v>
      </c>
      <c r="V384" t="str">
        <f>VLOOKUP(Таблица15[[#This Row],[Модель]],Таблица14[#All],2,0)</f>
        <v>Седан</v>
      </c>
      <c r="W384" s="20">
        <f>VLOOKUP(Таблица15[[#This Row],[Модель]],Таблица14[#All],3,0)</f>
        <v>22000</v>
      </c>
      <c r="X384" s="20">
        <f>VLOOKUP(Таблица15[[#This Row],[Модель]],Таблица14[#All],4,0)</f>
        <v>19000</v>
      </c>
      <c r="Y384" s="4">
        <f>VLOOKUP(Таблица15[[#This Row],[Модель]],Таблица14[#All],5,0)</f>
        <v>25000</v>
      </c>
      <c r="Z384" t="str">
        <f>VLOOKUP(Таблица15[[#This Row],[Модель]],Таблица14[#All],6,0)</f>
        <v>МКПП, АКПП</v>
      </c>
      <c r="AA384" t="str">
        <f>VLOOKUP(Таблица15[[#This Row],[Модель]],Таблица14[#All],7,0)</f>
        <v>Бензин, Дизель</v>
      </c>
      <c r="AB384" t="str">
        <f>VLOOKUP(Таблица15[[#This Row],[Модель]],Таблица14[#All],8,0)</f>
        <v>Комфорт</v>
      </c>
      <c r="AC384" t="str">
        <f>VLOOKUP(Таблица15[[#This Row],[Модель]],Таблица14[#All],9,0)</f>
        <v>Средний</v>
      </c>
      <c r="AD384">
        <f>VLOOKUP(Таблица15[[#This Row],[Модель]],Таблица14[#All],10,0)</f>
        <v>180</v>
      </c>
      <c r="AE384">
        <f>VLOOKUP(Таблица15[[#This Row],[Модель]],Таблица14[#All],11,0)</f>
        <v>12</v>
      </c>
      <c r="AF384">
        <v>2021</v>
      </c>
      <c r="AG384">
        <v>0</v>
      </c>
      <c r="AH384" s="22">
        <f>VLOOKUP(Таблица15[[#This Row],[Модель]],Таблица14[#All],12,0)/1000000</f>
        <v>14.8</v>
      </c>
      <c r="AI384" s="21">
        <f>VLOOKUP(Таблица15[[#This Row],[Модель]],Таблица14[#All],13,0)/1000000</f>
        <v>14.8</v>
      </c>
      <c r="AJ384" s="21">
        <f>VLOOKUP(Таблица15[[#This Row],[Модель]],Таблица14[#All],14,0)/1000000</f>
        <v>14.8</v>
      </c>
      <c r="AK384" s="21">
        <f>Таблица15[[#This Row],[Средняя цена (USD)]]*Таблица15[[#This Row],[Кол-во проданных]]/1000000</f>
        <v>0</v>
      </c>
      <c r="AL384" s="39">
        <f>Таблица15[[#This Row],[Средняя цена млн. ₸]]/440*Таблица15[[#This Row],[Кол-во проданных]]</f>
        <v>0</v>
      </c>
      <c r="AM384" s="39">
        <f>Таблица15[[#This Row],[Средняя цена млн. ₸]]*Таблица15[[#This Row],[Кол-во проданных]]/1000</f>
        <v>0</v>
      </c>
      <c r="AR384" s="22"/>
      <c r="AS384" s="22"/>
      <c r="AT384" s="22"/>
    </row>
    <row r="385" spans="20:46">
      <c r="T385" t="s">
        <v>141</v>
      </c>
      <c r="U385" t="s">
        <v>119</v>
      </c>
      <c r="V385" t="str">
        <f>VLOOKUP(Таблица15[[#This Row],[Модель]],Таблица14[#All],2,0)</f>
        <v>Седан</v>
      </c>
      <c r="W385" s="20">
        <f>VLOOKUP(Таблица15[[#This Row],[Модель]],Таблица14[#All],3,0)</f>
        <v>22000</v>
      </c>
      <c r="X385" s="20">
        <f>VLOOKUP(Таблица15[[#This Row],[Модель]],Таблица14[#All],4,0)</f>
        <v>19000</v>
      </c>
      <c r="Y385" s="4">
        <f>VLOOKUP(Таблица15[[#This Row],[Модель]],Таблица14[#All],5,0)</f>
        <v>25000</v>
      </c>
      <c r="Z385" t="str">
        <f>VLOOKUP(Таблица15[[#This Row],[Модель]],Таблица14[#All],6,0)</f>
        <v>МКПП, АКПП</v>
      </c>
      <c r="AA385" t="str">
        <f>VLOOKUP(Таблица15[[#This Row],[Модель]],Таблица14[#All],7,0)</f>
        <v>Бензин, Дизель</v>
      </c>
      <c r="AB385" t="str">
        <f>VLOOKUP(Таблица15[[#This Row],[Модель]],Таблица14[#All],8,0)</f>
        <v>Комфорт</v>
      </c>
      <c r="AC385" t="str">
        <f>VLOOKUP(Таблица15[[#This Row],[Модель]],Таблица14[#All],9,0)</f>
        <v>Средний</v>
      </c>
      <c r="AD385">
        <f>VLOOKUP(Таблица15[[#This Row],[Модель]],Таблица14[#All],10,0)</f>
        <v>180</v>
      </c>
      <c r="AE385">
        <f>VLOOKUP(Таблица15[[#This Row],[Модель]],Таблица14[#All],11,0)</f>
        <v>12</v>
      </c>
      <c r="AF385">
        <v>2020</v>
      </c>
      <c r="AG385">
        <v>0</v>
      </c>
      <c r="AH385" s="22">
        <f>VLOOKUP(Таблица15[[#This Row],[Модель]],Таблица14[#All],12,0)/1000000</f>
        <v>14.8</v>
      </c>
      <c r="AI385" s="21">
        <f>VLOOKUP(Таблица15[[#This Row],[Модель]],Таблица14[#All],13,0)/1000000</f>
        <v>14.8</v>
      </c>
      <c r="AJ385" s="21">
        <f>VLOOKUP(Таблица15[[#This Row],[Модель]],Таблица14[#All],14,0)/1000000</f>
        <v>14.8</v>
      </c>
      <c r="AK385" s="21">
        <f>Таблица15[[#This Row],[Средняя цена (USD)]]*Таблица15[[#This Row],[Кол-во проданных]]/1000000</f>
        <v>0</v>
      </c>
      <c r="AL385" s="39">
        <f>Таблица15[[#This Row],[Средняя цена млн. ₸]]/440*Таблица15[[#This Row],[Кол-во проданных]]</f>
        <v>0</v>
      </c>
      <c r="AM385" s="39">
        <f>Таблица15[[#This Row],[Средняя цена млн. ₸]]*Таблица15[[#This Row],[Кол-во проданных]]/1000</f>
        <v>0</v>
      </c>
      <c r="AR385" s="22"/>
      <c r="AS385" s="22"/>
      <c r="AT385" s="22"/>
    </row>
    <row r="386" spans="20:46">
      <c r="T386" t="s">
        <v>141</v>
      </c>
      <c r="U386" t="s">
        <v>119</v>
      </c>
      <c r="V386" t="str">
        <f>VLOOKUP(Таблица15[[#This Row],[Модель]],Таблица14[#All],2,0)</f>
        <v>Седан</v>
      </c>
      <c r="W386" s="20">
        <f>VLOOKUP(Таблица15[[#This Row],[Модель]],Таблица14[#All],3,0)</f>
        <v>22000</v>
      </c>
      <c r="X386" s="20">
        <f>VLOOKUP(Таблица15[[#This Row],[Модель]],Таблица14[#All],4,0)</f>
        <v>19000</v>
      </c>
      <c r="Y386" s="4">
        <f>VLOOKUP(Таблица15[[#This Row],[Модель]],Таблица14[#All],5,0)</f>
        <v>25000</v>
      </c>
      <c r="Z386" t="str">
        <f>VLOOKUP(Таблица15[[#This Row],[Модель]],Таблица14[#All],6,0)</f>
        <v>МКПП, АКПП</v>
      </c>
      <c r="AA386" t="str">
        <f>VLOOKUP(Таблица15[[#This Row],[Модель]],Таблица14[#All],7,0)</f>
        <v>Бензин, Дизель</v>
      </c>
      <c r="AB386" t="str">
        <f>VLOOKUP(Таблица15[[#This Row],[Модель]],Таблица14[#All],8,0)</f>
        <v>Комфорт</v>
      </c>
      <c r="AC386" t="str">
        <f>VLOOKUP(Таблица15[[#This Row],[Модель]],Таблица14[#All],9,0)</f>
        <v>Средний</v>
      </c>
      <c r="AD386">
        <f>VLOOKUP(Таблица15[[#This Row],[Модель]],Таблица14[#All],10,0)</f>
        <v>180</v>
      </c>
      <c r="AE386">
        <f>VLOOKUP(Таблица15[[#This Row],[Модель]],Таблица14[#All],11,0)</f>
        <v>12</v>
      </c>
      <c r="AF386">
        <v>2019</v>
      </c>
      <c r="AG386">
        <v>592</v>
      </c>
      <c r="AH386" s="22">
        <f>VLOOKUP(Таблица15[[#This Row],[Модель]],Таблица14[#All],12,0)/1000000</f>
        <v>14.8</v>
      </c>
      <c r="AI386" s="21">
        <f>VLOOKUP(Таблица15[[#This Row],[Модель]],Таблица14[#All],13,0)/1000000</f>
        <v>14.8</v>
      </c>
      <c r="AJ386" s="21">
        <f>VLOOKUP(Таблица15[[#This Row],[Модель]],Таблица14[#All],14,0)/1000000</f>
        <v>14.8</v>
      </c>
      <c r="AK386" s="21">
        <f>Таблица15[[#This Row],[Средняя цена (USD)]]*Таблица15[[#This Row],[Кол-во проданных]]/1000000</f>
        <v>13.023999999999999</v>
      </c>
      <c r="AL386" s="39">
        <f>Таблица15[[#This Row],[Средняя цена млн. ₸]]/440*Таблица15[[#This Row],[Кол-во проданных]]</f>
        <v>19.912727272727274</v>
      </c>
      <c r="AM386" s="39">
        <f>Таблица15[[#This Row],[Средняя цена млн. ₸]]*Таблица15[[#This Row],[Кол-во проданных]]/1000</f>
        <v>8.7615999999999996</v>
      </c>
      <c r="AR386" s="22"/>
      <c r="AS386" s="22"/>
      <c r="AT386" s="22"/>
    </row>
    <row r="387" spans="20:46">
      <c r="T387" t="s">
        <v>125</v>
      </c>
      <c r="U387" t="s">
        <v>79</v>
      </c>
      <c r="V387" t="str">
        <f>VLOOKUP(Таблица15[[#This Row],[Модель]],Таблица14[#All],2,0)</f>
        <v>Внедорожник</v>
      </c>
      <c r="W387" s="20">
        <f>VLOOKUP(Таблица15[[#This Row],[Модель]],Таблица14[#All],3,0)</f>
        <v>25000</v>
      </c>
      <c r="X387" s="20">
        <f>VLOOKUP(Таблица15[[#This Row],[Модель]],Таблица14[#All],4,0)</f>
        <v>22000</v>
      </c>
      <c r="Y387" s="4">
        <f>VLOOKUP(Таблица15[[#This Row],[Модель]],Таблица14[#All],5,0)</f>
        <v>30000</v>
      </c>
      <c r="Z387" t="str">
        <f>VLOOKUP(Таблица15[[#This Row],[Модель]],Таблица14[#All],6,0)</f>
        <v>АКПП</v>
      </c>
      <c r="AA387" t="str">
        <f>VLOOKUP(Таблица15[[#This Row],[Модель]],Таблица14[#All],7,0)</f>
        <v>Бензин, Гибрид</v>
      </c>
      <c r="AB387" t="str">
        <f>VLOOKUP(Таблица15[[#This Row],[Модель]],Таблица14[#All],8,0)</f>
        <v>Комфорт</v>
      </c>
      <c r="AC387" t="str">
        <f>VLOOKUP(Таблица15[[#This Row],[Модель]],Таблица14[#All],9,0)</f>
        <v>Средний</v>
      </c>
      <c r="AD387">
        <f>VLOOKUP(Таблица15[[#This Row],[Модель]],Таблица14[#All],10,0)</f>
        <v>190</v>
      </c>
      <c r="AE387">
        <f>VLOOKUP(Таблица15[[#This Row],[Модель]],Таблица14[#All],11,0)</f>
        <v>11.5</v>
      </c>
      <c r="AF387">
        <v>2023</v>
      </c>
      <c r="AG387">
        <v>1325</v>
      </c>
      <c r="AH387" s="22">
        <f>VLOOKUP(Таблица15[[#This Row],[Модель]],Таблица14[#All],12,0)/1000000</f>
        <v>20.844999999999999</v>
      </c>
      <c r="AI387" s="21">
        <f>VLOOKUP(Таблица15[[#This Row],[Модель]],Таблица14[#All],13,0)/1000000</f>
        <v>19.350000000000001</v>
      </c>
      <c r="AJ387" s="21">
        <f>VLOOKUP(Таблица15[[#This Row],[Модель]],Таблица14[#All],14,0)/1000000</f>
        <v>22.34</v>
      </c>
      <c r="AK387" s="21">
        <f>Таблица15[[#This Row],[Средняя цена (USD)]]*Таблица15[[#This Row],[Кол-во проданных]]/1000000</f>
        <v>33.125</v>
      </c>
      <c r="AL387" s="39">
        <f>Таблица15[[#This Row],[Средняя цена млн. ₸]]/440*Таблица15[[#This Row],[Кол-во проданных]]</f>
        <v>62.771875000000001</v>
      </c>
      <c r="AM387" s="39">
        <f>Таблица15[[#This Row],[Средняя цена млн. ₸]]*Таблица15[[#This Row],[Кол-во проданных]]/1000</f>
        <v>27.619624999999999</v>
      </c>
      <c r="AR387" s="22"/>
      <c r="AS387" s="22"/>
      <c r="AT387" s="22"/>
    </row>
    <row r="388" spans="20:46">
      <c r="T388" t="s">
        <v>125</v>
      </c>
      <c r="U388" t="s">
        <v>79</v>
      </c>
      <c r="V388" t="str">
        <f>VLOOKUP(Таблица15[[#This Row],[Модель]],Таблица14[#All],2,0)</f>
        <v>Внедорожник</v>
      </c>
      <c r="W388" s="20">
        <f>VLOOKUP(Таблица15[[#This Row],[Модель]],Таблица14[#All],3,0)</f>
        <v>25000</v>
      </c>
      <c r="X388" s="20">
        <f>VLOOKUP(Таблица15[[#This Row],[Модель]],Таблица14[#All],4,0)</f>
        <v>22000</v>
      </c>
      <c r="Y388" s="4">
        <f>VLOOKUP(Таблица15[[#This Row],[Модель]],Таблица14[#All],5,0)</f>
        <v>30000</v>
      </c>
      <c r="Z388" t="str">
        <f>VLOOKUP(Таблица15[[#This Row],[Модель]],Таблица14[#All],6,0)</f>
        <v>АКПП</v>
      </c>
      <c r="AA388" t="str">
        <f>VLOOKUP(Таблица15[[#This Row],[Модель]],Таблица14[#All],7,0)</f>
        <v>Бензин, Гибрид</v>
      </c>
      <c r="AB388" t="str">
        <f>VLOOKUP(Таблица15[[#This Row],[Модель]],Таблица14[#All],8,0)</f>
        <v>Комфорт</v>
      </c>
      <c r="AC388" t="str">
        <f>VLOOKUP(Таблица15[[#This Row],[Модель]],Таблица14[#All],9,0)</f>
        <v>Средний</v>
      </c>
      <c r="AD388">
        <f>VLOOKUP(Таблица15[[#This Row],[Модель]],Таблица14[#All],10,0)</f>
        <v>190</v>
      </c>
      <c r="AE388">
        <f>VLOOKUP(Таблица15[[#This Row],[Модель]],Таблица14[#All],11,0)</f>
        <v>11.5</v>
      </c>
      <c r="AF388">
        <v>2022</v>
      </c>
      <c r="AG388">
        <v>0</v>
      </c>
      <c r="AH388" s="22">
        <f>VLOOKUP(Таблица15[[#This Row],[Модель]],Таблица14[#All],12,0)/1000000</f>
        <v>20.844999999999999</v>
      </c>
      <c r="AI388" s="21">
        <f>VLOOKUP(Таблица15[[#This Row],[Модель]],Таблица14[#All],13,0)/1000000</f>
        <v>19.350000000000001</v>
      </c>
      <c r="AJ388" s="21">
        <f>VLOOKUP(Таблица15[[#This Row],[Модель]],Таблица14[#All],14,0)/1000000</f>
        <v>22.34</v>
      </c>
      <c r="AK388" s="21">
        <f>Таблица15[[#This Row],[Средняя цена (USD)]]*Таблица15[[#This Row],[Кол-во проданных]]/1000000</f>
        <v>0</v>
      </c>
      <c r="AL388" s="39">
        <f>Таблица15[[#This Row],[Средняя цена млн. ₸]]/440*Таблица15[[#This Row],[Кол-во проданных]]</f>
        <v>0</v>
      </c>
      <c r="AM388" s="39">
        <f>Таблица15[[#This Row],[Средняя цена млн. ₸]]*Таблица15[[#This Row],[Кол-во проданных]]/1000</f>
        <v>0</v>
      </c>
      <c r="AR388" s="22"/>
      <c r="AS388" s="22"/>
      <c r="AT388" s="22"/>
    </row>
    <row r="389" spans="20:46">
      <c r="T389" t="s">
        <v>125</v>
      </c>
      <c r="U389" t="s">
        <v>79</v>
      </c>
      <c r="V389" t="str">
        <f>VLOOKUP(Таблица15[[#This Row],[Модель]],Таблица14[#All],2,0)</f>
        <v>Внедорожник</v>
      </c>
      <c r="W389" s="20">
        <f>VLOOKUP(Таблица15[[#This Row],[Модель]],Таблица14[#All],3,0)</f>
        <v>25000</v>
      </c>
      <c r="X389" s="20">
        <f>VLOOKUP(Таблица15[[#This Row],[Модель]],Таблица14[#All],4,0)</f>
        <v>22000</v>
      </c>
      <c r="Y389" s="4">
        <f>VLOOKUP(Таблица15[[#This Row],[Модель]],Таблица14[#All],5,0)</f>
        <v>30000</v>
      </c>
      <c r="Z389" t="str">
        <f>VLOOKUP(Таблица15[[#This Row],[Модель]],Таблица14[#All],6,0)</f>
        <v>АКПП</v>
      </c>
      <c r="AA389" t="str">
        <f>VLOOKUP(Таблица15[[#This Row],[Модель]],Таблица14[#All],7,0)</f>
        <v>Бензин, Гибрид</v>
      </c>
      <c r="AB389" t="str">
        <f>VLOOKUP(Таблица15[[#This Row],[Модель]],Таблица14[#All],8,0)</f>
        <v>Комфорт</v>
      </c>
      <c r="AC389" t="str">
        <f>VLOOKUP(Таблица15[[#This Row],[Модель]],Таблица14[#All],9,0)</f>
        <v>Средний</v>
      </c>
      <c r="AD389">
        <f>VLOOKUP(Таблица15[[#This Row],[Модель]],Таблица14[#All],10,0)</f>
        <v>190</v>
      </c>
      <c r="AE389">
        <f>VLOOKUP(Таблица15[[#This Row],[Модель]],Таблица14[#All],11,0)</f>
        <v>11.5</v>
      </c>
      <c r="AF389">
        <v>2021</v>
      </c>
      <c r="AG389">
        <v>602</v>
      </c>
      <c r="AH389" s="22">
        <f>VLOOKUP(Таблица15[[#This Row],[Модель]],Таблица14[#All],12,0)/1000000</f>
        <v>20.844999999999999</v>
      </c>
      <c r="AI389" s="21">
        <f>VLOOKUP(Таблица15[[#This Row],[Модель]],Таблица14[#All],13,0)/1000000</f>
        <v>19.350000000000001</v>
      </c>
      <c r="AJ389" s="21">
        <f>VLOOKUP(Таблица15[[#This Row],[Модель]],Таблица14[#All],14,0)/1000000</f>
        <v>22.34</v>
      </c>
      <c r="AK389" s="21">
        <f>Таблица15[[#This Row],[Средняя цена (USD)]]*Таблица15[[#This Row],[Кол-во проданных]]/1000000</f>
        <v>15.05</v>
      </c>
      <c r="AL389" s="39">
        <f>Таблица15[[#This Row],[Средняя цена млн. ₸]]/440*Таблица15[[#This Row],[Кол-во проданных]]</f>
        <v>28.519750000000002</v>
      </c>
      <c r="AM389" s="39">
        <f>Таблица15[[#This Row],[Средняя цена млн. ₸]]*Таблица15[[#This Row],[Кол-во проданных]]/1000</f>
        <v>12.548689999999999</v>
      </c>
      <c r="AR389" s="22"/>
      <c r="AS389" s="22"/>
      <c r="AT389" s="22"/>
    </row>
    <row r="390" spans="20:46">
      <c r="T390" t="s">
        <v>125</v>
      </c>
      <c r="U390" t="s">
        <v>79</v>
      </c>
      <c r="V390" t="str">
        <f>VLOOKUP(Таблица15[[#This Row],[Модель]],Таблица14[#All],2,0)</f>
        <v>Внедорожник</v>
      </c>
      <c r="W390" s="20">
        <f>VLOOKUP(Таблица15[[#This Row],[Модель]],Таблица14[#All],3,0)</f>
        <v>25000</v>
      </c>
      <c r="X390" s="20">
        <f>VLOOKUP(Таблица15[[#This Row],[Модель]],Таблица14[#All],4,0)</f>
        <v>22000</v>
      </c>
      <c r="Y390" s="4">
        <f>VLOOKUP(Таблица15[[#This Row],[Модель]],Таблица14[#All],5,0)</f>
        <v>30000</v>
      </c>
      <c r="Z390" t="str">
        <f>VLOOKUP(Таблица15[[#This Row],[Модель]],Таблица14[#All],6,0)</f>
        <v>АКПП</v>
      </c>
      <c r="AA390" t="str">
        <f>VLOOKUP(Таблица15[[#This Row],[Модель]],Таблица14[#All],7,0)</f>
        <v>Бензин, Гибрид</v>
      </c>
      <c r="AB390" t="str">
        <f>VLOOKUP(Таблица15[[#This Row],[Модель]],Таблица14[#All],8,0)</f>
        <v>Комфорт</v>
      </c>
      <c r="AC390" t="str">
        <f>VLOOKUP(Таблица15[[#This Row],[Модель]],Таблица14[#All],9,0)</f>
        <v>Средний</v>
      </c>
      <c r="AD390">
        <f>VLOOKUP(Таблица15[[#This Row],[Модель]],Таблица14[#All],10,0)</f>
        <v>190</v>
      </c>
      <c r="AE390">
        <f>VLOOKUP(Таблица15[[#This Row],[Модель]],Таблица14[#All],11,0)</f>
        <v>11.5</v>
      </c>
      <c r="AF390">
        <v>2020</v>
      </c>
      <c r="AG390">
        <v>389</v>
      </c>
      <c r="AH390" s="22">
        <f>VLOOKUP(Таблица15[[#This Row],[Модель]],Таблица14[#All],12,0)/1000000</f>
        <v>20.844999999999999</v>
      </c>
      <c r="AI390" s="21">
        <f>VLOOKUP(Таблица15[[#This Row],[Модель]],Таблица14[#All],13,0)/1000000</f>
        <v>19.350000000000001</v>
      </c>
      <c r="AJ390" s="21">
        <f>VLOOKUP(Таблица15[[#This Row],[Модель]],Таблица14[#All],14,0)/1000000</f>
        <v>22.34</v>
      </c>
      <c r="AK390" s="21">
        <f>Таблица15[[#This Row],[Средняя цена (USD)]]*Таблица15[[#This Row],[Кол-во проданных]]/1000000</f>
        <v>9.7249999999999996</v>
      </c>
      <c r="AL390" s="39">
        <f>Таблица15[[#This Row],[Средняя цена млн. ₸]]/440*Таблица15[[#This Row],[Кол-во проданных]]</f>
        <v>18.428875000000001</v>
      </c>
      <c r="AM390" s="39">
        <f>Таблица15[[#This Row],[Средняя цена млн. ₸]]*Таблица15[[#This Row],[Кол-во проданных]]/1000</f>
        <v>8.1087050000000005</v>
      </c>
      <c r="AR390" s="22"/>
      <c r="AS390" s="22"/>
      <c r="AT390" s="22"/>
    </row>
    <row r="391" spans="20:46">
      <c r="T391" t="s">
        <v>125</v>
      </c>
      <c r="U391" t="s">
        <v>79</v>
      </c>
      <c r="V391" t="str">
        <f>VLOOKUP(Таблица15[[#This Row],[Модель]],Таблица14[#All],2,0)</f>
        <v>Внедорожник</v>
      </c>
      <c r="W391" s="20">
        <f>VLOOKUP(Таблица15[[#This Row],[Модель]],Таблица14[#All],3,0)</f>
        <v>25000</v>
      </c>
      <c r="X391" s="20">
        <f>VLOOKUP(Таблица15[[#This Row],[Модель]],Таблица14[#All],4,0)</f>
        <v>22000</v>
      </c>
      <c r="Y391" s="4">
        <f>VLOOKUP(Таблица15[[#This Row],[Модель]],Таблица14[#All],5,0)</f>
        <v>30000</v>
      </c>
      <c r="Z391" t="str">
        <f>VLOOKUP(Таблица15[[#This Row],[Модель]],Таблица14[#All],6,0)</f>
        <v>АКПП</v>
      </c>
      <c r="AA391" t="str">
        <f>VLOOKUP(Таблица15[[#This Row],[Модель]],Таблица14[#All],7,0)</f>
        <v>Бензин, Гибрид</v>
      </c>
      <c r="AB391" t="str">
        <f>VLOOKUP(Таблица15[[#This Row],[Модель]],Таблица14[#All],8,0)</f>
        <v>Комфорт</v>
      </c>
      <c r="AC391" t="str">
        <f>VLOOKUP(Таблица15[[#This Row],[Модель]],Таблица14[#All],9,0)</f>
        <v>Средний</v>
      </c>
      <c r="AD391">
        <f>VLOOKUP(Таблица15[[#This Row],[Модель]],Таблица14[#All],10,0)</f>
        <v>190</v>
      </c>
      <c r="AE391">
        <f>VLOOKUP(Таблица15[[#This Row],[Модель]],Таблица14[#All],11,0)</f>
        <v>11.5</v>
      </c>
      <c r="AF391">
        <v>2019</v>
      </c>
      <c r="AG391">
        <v>421</v>
      </c>
      <c r="AH391" s="22">
        <f>VLOOKUP(Таблица15[[#This Row],[Модель]],Таблица14[#All],12,0)/1000000</f>
        <v>20.844999999999999</v>
      </c>
      <c r="AI391" s="21">
        <f>VLOOKUP(Таблица15[[#This Row],[Модель]],Таблица14[#All],13,0)/1000000</f>
        <v>19.350000000000001</v>
      </c>
      <c r="AJ391" s="21">
        <f>VLOOKUP(Таблица15[[#This Row],[Модель]],Таблица14[#All],14,0)/1000000</f>
        <v>22.34</v>
      </c>
      <c r="AK391" s="21">
        <f>Таблица15[[#This Row],[Средняя цена (USD)]]*Таблица15[[#This Row],[Кол-во проданных]]/1000000</f>
        <v>10.525</v>
      </c>
      <c r="AL391" s="39">
        <f>Таблица15[[#This Row],[Средняя цена млн. ₸]]/440*Таблица15[[#This Row],[Кол-во проданных]]</f>
        <v>19.944875</v>
      </c>
      <c r="AM391" s="39">
        <f>Таблица15[[#This Row],[Средняя цена млн. ₸]]*Таблица15[[#This Row],[Кол-во проданных]]/1000</f>
        <v>8.7757449999999988</v>
      </c>
      <c r="AR391" s="22"/>
      <c r="AS391" s="22"/>
      <c r="AT391" s="22"/>
    </row>
    <row r="392" spans="20:46">
      <c r="T392" t="s">
        <v>2</v>
      </c>
      <c r="U392" t="s">
        <v>28</v>
      </c>
      <c r="V392" t="str">
        <f>VLOOKUP(Таблица15[[#This Row],[Модель]],Таблица14[#All],2,0)</f>
        <v>Седан</v>
      </c>
      <c r="W392" s="20">
        <f>VLOOKUP(Таблица15[[#This Row],[Модель]],Таблица14[#All],3,0)</f>
        <v>22000</v>
      </c>
      <c r="X392" s="20">
        <f>VLOOKUP(Таблица15[[#This Row],[Модель]],Таблица14[#All],4,0)</f>
        <v>19000</v>
      </c>
      <c r="Y392" s="4">
        <f>VLOOKUP(Таблица15[[#This Row],[Модель]],Таблица14[#All],5,0)</f>
        <v>25000</v>
      </c>
      <c r="Z392" t="str">
        <f>VLOOKUP(Таблица15[[#This Row],[Модель]],Таблица14[#All],6,0)</f>
        <v>АКПП</v>
      </c>
      <c r="AA392" t="str">
        <f>VLOOKUP(Таблица15[[#This Row],[Модель]],Таблица14[#All],7,0)</f>
        <v>Бензин, Гибрид</v>
      </c>
      <c r="AB392" t="str">
        <f>VLOOKUP(Таблица15[[#This Row],[Модель]],Таблица14[#All],8,0)</f>
        <v>Комфорт</v>
      </c>
      <c r="AC392" t="str">
        <f>VLOOKUP(Таблица15[[#This Row],[Модель]],Таблица14[#All],9,0)</f>
        <v>Средний</v>
      </c>
      <c r="AD392">
        <f>VLOOKUP(Таблица15[[#This Row],[Модель]],Таблица14[#All],10,0)</f>
        <v>180</v>
      </c>
      <c r="AE392">
        <f>VLOOKUP(Таблица15[[#This Row],[Модель]],Таблица14[#All],11,0)</f>
        <v>12</v>
      </c>
      <c r="AF392">
        <v>2023</v>
      </c>
      <c r="AG392">
        <v>3734</v>
      </c>
      <c r="AH392" s="22">
        <f>VLOOKUP(Таблица15[[#This Row],[Модель]],Таблица14[#All],12,0)/1000000</f>
        <v>17.745000000000001</v>
      </c>
      <c r="AI392" s="21">
        <f>VLOOKUP(Таблица15[[#This Row],[Модель]],Таблица14[#All],13,0)/1000000</f>
        <v>15</v>
      </c>
      <c r="AJ392" s="21">
        <f>VLOOKUP(Таблица15[[#This Row],[Модель]],Таблица14[#All],14,0)/1000000</f>
        <v>20.49</v>
      </c>
      <c r="AK392" s="21">
        <f>Таблица15[[#This Row],[Средняя цена (USD)]]*Таблица15[[#This Row],[Кол-во проданных]]/1000000</f>
        <v>82.147999999999996</v>
      </c>
      <c r="AL392" s="39">
        <f>Таблица15[[#This Row],[Средняя цена млн. ₸]]/440*Таблица15[[#This Row],[Кол-во проданных]]</f>
        <v>150.59052272727274</v>
      </c>
      <c r="AM392" s="39">
        <f>Таблица15[[#This Row],[Средняя цена млн. ₸]]*Таблица15[[#This Row],[Кол-во проданных]]/1000</f>
        <v>66.259830000000008</v>
      </c>
      <c r="AR392" s="22"/>
      <c r="AS392" s="22"/>
      <c r="AT392" s="22"/>
    </row>
    <row r="393" spans="20:46">
      <c r="T393" t="s">
        <v>2</v>
      </c>
      <c r="U393" t="s">
        <v>28</v>
      </c>
      <c r="V393" t="str">
        <f>VLOOKUP(Таблица15[[#This Row],[Модель]],Таблица14[#All],2,0)</f>
        <v>Седан</v>
      </c>
      <c r="W393" s="20">
        <f>VLOOKUP(Таблица15[[#This Row],[Модель]],Таблица14[#All],3,0)</f>
        <v>22000</v>
      </c>
      <c r="X393" s="20">
        <f>VLOOKUP(Таблица15[[#This Row],[Модель]],Таблица14[#All],4,0)</f>
        <v>19000</v>
      </c>
      <c r="Y393" s="4">
        <f>VLOOKUP(Таблица15[[#This Row],[Модель]],Таблица14[#All],5,0)</f>
        <v>25000</v>
      </c>
      <c r="Z393" t="str">
        <f>VLOOKUP(Таблица15[[#This Row],[Модель]],Таблица14[#All],6,0)</f>
        <v>АКПП</v>
      </c>
      <c r="AA393" t="str">
        <f>VLOOKUP(Таблица15[[#This Row],[Модель]],Таблица14[#All],7,0)</f>
        <v>Бензин, Гибрид</v>
      </c>
      <c r="AB393" t="str">
        <f>VLOOKUP(Таблица15[[#This Row],[Модель]],Таблица14[#All],8,0)</f>
        <v>Комфорт</v>
      </c>
      <c r="AC393" t="str">
        <f>VLOOKUP(Таблица15[[#This Row],[Модель]],Таблица14[#All],9,0)</f>
        <v>Средний</v>
      </c>
      <c r="AD393">
        <f>VLOOKUP(Таблица15[[#This Row],[Модель]],Таблица14[#All],10,0)</f>
        <v>180</v>
      </c>
      <c r="AE393">
        <f>VLOOKUP(Таблица15[[#This Row],[Модель]],Таблица14[#All],11,0)</f>
        <v>12</v>
      </c>
      <c r="AF393">
        <v>2022</v>
      </c>
      <c r="AG393">
        <v>1004</v>
      </c>
      <c r="AH393" s="22">
        <f>VLOOKUP(Таблица15[[#This Row],[Модель]],Таблица14[#All],12,0)/1000000</f>
        <v>17.745000000000001</v>
      </c>
      <c r="AI393" s="21">
        <f>VLOOKUP(Таблица15[[#This Row],[Модель]],Таблица14[#All],13,0)/1000000</f>
        <v>15</v>
      </c>
      <c r="AJ393" s="21">
        <f>VLOOKUP(Таблица15[[#This Row],[Модель]],Таблица14[#All],14,0)/1000000</f>
        <v>20.49</v>
      </c>
      <c r="AK393" s="21">
        <f>Таблица15[[#This Row],[Средняя цена (USD)]]*Таблица15[[#This Row],[Кол-во проданных]]/1000000</f>
        <v>22.088000000000001</v>
      </c>
      <c r="AL393" s="39">
        <f>Таблица15[[#This Row],[Средняя цена млн. ₸]]/440*Таблица15[[#This Row],[Кол-во проданных]]</f>
        <v>40.490863636363642</v>
      </c>
      <c r="AM393" s="39">
        <f>Таблица15[[#This Row],[Средняя цена млн. ₸]]*Таблица15[[#This Row],[Кол-во проданных]]/1000</f>
        <v>17.81598</v>
      </c>
      <c r="AR393" s="22"/>
      <c r="AS393" s="22"/>
      <c r="AT393" s="22"/>
    </row>
    <row r="394" spans="20:46">
      <c r="T394" t="s">
        <v>2</v>
      </c>
      <c r="U394" t="s">
        <v>28</v>
      </c>
      <c r="V394" t="str">
        <f>VLOOKUP(Таблица15[[#This Row],[Модель]],Таблица14[#All],2,0)</f>
        <v>Седан</v>
      </c>
      <c r="W394" s="20">
        <f>VLOOKUP(Таблица15[[#This Row],[Модель]],Таблица14[#All],3,0)</f>
        <v>22000</v>
      </c>
      <c r="X394" s="20">
        <f>VLOOKUP(Таблица15[[#This Row],[Модель]],Таблица14[#All],4,0)</f>
        <v>19000</v>
      </c>
      <c r="Y394" s="4">
        <f>VLOOKUP(Таблица15[[#This Row],[Модель]],Таблица14[#All],5,0)</f>
        <v>25000</v>
      </c>
      <c r="Z394" t="str">
        <f>VLOOKUP(Таблица15[[#This Row],[Модель]],Таблица14[#All],6,0)</f>
        <v>АКПП</v>
      </c>
      <c r="AA394" t="str">
        <f>VLOOKUP(Таблица15[[#This Row],[Модель]],Таблица14[#All],7,0)</f>
        <v>Бензин, Гибрид</v>
      </c>
      <c r="AB394" t="str">
        <f>VLOOKUP(Таблица15[[#This Row],[Модель]],Таблица14[#All],8,0)</f>
        <v>Комфорт</v>
      </c>
      <c r="AC394" t="str">
        <f>VLOOKUP(Таблица15[[#This Row],[Модель]],Таблица14[#All],9,0)</f>
        <v>Средний</v>
      </c>
      <c r="AD394">
        <f>VLOOKUP(Таблица15[[#This Row],[Модель]],Таблица14[#All],10,0)</f>
        <v>180</v>
      </c>
      <c r="AE394">
        <f>VLOOKUP(Таблица15[[#This Row],[Модель]],Таблица14[#All],11,0)</f>
        <v>12</v>
      </c>
      <c r="AF394">
        <v>2021</v>
      </c>
      <c r="AG394">
        <v>5616</v>
      </c>
      <c r="AH394" s="22">
        <f>VLOOKUP(Таблица15[[#This Row],[Модель]],Таблица14[#All],12,0)/1000000</f>
        <v>17.745000000000001</v>
      </c>
      <c r="AI394" s="21">
        <f>VLOOKUP(Таблица15[[#This Row],[Модель]],Таблица14[#All],13,0)/1000000</f>
        <v>15</v>
      </c>
      <c r="AJ394" s="21">
        <f>VLOOKUP(Таблица15[[#This Row],[Модель]],Таблица14[#All],14,0)/1000000</f>
        <v>20.49</v>
      </c>
      <c r="AK394" s="21">
        <f>Таблица15[[#This Row],[Средняя цена (USD)]]*Таблица15[[#This Row],[Кол-во проданных]]/1000000</f>
        <v>123.55200000000001</v>
      </c>
      <c r="AL394" s="39">
        <f>Таблица15[[#This Row],[Средняя цена млн. ₸]]/440*Таблица15[[#This Row],[Кол-во проданных]]</f>
        <v>226.4907272727273</v>
      </c>
      <c r="AM394" s="39">
        <f>Таблица15[[#This Row],[Средняя цена млн. ₸]]*Таблица15[[#This Row],[Кол-во проданных]]/1000</f>
        <v>99.655920000000009</v>
      </c>
      <c r="AR394" s="22"/>
      <c r="AS394" s="22"/>
      <c r="AT394" s="22"/>
    </row>
    <row r="395" spans="20:46">
      <c r="T395" t="s">
        <v>2</v>
      </c>
      <c r="U395" t="s">
        <v>28</v>
      </c>
      <c r="V395" t="str">
        <f>VLOOKUP(Таблица15[[#This Row],[Модель]],Таблица14[#All],2,0)</f>
        <v>Седан</v>
      </c>
      <c r="W395" s="20">
        <f>VLOOKUP(Таблица15[[#This Row],[Модель]],Таблица14[#All],3,0)</f>
        <v>22000</v>
      </c>
      <c r="X395" s="20">
        <f>VLOOKUP(Таблица15[[#This Row],[Модель]],Таблица14[#All],4,0)</f>
        <v>19000</v>
      </c>
      <c r="Y395" s="4">
        <f>VLOOKUP(Таблица15[[#This Row],[Модель]],Таблица14[#All],5,0)</f>
        <v>25000</v>
      </c>
      <c r="Z395" t="str">
        <f>VLOOKUP(Таблица15[[#This Row],[Модель]],Таблица14[#All],6,0)</f>
        <v>АКПП</v>
      </c>
      <c r="AA395" t="str">
        <f>VLOOKUP(Таблица15[[#This Row],[Модель]],Таблица14[#All],7,0)</f>
        <v>Бензин, Гибрид</v>
      </c>
      <c r="AB395" t="str">
        <f>VLOOKUP(Таблица15[[#This Row],[Модель]],Таблица14[#All],8,0)</f>
        <v>Комфорт</v>
      </c>
      <c r="AC395" t="str">
        <f>VLOOKUP(Таблица15[[#This Row],[Модель]],Таблица14[#All],9,0)</f>
        <v>Средний</v>
      </c>
      <c r="AD395">
        <f>VLOOKUP(Таблица15[[#This Row],[Модель]],Таблица14[#All],10,0)</f>
        <v>180</v>
      </c>
      <c r="AE395">
        <f>VLOOKUP(Таблица15[[#This Row],[Модель]],Таблица14[#All],11,0)</f>
        <v>12</v>
      </c>
      <c r="AF395">
        <v>2020</v>
      </c>
      <c r="AG395">
        <v>4314</v>
      </c>
      <c r="AH395" s="22">
        <f>VLOOKUP(Таблица15[[#This Row],[Модель]],Таблица14[#All],12,0)/1000000</f>
        <v>17.745000000000001</v>
      </c>
      <c r="AI395" s="21">
        <f>VLOOKUP(Таблица15[[#This Row],[Модель]],Таблица14[#All],13,0)/1000000</f>
        <v>15</v>
      </c>
      <c r="AJ395" s="21">
        <f>VLOOKUP(Таблица15[[#This Row],[Модель]],Таблица14[#All],14,0)/1000000</f>
        <v>20.49</v>
      </c>
      <c r="AK395" s="21">
        <f>Таблица15[[#This Row],[Средняя цена (USD)]]*Таблица15[[#This Row],[Кол-во проданных]]/1000000</f>
        <v>94.908000000000001</v>
      </c>
      <c r="AL395" s="39">
        <f>Таблица15[[#This Row],[Средняя цена млн. ₸]]/440*Таблица15[[#This Row],[Кол-во проданных]]</f>
        <v>173.98165909090912</v>
      </c>
      <c r="AM395" s="39">
        <f>Таблица15[[#This Row],[Средняя цена млн. ₸]]*Таблица15[[#This Row],[Кол-во проданных]]/1000</f>
        <v>76.551930000000013</v>
      </c>
      <c r="AR395" s="22"/>
      <c r="AS395" s="22"/>
      <c r="AT395" s="22"/>
    </row>
    <row r="396" spans="20:46">
      <c r="T396" t="s">
        <v>2</v>
      </c>
      <c r="U396" t="s">
        <v>28</v>
      </c>
      <c r="V396" t="str">
        <f>VLOOKUP(Таблица15[[#This Row],[Модель]],Таблица14[#All],2,0)</f>
        <v>Седан</v>
      </c>
      <c r="W396" s="20">
        <f>VLOOKUP(Таблица15[[#This Row],[Модель]],Таблица14[#All],3,0)</f>
        <v>22000</v>
      </c>
      <c r="X396" s="20">
        <f>VLOOKUP(Таблица15[[#This Row],[Модель]],Таблица14[#All],4,0)</f>
        <v>19000</v>
      </c>
      <c r="Y396" s="4">
        <f>VLOOKUP(Таблица15[[#This Row],[Модель]],Таблица14[#All],5,0)</f>
        <v>25000</v>
      </c>
      <c r="Z396" t="str">
        <f>VLOOKUP(Таблица15[[#This Row],[Модель]],Таблица14[#All],6,0)</f>
        <v>АКПП</v>
      </c>
      <c r="AA396" t="str">
        <f>VLOOKUP(Таблица15[[#This Row],[Модель]],Таблица14[#All],7,0)</f>
        <v>Бензин, Гибрид</v>
      </c>
      <c r="AB396" t="str">
        <f>VLOOKUP(Таблица15[[#This Row],[Модель]],Таблица14[#All],8,0)</f>
        <v>Комфорт</v>
      </c>
      <c r="AC396" t="str">
        <f>VLOOKUP(Таблица15[[#This Row],[Модель]],Таблица14[#All],9,0)</f>
        <v>Средний</v>
      </c>
      <c r="AD396">
        <f>VLOOKUP(Таблица15[[#This Row],[Модель]],Таблица14[#All],10,0)</f>
        <v>180</v>
      </c>
      <c r="AE396">
        <f>VLOOKUP(Таблица15[[#This Row],[Модель]],Таблица14[#All],11,0)</f>
        <v>12</v>
      </c>
      <c r="AF396">
        <v>2019</v>
      </c>
      <c r="AG396">
        <v>6423</v>
      </c>
      <c r="AH396" s="22">
        <f>VLOOKUP(Таблица15[[#This Row],[Модель]],Таблица14[#All],12,0)/1000000</f>
        <v>17.745000000000001</v>
      </c>
      <c r="AI396" s="21">
        <f>VLOOKUP(Таблица15[[#This Row],[Модель]],Таблица14[#All],13,0)/1000000</f>
        <v>15</v>
      </c>
      <c r="AJ396" s="21">
        <f>VLOOKUP(Таблица15[[#This Row],[Модель]],Таблица14[#All],14,0)/1000000</f>
        <v>20.49</v>
      </c>
      <c r="AK396" s="21">
        <f>Таблица15[[#This Row],[Средняя цена (USD)]]*Таблица15[[#This Row],[Кол-во проданных]]/1000000</f>
        <v>141.30600000000001</v>
      </c>
      <c r="AL396" s="39">
        <f>Таблица15[[#This Row],[Средняя цена млн. ₸]]/440*Таблица15[[#This Row],[Кол-во проданных]]</f>
        <v>259.03667045454546</v>
      </c>
      <c r="AM396" s="39">
        <f>Таблица15[[#This Row],[Средняя цена млн. ₸]]*Таблица15[[#This Row],[Кол-во проданных]]/1000</f>
        <v>113.97613500000001</v>
      </c>
      <c r="AR396" s="22"/>
      <c r="AS396" s="22"/>
      <c r="AT396" s="22"/>
    </row>
    <row r="397" spans="20:46">
      <c r="T397" t="s">
        <v>2</v>
      </c>
      <c r="U397" t="s">
        <v>80</v>
      </c>
      <c r="V397" t="str">
        <f>VLOOKUP(Таблица15[[#This Row],[Модель]],Таблица14[#All],2,0)</f>
        <v>Седан</v>
      </c>
      <c r="W397" s="20">
        <f>VLOOKUP(Таблица15[[#This Row],[Модель]],Таблица14[#All],3,0)</f>
        <v>18000</v>
      </c>
      <c r="X397" s="20">
        <f>VLOOKUP(Таблица15[[#This Row],[Модель]],Таблица14[#All],4,0)</f>
        <v>16000</v>
      </c>
      <c r="Y397" s="4">
        <f>VLOOKUP(Таблица15[[#This Row],[Модель]],Таблица14[#All],5,0)</f>
        <v>22000</v>
      </c>
      <c r="Z397" t="str">
        <f>VLOOKUP(Таблица15[[#This Row],[Модель]],Таблица14[#All],6,0)</f>
        <v>МКПП, АКПП</v>
      </c>
      <c r="AA397" t="str">
        <f>VLOOKUP(Таблица15[[#This Row],[Модель]],Таблица14[#All],7,0)</f>
        <v>Бензин</v>
      </c>
      <c r="AB397" t="str">
        <f>VLOOKUP(Таблица15[[#This Row],[Модель]],Таблица14[#All],8,0)</f>
        <v>Комфорт</v>
      </c>
      <c r="AC397" t="str">
        <f>VLOOKUP(Таблица15[[#This Row],[Модель]],Таблица14[#All],9,0)</f>
        <v>Средний</v>
      </c>
      <c r="AD397">
        <f>VLOOKUP(Таблица15[[#This Row],[Модель]],Таблица14[#All],10,0)</f>
        <v>150</v>
      </c>
      <c r="AE397">
        <f>VLOOKUP(Таблица15[[#This Row],[Модель]],Таблица14[#All],11,0)</f>
        <v>13.5</v>
      </c>
      <c r="AF397">
        <v>2023</v>
      </c>
      <c r="AG397">
        <v>1293</v>
      </c>
      <c r="AH397" s="22">
        <f>VLOOKUP(Таблица15[[#This Row],[Модель]],Таблица14[#All],12,0)/1000000</f>
        <v>13.325200000000001</v>
      </c>
      <c r="AI397" s="21">
        <f>VLOOKUP(Таблица15[[#This Row],[Модель]],Таблица14[#All],13,0)/1000000</f>
        <v>11.93</v>
      </c>
      <c r="AJ397" s="21">
        <f>VLOOKUP(Таблица15[[#This Row],[Модель]],Таблица14[#All],14,0)/1000000</f>
        <v>14.7204</v>
      </c>
      <c r="AK397" s="21">
        <f>Таблица15[[#This Row],[Средняя цена (USD)]]*Таблица15[[#This Row],[Кол-во проданных]]/1000000</f>
        <v>23.274000000000001</v>
      </c>
      <c r="AL397" s="39">
        <f>Таблица15[[#This Row],[Средняя цена млн. ₸]]/440*Таблица15[[#This Row],[Кол-во проданных]]</f>
        <v>39.157917272727275</v>
      </c>
      <c r="AM397" s="39">
        <f>Таблица15[[#This Row],[Средняя цена млн. ₸]]*Таблица15[[#This Row],[Кол-во проданных]]/1000</f>
        <v>17.229483599999998</v>
      </c>
      <c r="AR397" s="22"/>
      <c r="AS397" s="22"/>
      <c r="AT397" s="22"/>
    </row>
    <row r="398" spans="20:46">
      <c r="T398" t="s">
        <v>2</v>
      </c>
      <c r="U398" t="s">
        <v>80</v>
      </c>
      <c r="V398" t="str">
        <f>VLOOKUP(Таблица15[[#This Row],[Модель]],Таблица14[#All],2,0)</f>
        <v>Седан</v>
      </c>
      <c r="W398" s="20">
        <f>VLOOKUP(Таблица15[[#This Row],[Модель]],Таблица14[#All],3,0)</f>
        <v>18000</v>
      </c>
      <c r="X398" s="20">
        <f>VLOOKUP(Таблица15[[#This Row],[Модель]],Таблица14[#All],4,0)</f>
        <v>16000</v>
      </c>
      <c r="Y398" s="4">
        <f>VLOOKUP(Таблица15[[#This Row],[Модель]],Таблица14[#All],5,0)</f>
        <v>22000</v>
      </c>
      <c r="Z398" t="str">
        <f>VLOOKUP(Таблица15[[#This Row],[Модель]],Таблица14[#All],6,0)</f>
        <v>МКПП, АКПП</v>
      </c>
      <c r="AA398" t="str">
        <f>VLOOKUP(Таблица15[[#This Row],[Модель]],Таблица14[#All],7,0)</f>
        <v>Бензин</v>
      </c>
      <c r="AB398" t="str">
        <f>VLOOKUP(Таблица15[[#This Row],[Модель]],Таблица14[#All],8,0)</f>
        <v>Комфорт</v>
      </c>
      <c r="AC398" t="str">
        <f>VLOOKUP(Таблица15[[#This Row],[Модель]],Таблица14[#All],9,0)</f>
        <v>Средний</v>
      </c>
      <c r="AD398">
        <f>VLOOKUP(Таблица15[[#This Row],[Модель]],Таблица14[#All],10,0)</f>
        <v>150</v>
      </c>
      <c r="AE398">
        <f>VLOOKUP(Таблица15[[#This Row],[Модель]],Таблица14[#All],11,0)</f>
        <v>13.5</v>
      </c>
      <c r="AF398">
        <v>2022</v>
      </c>
      <c r="AG398">
        <v>810</v>
      </c>
      <c r="AH398" s="22">
        <f>VLOOKUP(Таблица15[[#This Row],[Модель]],Таблица14[#All],12,0)/1000000</f>
        <v>13.325200000000001</v>
      </c>
      <c r="AI398" s="21">
        <f>VLOOKUP(Таблица15[[#This Row],[Модель]],Таблица14[#All],13,0)/1000000</f>
        <v>11.93</v>
      </c>
      <c r="AJ398" s="21">
        <f>VLOOKUP(Таблица15[[#This Row],[Модель]],Таблица14[#All],14,0)/1000000</f>
        <v>14.7204</v>
      </c>
      <c r="AK398" s="21">
        <f>Таблица15[[#This Row],[Средняя цена (USD)]]*Таблица15[[#This Row],[Кол-во проданных]]/1000000</f>
        <v>14.58</v>
      </c>
      <c r="AL398" s="39">
        <f>Таблица15[[#This Row],[Средняя цена млн. ₸]]/440*Таблица15[[#This Row],[Кол-во проданных]]</f>
        <v>24.530481818181819</v>
      </c>
      <c r="AM398" s="39">
        <f>Таблица15[[#This Row],[Средняя цена млн. ₸]]*Таблица15[[#This Row],[Кол-во проданных]]/1000</f>
        <v>10.793412</v>
      </c>
      <c r="AR398" s="22"/>
      <c r="AS398" s="22"/>
      <c r="AT398" s="22"/>
    </row>
    <row r="399" spans="20:46">
      <c r="T399" t="s">
        <v>2</v>
      </c>
      <c r="U399" t="s">
        <v>80</v>
      </c>
      <c r="V399" t="str">
        <f>VLOOKUP(Таблица15[[#This Row],[Модель]],Таблица14[#All],2,0)</f>
        <v>Седан</v>
      </c>
      <c r="W399" s="20">
        <f>VLOOKUP(Таблица15[[#This Row],[Модель]],Таблица14[#All],3,0)</f>
        <v>18000</v>
      </c>
      <c r="X399" s="20">
        <f>VLOOKUP(Таблица15[[#This Row],[Модель]],Таблица14[#All],4,0)</f>
        <v>16000</v>
      </c>
      <c r="Y399" s="4">
        <f>VLOOKUP(Таблица15[[#This Row],[Модель]],Таблица14[#All],5,0)</f>
        <v>22000</v>
      </c>
      <c r="Z399" t="str">
        <f>VLOOKUP(Таблица15[[#This Row],[Модель]],Таблица14[#All],6,0)</f>
        <v>МКПП, АКПП</v>
      </c>
      <c r="AA399" t="str">
        <f>VLOOKUP(Таблица15[[#This Row],[Модель]],Таблица14[#All],7,0)</f>
        <v>Бензин</v>
      </c>
      <c r="AB399" t="str">
        <f>VLOOKUP(Таблица15[[#This Row],[Модель]],Таблица14[#All],8,0)</f>
        <v>Комфорт</v>
      </c>
      <c r="AC399" t="str">
        <f>VLOOKUP(Таблица15[[#This Row],[Модель]],Таблица14[#All],9,0)</f>
        <v>Средний</v>
      </c>
      <c r="AD399">
        <f>VLOOKUP(Таблица15[[#This Row],[Модель]],Таблица14[#All],10,0)</f>
        <v>150</v>
      </c>
      <c r="AE399">
        <f>VLOOKUP(Таблица15[[#This Row],[Модель]],Таблица14[#All],11,0)</f>
        <v>13.5</v>
      </c>
      <c r="AF399">
        <v>2021</v>
      </c>
      <c r="AG399">
        <v>782</v>
      </c>
      <c r="AH399" s="22">
        <f>VLOOKUP(Таблица15[[#This Row],[Модель]],Таблица14[#All],12,0)/1000000</f>
        <v>13.325200000000001</v>
      </c>
      <c r="AI399" s="21">
        <f>VLOOKUP(Таблица15[[#This Row],[Модель]],Таблица14[#All],13,0)/1000000</f>
        <v>11.93</v>
      </c>
      <c r="AJ399" s="21">
        <f>VLOOKUP(Таблица15[[#This Row],[Модель]],Таблица14[#All],14,0)/1000000</f>
        <v>14.7204</v>
      </c>
      <c r="AK399" s="21">
        <f>Таблица15[[#This Row],[Средняя цена (USD)]]*Таблица15[[#This Row],[Кол-во проданных]]/1000000</f>
        <v>14.076000000000001</v>
      </c>
      <c r="AL399" s="39">
        <f>Таблица15[[#This Row],[Средняя цена млн. ₸]]/440*Таблица15[[#This Row],[Кол-во проданных]]</f>
        <v>23.682514545454548</v>
      </c>
      <c r="AM399" s="39">
        <f>Таблица15[[#This Row],[Средняя цена млн. ₸]]*Таблица15[[#This Row],[Кол-во проданных]]/1000</f>
        <v>10.420306400000001</v>
      </c>
      <c r="AR399" s="22"/>
      <c r="AS399" s="22"/>
      <c r="AT399" s="22"/>
    </row>
    <row r="400" spans="20:46">
      <c r="T400" t="s">
        <v>2</v>
      </c>
      <c r="U400" t="s">
        <v>80</v>
      </c>
      <c r="V400" t="str">
        <f>VLOOKUP(Таблица15[[#This Row],[Модель]],Таблица14[#All],2,0)</f>
        <v>Седан</v>
      </c>
      <c r="W400" s="20">
        <f>VLOOKUP(Таблица15[[#This Row],[Модель]],Таблица14[#All],3,0)</f>
        <v>18000</v>
      </c>
      <c r="X400" s="20">
        <f>VLOOKUP(Таблица15[[#This Row],[Модель]],Таблица14[#All],4,0)</f>
        <v>16000</v>
      </c>
      <c r="Y400" s="4">
        <f>VLOOKUP(Таблица15[[#This Row],[Модель]],Таблица14[#All],5,0)</f>
        <v>22000</v>
      </c>
      <c r="Z400" t="str">
        <f>VLOOKUP(Таблица15[[#This Row],[Модель]],Таблица14[#All],6,0)</f>
        <v>МКПП, АКПП</v>
      </c>
      <c r="AA400" t="str">
        <f>VLOOKUP(Таблица15[[#This Row],[Модель]],Таблица14[#All],7,0)</f>
        <v>Бензин</v>
      </c>
      <c r="AB400" t="str">
        <f>VLOOKUP(Таблица15[[#This Row],[Модель]],Таблица14[#All],8,0)</f>
        <v>Комфорт</v>
      </c>
      <c r="AC400" t="str">
        <f>VLOOKUP(Таблица15[[#This Row],[Модель]],Таблица14[#All],9,0)</f>
        <v>Средний</v>
      </c>
      <c r="AD400">
        <f>VLOOKUP(Таблица15[[#This Row],[Модель]],Таблица14[#All],10,0)</f>
        <v>150</v>
      </c>
      <c r="AE400">
        <f>VLOOKUP(Таблица15[[#This Row],[Модель]],Таблица14[#All],11,0)</f>
        <v>13.5</v>
      </c>
      <c r="AF400">
        <v>2020</v>
      </c>
      <c r="AG400">
        <v>695</v>
      </c>
      <c r="AH400" s="22">
        <f>VLOOKUP(Таблица15[[#This Row],[Модель]],Таблица14[#All],12,0)/1000000</f>
        <v>13.325200000000001</v>
      </c>
      <c r="AI400" s="21">
        <f>VLOOKUP(Таблица15[[#This Row],[Модель]],Таблица14[#All],13,0)/1000000</f>
        <v>11.93</v>
      </c>
      <c r="AJ400" s="21">
        <f>VLOOKUP(Таблица15[[#This Row],[Модель]],Таблица14[#All],14,0)/1000000</f>
        <v>14.7204</v>
      </c>
      <c r="AK400" s="21">
        <f>Таблица15[[#This Row],[Средняя цена (USD)]]*Таблица15[[#This Row],[Кол-во проданных]]/1000000</f>
        <v>12.51</v>
      </c>
      <c r="AL400" s="39">
        <f>Таблица15[[#This Row],[Средняя цена млн. ₸]]/440*Таблица15[[#This Row],[Кол-во проданных]]</f>
        <v>21.047759090909093</v>
      </c>
      <c r="AM400" s="39">
        <f>Таблица15[[#This Row],[Средняя цена млн. ₸]]*Таблица15[[#This Row],[Кол-во проданных]]/1000</f>
        <v>9.2610140000000012</v>
      </c>
      <c r="AR400" s="22"/>
      <c r="AS400" s="22"/>
      <c r="AT400" s="22"/>
    </row>
    <row r="401" spans="20:46">
      <c r="T401" t="s">
        <v>2</v>
      </c>
      <c r="U401" t="s">
        <v>80</v>
      </c>
      <c r="V401" t="str">
        <f>VLOOKUP(Таблица15[[#This Row],[Модель]],Таблица14[#All],2,0)</f>
        <v>Седан</v>
      </c>
      <c r="W401" s="20">
        <f>VLOOKUP(Таблица15[[#This Row],[Модель]],Таблица14[#All],3,0)</f>
        <v>18000</v>
      </c>
      <c r="X401" s="20">
        <f>VLOOKUP(Таблица15[[#This Row],[Модель]],Таблица14[#All],4,0)</f>
        <v>16000</v>
      </c>
      <c r="Y401" s="4">
        <f>VLOOKUP(Таблица15[[#This Row],[Модель]],Таблица14[#All],5,0)</f>
        <v>22000</v>
      </c>
      <c r="Z401" t="str">
        <f>VLOOKUP(Таблица15[[#This Row],[Модель]],Таблица14[#All],6,0)</f>
        <v>МКПП, АКПП</v>
      </c>
      <c r="AA401" t="str">
        <f>VLOOKUP(Таблица15[[#This Row],[Модель]],Таблица14[#All],7,0)</f>
        <v>Бензин</v>
      </c>
      <c r="AB401" t="str">
        <f>VLOOKUP(Таблица15[[#This Row],[Модель]],Таблица14[#All],8,0)</f>
        <v>Комфорт</v>
      </c>
      <c r="AC401" t="str">
        <f>VLOOKUP(Таблица15[[#This Row],[Модель]],Таблица14[#All],9,0)</f>
        <v>Средний</v>
      </c>
      <c r="AD401">
        <f>VLOOKUP(Таблица15[[#This Row],[Модель]],Таблица14[#All],10,0)</f>
        <v>150</v>
      </c>
      <c r="AE401">
        <f>VLOOKUP(Таблица15[[#This Row],[Модель]],Таблица14[#All],11,0)</f>
        <v>13.5</v>
      </c>
      <c r="AF401">
        <v>2019</v>
      </c>
      <c r="AG401">
        <v>1390</v>
      </c>
      <c r="AH401" s="22">
        <f>VLOOKUP(Таблица15[[#This Row],[Модель]],Таблица14[#All],12,0)/1000000</f>
        <v>13.325200000000001</v>
      </c>
      <c r="AI401" s="21">
        <f>VLOOKUP(Таблица15[[#This Row],[Модель]],Таблица14[#All],13,0)/1000000</f>
        <v>11.93</v>
      </c>
      <c r="AJ401" s="21">
        <f>VLOOKUP(Таблица15[[#This Row],[Модель]],Таблица14[#All],14,0)/1000000</f>
        <v>14.7204</v>
      </c>
      <c r="AK401" s="21">
        <f>Таблица15[[#This Row],[Средняя цена (USD)]]*Таблица15[[#This Row],[Кол-во проданных]]/1000000</f>
        <v>25.02</v>
      </c>
      <c r="AL401" s="39">
        <f>Таблица15[[#This Row],[Средняя цена млн. ₸]]/440*Таблица15[[#This Row],[Кол-во проданных]]</f>
        <v>42.095518181818186</v>
      </c>
      <c r="AM401" s="39">
        <f>Таблица15[[#This Row],[Средняя цена млн. ₸]]*Таблица15[[#This Row],[Кол-во проданных]]/1000</f>
        <v>18.522028000000002</v>
      </c>
      <c r="AR401" s="22"/>
      <c r="AS401" s="22"/>
      <c r="AT401" s="22"/>
    </row>
    <row r="402" spans="20:46">
      <c r="T402" t="s">
        <v>2</v>
      </c>
      <c r="U402" t="s">
        <v>120</v>
      </c>
      <c r="V402" t="str">
        <f>VLOOKUP(Таблица15[[#This Row],[Модель]],Таблица14[#All],2,0)</f>
        <v>Внедорожник</v>
      </c>
      <c r="W402" s="20">
        <f>VLOOKUP(Таблица15[[#This Row],[Модель]],Таблица14[#All],3,0)</f>
        <v>35000</v>
      </c>
      <c r="X402" s="20">
        <f>VLOOKUP(Таблица15[[#This Row],[Модель]],Таблица14[#All],4,0)</f>
        <v>30000</v>
      </c>
      <c r="Y402" s="4">
        <f>VLOOKUP(Таблица15[[#This Row],[Модель]],Таблица14[#All],5,0)</f>
        <v>45000</v>
      </c>
      <c r="Z402" t="str">
        <f>VLOOKUP(Таблица15[[#This Row],[Модель]],Таблица14[#All],6,0)</f>
        <v>АКПП</v>
      </c>
      <c r="AA402" t="str">
        <f>VLOOKUP(Таблица15[[#This Row],[Модель]],Таблица14[#All],7,0)</f>
        <v>Бензин, Гибрид</v>
      </c>
      <c r="AB402" t="str">
        <f>VLOOKUP(Таблица15[[#This Row],[Модель]],Таблица14[#All],8,0)</f>
        <v>Люкс</v>
      </c>
      <c r="AC402" t="str">
        <f>VLOOKUP(Таблица15[[#This Row],[Модель]],Таблица14[#All],9,0)</f>
        <v>Большой</v>
      </c>
      <c r="AD402">
        <f>VLOOKUP(Таблица15[[#This Row],[Модель]],Таблица14[#All],10,0)</f>
        <v>290</v>
      </c>
      <c r="AE402">
        <f>VLOOKUP(Таблица15[[#This Row],[Модель]],Таблица14[#All],11,0)</f>
        <v>10</v>
      </c>
      <c r="AF402">
        <v>2023</v>
      </c>
      <c r="AG402">
        <v>0</v>
      </c>
      <c r="AH402" s="22">
        <f>VLOOKUP(Таблица15[[#This Row],[Модель]],Таблица14[#All],12,0)/1000000</f>
        <v>35.844999999999999</v>
      </c>
      <c r="AI402" s="21">
        <f>VLOOKUP(Таблица15[[#This Row],[Модель]],Таблица14[#All],13,0)/1000000</f>
        <v>32.64</v>
      </c>
      <c r="AJ402" s="21">
        <f>VLOOKUP(Таблица15[[#This Row],[Модель]],Таблица14[#All],14,0)/1000000</f>
        <v>39.049999999999997</v>
      </c>
      <c r="AK402" s="21">
        <f>Таблица15[[#This Row],[Средняя цена (USD)]]*Таблица15[[#This Row],[Кол-во проданных]]/1000000</f>
        <v>0</v>
      </c>
      <c r="AL402" s="39">
        <f>Таблица15[[#This Row],[Средняя цена млн. ₸]]/440*Таблица15[[#This Row],[Кол-во проданных]]</f>
        <v>0</v>
      </c>
      <c r="AM402" s="39">
        <f>Таблица15[[#This Row],[Средняя цена млн. ₸]]*Таблица15[[#This Row],[Кол-во проданных]]/1000</f>
        <v>0</v>
      </c>
      <c r="AR402" s="22"/>
      <c r="AS402" s="22"/>
      <c r="AT402" s="22"/>
    </row>
    <row r="403" spans="20:46">
      <c r="T403" t="s">
        <v>2</v>
      </c>
      <c r="U403" t="s">
        <v>120</v>
      </c>
      <c r="V403" t="str">
        <f>VLOOKUP(Таблица15[[#This Row],[Модель]],Таблица14[#All],2,0)</f>
        <v>Внедорожник</v>
      </c>
      <c r="W403" s="20">
        <f>VLOOKUP(Таблица15[[#This Row],[Модель]],Таблица14[#All],3,0)</f>
        <v>35000</v>
      </c>
      <c r="X403" s="20">
        <f>VLOOKUP(Таблица15[[#This Row],[Модель]],Таблица14[#All],4,0)</f>
        <v>30000</v>
      </c>
      <c r="Y403" s="4">
        <f>VLOOKUP(Таблица15[[#This Row],[Модель]],Таблица14[#All],5,0)</f>
        <v>45000</v>
      </c>
      <c r="Z403" t="str">
        <f>VLOOKUP(Таблица15[[#This Row],[Модель]],Таблица14[#All],6,0)</f>
        <v>АКПП</v>
      </c>
      <c r="AA403" t="str">
        <f>VLOOKUP(Таблица15[[#This Row],[Модель]],Таблица14[#All],7,0)</f>
        <v>Бензин, Гибрид</v>
      </c>
      <c r="AB403" t="str">
        <f>VLOOKUP(Таблица15[[#This Row],[Модель]],Таблица14[#All],8,0)</f>
        <v>Люкс</v>
      </c>
      <c r="AC403" t="str">
        <f>VLOOKUP(Таблица15[[#This Row],[Модель]],Таблица14[#All],9,0)</f>
        <v>Большой</v>
      </c>
      <c r="AD403">
        <f>VLOOKUP(Таблица15[[#This Row],[Модель]],Таблица14[#All],10,0)</f>
        <v>290</v>
      </c>
      <c r="AE403">
        <f>VLOOKUP(Таблица15[[#This Row],[Модель]],Таблица14[#All],11,0)</f>
        <v>10</v>
      </c>
      <c r="AF403">
        <v>2022</v>
      </c>
      <c r="AG403">
        <v>0</v>
      </c>
      <c r="AH403" s="22">
        <f>VLOOKUP(Таблица15[[#This Row],[Модель]],Таблица14[#All],12,0)/1000000</f>
        <v>35.844999999999999</v>
      </c>
      <c r="AI403" s="21">
        <f>VLOOKUP(Таблица15[[#This Row],[Модель]],Таблица14[#All],13,0)/1000000</f>
        <v>32.64</v>
      </c>
      <c r="AJ403" s="21">
        <f>VLOOKUP(Таблица15[[#This Row],[Модель]],Таблица14[#All],14,0)/1000000</f>
        <v>39.049999999999997</v>
      </c>
      <c r="AK403" s="21">
        <f>Таблица15[[#This Row],[Средняя цена (USD)]]*Таблица15[[#This Row],[Кол-во проданных]]/1000000</f>
        <v>0</v>
      </c>
      <c r="AL403" s="39">
        <f>Таблица15[[#This Row],[Средняя цена млн. ₸]]/440*Таблица15[[#This Row],[Кол-во проданных]]</f>
        <v>0</v>
      </c>
      <c r="AM403" s="39">
        <f>Таблица15[[#This Row],[Средняя цена млн. ₸]]*Таблица15[[#This Row],[Кол-во проданных]]/1000</f>
        <v>0</v>
      </c>
      <c r="AR403" s="22"/>
      <c r="AS403" s="22"/>
      <c r="AT403" s="22"/>
    </row>
    <row r="404" spans="20:46">
      <c r="T404" t="s">
        <v>2</v>
      </c>
      <c r="U404" t="s">
        <v>120</v>
      </c>
      <c r="V404" t="str">
        <f>VLOOKUP(Таблица15[[#This Row],[Модель]],Таблица14[#All],2,0)</f>
        <v>Внедорожник</v>
      </c>
      <c r="W404" s="20">
        <f>VLOOKUP(Таблица15[[#This Row],[Модель]],Таблица14[#All],3,0)</f>
        <v>35000</v>
      </c>
      <c r="X404" s="20">
        <f>VLOOKUP(Таблица15[[#This Row],[Модель]],Таблица14[#All],4,0)</f>
        <v>30000</v>
      </c>
      <c r="Y404" s="4">
        <f>VLOOKUP(Таблица15[[#This Row],[Модель]],Таблица14[#All],5,0)</f>
        <v>45000</v>
      </c>
      <c r="Z404" t="str">
        <f>VLOOKUP(Таблица15[[#This Row],[Модель]],Таблица14[#All],6,0)</f>
        <v>АКПП</v>
      </c>
      <c r="AA404" t="str">
        <f>VLOOKUP(Таблица15[[#This Row],[Модель]],Таблица14[#All],7,0)</f>
        <v>Бензин, Гибрид</v>
      </c>
      <c r="AB404" t="str">
        <f>VLOOKUP(Таблица15[[#This Row],[Модель]],Таблица14[#All],8,0)</f>
        <v>Люкс</v>
      </c>
      <c r="AC404" t="str">
        <f>VLOOKUP(Таблица15[[#This Row],[Модель]],Таблица14[#All],9,0)</f>
        <v>Большой</v>
      </c>
      <c r="AD404">
        <f>VLOOKUP(Таблица15[[#This Row],[Модель]],Таблица14[#All],10,0)</f>
        <v>290</v>
      </c>
      <c r="AE404">
        <f>VLOOKUP(Таблица15[[#This Row],[Модель]],Таблица14[#All],11,0)</f>
        <v>10</v>
      </c>
      <c r="AF404">
        <v>2021</v>
      </c>
      <c r="AG404">
        <v>0</v>
      </c>
      <c r="AH404" s="22">
        <f>VLOOKUP(Таблица15[[#This Row],[Модель]],Таблица14[#All],12,0)/1000000</f>
        <v>35.844999999999999</v>
      </c>
      <c r="AI404" s="21">
        <f>VLOOKUP(Таблица15[[#This Row],[Модель]],Таблица14[#All],13,0)/1000000</f>
        <v>32.64</v>
      </c>
      <c r="AJ404" s="21">
        <f>VLOOKUP(Таблица15[[#This Row],[Модель]],Таблица14[#All],14,0)/1000000</f>
        <v>39.049999999999997</v>
      </c>
      <c r="AK404" s="21">
        <f>Таблица15[[#This Row],[Средняя цена (USD)]]*Таблица15[[#This Row],[Кол-во проданных]]/1000000</f>
        <v>0</v>
      </c>
      <c r="AL404" s="39">
        <f>Таблица15[[#This Row],[Средняя цена млн. ₸]]/440*Таблица15[[#This Row],[Кол-во проданных]]</f>
        <v>0</v>
      </c>
      <c r="AM404" s="39">
        <f>Таблица15[[#This Row],[Средняя цена млн. ₸]]*Таблица15[[#This Row],[Кол-во проданных]]/1000</f>
        <v>0</v>
      </c>
      <c r="AR404" s="22"/>
      <c r="AS404" s="22"/>
      <c r="AT404" s="22"/>
    </row>
    <row r="405" spans="20:46">
      <c r="T405" t="s">
        <v>2</v>
      </c>
      <c r="U405" t="s">
        <v>120</v>
      </c>
      <c r="V405" t="str">
        <f>VLOOKUP(Таблица15[[#This Row],[Модель]],Таблица14[#All],2,0)</f>
        <v>Внедорожник</v>
      </c>
      <c r="W405" s="20">
        <f>VLOOKUP(Таблица15[[#This Row],[Модель]],Таблица14[#All],3,0)</f>
        <v>35000</v>
      </c>
      <c r="X405" s="20">
        <f>VLOOKUP(Таблица15[[#This Row],[Модель]],Таблица14[#All],4,0)</f>
        <v>30000</v>
      </c>
      <c r="Y405" s="4">
        <f>VLOOKUP(Таблица15[[#This Row],[Модель]],Таблица14[#All],5,0)</f>
        <v>45000</v>
      </c>
      <c r="Z405" t="str">
        <f>VLOOKUP(Таблица15[[#This Row],[Модель]],Таблица14[#All],6,0)</f>
        <v>АКПП</v>
      </c>
      <c r="AA405" t="str">
        <f>VLOOKUP(Таблица15[[#This Row],[Модель]],Таблица14[#All],7,0)</f>
        <v>Бензин, Гибрид</v>
      </c>
      <c r="AB405" t="str">
        <f>VLOOKUP(Таблица15[[#This Row],[Модель]],Таблица14[#All],8,0)</f>
        <v>Люкс</v>
      </c>
      <c r="AC405" t="str">
        <f>VLOOKUP(Таблица15[[#This Row],[Модель]],Таблица14[#All],9,0)</f>
        <v>Большой</v>
      </c>
      <c r="AD405">
        <f>VLOOKUP(Таблица15[[#This Row],[Модель]],Таблица14[#All],10,0)</f>
        <v>290</v>
      </c>
      <c r="AE405">
        <f>VLOOKUP(Таблица15[[#This Row],[Модель]],Таблица14[#All],11,0)</f>
        <v>10</v>
      </c>
      <c r="AF405">
        <v>2020</v>
      </c>
      <c r="AG405">
        <v>0</v>
      </c>
      <c r="AH405" s="22">
        <f>VLOOKUP(Таблица15[[#This Row],[Модель]],Таблица14[#All],12,0)/1000000</f>
        <v>35.844999999999999</v>
      </c>
      <c r="AI405" s="21">
        <f>VLOOKUP(Таблица15[[#This Row],[Модель]],Таблица14[#All],13,0)/1000000</f>
        <v>32.64</v>
      </c>
      <c r="AJ405" s="21">
        <f>VLOOKUP(Таблица15[[#This Row],[Модель]],Таблица14[#All],14,0)/1000000</f>
        <v>39.049999999999997</v>
      </c>
      <c r="AK405" s="21">
        <f>Таблица15[[#This Row],[Средняя цена (USD)]]*Таблица15[[#This Row],[Кол-во проданных]]/1000000</f>
        <v>0</v>
      </c>
      <c r="AL405" s="39">
        <f>Таблица15[[#This Row],[Средняя цена млн. ₸]]/440*Таблица15[[#This Row],[Кол-во проданных]]</f>
        <v>0</v>
      </c>
      <c r="AM405" s="39">
        <f>Таблица15[[#This Row],[Средняя цена млн. ₸]]*Таблица15[[#This Row],[Кол-во проданных]]/1000</f>
        <v>0</v>
      </c>
      <c r="AR405" s="22"/>
      <c r="AS405" s="22"/>
      <c r="AT405" s="22"/>
    </row>
    <row r="406" spans="20:46">
      <c r="T406" t="s">
        <v>2</v>
      </c>
      <c r="U406" t="s">
        <v>120</v>
      </c>
      <c r="V406" t="str">
        <f>VLOOKUP(Таблица15[[#This Row],[Модель]],Таблица14[#All],2,0)</f>
        <v>Внедорожник</v>
      </c>
      <c r="W406" s="20">
        <f>VLOOKUP(Таблица15[[#This Row],[Модель]],Таблица14[#All],3,0)</f>
        <v>35000</v>
      </c>
      <c r="X406" s="20">
        <f>VLOOKUP(Таблица15[[#This Row],[Модель]],Таблица14[#All],4,0)</f>
        <v>30000</v>
      </c>
      <c r="Y406" s="4">
        <f>VLOOKUP(Таблица15[[#This Row],[Модель]],Таблица14[#All],5,0)</f>
        <v>45000</v>
      </c>
      <c r="Z406" t="str">
        <f>VLOOKUP(Таблица15[[#This Row],[Модель]],Таблица14[#All],6,0)</f>
        <v>АКПП</v>
      </c>
      <c r="AA406" t="str">
        <f>VLOOKUP(Таблица15[[#This Row],[Модель]],Таблица14[#All],7,0)</f>
        <v>Бензин, Гибрид</v>
      </c>
      <c r="AB406" t="str">
        <f>VLOOKUP(Таблица15[[#This Row],[Модель]],Таблица14[#All],8,0)</f>
        <v>Люкс</v>
      </c>
      <c r="AC406" t="str">
        <f>VLOOKUP(Таблица15[[#This Row],[Модель]],Таблица14[#All],9,0)</f>
        <v>Большой</v>
      </c>
      <c r="AD406">
        <f>VLOOKUP(Таблица15[[#This Row],[Модель]],Таблица14[#All],10,0)</f>
        <v>290</v>
      </c>
      <c r="AE406">
        <f>VLOOKUP(Таблица15[[#This Row],[Модель]],Таблица14[#All],11,0)</f>
        <v>10</v>
      </c>
      <c r="AF406">
        <v>2019</v>
      </c>
      <c r="AG406">
        <v>290</v>
      </c>
      <c r="AH406" s="22">
        <f>VLOOKUP(Таблица15[[#This Row],[Модель]],Таблица14[#All],12,0)/1000000</f>
        <v>35.844999999999999</v>
      </c>
      <c r="AI406" s="21">
        <f>VLOOKUP(Таблица15[[#This Row],[Модель]],Таблица14[#All],13,0)/1000000</f>
        <v>32.64</v>
      </c>
      <c r="AJ406" s="21">
        <f>VLOOKUP(Таблица15[[#This Row],[Модель]],Таблица14[#All],14,0)/1000000</f>
        <v>39.049999999999997</v>
      </c>
      <c r="AK406" s="21">
        <f>Таблица15[[#This Row],[Средняя цена (USD)]]*Таблица15[[#This Row],[Кол-во проданных]]/1000000</f>
        <v>10.15</v>
      </c>
      <c r="AL406" s="39">
        <f>Таблица15[[#This Row],[Средняя цена млн. ₸]]/440*Таблица15[[#This Row],[Кол-во проданных]]</f>
        <v>23.625113636363636</v>
      </c>
      <c r="AM406" s="39">
        <f>Таблица15[[#This Row],[Средняя цена млн. ₸]]*Таблица15[[#This Row],[Кол-во проданных]]/1000</f>
        <v>10.395049999999999</v>
      </c>
      <c r="AR406" s="22"/>
      <c r="AS406" s="22"/>
      <c r="AT406" s="22"/>
    </row>
    <row r="407" spans="20:46">
      <c r="T407" t="s">
        <v>2</v>
      </c>
      <c r="U407" t="s">
        <v>91</v>
      </c>
      <c r="V407" t="str">
        <f>VLOOKUP(Таблица15[[#This Row],[Модель]],Таблица14[#All],2,0)</f>
        <v>Пикап</v>
      </c>
      <c r="W407" s="20">
        <f>VLOOKUP(Таблица15[[#This Row],[Модель]],Таблица14[#All],3,0)</f>
        <v>25000</v>
      </c>
      <c r="X407" s="20">
        <f>VLOOKUP(Таблица15[[#This Row],[Модель]],Таблица14[#All],4,0)</f>
        <v>22000</v>
      </c>
      <c r="Y407" s="4">
        <f>VLOOKUP(Таблица15[[#This Row],[Модель]],Таблица14[#All],5,0)</f>
        <v>30000</v>
      </c>
      <c r="Z407" t="str">
        <f>VLOOKUP(Таблица15[[#This Row],[Модель]],Таблица14[#All],6,0)</f>
        <v>МКПП, АКПП</v>
      </c>
      <c r="AA407" t="str">
        <f>VLOOKUP(Таблица15[[#This Row],[Модель]],Таблица14[#All],7,0)</f>
        <v>Бензин, Дизель</v>
      </c>
      <c r="AB407" t="str">
        <f>VLOOKUP(Таблица15[[#This Row],[Модель]],Таблица14[#All],8,0)</f>
        <v>Комфорт</v>
      </c>
      <c r="AC407" t="str">
        <f>VLOOKUP(Таблица15[[#This Row],[Модель]],Таблица14[#All],9,0)</f>
        <v>Средний</v>
      </c>
      <c r="AD407">
        <f>VLOOKUP(Таблица15[[#This Row],[Модель]],Таблица14[#All],10,0)</f>
        <v>190</v>
      </c>
      <c r="AE407">
        <f>VLOOKUP(Таблица15[[#This Row],[Модель]],Таблица14[#All],11,0)</f>
        <v>11.5</v>
      </c>
      <c r="AF407">
        <v>2023</v>
      </c>
      <c r="AG407">
        <v>0</v>
      </c>
      <c r="AH407" s="22">
        <f>VLOOKUP(Таблица15[[#This Row],[Модель]],Таблица14[#All],12,0)/1000000</f>
        <v>25.4</v>
      </c>
      <c r="AI407" s="21">
        <f>VLOOKUP(Таблица15[[#This Row],[Модель]],Таблица14[#All],13,0)/1000000</f>
        <v>23.38</v>
      </c>
      <c r="AJ407" s="21">
        <f>VLOOKUP(Таблица15[[#This Row],[Модель]],Таблица14[#All],14,0)/1000000</f>
        <v>27.42</v>
      </c>
      <c r="AK407" s="21">
        <f>Таблица15[[#This Row],[Средняя цена (USD)]]*Таблица15[[#This Row],[Кол-во проданных]]/1000000</f>
        <v>0</v>
      </c>
      <c r="AL407" s="39">
        <f>Таблица15[[#This Row],[Средняя цена млн. ₸]]/440*Таблица15[[#This Row],[Кол-во проданных]]</f>
        <v>0</v>
      </c>
      <c r="AM407" s="39">
        <f>Таблица15[[#This Row],[Средняя цена млн. ₸]]*Таблица15[[#This Row],[Кол-во проданных]]/1000</f>
        <v>0</v>
      </c>
      <c r="AR407" s="22"/>
      <c r="AS407" s="22"/>
      <c r="AT407" s="22"/>
    </row>
    <row r="408" spans="20:46">
      <c r="T408" t="s">
        <v>2</v>
      </c>
      <c r="U408" t="s">
        <v>91</v>
      </c>
      <c r="V408" t="str">
        <f>VLOOKUP(Таблица15[[#This Row],[Модель]],Таблица14[#All],2,0)</f>
        <v>Пикап</v>
      </c>
      <c r="W408" s="20">
        <f>VLOOKUP(Таблица15[[#This Row],[Модель]],Таблица14[#All],3,0)</f>
        <v>25000</v>
      </c>
      <c r="X408" s="20">
        <f>VLOOKUP(Таблица15[[#This Row],[Модель]],Таблица14[#All],4,0)</f>
        <v>22000</v>
      </c>
      <c r="Y408" s="4">
        <f>VLOOKUP(Таблица15[[#This Row],[Модель]],Таблица14[#All],5,0)</f>
        <v>30000</v>
      </c>
      <c r="Z408" t="str">
        <f>VLOOKUP(Таблица15[[#This Row],[Модель]],Таблица14[#All],6,0)</f>
        <v>МКПП, АКПП</v>
      </c>
      <c r="AA408" t="str">
        <f>VLOOKUP(Таблица15[[#This Row],[Модель]],Таблица14[#All],7,0)</f>
        <v>Бензин, Дизель</v>
      </c>
      <c r="AB408" t="str">
        <f>VLOOKUP(Таблица15[[#This Row],[Модель]],Таблица14[#All],8,0)</f>
        <v>Комфорт</v>
      </c>
      <c r="AC408" t="str">
        <f>VLOOKUP(Таблица15[[#This Row],[Модель]],Таблица14[#All],9,0)</f>
        <v>Средний</v>
      </c>
      <c r="AD408">
        <f>VLOOKUP(Таблица15[[#This Row],[Модель]],Таблица14[#All],10,0)</f>
        <v>190</v>
      </c>
      <c r="AE408">
        <f>VLOOKUP(Таблица15[[#This Row],[Модель]],Таблица14[#All],11,0)</f>
        <v>11.5</v>
      </c>
      <c r="AF408">
        <v>2022</v>
      </c>
      <c r="AG408">
        <v>963</v>
      </c>
      <c r="AH408" s="22">
        <f>VLOOKUP(Таблица15[[#This Row],[Модель]],Таблица14[#All],12,0)/1000000</f>
        <v>25.4</v>
      </c>
      <c r="AI408" s="21">
        <f>VLOOKUP(Таблица15[[#This Row],[Модель]],Таблица14[#All],13,0)/1000000</f>
        <v>23.38</v>
      </c>
      <c r="AJ408" s="21">
        <f>VLOOKUP(Таблица15[[#This Row],[Модель]],Таблица14[#All],14,0)/1000000</f>
        <v>27.42</v>
      </c>
      <c r="AK408" s="21">
        <f>Таблица15[[#This Row],[Средняя цена (USD)]]*Таблица15[[#This Row],[Кол-во проданных]]/1000000</f>
        <v>24.074999999999999</v>
      </c>
      <c r="AL408" s="39">
        <f>Таблица15[[#This Row],[Средняя цена млн. ₸]]/440*Таблица15[[#This Row],[Кол-во проданных]]</f>
        <v>55.591363636363631</v>
      </c>
      <c r="AM408" s="39">
        <f>Таблица15[[#This Row],[Средняя цена млн. ₸]]*Таблица15[[#This Row],[Кол-во проданных]]/1000</f>
        <v>24.460199999999997</v>
      </c>
      <c r="AR408" s="22"/>
      <c r="AS408" s="22"/>
      <c r="AT408" s="22"/>
    </row>
    <row r="409" spans="20:46">
      <c r="T409" t="s">
        <v>2</v>
      </c>
      <c r="U409" t="s">
        <v>91</v>
      </c>
      <c r="V409" t="str">
        <f>VLOOKUP(Таблица15[[#This Row],[Модель]],Таблица14[#All],2,0)</f>
        <v>Пикап</v>
      </c>
      <c r="W409" s="20">
        <f>VLOOKUP(Таблица15[[#This Row],[Модель]],Таблица14[#All],3,0)</f>
        <v>25000</v>
      </c>
      <c r="X409" s="20">
        <f>VLOOKUP(Таблица15[[#This Row],[Модель]],Таблица14[#All],4,0)</f>
        <v>22000</v>
      </c>
      <c r="Y409" s="4">
        <f>VLOOKUP(Таблица15[[#This Row],[Модель]],Таблица14[#All],5,0)</f>
        <v>30000</v>
      </c>
      <c r="Z409" t="str">
        <f>VLOOKUP(Таблица15[[#This Row],[Модель]],Таблица14[#All],6,0)</f>
        <v>МКПП, АКПП</v>
      </c>
      <c r="AA409" t="str">
        <f>VLOOKUP(Таблица15[[#This Row],[Модель]],Таблица14[#All],7,0)</f>
        <v>Бензин, Дизель</v>
      </c>
      <c r="AB409" t="str">
        <f>VLOOKUP(Таблица15[[#This Row],[Модель]],Таблица14[#All],8,0)</f>
        <v>Комфорт</v>
      </c>
      <c r="AC409" t="str">
        <f>VLOOKUP(Таблица15[[#This Row],[Модель]],Таблица14[#All],9,0)</f>
        <v>Средний</v>
      </c>
      <c r="AD409">
        <f>VLOOKUP(Таблица15[[#This Row],[Модель]],Таблица14[#All],10,0)</f>
        <v>190</v>
      </c>
      <c r="AE409">
        <f>VLOOKUP(Таблица15[[#This Row],[Модель]],Таблица14[#All],11,0)</f>
        <v>11.5</v>
      </c>
      <c r="AF409">
        <v>2021</v>
      </c>
      <c r="AG409">
        <v>759</v>
      </c>
      <c r="AH409" s="22">
        <f>VLOOKUP(Таблица15[[#This Row],[Модель]],Таблица14[#All],12,0)/1000000</f>
        <v>25.4</v>
      </c>
      <c r="AI409" s="21">
        <f>VLOOKUP(Таблица15[[#This Row],[Модель]],Таблица14[#All],13,0)/1000000</f>
        <v>23.38</v>
      </c>
      <c r="AJ409" s="21">
        <f>VLOOKUP(Таблица15[[#This Row],[Модель]],Таблица14[#All],14,0)/1000000</f>
        <v>27.42</v>
      </c>
      <c r="AK409" s="21">
        <f>Таблица15[[#This Row],[Средняя цена (USD)]]*Таблица15[[#This Row],[Кол-во проданных]]/1000000</f>
        <v>18.975000000000001</v>
      </c>
      <c r="AL409" s="39">
        <f>Таблица15[[#This Row],[Средняя цена млн. ₸]]/440*Таблица15[[#This Row],[Кол-во проданных]]</f>
        <v>43.814999999999998</v>
      </c>
      <c r="AM409" s="39">
        <f>Таблица15[[#This Row],[Средняя цена млн. ₸]]*Таблица15[[#This Row],[Кол-во проданных]]/1000</f>
        <v>19.278599999999997</v>
      </c>
      <c r="AR409" s="22"/>
      <c r="AS409" s="22"/>
      <c r="AT409" s="22"/>
    </row>
    <row r="410" spans="20:46">
      <c r="T410" t="s">
        <v>2</v>
      </c>
      <c r="U410" t="s">
        <v>91</v>
      </c>
      <c r="V410" t="str">
        <f>VLOOKUP(Таблица15[[#This Row],[Модель]],Таблица14[#All],2,0)</f>
        <v>Пикап</v>
      </c>
      <c r="W410" s="20">
        <f>VLOOKUP(Таблица15[[#This Row],[Модель]],Таблица14[#All],3,0)</f>
        <v>25000</v>
      </c>
      <c r="X410" s="20">
        <f>VLOOKUP(Таблица15[[#This Row],[Модель]],Таблица14[#All],4,0)</f>
        <v>22000</v>
      </c>
      <c r="Y410" s="4">
        <f>VLOOKUP(Таблица15[[#This Row],[Модель]],Таблица14[#All],5,0)</f>
        <v>30000</v>
      </c>
      <c r="Z410" t="str">
        <f>VLOOKUP(Таблица15[[#This Row],[Модель]],Таблица14[#All],6,0)</f>
        <v>МКПП, АКПП</v>
      </c>
      <c r="AA410" t="str">
        <f>VLOOKUP(Таблица15[[#This Row],[Модель]],Таблица14[#All],7,0)</f>
        <v>Бензин, Дизель</v>
      </c>
      <c r="AB410" t="str">
        <f>VLOOKUP(Таблица15[[#This Row],[Модель]],Таблица14[#All],8,0)</f>
        <v>Комфорт</v>
      </c>
      <c r="AC410" t="str">
        <f>VLOOKUP(Таблица15[[#This Row],[Модель]],Таблица14[#All],9,0)</f>
        <v>Средний</v>
      </c>
      <c r="AD410">
        <f>VLOOKUP(Таблица15[[#This Row],[Модель]],Таблица14[#All],10,0)</f>
        <v>190</v>
      </c>
      <c r="AE410">
        <f>VLOOKUP(Таблица15[[#This Row],[Модель]],Таблица14[#All],11,0)</f>
        <v>11.5</v>
      </c>
      <c r="AF410">
        <v>2020</v>
      </c>
      <c r="AG410">
        <v>740</v>
      </c>
      <c r="AH410" s="22">
        <f>VLOOKUP(Таблица15[[#This Row],[Модель]],Таблица14[#All],12,0)/1000000</f>
        <v>25.4</v>
      </c>
      <c r="AI410" s="21">
        <f>VLOOKUP(Таблица15[[#This Row],[Модель]],Таблица14[#All],13,0)/1000000</f>
        <v>23.38</v>
      </c>
      <c r="AJ410" s="21">
        <f>VLOOKUP(Таблица15[[#This Row],[Модель]],Таблица14[#All],14,0)/1000000</f>
        <v>27.42</v>
      </c>
      <c r="AK410" s="21">
        <f>Таблица15[[#This Row],[Средняя цена (USD)]]*Таблица15[[#This Row],[Кол-во проданных]]/1000000</f>
        <v>18.5</v>
      </c>
      <c r="AL410" s="39">
        <f>Таблица15[[#This Row],[Средняя цена млн. ₸]]/440*Таблица15[[#This Row],[Кол-во проданных]]</f>
        <v>42.718181818181819</v>
      </c>
      <c r="AM410" s="39">
        <f>Таблица15[[#This Row],[Средняя цена млн. ₸]]*Таблица15[[#This Row],[Кол-во проданных]]/1000</f>
        <v>18.795999999999999</v>
      </c>
      <c r="AR410" s="22"/>
      <c r="AS410" s="22"/>
      <c r="AT410" s="22"/>
    </row>
    <row r="411" spans="20:46">
      <c r="T411" t="s">
        <v>2</v>
      </c>
      <c r="U411" t="s">
        <v>91</v>
      </c>
      <c r="V411" t="str">
        <f>VLOOKUP(Таблица15[[#This Row],[Модель]],Таблица14[#All],2,0)</f>
        <v>Пикап</v>
      </c>
      <c r="W411" s="20">
        <f>VLOOKUP(Таблица15[[#This Row],[Модель]],Таблица14[#All],3,0)</f>
        <v>25000</v>
      </c>
      <c r="X411" s="20">
        <f>VLOOKUP(Таблица15[[#This Row],[Модель]],Таблица14[#All],4,0)</f>
        <v>22000</v>
      </c>
      <c r="Y411" s="4">
        <f>VLOOKUP(Таблица15[[#This Row],[Модель]],Таблица14[#All],5,0)</f>
        <v>30000</v>
      </c>
      <c r="Z411" t="str">
        <f>VLOOKUP(Таблица15[[#This Row],[Модель]],Таблица14[#All],6,0)</f>
        <v>МКПП, АКПП</v>
      </c>
      <c r="AA411" t="str">
        <f>VLOOKUP(Таблица15[[#This Row],[Модель]],Таблица14[#All],7,0)</f>
        <v>Бензин, Дизель</v>
      </c>
      <c r="AB411" t="str">
        <f>VLOOKUP(Таблица15[[#This Row],[Модель]],Таблица14[#All],8,0)</f>
        <v>Комфорт</v>
      </c>
      <c r="AC411" t="str">
        <f>VLOOKUP(Таблица15[[#This Row],[Модель]],Таблица14[#All],9,0)</f>
        <v>Средний</v>
      </c>
      <c r="AD411">
        <f>VLOOKUP(Таблица15[[#This Row],[Модель]],Таблица14[#All],10,0)</f>
        <v>190</v>
      </c>
      <c r="AE411">
        <f>VLOOKUP(Таблица15[[#This Row],[Модель]],Таблица14[#All],11,0)</f>
        <v>11.5</v>
      </c>
      <c r="AF411">
        <v>2019</v>
      </c>
      <c r="AG411">
        <v>1018</v>
      </c>
      <c r="AH411" s="22">
        <f>VLOOKUP(Таблица15[[#This Row],[Модель]],Таблица14[#All],12,0)/1000000</f>
        <v>25.4</v>
      </c>
      <c r="AI411" s="21">
        <f>VLOOKUP(Таблица15[[#This Row],[Модель]],Таблица14[#All],13,0)/1000000</f>
        <v>23.38</v>
      </c>
      <c r="AJ411" s="21">
        <f>VLOOKUP(Таблица15[[#This Row],[Модель]],Таблица14[#All],14,0)/1000000</f>
        <v>27.42</v>
      </c>
      <c r="AK411" s="21">
        <f>Таблица15[[#This Row],[Средняя цена (USD)]]*Таблица15[[#This Row],[Кол-во проданных]]/1000000</f>
        <v>25.45</v>
      </c>
      <c r="AL411" s="39">
        <f>Таблица15[[#This Row],[Средняя цена млн. ₸]]/440*Таблица15[[#This Row],[Кол-во проданных]]</f>
        <v>58.766363636363636</v>
      </c>
      <c r="AM411" s="39">
        <f>Таблица15[[#This Row],[Средняя цена млн. ₸]]*Таблица15[[#This Row],[Кол-во проданных]]/1000</f>
        <v>25.857199999999999</v>
      </c>
      <c r="AR411" s="22"/>
      <c r="AS411" s="22"/>
      <c r="AT411" s="22"/>
    </row>
    <row r="412" spans="20:46">
      <c r="T412" t="s">
        <v>2</v>
      </c>
      <c r="U412" t="s">
        <v>75</v>
      </c>
      <c r="V412" t="str">
        <f>VLOOKUP(Таблица15[[#This Row],[Модель]],Таблица14[#All],2,0)</f>
        <v>Внедорожник</v>
      </c>
      <c r="W412" s="20">
        <f>VLOOKUP(Таблица15[[#This Row],[Модель]],Таблица14[#All],3,0)</f>
        <v>90000</v>
      </c>
      <c r="X412" s="20">
        <f>VLOOKUP(Таблица15[[#This Row],[Модель]],Таблица14[#All],4,0)</f>
        <v>80000</v>
      </c>
      <c r="Y412" s="4">
        <f>VLOOKUP(Таблица15[[#This Row],[Модель]],Таблица14[#All],5,0)</f>
        <v>110000</v>
      </c>
      <c r="Z412" t="str">
        <f>VLOOKUP(Таблица15[[#This Row],[Модель]],Таблица14[#All],6,0)</f>
        <v>АКПП</v>
      </c>
      <c r="AA412" t="str">
        <f>VLOOKUP(Таблица15[[#This Row],[Модель]],Таблица14[#All],7,0)</f>
        <v>Бензин, Гибрид</v>
      </c>
      <c r="AB412" t="str">
        <f>VLOOKUP(Таблица15[[#This Row],[Модель]],Таблица14[#All],8,0)</f>
        <v>Люкс</v>
      </c>
      <c r="AC412" t="str">
        <f>VLOOKUP(Таблица15[[#This Row],[Модель]],Таблица14[#All],9,0)</f>
        <v>Большой</v>
      </c>
      <c r="AD412">
        <f>VLOOKUP(Таблица15[[#This Row],[Модель]],Таблица14[#All],10,0)</f>
        <v>409</v>
      </c>
      <c r="AE412">
        <f>VLOOKUP(Таблица15[[#This Row],[Модель]],Таблица14[#All],11,0)</f>
        <v>8</v>
      </c>
      <c r="AF412">
        <v>2023</v>
      </c>
      <c r="AG412">
        <v>1423</v>
      </c>
      <c r="AH412" s="22">
        <f>VLOOKUP(Таблица15[[#This Row],[Модель]],Таблица14[#All],12,0)/1000000</f>
        <v>55.13</v>
      </c>
      <c r="AI412" s="21">
        <f>VLOOKUP(Таблица15[[#This Row],[Модель]],Таблица14[#All],13,0)/1000000</f>
        <v>43.99</v>
      </c>
      <c r="AJ412" s="21">
        <f>VLOOKUP(Таблица15[[#This Row],[Модель]],Таблица14[#All],14,0)/1000000</f>
        <v>66.27</v>
      </c>
      <c r="AK412" s="21">
        <f>Таблица15[[#This Row],[Средняя цена (USD)]]*Таблица15[[#This Row],[Кол-во проданных]]/1000000</f>
        <v>128.07</v>
      </c>
      <c r="AL412" s="39">
        <f>Таблица15[[#This Row],[Средняя цена млн. ₸]]/440*Таблица15[[#This Row],[Кол-во проданных]]</f>
        <v>178.29543181818181</v>
      </c>
      <c r="AM412" s="39">
        <f>Таблица15[[#This Row],[Средняя цена млн. ₸]]*Таблица15[[#This Row],[Кол-во проданных]]/1000</f>
        <v>78.44999</v>
      </c>
      <c r="AR412" s="22"/>
      <c r="AS412" s="22"/>
      <c r="AT412" s="22"/>
    </row>
    <row r="413" spans="20:46">
      <c r="T413" t="s">
        <v>2</v>
      </c>
      <c r="U413" t="s">
        <v>75</v>
      </c>
      <c r="V413" t="str">
        <f>VLOOKUP(Таблица15[[#This Row],[Модель]],Таблица14[#All],2,0)</f>
        <v>Внедорожник</v>
      </c>
      <c r="W413" s="20">
        <f>VLOOKUP(Таблица15[[#This Row],[Модель]],Таблица14[#All],3,0)</f>
        <v>90000</v>
      </c>
      <c r="X413" s="20">
        <f>VLOOKUP(Таблица15[[#This Row],[Модель]],Таблица14[#All],4,0)</f>
        <v>80000</v>
      </c>
      <c r="Y413" s="4">
        <f>VLOOKUP(Таблица15[[#This Row],[Модель]],Таблица14[#All],5,0)</f>
        <v>110000</v>
      </c>
      <c r="Z413" t="str">
        <f>VLOOKUP(Таблица15[[#This Row],[Модель]],Таблица14[#All],6,0)</f>
        <v>АКПП</v>
      </c>
      <c r="AA413" t="str">
        <f>VLOOKUP(Таблица15[[#This Row],[Модель]],Таблица14[#All],7,0)</f>
        <v>Бензин, Гибрид</v>
      </c>
      <c r="AB413" t="str">
        <f>VLOOKUP(Таблица15[[#This Row],[Модель]],Таблица14[#All],8,0)</f>
        <v>Люкс</v>
      </c>
      <c r="AC413" t="str">
        <f>VLOOKUP(Таблица15[[#This Row],[Модель]],Таблица14[#All],9,0)</f>
        <v>Большой</v>
      </c>
      <c r="AD413">
        <f>VLOOKUP(Таблица15[[#This Row],[Модель]],Таблица14[#All],10,0)</f>
        <v>409</v>
      </c>
      <c r="AE413">
        <f>VLOOKUP(Таблица15[[#This Row],[Модель]],Таблица14[#All],11,0)</f>
        <v>8</v>
      </c>
      <c r="AF413">
        <v>2022</v>
      </c>
      <c r="AG413">
        <v>1856</v>
      </c>
      <c r="AH413" s="22">
        <f>VLOOKUP(Таблица15[[#This Row],[Модель]],Таблица14[#All],12,0)/1000000</f>
        <v>55.13</v>
      </c>
      <c r="AI413" s="21">
        <f>VLOOKUP(Таблица15[[#This Row],[Модель]],Таблица14[#All],13,0)/1000000</f>
        <v>43.99</v>
      </c>
      <c r="AJ413" s="21">
        <f>VLOOKUP(Таблица15[[#This Row],[Модель]],Таблица14[#All],14,0)/1000000</f>
        <v>66.27</v>
      </c>
      <c r="AK413" s="21">
        <f>Таблица15[[#This Row],[Средняя цена (USD)]]*Таблица15[[#This Row],[Кол-во проданных]]/1000000</f>
        <v>167.04</v>
      </c>
      <c r="AL413" s="39">
        <f>Таблица15[[#This Row],[Средняя цена млн. ₸]]/440*Таблица15[[#This Row],[Кол-во проданных]]</f>
        <v>232.54836363636363</v>
      </c>
      <c r="AM413" s="39">
        <f>Таблица15[[#This Row],[Средняя цена млн. ₸]]*Таблица15[[#This Row],[Кол-во проданных]]/1000</f>
        <v>102.32128</v>
      </c>
      <c r="AR413" s="22"/>
      <c r="AS413" s="22"/>
      <c r="AT413" s="22"/>
    </row>
    <row r="414" spans="20:46">
      <c r="T414" t="s">
        <v>2</v>
      </c>
      <c r="U414" t="s">
        <v>75</v>
      </c>
      <c r="V414" t="str">
        <f>VLOOKUP(Таблица15[[#This Row],[Модель]],Таблица14[#All],2,0)</f>
        <v>Внедорожник</v>
      </c>
      <c r="W414" s="20">
        <f>VLOOKUP(Таблица15[[#This Row],[Модель]],Таблица14[#All],3,0)</f>
        <v>90000</v>
      </c>
      <c r="X414" s="20">
        <f>VLOOKUP(Таблица15[[#This Row],[Модель]],Таблица14[#All],4,0)</f>
        <v>80000</v>
      </c>
      <c r="Y414" s="4">
        <f>VLOOKUP(Таблица15[[#This Row],[Модель]],Таблица14[#All],5,0)</f>
        <v>110000</v>
      </c>
      <c r="Z414" t="str">
        <f>VLOOKUP(Таблица15[[#This Row],[Модель]],Таблица14[#All],6,0)</f>
        <v>АКПП</v>
      </c>
      <c r="AA414" t="str">
        <f>VLOOKUP(Таблица15[[#This Row],[Модель]],Таблица14[#All],7,0)</f>
        <v>Бензин, Гибрид</v>
      </c>
      <c r="AB414" t="str">
        <f>VLOOKUP(Таблица15[[#This Row],[Модель]],Таблица14[#All],8,0)</f>
        <v>Люкс</v>
      </c>
      <c r="AC414" t="str">
        <f>VLOOKUP(Таблица15[[#This Row],[Модель]],Таблица14[#All],9,0)</f>
        <v>Большой</v>
      </c>
      <c r="AD414">
        <f>VLOOKUP(Таблица15[[#This Row],[Модель]],Таблица14[#All],10,0)</f>
        <v>409</v>
      </c>
      <c r="AE414">
        <f>VLOOKUP(Таблица15[[#This Row],[Модель]],Таблица14[#All],11,0)</f>
        <v>8</v>
      </c>
      <c r="AF414">
        <v>2021</v>
      </c>
      <c r="AG414">
        <v>867</v>
      </c>
      <c r="AH414" s="22">
        <f>VLOOKUP(Таблица15[[#This Row],[Модель]],Таблица14[#All],12,0)/1000000</f>
        <v>55.13</v>
      </c>
      <c r="AI414" s="21">
        <f>VLOOKUP(Таблица15[[#This Row],[Модель]],Таблица14[#All],13,0)/1000000</f>
        <v>43.99</v>
      </c>
      <c r="AJ414" s="21">
        <f>VLOOKUP(Таблица15[[#This Row],[Модель]],Таблица14[#All],14,0)/1000000</f>
        <v>66.27</v>
      </c>
      <c r="AK414" s="21">
        <f>Таблица15[[#This Row],[Средняя цена (USD)]]*Таблица15[[#This Row],[Кол-во проданных]]/1000000</f>
        <v>78.03</v>
      </c>
      <c r="AL414" s="39">
        <f>Таблица15[[#This Row],[Средняя цена млн. ₸]]/440*Таблица15[[#This Row],[Кол-во проданных]]</f>
        <v>108.63115909090909</v>
      </c>
      <c r="AM414" s="39">
        <f>Таблица15[[#This Row],[Средняя цена млн. ₸]]*Таблица15[[#This Row],[Кол-во проданных]]/1000</f>
        <v>47.797710000000002</v>
      </c>
      <c r="AR414" s="22"/>
      <c r="AS414" s="22"/>
      <c r="AT414" s="22"/>
    </row>
    <row r="415" spans="20:46">
      <c r="T415" t="s">
        <v>2</v>
      </c>
      <c r="U415" t="s">
        <v>75</v>
      </c>
      <c r="V415" t="str">
        <f>VLOOKUP(Таблица15[[#This Row],[Модель]],Таблица14[#All],2,0)</f>
        <v>Внедорожник</v>
      </c>
      <c r="W415" s="20">
        <f>VLOOKUP(Таблица15[[#This Row],[Модель]],Таблица14[#All],3,0)</f>
        <v>90000</v>
      </c>
      <c r="X415" s="20">
        <f>VLOOKUP(Таблица15[[#This Row],[Модель]],Таблица14[#All],4,0)</f>
        <v>80000</v>
      </c>
      <c r="Y415" s="4">
        <f>VLOOKUP(Таблица15[[#This Row],[Модель]],Таблица14[#All],5,0)</f>
        <v>110000</v>
      </c>
      <c r="Z415" t="str">
        <f>VLOOKUP(Таблица15[[#This Row],[Модель]],Таблица14[#All],6,0)</f>
        <v>АКПП</v>
      </c>
      <c r="AA415" t="str">
        <f>VLOOKUP(Таблица15[[#This Row],[Модель]],Таблица14[#All],7,0)</f>
        <v>Бензин, Гибрид</v>
      </c>
      <c r="AB415" t="str">
        <f>VLOOKUP(Таблица15[[#This Row],[Модель]],Таблица14[#All],8,0)</f>
        <v>Люкс</v>
      </c>
      <c r="AC415" t="str">
        <f>VLOOKUP(Таблица15[[#This Row],[Модель]],Таблица14[#All],9,0)</f>
        <v>Большой</v>
      </c>
      <c r="AD415">
        <f>VLOOKUP(Таблица15[[#This Row],[Модель]],Таблица14[#All],10,0)</f>
        <v>409</v>
      </c>
      <c r="AE415">
        <f>VLOOKUP(Таблица15[[#This Row],[Модель]],Таблица14[#All],11,0)</f>
        <v>8</v>
      </c>
      <c r="AF415">
        <v>2020</v>
      </c>
      <c r="AG415">
        <v>744</v>
      </c>
      <c r="AH415" s="22">
        <f>VLOOKUP(Таблица15[[#This Row],[Модель]],Таблица14[#All],12,0)/1000000</f>
        <v>55.13</v>
      </c>
      <c r="AI415" s="21">
        <f>VLOOKUP(Таблица15[[#This Row],[Модель]],Таблица14[#All],13,0)/1000000</f>
        <v>43.99</v>
      </c>
      <c r="AJ415" s="21">
        <f>VLOOKUP(Таблица15[[#This Row],[Модель]],Таблица14[#All],14,0)/1000000</f>
        <v>66.27</v>
      </c>
      <c r="AK415" s="21">
        <f>Таблица15[[#This Row],[Средняя цена (USD)]]*Таблица15[[#This Row],[Кол-во проданных]]/1000000</f>
        <v>66.959999999999994</v>
      </c>
      <c r="AL415" s="39">
        <f>Таблица15[[#This Row],[Средняя цена млн. ₸]]/440*Таблица15[[#This Row],[Кол-во проданных]]</f>
        <v>93.219818181818184</v>
      </c>
      <c r="AM415" s="39">
        <f>Таблица15[[#This Row],[Средняя цена млн. ₸]]*Таблица15[[#This Row],[Кол-во проданных]]/1000</f>
        <v>41.016719999999999</v>
      </c>
      <c r="AR415" s="22"/>
      <c r="AS415" s="22"/>
      <c r="AT415" s="22"/>
    </row>
    <row r="416" spans="20:46">
      <c r="T416" t="s">
        <v>2</v>
      </c>
      <c r="U416" t="s">
        <v>75</v>
      </c>
      <c r="V416" t="str">
        <f>VLOOKUP(Таблица15[[#This Row],[Модель]],Таблица14[#All],2,0)</f>
        <v>Внедорожник</v>
      </c>
      <c r="W416" s="20">
        <f>VLOOKUP(Таблица15[[#This Row],[Модель]],Таблица14[#All],3,0)</f>
        <v>90000</v>
      </c>
      <c r="X416" s="20">
        <f>VLOOKUP(Таблица15[[#This Row],[Модель]],Таблица14[#All],4,0)</f>
        <v>80000</v>
      </c>
      <c r="Y416" s="4">
        <f>VLOOKUP(Таблица15[[#This Row],[Модель]],Таблица14[#All],5,0)</f>
        <v>110000</v>
      </c>
      <c r="Z416" t="str">
        <f>VLOOKUP(Таблица15[[#This Row],[Модель]],Таблица14[#All],6,0)</f>
        <v>АКПП</v>
      </c>
      <c r="AA416" t="str">
        <f>VLOOKUP(Таблица15[[#This Row],[Модель]],Таблица14[#All],7,0)</f>
        <v>Бензин, Гибрид</v>
      </c>
      <c r="AB416" t="str">
        <f>VLOOKUP(Таблица15[[#This Row],[Модель]],Таблица14[#All],8,0)</f>
        <v>Люкс</v>
      </c>
      <c r="AC416" t="str">
        <f>VLOOKUP(Таблица15[[#This Row],[Модель]],Таблица14[#All],9,0)</f>
        <v>Большой</v>
      </c>
      <c r="AD416">
        <f>VLOOKUP(Таблица15[[#This Row],[Модель]],Таблица14[#All],10,0)</f>
        <v>409</v>
      </c>
      <c r="AE416">
        <f>VLOOKUP(Таблица15[[#This Row],[Модель]],Таблица14[#All],11,0)</f>
        <v>8</v>
      </c>
      <c r="AF416">
        <v>2019</v>
      </c>
      <c r="AG416">
        <v>1032</v>
      </c>
      <c r="AH416" s="22">
        <f>VLOOKUP(Таблица15[[#This Row],[Модель]],Таблица14[#All],12,0)/1000000</f>
        <v>55.13</v>
      </c>
      <c r="AI416" s="21">
        <f>VLOOKUP(Таблица15[[#This Row],[Модель]],Таблица14[#All],13,0)/1000000</f>
        <v>43.99</v>
      </c>
      <c r="AJ416" s="21">
        <f>VLOOKUP(Таблица15[[#This Row],[Модель]],Таблица14[#All],14,0)/1000000</f>
        <v>66.27</v>
      </c>
      <c r="AK416" s="21">
        <f>Таблица15[[#This Row],[Средняя цена (USD)]]*Таблица15[[#This Row],[Кол-во проданных]]/1000000</f>
        <v>92.88</v>
      </c>
      <c r="AL416" s="39">
        <f>Таблица15[[#This Row],[Средняя цена млн. ₸]]/440*Таблица15[[#This Row],[Кол-во проданных]]</f>
        <v>129.30490909090909</v>
      </c>
      <c r="AM416" s="39">
        <f>Таблица15[[#This Row],[Средняя цена млн. ₸]]*Таблица15[[#This Row],[Кол-во проданных]]/1000</f>
        <v>56.894160000000007</v>
      </c>
      <c r="AR416" s="22"/>
      <c r="AS416" s="22"/>
      <c r="AT416" s="22"/>
    </row>
    <row r="417" spans="20:46">
      <c r="T417" t="s">
        <v>2</v>
      </c>
      <c r="U417" t="s">
        <v>74</v>
      </c>
      <c r="V417" t="str">
        <f>VLOOKUP(Таблица15[[#This Row],[Модель]],Таблица14[#All],2,0)</f>
        <v>Внедорожник</v>
      </c>
      <c r="W417" s="20">
        <f>VLOOKUP(Таблица15[[#This Row],[Модель]],Таблица14[#All],3,0)</f>
        <v>50000</v>
      </c>
      <c r="X417" s="20">
        <f>VLOOKUP(Таблица15[[#This Row],[Модель]],Таблица14[#All],4,0)</f>
        <v>45000</v>
      </c>
      <c r="Y417" s="4">
        <f>VLOOKUP(Таблица15[[#This Row],[Модель]],Таблица14[#All],5,0)</f>
        <v>60000</v>
      </c>
      <c r="Z417" t="str">
        <f>VLOOKUP(Таблица15[[#This Row],[Модель]],Таблица14[#All],6,0)</f>
        <v>АКПП</v>
      </c>
      <c r="AA417" t="str">
        <f>VLOOKUP(Таблица15[[#This Row],[Модель]],Таблица14[#All],7,0)</f>
        <v>Бензин, Гибрид</v>
      </c>
      <c r="AB417" t="str">
        <f>VLOOKUP(Таблица15[[#This Row],[Модель]],Таблица14[#All],8,0)</f>
        <v>Люкс</v>
      </c>
      <c r="AC417" t="str">
        <f>VLOOKUP(Таблица15[[#This Row],[Модель]],Таблица14[#All],9,0)</f>
        <v>Средний</v>
      </c>
      <c r="AD417">
        <f>VLOOKUP(Таблица15[[#This Row],[Модель]],Таблица14[#All],10,0)</f>
        <v>350</v>
      </c>
      <c r="AE417">
        <f>VLOOKUP(Таблица15[[#This Row],[Модель]],Таблица14[#All],11,0)</f>
        <v>9.5</v>
      </c>
      <c r="AF417">
        <v>2023</v>
      </c>
      <c r="AG417">
        <v>1453</v>
      </c>
      <c r="AH417" s="22">
        <f>VLOOKUP(Таблица15[[#This Row],[Модель]],Таблица14[#All],12,0)/1000000</f>
        <v>25.72</v>
      </c>
      <c r="AI417" s="21">
        <f>VLOOKUP(Таблица15[[#This Row],[Модель]],Таблица14[#All],13,0)/1000000</f>
        <v>24.11</v>
      </c>
      <c r="AJ417" s="21">
        <f>VLOOKUP(Таблица15[[#This Row],[Модель]],Таблица14[#All],14,0)/1000000</f>
        <v>27.33</v>
      </c>
      <c r="AK417" s="21">
        <f>Таблица15[[#This Row],[Средняя цена (USD)]]*Таблица15[[#This Row],[Кол-во проданных]]/1000000</f>
        <v>72.650000000000006</v>
      </c>
      <c r="AL417" s="39">
        <f>Таблица15[[#This Row],[Средняя цена млн. ₸]]/440*Таблица15[[#This Row],[Кол-во проданных]]</f>
        <v>84.934454545454543</v>
      </c>
      <c r="AM417" s="39">
        <f>Таблица15[[#This Row],[Средняя цена млн. ₸]]*Таблица15[[#This Row],[Кол-во проданных]]/1000</f>
        <v>37.371159999999996</v>
      </c>
      <c r="AR417" s="22"/>
      <c r="AS417" s="22"/>
      <c r="AT417" s="22"/>
    </row>
    <row r="418" spans="20:46">
      <c r="T418" t="s">
        <v>2</v>
      </c>
      <c r="U418" t="s">
        <v>74</v>
      </c>
      <c r="V418" t="str">
        <f>VLOOKUP(Таблица15[[#This Row],[Модель]],Таблица14[#All],2,0)</f>
        <v>Внедорожник</v>
      </c>
      <c r="W418" s="20">
        <f>VLOOKUP(Таблица15[[#This Row],[Модель]],Таблица14[#All],3,0)</f>
        <v>50000</v>
      </c>
      <c r="X418" s="20">
        <f>VLOOKUP(Таблица15[[#This Row],[Модель]],Таблица14[#All],4,0)</f>
        <v>45000</v>
      </c>
      <c r="Y418" s="4">
        <f>VLOOKUP(Таблица15[[#This Row],[Модель]],Таблица14[#All],5,0)</f>
        <v>60000</v>
      </c>
      <c r="Z418" t="str">
        <f>VLOOKUP(Таблица15[[#This Row],[Модель]],Таблица14[#All],6,0)</f>
        <v>АКПП</v>
      </c>
      <c r="AA418" t="str">
        <f>VLOOKUP(Таблица15[[#This Row],[Модель]],Таблица14[#All],7,0)</f>
        <v>Бензин, Гибрид</v>
      </c>
      <c r="AB418" t="str">
        <f>VLOOKUP(Таблица15[[#This Row],[Модель]],Таблица14[#All],8,0)</f>
        <v>Люкс</v>
      </c>
      <c r="AC418" t="str">
        <f>VLOOKUP(Таблица15[[#This Row],[Модель]],Таблица14[#All],9,0)</f>
        <v>Средний</v>
      </c>
      <c r="AD418">
        <f>VLOOKUP(Таблица15[[#This Row],[Модель]],Таблица14[#All],10,0)</f>
        <v>350</v>
      </c>
      <c r="AE418">
        <f>VLOOKUP(Таблица15[[#This Row],[Модель]],Таблица14[#All],11,0)</f>
        <v>9.5</v>
      </c>
      <c r="AF418">
        <v>2022</v>
      </c>
      <c r="AG418">
        <v>3499</v>
      </c>
      <c r="AH418" s="22">
        <f>VLOOKUP(Таблица15[[#This Row],[Модель]],Таблица14[#All],12,0)/1000000</f>
        <v>25.72</v>
      </c>
      <c r="AI418" s="21">
        <f>VLOOKUP(Таблица15[[#This Row],[Модель]],Таблица14[#All],13,0)/1000000</f>
        <v>24.11</v>
      </c>
      <c r="AJ418" s="21">
        <f>VLOOKUP(Таблица15[[#This Row],[Модель]],Таблица14[#All],14,0)/1000000</f>
        <v>27.33</v>
      </c>
      <c r="AK418" s="21">
        <f>Таблица15[[#This Row],[Средняя цена (USD)]]*Таблица15[[#This Row],[Кол-во проданных]]/1000000</f>
        <v>174.95</v>
      </c>
      <c r="AL418" s="39">
        <f>Таблица15[[#This Row],[Средняя цена млн. ₸]]/440*Таблица15[[#This Row],[Кол-во проданных]]</f>
        <v>204.53245454545456</v>
      </c>
      <c r="AM418" s="39">
        <f>Таблица15[[#This Row],[Средняя цена млн. ₸]]*Таблица15[[#This Row],[Кол-во проданных]]/1000</f>
        <v>89.994280000000003</v>
      </c>
      <c r="AR418" s="22"/>
      <c r="AS418" s="22"/>
      <c r="AT418" s="22"/>
    </row>
    <row r="419" spans="20:46">
      <c r="T419" t="s">
        <v>2</v>
      </c>
      <c r="U419" t="s">
        <v>74</v>
      </c>
      <c r="V419" t="str">
        <f>VLOOKUP(Таблица15[[#This Row],[Модель]],Таблица14[#All],2,0)</f>
        <v>Внедорожник</v>
      </c>
      <c r="W419" s="20">
        <f>VLOOKUP(Таблица15[[#This Row],[Модель]],Таблица14[#All],3,0)</f>
        <v>50000</v>
      </c>
      <c r="X419" s="20">
        <f>VLOOKUP(Таблица15[[#This Row],[Модель]],Таблица14[#All],4,0)</f>
        <v>45000</v>
      </c>
      <c r="Y419" s="4">
        <f>VLOOKUP(Таблица15[[#This Row],[Модель]],Таблица14[#All],5,0)</f>
        <v>60000</v>
      </c>
      <c r="Z419" t="str">
        <f>VLOOKUP(Таблица15[[#This Row],[Модель]],Таблица14[#All],6,0)</f>
        <v>АКПП</v>
      </c>
      <c r="AA419" t="str">
        <f>VLOOKUP(Таблица15[[#This Row],[Модель]],Таблица14[#All],7,0)</f>
        <v>Бензин, Гибрид</v>
      </c>
      <c r="AB419" t="str">
        <f>VLOOKUP(Таблица15[[#This Row],[Модель]],Таблица14[#All],8,0)</f>
        <v>Люкс</v>
      </c>
      <c r="AC419" t="str">
        <f>VLOOKUP(Таблица15[[#This Row],[Модель]],Таблица14[#All],9,0)</f>
        <v>Средний</v>
      </c>
      <c r="AD419">
        <f>VLOOKUP(Таблица15[[#This Row],[Модель]],Таблица14[#All],10,0)</f>
        <v>350</v>
      </c>
      <c r="AE419">
        <f>VLOOKUP(Таблица15[[#This Row],[Модель]],Таблица14[#All],11,0)</f>
        <v>9.5</v>
      </c>
      <c r="AF419">
        <v>2021</v>
      </c>
      <c r="AG419">
        <v>2279</v>
      </c>
      <c r="AH419" s="22">
        <f>VLOOKUP(Таблица15[[#This Row],[Модель]],Таблица14[#All],12,0)/1000000</f>
        <v>25.72</v>
      </c>
      <c r="AI419" s="21">
        <f>VLOOKUP(Таблица15[[#This Row],[Модель]],Таблица14[#All],13,0)/1000000</f>
        <v>24.11</v>
      </c>
      <c r="AJ419" s="21">
        <f>VLOOKUP(Таблица15[[#This Row],[Модель]],Таблица14[#All],14,0)/1000000</f>
        <v>27.33</v>
      </c>
      <c r="AK419" s="21">
        <f>Таблица15[[#This Row],[Средняя цена (USD)]]*Таблица15[[#This Row],[Кол-во проданных]]/1000000</f>
        <v>113.95</v>
      </c>
      <c r="AL419" s="39">
        <f>Таблица15[[#This Row],[Средняя цена млн. ₸]]/440*Таблица15[[#This Row],[Кол-во проданных]]</f>
        <v>133.21790909090907</v>
      </c>
      <c r="AM419" s="39">
        <f>Таблица15[[#This Row],[Средняя цена млн. ₸]]*Таблица15[[#This Row],[Кол-во проданных]]/1000</f>
        <v>58.615879999999997</v>
      </c>
      <c r="AR419" s="22"/>
      <c r="AS419" s="22"/>
      <c r="AT419" s="22"/>
    </row>
    <row r="420" spans="20:46">
      <c r="T420" t="s">
        <v>2</v>
      </c>
      <c r="U420" t="s">
        <v>74</v>
      </c>
      <c r="V420" t="str">
        <f>VLOOKUP(Таблица15[[#This Row],[Модель]],Таблица14[#All],2,0)</f>
        <v>Внедорожник</v>
      </c>
      <c r="W420" s="20">
        <f>VLOOKUP(Таблица15[[#This Row],[Модель]],Таблица14[#All],3,0)</f>
        <v>50000</v>
      </c>
      <c r="X420" s="20">
        <f>VLOOKUP(Таблица15[[#This Row],[Модель]],Таблица14[#All],4,0)</f>
        <v>45000</v>
      </c>
      <c r="Y420" s="4">
        <f>VLOOKUP(Таблица15[[#This Row],[Модель]],Таблица14[#All],5,0)</f>
        <v>60000</v>
      </c>
      <c r="Z420" t="str">
        <f>VLOOKUP(Таблица15[[#This Row],[Модель]],Таблица14[#All],6,0)</f>
        <v>АКПП</v>
      </c>
      <c r="AA420" t="str">
        <f>VLOOKUP(Таблица15[[#This Row],[Модель]],Таблица14[#All],7,0)</f>
        <v>Бензин, Гибрид</v>
      </c>
      <c r="AB420" t="str">
        <f>VLOOKUP(Таблица15[[#This Row],[Модель]],Таблица14[#All],8,0)</f>
        <v>Люкс</v>
      </c>
      <c r="AC420" t="str">
        <f>VLOOKUP(Таблица15[[#This Row],[Модель]],Таблица14[#All],9,0)</f>
        <v>Средний</v>
      </c>
      <c r="AD420">
        <f>VLOOKUP(Таблица15[[#This Row],[Модель]],Таблица14[#All],10,0)</f>
        <v>350</v>
      </c>
      <c r="AE420">
        <f>VLOOKUP(Таблица15[[#This Row],[Модель]],Таблица14[#All],11,0)</f>
        <v>9.5</v>
      </c>
      <c r="AF420">
        <v>2020</v>
      </c>
      <c r="AG420">
        <v>1560</v>
      </c>
      <c r="AH420" s="22">
        <f>VLOOKUP(Таблица15[[#This Row],[Модель]],Таблица14[#All],12,0)/1000000</f>
        <v>25.72</v>
      </c>
      <c r="AI420" s="21">
        <f>VLOOKUP(Таблица15[[#This Row],[Модель]],Таблица14[#All],13,0)/1000000</f>
        <v>24.11</v>
      </c>
      <c r="AJ420" s="21">
        <f>VLOOKUP(Таблица15[[#This Row],[Модель]],Таблица14[#All],14,0)/1000000</f>
        <v>27.33</v>
      </c>
      <c r="AK420" s="21">
        <f>Таблица15[[#This Row],[Средняя цена (USD)]]*Таблица15[[#This Row],[Кол-во проданных]]/1000000</f>
        <v>78</v>
      </c>
      <c r="AL420" s="39">
        <f>Таблица15[[#This Row],[Средняя цена млн. ₸]]/440*Таблица15[[#This Row],[Кол-во проданных]]</f>
        <v>91.189090909090908</v>
      </c>
      <c r="AM420" s="39">
        <f>Таблица15[[#This Row],[Средняя цена млн. ₸]]*Таблица15[[#This Row],[Кол-во проданных]]/1000</f>
        <v>40.123199999999997</v>
      </c>
      <c r="AR420" s="22"/>
      <c r="AS420" s="22"/>
      <c r="AT420" s="22"/>
    </row>
    <row r="421" spans="20:46">
      <c r="T421" t="s">
        <v>2</v>
      </c>
      <c r="U421" t="s">
        <v>74</v>
      </c>
      <c r="V421" t="str">
        <f>VLOOKUP(Таблица15[[#This Row],[Модель]],Таблица14[#All],2,0)</f>
        <v>Внедорожник</v>
      </c>
      <c r="W421" s="20">
        <f>VLOOKUP(Таблица15[[#This Row],[Модель]],Таблица14[#All],3,0)</f>
        <v>50000</v>
      </c>
      <c r="X421" s="20">
        <f>VLOOKUP(Таблица15[[#This Row],[Модель]],Таблица14[#All],4,0)</f>
        <v>45000</v>
      </c>
      <c r="Y421" s="4">
        <f>VLOOKUP(Таблица15[[#This Row],[Модель]],Таблица14[#All],5,0)</f>
        <v>60000</v>
      </c>
      <c r="Z421" t="str">
        <f>VLOOKUP(Таблица15[[#This Row],[Модель]],Таблица14[#All],6,0)</f>
        <v>АКПП</v>
      </c>
      <c r="AA421" t="str">
        <f>VLOOKUP(Таблица15[[#This Row],[Модель]],Таблица14[#All],7,0)</f>
        <v>Бензин, Гибрид</v>
      </c>
      <c r="AB421" t="str">
        <f>VLOOKUP(Таблица15[[#This Row],[Модель]],Таблица14[#All],8,0)</f>
        <v>Люкс</v>
      </c>
      <c r="AC421" t="str">
        <f>VLOOKUP(Таблица15[[#This Row],[Модель]],Таблица14[#All],9,0)</f>
        <v>Средний</v>
      </c>
      <c r="AD421">
        <f>VLOOKUP(Таблица15[[#This Row],[Модель]],Таблица14[#All],10,0)</f>
        <v>350</v>
      </c>
      <c r="AE421">
        <f>VLOOKUP(Таблица15[[#This Row],[Модель]],Таблица14[#All],11,0)</f>
        <v>9.5</v>
      </c>
      <c r="AF421">
        <v>2019</v>
      </c>
      <c r="AG421">
        <v>2288</v>
      </c>
      <c r="AH421" s="22">
        <f>VLOOKUP(Таблица15[[#This Row],[Модель]],Таблица14[#All],12,0)/1000000</f>
        <v>25.72</v>
      </c>
      <c r="AI421" s="21">
        <f>VLOOKUP(Таблица15[[#This Row],[Модель]],Таблица14[#All],13,0)/1000000</f>
        <v>24.11</v>
      </c>
      <c r="AJ421" s="21">
        <f>VLOOKUP(Таблица15[[#This Row],[Модель]],Таблица14[#All],14,0)/1000000</f>
        <v>27.33</v>
      </c>
      <c r="AK421" s="21">
        <f>Таблица15[[#This Row],[Средняя цена (USD)]]*Таблица15[[#This Row],[Кол-во проданных]]/1000000</f>
        <v>114.4</v>
      </c>
      <c r="AL421" s="39">
        <f>Таблица15[[#This Row],[Средняя цена млн. ₸]]/440*Таблица15[[#This Row],[Кол-во проданных]]</f>
        <v>133.744</v>
      </c>
      <c r="AM421" s="39">
        <f>Таблица15[[#This Row],[Средняя цена млн. ₸]]*Таблица15[[#This Row],[Кол-во проданных]]/1000</f>
        <v>58.847360000000002</v>
      </c>
      <c r="AR421" s="22"/>
      <c r="AS421" s="22"/>
      <c r="AT421" s="22"/>
    </row>
    <row r="422" spans="20:46">
      <c r="T422" t="s">
        <v>2</v>
      </c>
      <c r="U422" t="s">
        <v>31</v>
      </c>
      <c r="V422" t="str">
        <f>VLOOKUP(Таблица15[[#This Row],[Модель]],Таблица14[#All],2,0)</f>
        <v>Внедорожник</v>
      </c>
      <c r="W422" s="20">
        <f>VLOOKUP(Таблица15[[#This Row],[Модель]],Таблица14[#All],3,0)</f>
        <v>23000</v>
      </c>
      <c r="X422" s="20">
        <f>VLOOKUP(Таблица15[[#This Row],[Модель]],Таблица14[#All],4,0)</f>
        <v>20000</v>
      </c>
      <c r="Y422" s="4">
        <f>VLOOKUP(Таблица15[[#This Row],[Модель]],Таблица14[#All],5,0)</f>
        <v>28000</v>
      </c>
      <c r="Z422" t="str">
        <f>VLOOKUP(Таблица15[[#This Row],[Модель]],Таблица14[#All],6,0)</f>
        <v>АКПП</v>
      </c>
      <c r="AA422" t="str">
        <f>VLOOKUP(Таблица15[[#This Row],[Модель]],Таблица14[#All],7,0)</f>
        <v>Бензин, Дизель, Гибрид</v>
      </c>
      <c r="AB422" t="str">
        <f>VLOOKUP(Таблица15[[#This Row],[Модель]],Таблица14[#All],8,0)</f>
        <v>Комфорт</v>
      </c>
      <c r="AC422" t="str">
        <f>VLOOKUP(Таблица15[[#This Row],[Модель]],Таблица14[#All],9,0)</f>
        <v>Средний</v>
      </c>
      <c r="AD422">
        <f>VLOOKUP(Таблица15[[#This Row],[Модель]],Таблица14[#All],10,0)</f>
        <v>190</v>
      </c>
      <c r="AE422">
        <f>VLOOKUP(Таблица15[[#This Row],[Модель]],Таблица14[#All],11,0)</f>
        <v>11.5</v>
      </c>
      <c r="AF422">
        <v>2023</v>
      </c>
      <c r="AG422">
        <v>1409</v>
      </c>
      <c r="AH422" s="22">
        <f>VLOOKUP(Таблица15[[#This Row],[Модель]],Таблица14[#All],12,0)/1000000</f>
        <v>21.844999999999999</v>
      </c>
      <c r="AI422" s="21">
        <f>VLOOKUP(Таблица15[[#This Row],[Модель]],Таблица14[#All],13,0)/1000000</f>
        <v>20.239999999999998</v>
      </c>
      <c r="AJ422" s="21">
        <f>VLOOKUP(Таблица15[[#This Row],[Модель]],Таблица14[#All],14,0)/1000000</f>
        <v>23.45</v>
      </c>
      <c r="AK422" s="21">
        <f>Таблица15[[#This Row],[Средняя цена (USD)]]*Таблица15[[#This Row],[Кол-во проданных]]/1000000</f>
        <v>32.406999999999996</v>
      </c>
      <c r="AL422" s="39">
        <f>Таблица15[[#This Row],[Средняя цена млн. ₸]]/440*Таблица15[[#This Row],[Кол-во проданных]]</f>
        <v>69.953647727272724</v>
      </c>
      <c r="AM422" s="39">
        <f>Таблица15[[#This Row],[Средняя цена млн. ₸]]*Таблица15[[#This Row],[Кол-во проданных]]/1000</f>
        <v>30.779605</v>
      </c>
      <c r="AR422" s="22"/>
      <c r="AS422" s="22"/>
      <c r="AT422" s="22"/>
    </row>
    <row r="423" spans="20:46">
      <c r="T423" t="s">
        <v>2</v>
      </c>
      <c r="U423" t="s">
        <v>31</v>
      </c>
      <c r="V423" t="str">
        <f>VLOOKUP(Таблица15[[#This Row],[Модель]],Таблица14[#All],2,0)</f>
        <v>Внедорожник</v>
      </c>
      <c r="W423" s="20">
        <f>VLOOKUP(Таблица15[[#This Row],[Модель]],Таблица14[#All],3,0)</f>
        <v>23000</v>
      </c>
      <c r="X423" s="20">
        <f>VLOOKUP(Таблица15[[#This Row],[Модель]],Таблица14[#All],4,0)</f>
        <v>20000</v>
      </c>
      <c r="Y423" s="4">
        <f>VLOOKUP(Таблица15[[#This Row],[Модель]],Таблица14[#All],5,0)</f>
        <v>28000</v>
      </c>
      <c r="Z423" t="str">
        <f>VLOOKUP(Таблица15[[#This Row],[Модель]],Таблица14[#All],6,0)</f>
        <v>АКПП</v>
      </c>
      <c r="AA423" t="str">
        <f>VLOOKUP(Таблица15[[#This Row],[Модель]],Таблица14[#All],7,0)</f>
        <v>Бензин, Дизель, Гибрид</v>
      </c>
      <c r="AB423" t="str">
        <f>VLOOKUP(Таблица15[[#This Row],[Модель]],Таблица14[#All],8,0)</f>
        <v>Комфорт</v>
      </c>
      <c r="AC423" t="str">
        <f>VLOOKUP(Таблица15[[#This Row],[Модель]],Таблица14[#All],9,0)</f>
        <v>Средний</v>
      </c>
      <c r="AD423">
        <f>VLOOKUP(Таблица15[[#This Row],[Модель]],Таблица14[#All],10,0)</f>
        <v>190</v>
      </c>
      <c r="AE423">
        <f>VLOOKUP(Таблица15[[#This Row],[Модель]],Таблица14[#All],11,0)</f>
        <v>11.5</v>
      </c>
      <c r="AF423">
        <v>2022</v>
      </c>
      <c r="AG423">
        <v>942</v>
      </c>
      <c r="AH423" s="22">
        <f>VLOOKUP(Таблица15[[#This Row],[Модель]],Таблица14[#All],12,0)/1000000</f>
        <v>21.844999999999999</v>
      </c>
      <c r="AI423" s="21">
        <f>VLOOKUP(Таблица15[[#This Row],[Модель]],Таблица14[#All],13,0)/1000000</f>
        <v>20.239999999999998</v>
      </c>
      <c r="AJ423" s="21">
        <f>VLOOKUP(Таблица15[[#This Row],[Модель]],Таблица14[#All],14,0)/1000000</f>
        <v>23.45</v>
      </c>
      <c r="AK423" s="21">
        <f>Таблица15[[#This Row],[Средняя цена (USD)]]*Таблица15[[#This Row],[Кол-во проданных]]/1000000</f>
        <v>21.666</v>
      </c>
      <c r="AL423" s="39">
        <f>Таблица15[[#This Row],[Средняя цена млн. ₸]]/440*Таблица15[[#This Row],[Кол-во проданных]]</f>
        <v>46.768159090909087</v>
      </c>
      <c r="AM423" s="39">
        <f>Таблица15[[#This Row],[Средняя цена млн. ₸]]*Таблица15[[#This Row],[Кол-во проданных]]/1000</f>
        <v>20.577989999999996</v>
      </c>
      <c r="AR423" s="22"/>
      <c r="AS423" s="22"/>
      <c r="AT423" s="22"/>
    </row>
    <row r="424" spans="20:46">
      <c r="T424" t="s">
        <v>2</v>
      </c>
      <c r="U424" t="s">
        <v>31</v>
      </c>
      <c r="V424" t="str">
        <f>VLOOKUP(Таблица15[[#This Row],[Модель]],Таблица14[#All],2,0)</f>
        <v>Внедорожник</v>
      </c>
      <c r="W424" s="20">
        <f>VLOOKUP(Таблица15[[#This Row],[Модель]],Таблица14[#All],3,0)</f>
        <v>23000</v>
      </c>
      <c r="X424" s="20">
        <f>VLOOKUP(Таблица15[[#This Row],[Модель]],Таблица14[#All],4,0)</f>
        <v>20000</v>
      </c>
      <c r="Y424" s="4">
        <f>VLOOKUP(Таблица15[[#This Row],[Модель]],Таблица14[#All],5,0)</f>
        <v>28000</v>
      </c>
      <c r="Z424" t="str">
        <f>VLOOKUP(Таблица15[[#This Row],[Модель]],Таблица14[#All],6,0)</f>
        <v>АКПП</v>
      </c>
      <c r="AA424" t="str">
        <f>VLOOKUP(Таблица15[[#This Row],[Модель]],Таблица14[#All],7,0)</f>
        <v>Бензин, Дизель, Гибрид</v>
      </c>
      <c r="AB424" t="str">
        <f>VLOOKUP(Таблица15[[#This Row],[Модель]],Таблица14[#All],8,0)</f>
        <v>Комфорт</v>
      </c>
      <c r="AC424" t="str">
        <f>VLOOKUP(Таблица15[[#This Row],[Модель]],Таблица14[#All],9,0)</f>
        <v>Средний</v>
      </c>
      <c r="AD424">
        <f>VLOOKUP(Таблица15[[#This Row],[Модель]],Таблица14[#All],10,0)</f>
        <v>190</v>
      </c>
      <c r="AE424">
        <f>VLOOKUP(Таблица15[[#This Row],[Модель]],Таблица14[#All],11,0)</f>
        <v>11.5</v>
      </c>
      <c r="AF424">
        <v>2021</v>
      </c>
      <c r="AG424">
        <v>3190</v>
      </c>
      <c r="AH424" s="22">
        <f>VLOOKUP(Таблица15[[#This Row],[Модель]],Таблица14[#All],12,0)/1000000</f>
        <v>21.844999999999999</v>
      </c>
      <c r="AI424" s="21">
        <f>VLOOKUP(Таблица15[[#This Row],[Модель]],Таблица14[#All],13,0)/1000000</f>
        <v>20.239999999999998</v>
      </c>
      <c r="AJ424" s="21">
        <f>VLOOKUP(Таблица15[[#This Row],[Модель]],Таблица14[#All],14,0)/1000000</f>
        <v>23.45</v>
      </c>
      <c r="AK424" s="21">
        <f>Таблица15[[#This Row],[Средняя цена (USD)]]*Таблица15[[#This Row],[Кол-во проданных]]/1000000</f>
        <v>73.37</v>
      </c>
      <c r="AL424" s="39">
        <f>Таблица15[[#This Row],[Средняя цена млн. ₸]]/440*Таблица15[[#This Row],[Кол-во проданных]]</f>
        <v>158.37624999999997</v>
      </c>
      <c r="AM424" s="39">
        <f>Таблица15[[#This Row],[Средняя цена млн. ₸]]*Таблица15[[#This Row],[Кол-во проданных]]/1000</f>
        <v>69.685550000000006</v>
      </c>
      <c r="AR424" s="22"/>
      <c r="AS424" s="22"/>
      <c r="AT424" s="22"/>
    </row>
    <row r="425" spans="20:46">
      <c r="T425" t="s">
        <v>2</v>
      </c>
      <c r="U425" t="s">
        <v>31</v>
      </c>
      <c r="V425" t="str">
        <f>VLOOKUP(Таблица15[[#This Row],[Модель]],Таблица14[#All],2,0)</f>
        <v>Внедорожник</v>
      </c>
      <c r="W425" s="20">
        <f>VLOOKUP(Таблица15[[#This Row],[Модель]],Таблица14[#All],3,0)</f>
        <v>23000</v>
      </c>
      <c r="X425" s="20">
        <f>VLOOKUP(Таблица15[[#This Row],[Модель]],Таблица14[#All],4,0)</f>
        <v>20000</v>
      </c>
      <c r="Y425" s="4">
        <f>VLOOKUP(Таблица15[[#This Row],[Модель]],Таблица14[#All],5,0)</f>
        <v>28000</v>
      </c>
      <c r="Z425" t="str">
        <f>VLOOKUP(Таблица15[[#This Row],[Модель]],Таблица14[#All],6,0)</f>
        <v>АКПП</v>
      </c>
      <c r="AA425" t="str">
        <f>VLOOKUP(Таблица15[[#This Row],[Модель]],Таблица14[#All],7,0)</f>
        <v>Бензин, Дизель, Гибрид</v>
      </c>
      <c r="AB425" t="str">
        <f>VLOOKUP(Таблица15[[#This Row],[Модель]],Таблица14[#All],8,0)</f>
        <v>Комфорт</v>
      </c>
      <c r="AC425" t="str">
        <f>VLOOKUP(Таблица15[[#This Row],[Модель]],Таблица14[#All],9,0)</f>
        <v>Средний</v>
      </c>
      <c r="AD425">
        <f>VLOOKUP(Таблица15[[#This Row],[Модель]],Таблица14[#All],10,0)</f>
        <v>190</v>
      </c>
      <c r="AE425">
        <f>VLOOKUP(Таблица15[[#This Row],[Модель]],Таблица14[#All],11,0)</f>
        <v>11.5</v>
      </c>
      <c r="AF425">
        <v>2020</v>
      </c>
      <c r="AG425">
        <v>1657</v>
      </c>
      <c r="AH425" s="22">
        <f>VLOOKUP(Таблица15[[#This Row],[Модель]],Таблица14[#All],12,0)/1000000</f>
        <v>21.844999999999999</v>
      </c>
      <c r="AI425" s="21">
        <f>VLOOKUP(Таблица15[[#This Row],[Модель]],Таблица14[#All],13,0)/1000000</f>
        <v>20.239999999999998</v>
      </c>
      <c r="AJ425" s="21">
        <f>VLOOKUP(Таблица15[[#This Row],[Модель]],Таблица14[#All],14,0)/1000000</f>
        <v>23.45</v>
      </c>
      <c r="AK425" s="21">
        <f>Таблица15[[#This Row],[Средняя цена (USD)]]*Таблица15[[#This Row],[Кол-во проданных]]/1000000</f>
        <v>38.110999999999997</v>
      </c>
      <c r="AL425" s="39">
        <f>Таблица15[[#This Row],[Средняя цена млн. ₸]]/440*Таблица15[[#This Row],[Кол-во проданных]]</f>
        <v>82.266284090909082</v>
      </c>
      <c r="AM425" s="39">
        <f>Таблица15[[#This Row],[Средняя цена млн. ₸]]*Таблица15[[#This Row],[Кол-во проданных]]/1000</f>
        <v>36.197164999999998</v>
      </c>
      <c r="AR425" s="22"/>
      <c r="AS425" s="22"/>
      <c r="AT425" s="22"/>
    </row>
    <row r="426" spans="20:46">
      <c r="T426" t="s">
        <v>2</v>
      </c>
      <c r="U426" t="s">
        <v>31</v>
      </c>
      <c r="V426" t="str">
        <f>VLOOKUP(Таблица15[[#This Row],[Модель]],Таблица14[#All],2,0)</f>
        <v>Внедорожник</v>
      </c>
      <c r="W426" s="20">
        <f>VLOOKUP(Таблица15[[#This Row],[Модель]],Таблица14[#All],3,0)</f>
        <v>23000</v>
      </c>
      <c r="X426" s="20">
        <f>VLOOKUP(Таблица15[[#This Row],[Модель]],Таблица14[#All],4,0)</f>
        <v>20000</v>
      </c>
      <c r="Y426" s="4">
        <f>VLOOKUP(Таблица15[[#This Row],[Модель]],Таблица14[#All],5,0)</f>
        <v>28000</v>
      </c>
      <c r="Z426" t="str">
        <f>VLOOKUP(Таблица15[[#This Row],[Модель]],Таблица14[#All],6,0)</f>
        <v>АКПП</v>
      </c>
      <c r="AA426" t="str">
        <f>VLOOKUP(Таблица15[[#This Row],[Модель]],Таблица14[#All],7,0)</f>
        <v>Бензин, Дизель, Гибрид</v>
      </c>
      <c r="AB426" t="str">
        <f>VLOOKUP(Таблица15[[#This Row],[Модель]],Таблица14[#All],8,0)</f>
        <v>Комфорт</v>
      </c>
      <c r="AC426" t="str">
        <f>VLOOKUP(Таблица15[[#This Row],[Модель]],Таблица14[#All],9,0)</f>
        <v>Средний</v>
      </c>
      <c r="AD426">
        <f>VLOOKUP(Таблица15[[#This Row],[Модель]],Таблица14[#All],10,0)</f>
        <v>190</v>
      </c>
      <c r="AE426">
        <f>VLOOKUP(Таблица15[[#This Row],[Модель]],Таблица14[#All],11,0)</f>
        <v>11.5</v>
      </c>
      <c r="AF426">
        <v>2019</v>
      </c>
      <c r="AG426">
        <v>1658</v>
      </c>
      <c r="AH426" s="22">
        <f>VLOOKUP(Таблица15[[#This Row],[Модель]],Таблица14[#All],12,0)/1000000</f>
        <v>21.844999999999999</v>
      </c>
      <c r="AI426" s="21">
        <f>VLOOKUP(Таблица15[[#This Row],[Модель]],Таблица14[#All],13,0)/1000000</f>
        <v>20.239999999999998</v>
      </c>
      <c r="AJ426" s="21">
        <f>VLOOKUP(Таблица15[[#This Row],[Модель]],Таблица14[#All],14,0)/1000000</f>
        <v>23.45</v>
      </c>
      <c r="AK426" s="21">
        <f>Таблица15[[#This Row],[Средняя цена (USD)]]*Таблица15[[#This Row],[Кол-во проданных]]/1000000</f>
        <v>38.134</v>
      </c>
      <c r="AL426" s="39">
        <f>Таблица15[[#This Row],[Средняя цена млн. ₸]]/440*Таблица15[[#This Row],[Кол-во проданных]]</f>
        <v>82.315931818181809</v>
      </c>
      <c r="AM426" s="39">
        <f>Таблица15[[#This Row],[Средняя цена млн. ₸]]*Таблица15[[#This Row],[Кол-во проданных]]/1000</f>
        <v>36.219009999999997</v>
      </c>
      <c r="AR426" s="22"/>
      <c r="AS426" s="22"/>
      <c r="AT426" s="22"/>
    </row>
    <row r="427" spans="20:46">
      <c r="T427" t="s">
        <v>21</v>
      </c>
      <c r="U427" t="s">
        <v>33</v>
      </c>
      <c r="V427" t="str">
        <f>VLOOKUP(Таблица15[[#This Row],[Модель]],Таблица14[#All],2,0)</f>
        <v>Хэтчбэк</v>
      </c>
      <c r="W427" s="20">
        <f>VLOOKUP(Таблица15[[#This Row],[Модель]],Таблица14[#All],3,0)</f>
        <v>14000</v>
      </c>
      <c r="X427" s="20">
        <f>VLOOKUP(Таблица15[[#This Row],[Модель]],Таблица14[#All],4,0)</f>
        <v>12000</v>
      </c>
      <c r="Y427" s="4">
        <f>VLOOKUP(Таблица15[[#This Row],[Модель]],Таблица14[#All],5,0)</f>
        <v>16000</v>
      </c>
      <c r="Z427" t="str">
        <f>VLOOKUP(Таблица15[[#This Row],[Модель]],Таблица14[#All],6,0)</f>
        <v>МКПП, АКПП</v>
      </c>
      <c r="AA427" t="str">
        <f>VLOOKUP(Таблица15[[#This Row],[Модель]],Таблица14[#All],7,0)</f>
        <v>Бензин</v>
      </c>
      <c r="AB427" t="str">
        <f>VLOOKUP(Таблица15[[#This Row],[Модель]],Таблица14[#All],8,0)</f>
        <v>Эконом</v>
      </c>
      <c r="AC427" t="str">
        <f>VLOOKUP(Таблица15[[#This Row],[Модель]],Таблица14[#All],9,0)</f>
        <v>Маленький</v>
      </c>
      <c r="AD427">
        <f>VLOOKUP(Таблица15[[#This Row],[Модель]],Таблица14[#All],10,0)</f>
        <v>115</v>
      </c>
      <c r="AE427">
        <f>VLOOKUP(Таблица15[[#This Row],[Модель]],Таблица14[#All],11,0)</f>
        <v>15.5</v>
      </c>
      <c r="AF427">
        <v>2023</v>
      </c>
      <c r="AG427">
        <v>0</v>
      </c>
      <c r="AH427" s="22">
        <f>VLOOKUP(Таблица15[[#This Row],[Модель]],Таблица14[#All],12,0)/1000000</f>
        <v>7.9074999999999998</v>
      </c>
      <c r="AI427" s="21">
        <f>VLOOKUP(Таблица15[[#This Row],[Модель]],Таблица14[#All],13,0)/1000000</f>
        <v>7.4459999999999997</v>
      </c>
      <c r="AJ427" s="21">
        <f>VLOOKUP(Таблица15[[#This Row],[Модель]],Таблица14[#All],14,0)/1000000</f>
        <v>8.3689999999999998</v>
      </c>
      <c r="AK427" s="21">
        <f>Таблица15[[#This Row],[Средняя цена (USD)]]*Таблица15[[#This Row],[Кол-во проданных]]/1000000</f>
        <v>0</v>
      </c>
      <c r="AL427" s="39">
        <f>Таблица15[[#This Row],[Средняя цена млн. ₸]]/440*Таблица15[[#This Row],[Кол-во проданных]]</f>
        <v>0</v>
      </c>
      <c r="AM427" s="39">
        <f>Таблица15[[#This Row],[Средняя цена млн. ₸]]*Таблица15[[#This Row],[Кол-во проданных]]/1000</f>
        <v>0</v>
      </c>
      <c r="AR427" s="22"/>
      <c r="AS427" s="22"/>
      <c r="AT427" s="22"/>
    </row>
    <row r="428" spans="20:46">
      <c r="T428" t="s">
        <v>21</v>
      </c>
      <c r="U428" t="s">
        <v>33</v>
      </c>
      <c r="V428" t="str">
        <f>VLOOKUP(Таблица15[[#This Row],[Модель]],Таблица14[#All],2,0)</f>
        <v>Хэтчбэк</v>
      </c>
      <c r="W428" s="20">
        <f>VLOOKUP(Таблица15[[#This Row],[Модель]],Таблица14[#All],3,0)</f>
        <v>14000</v>
      </c>
      <c r="X428" s="20">
        <f>VLOOKUP(Таблица15[[#This Row],[Модель]],Таблица14[#All],4,0)</f>
        <v>12000</v>
      </c>
      <c r="Y428" s="4">
        <f>VLOOKUP(Таблица15[[#This Row],[Модель]],Таблица14[#All],5,0)</f>
        <v>16000</v>
      </c>
      <c r="Z428" t="str">
        <f>VLOOKUP(Таблица15[[#This Row],[Модель]],Таблица14[#All],6,0)</f>
        <v>МКПП, АКПП</v>
      </c>
      <c r="AA428" t="str">
        <f>VLOOKUP(Таблица15[[#This Row],[Модель]],Таблица14[#All],7,0)</f>
        <v>Бензин</v>
      </c>
      <c r="AB428" t="str">
        <f>VLOOKUP(Таблица15[[#This Row],[Модель]],Таблица14[#All],8,0)</f>
        <v>Эконом</v>
      </c>
      <c r="AC428" t="str">
        <f>VLOOKUP(Таблица15[[#This Row],[Модель]],Таблица14[#All],9,0)</f>
        <v>Маленький</v>
      </c>
      <c r="AD428">
        <f>VLOOKUP(Таблица15[[#This Row],[Модель]],Таблица14[#All],10,0)</f>
        <v>115</v>
      </c>
      <c r="AE428">
        <f>VLOOKUP(Таблица15[[#This Row],[Модель]],Таблица14[#All],11,0)</f>
        <v>15.5</v>
      </c>
      <c r="AF428">
        <v>2022</v>
      </c>
      <c r="AG428">
        <v>820</v>
      </c>
      <c r="AH428" s="22">
        <f>VLOOKUP(Таблица15[[#This Row],[Модель]],Таблица14[#All],12,0)/1000000</f>
        <v>7.9074999999999998</v>
      </c>
      <c r="AI428" s="21">
        <f>VLOOKUP(Таблица15[[#This Row],[Модель]],Таблица14[#All],13,0)/1000000</f>
        <v>7.4459999999999997</v>
      </c>
      <c r="AJ428" s="21">
        <f>VLOOKUP(Таблица15[[#This Row],[Модель]],Таблица14[#All],14,0)/1000000</f>
        <v>8.3689999999999998</v>
      </c>
      <c r="AK428" s="21">
        <f>Таблица15[[#This Row],[Средняя цена (USD)]]*Таблица15[[#This Row],[Кол-во проданных]]/1000000</f>
        <v>11.48</v>
      </c>
      <c r="AL428" s="39">
        <f>Таблица15[[#This Row],[Средняя цена млн. ₸]]/440*Таблица15[[#This Row],[Кол-во проданных]]</f>
        <v>14.736704545454545</v>
      </c>
      <c r="AM428" s="39">
        <f>Таблица15[[#This Row],[Средняя цена млн. ₸]]*Таблица15[[#This Row],[Кол-во проданных]]/1000</f>
        <v>6.4841499999999996</v>
      </c>
      <c r="AR428" s="22"/>
      <c r="AS428" s="22"/>
      <c r="AT428" s="22"/>
    </row>
    <row r="429" spans="20:46">
      <c r="T429" t="s">
        <v>21</v>
      </c>
      <c r="U429" t="s">
        <v>33</v>
      </c>
      <c r="V429" t="str">
        <f>VLOOKUP(Таблица15[[#This Row],[Модель]],Таблица14[#All],2,0)</f>
        <v>Хэтчбэк</v>
      </c>
      <c r="W429" s="20">
        <f>VLOOKUP(Таблица15[[#This Row],[Модель]],Таблица14[#All],3,0)</f>
        <v>14000</v>
      </c>
      <c r="X429" s="20">
        <f>VLOOKUP(Таблица15[[#This Row],[Модель]],Таблица14[#All],4,0)</f>
        <v>12000</v>
      </c>
      <c r="Y429" s="4">
        <f>VLOOKUP(Таблица15[[#This Row],[Модель]],Таблица14[#All],5,0)</f>
        <v>16000</v>
      </c>
      <c r="Z429" t="str">
        <f>VLOOKUP(Таблица15[[#This Row],[Модель]],Таблица14[#All],6,0)</f>
        <v>МКПП, АКПП</v>
      </c>
      <c r="AA429" t="str">
        <f>VLOOKUP(Таблица15[[#This Row],[Модель]],Таблица14[#All],7,0)</f>
        <v>Бензин</v>
      </c>
      <c r="AB429" t="str">
        <f>VLOOKUP(Таблица15[[#This Row],[Модель]],Таблица14[#All],8,0)</f>
        <v>Эконом</v>
      </c>
      <c r="AC429" t="str">
        <f>VLOOKUP(Таблица15[[#This Row],[Модель]],Таблица14[#All],9,0)</f>
        <v>Маленький</v>
      </c>
      <c r="AD429">
        <f>VLOOKUP(Таблица15[[#This Row],[Модель]],Таблица14[#All],10,0)</f>
        <v>115</v>
      </c>
      <c r="AE429">
        <f>VLOOKUP(Таблица15[[#This Row],[Модель]],Таблица14[#All],11,0)</f>
        <v>15.5</v>
      </c>
      <c r="AF429">
        <v>2021</v>
      </c>
      <c r="AG429">
        <v>2674</v>
      </c>
      <c r="AH429" s="22">
        <f>VLOOKUP(Таблица15[[#This Row],[Модель]],Таблица14[#All],12,0)/1000000</f>
        <v>7.9074999999999998</v>
      </c>
      <c r="AI429" s="21">
        <f>VLOOKUP(Таблица15[[#This Row],[Модель]],Таблица14[#All],13,0)/1000000</f>
        <v>7.4459999999999997</v>
      </c>
      <c r="AJ429" s="21">
        <f>VLOOKUP(Таблица15[[#This Row],[Модель]],Таблица14[#All],14,0)/1000000</f>
        <v>8.3689999999999998</v>
      </c>
      <c r="AK429" s="21">
        <f>Таблица15[[#This Row],[Средняя цена (USD)]]*Таблица15[[#This Row],[Кол-во проданных]]/1000000</f>
        <v>37.436</v>
      </c>
      <c r="AL429" s="39">
        <f>Таблица15[[#This Row],[Средняя цена млн. ₸]]/440*Таблица15[[#This Row],[Кол-во проданных]]</f>
        <v>48.056034090909094</v>
      </c>
      <c r="AM429" s="39">
        <f>Таблица15[[#This Row],[Средняя цена млн. ₸]]*Таблица15[[#This Row],[Кол-во проданных]]/1000</f>
        <v>21.144655</v>
      </c>
      <c r="AR429" s="22"/>
      <c r="AS429" s="22"/>
      <c r="AT429" s="22"/>
    </row>
    <row r="430" spans="20:46">
      <c r="T430" t="s">
        <v>21</v>
      </c>
      <c r="U430" t="s">
        <v>33</v>
      </c>
      <c r="V430" t="str">
        <f>VLOOKUP(Таблица15[[#This Row],[Модель]],Таблица14[#All],2,0)</f>
        <v>Хэтчбэк</v>
      </c>
      <c r="W430" s="20">
        <f>VLOOKUP(Таблица15[[#This Row],[Модель]],Таблица14[#All],3,0)</f>
        <v>14000</v>
      </c>
      <c r="X430" s="20">
        <f>VLOOKUP(Таблица15[[#This Row],[Модель]],Таблица14[#All],4,0)</f>
        <v>12000</v>
      </c>
      <c r="Y430" s="4">
        <f>VLOOKUP(Таблица15[[#This Row],[Модель]],Таблица14[#All],5,0)</f>
        <v>16000</v>
      </c>
      <c r="Z430" t="str">
        <f>VLOOKUP(Таблица15[[#This Row],[Модель]],Таблица14[#All],6,0)</f>
        <v>МКПП, АКПП</v>
      </c>
      <c r="AA430" t="str">
        <f>VLOOKUP(Таблица15[[#This Row],[Модель]],Таблица14[#All],7,0)</f>
        <v>Бензин</v>
      </c>
      <c r="AB430" t="str">
        <f>VLOOKUP(Таблица15[[#This Row],[Модель]],Таблица14[#All],8,0)</f>
        <v>Эконом</v>
      </c>
      <c r="AC430" t="str">
        <f>VLOOKUP(Таблица15[[#This Row],[Модель]],Таблица14[#All],9,0)</f>
        <v>Маленький</v>
      </c>
      <c r="AD430">
        <f>VLOOKUP(Таблица15[[#This Row],[Модель]],Таблица14[#All],10,0)</f>
        <v>115</v>
      </c>
      <c r="AE430">
        <f>VLOOKUP(Таблица15[[#This Row],[Модель]],Таблица14[#All],11,0)</f>
        <v>15.5</v>
      </c>
      <c r="AF430">
        <v>2020</v>
      </c>
      <c r="AG430">
        <v>1917</v>
      </c>
      <c r="AH430" s="22">
        <f>VLOOKUP(Таблица15[[#This Row],[Модель]],Таблица14[#All],12,0)/1000000</f>
        <v>7.9074999999999998</v>
      </c>
      <c r="AI430" s="21">
        <f>VLOOKUP(Таблица15[[#This Row],[Модель]],Таблица14[#All],13,0)/1000000</f>
        <v>7.4459999999999997</v>
      </c>
      <c r="AJ430" s="21">
        <f>VLOOKUP(Таблица15[[#This Row],[Модель]],Таблица14[#All],14,0)/1000000</f>
        <v>8.3689999999999998</v>
      </c>
      <c r="AK430" s="21">
        <f>Таблица15[[#This Row],[Средняя цена (USD)]]*Таблица15[[#This Row],[Кол-во проданных]]/1000000</f>
        <v>26.838000000000001</v>
      </c>
      <c r="AL430" s="39">
        <f>Таблица15[[#This Row],[Средняя цена млн. ₸]]/440*Таблица15[[#This Row],[Кол-во проданных]]</f>
        <v>34.451539772727273</v>
      </c>
      <c r="AM430" s="39">
        <f>Таблица15[[#This Row],[Средняя цена млн. ₸]]*Таблица15[[#This Row],[Кол-во проданных]]/1000</f>
        <v>15.1586775</v>
      </c>
      <c r="AR430" s="22"/>
      <c r="AS430" s="22"/>
      <c r="AT430" s="22"/>
    </row>
    <row r="431" spans="20:46">
      <c r="T431" t="s">
        <v>21</v>
      </c>
      <c r="U431" t="s">
        <v>33</v>
      </c>
      <c r="V431" t="str">
        <f>VLOOKUP(Таблица15[[#This Row],[Модель]],Таблица14[#All],2,0)</f>
        <v>Хэтчбэк</v>
      </c>
      <c r="W431" s="20">
        <f>VLOOKUP(Таблица15[[#This Row],[Модель]],Таблица14[#All],3,0)</f>
        <v>14000</v>
      </c>
      <c r="X431" s="20">
        <f>VLOOKUP(Таблица15[[#This Row],[Модель]],Таблица14[#All],4,0)</f>
        <v>12000</v>
      </c>
      <c r="Y431" s="4">
        <f>VLOOKUP(Таблица15[[#This Row],[Модель]],Таблица14[#All],5,0)</f>
        <v>16000</v>
      </c>
      <c r="Z431" t="str">
        <f>VLOOKUP(Таблица15[[#This Row],[Модель]],Таблица14[#All],6,0)</f>
        <v>МКПП, АКПП</v>
      </c>
      <c r="AA431" t="str">
        <f>VLOOKUP(Таблица15[[#This Row],[Модель]],Таблица14[#All],7,0)</f>
        <v>Бензин</v>
      </c>
      <c r="AB431" t="str">
        <f>VLOOKUP(Таблица15[[#This Row],[Модель]],Таблица14[#All],8,0)</f>
        <v>Эконом</v>
      </c>
      <c r="AC431" t="str">
        <f>VLOOKUP(Таблица15[[#This Row],[Модель]],Таблица14[#All],9,0)</f>
        <v>Маленький</v>
      </c>
      <c r="AD431">
        <f>VLOOKUP(Таблица15[[#This Row],[Модель]],Таблица14[#All],10,0)</f>
        <v>115</v>
      </c>
      <c r="AE431">
        <f>VLOOKUP(Таблица15[[#This Row],[Модель]],Таблица14[#All],11,0)</f>
        <v>15.5</v>
      </c>
      <c r="AF431">
        <v>2019</v>
      </c>
      <c r="AG431">
        <v>1285</v>
      </c>
      <c r="AH431" s="22">
        <f>VLOOKUP(Таблица15[[#This Row],[Модель]],Таблица14[#All],12,0)/1000000</f>
        <v>7.9074999999999998</v>
      </c>
      <c r="AI431" s="21">
        <f>VLOOKUP(Таблица15[[#This Row],[Модель]],Таблица14[#All],13,0)/1000000</f>
        <v>7.4459999999999997</v>
      </c>
      <c r="AJ431" s="21">
        <f>VLOOKUP(Таблица15[[#This Row],[Модель]],Таблица14[#All],14,0)/1000000</f>
        <v>8.3689999999999998</v>
      </c>
      <c r="AK431" s="21">
        <f>Таблица15[[#This Row],[Средняя цена (USD)]]*Таблица15[[#This Row],[Кол-во проданных]]/1000000</f>
        <v>17.989999999999998</v>
      </c>
      <c r="AL431" s="39">
        <f>Таблица15[[#This Row],[Средняя цена млн. ₸]]/440*Таблица15[[#This Row],[Кол-во проданных]]</f>
        <v>23.093494318181818</v>
      </c>
      <c r="AM431" s="39">
        <f>Таблица15[[#This Row],[Средняя цена млн. ₸]]*Таблица15[[#This Row],[Кол-во проданных]]/1000</f>
        <v>10.161137499999999</v>
      </c>
      <c r="AR431" s="22"/>
      <c r="AS431" s="22"/>
      <c r="AT431" s="22"/>
    </row>
    <row r="432" spans="20:46">
      <c r="T432" t="s">
        <v>21</v>
      </c>
      <c r="U432" t="s">
        <v>105</v>
      </c>
      <c r="V432" t="str">
        <f>VLOOKUP(Таблица15[[#This Row],[Модель]],Таблица14[#All],2,0)</f>
        <v>Внедорожник</v>
      </c>
      <c r="W432" s="20">
        <f>VLOOKUP(Таблица15[[#This Row],[Модель]],Таблица14[#All],3,0)</f>
        <v>25000</v>
      </c>
      <c r="X432" s="20">
        <f>VLOOKUP(Таблица15[[#This Row],[Модель]],Таблица14[#All],4,0)</f>
        <v>22000</v>
      </c>
      <c r="Y432" s="4">
        <f>VLOOKUP(Таблица15[[#This Row],[Модель]],Таблица14[#All],5,0)</f>
        <v>30000</v>
      </c>
      <c r="Z432" t="str">
        <f>VLOOKUP(Таблица15[[#This Row],[Модель]],Таблица14[#All],6,0)</f>
        <v>АКПП</v>
      </c>
      <c r="AA432" t="str">
        <f>VLOOKUP(Таблица15[[#This Row],[Модель]],Таблица14[#All],7,0)</f>
        <v>Бензин, Дизель, Гибрид</v>
      </c>
      <c r="AB432" t="str">
        <f>VLOOKUP(Таблица15[[#This Row],[Модель]],Таблица14[#All],8,0)</f>
        <v>Комфорт</v>
      </c>
      <c r="AC432" t="str">
        <f>VLOOKUP(Таблица15[[#This Row],[Модель]],Таблица14[#All],9,0)</f>
        <v>Средний</v>
      </c>
      <c r="AD432">
        <f>VLOOKUP(Таблица15[[#This Row],[Модель]],Таблица14[#All],10,0)</f>
        <v>187</v>
      </c>
      <c r="AE432">
        <f>VLOOKUP(Таблица15[[#This Row],[Модель]],Таблица14[#All],11,0)</f>
        <v>12</v>
      </c>
      <c r="AF432">
        <v>2023</v>
      </c>
      <c r="AG432">
        <v>0</v>
      </c>
      <c r="AH432" s="22">
        <f>VLOOKUP(Таблица15[[#This Row],[Модель]],Таблица14[#All],12,0)/1000000</f>
        <v>18.869</v>
      </c>
      <c r="AI432" s="21">
        <f>VLOOKUP(Таблица15[[#This Row],[Модель]],Таблица14[#All],13,0)/1000000</f>
        <v>17.657</v>
      </c>
      <c r="AJ432" s="21">
        <f>VLOOKUP(Таблица15[[#This Row],[Модель]],Таблица14[#All],14,0)/1000000</f>
        <v>20.081</v>
      </c>
      <c r="AK432" s="21">
        <f>Таблица15[[#This Row],[Средняя цена (USD)]]*Таблица15[[#This Row],[Кол-во проданных]]/1000000</f>
        <v>0</v>
      </c>
      <c r="AL432" s="39">
        <f>Таблица15[[#This Row],[Средняя цена млн. ₸]]/440*Таблица15[[#This Row],[Кол-во проданных]]</f>
        <v>0</v>
      </c>
      <c r="AM432" s="39">
        <f>Таблица15[[#This Row],[Средняя цена млн. ₸]]*Таблица15[[#This Row],[Кол-во проданных]]/1000</f>
        <v>0</v>
      </c>
      <c r="AR432" s="22"/>
      <c r="AS432" s="22"/>
      <c r="AT432" s="22"/>
    </row>
    <row r="433" spans="20:46">
      <c r="T433" t="s">
        <v>21</v>
      </c>
      <c r="U433" t="s">
        <v>105</v>
      </c>
      <c r="V433" t="str">
        <f>VLOOKUP(Таблица15[[#This Row],[Модель]],Таблица14[#All],2,0)</f>
        <v>Внедорожник</v>
      </c>
      <c r="W433" s="20">
        <f>VLOOKUP(Таблица15[[#This Row],[Модель]],Таблица14[#All],3,0)</f>
        <v>25000</v>
      </c>
      <c r="X433" s="20">
        <f>VLOOKUP(Таблица15[[#This Row],[Модель]],Таблица14[#All],4,0)</f>
        <v>22000</v>
      </c>
      <c r="Y433" s="4">
        <f>VLOOKUP(Таблица15[[#This Row],[Модель]],Таблица14[#All],5,0)</f>
        <v>30000</v>
      </c>
      <c r="Z433" t="str">
        <f>VLOOKUP(Таблица15[[#This Row],[Модель]],Таблица14[#All],6,0)</f>
        <v>АКПП</v>
      </c>
      <c r="AA433" t="str">
        <f>VLOOKUP(Таблица15[[#This Row],[Модель]],Таблица14[#All],7,0)</f>
        <v>Бензин, Дизель, Гибрид</v>
      </c>
      <c r="AB433" t="str">
        <f>VLOOKUP(Таблица15[[#This Row],[Модель]],Таблица14[#All],8,0)</f>
        <v>Комфорт</v>
      </c>
      <c r="AC433" t="str">
        <f>VLOOKUP(Таблица15[[#This Row],[Модель]],Таблица14[#All],9,0)</f>
        <v>Средний</v>
      </c>
      <c r="AD433">
        <f>VLOOKUP(Таблица15[[#This Row],[Модель]],Таблица14[#All],10,0)</f>
        <v>187</v>
      </c>
      <c r="AE433">
        <f>VLOOKUP(Таблица15[[#This Row],[Модель]],Таблица14[#All],11,0)</f>
        <v>12</v>
      </c>
      <c r="AF433">
        <v>2022</v>
      </c>
      <c r="AG433">
        <v>0</v>
      </c>
      <c r="AH433" s="22">
        <f>VLOOKUP(Таблица15[[#This Row],[Модель]],Таблица14[#All],12,0)/1000000</f>
        <v>18.869</v>
      </c>
      <c r="AI433" s="21">
        <f>VLOOKUP(Таблица15[[#This Row],[Модель]],Таблица14[#All],13,0)/1000000</f>
        <v>17.657</v>
      </c>
      <c r="AJ433" s="21">
        <f>VLOOKUP(Таблица15[[#This Row],[Модель]],Таблица14[#All],14,0)/1000000</f>
        <v>20.081</v>
      </c>
      <c r="AK433" s="21">
        <f>Таблица15[[#This Row],[Средняя цена (USD)]]*Таблица15[[#This Row],[Кол-во проданных]]/1000000</f>
        <v>0</v>
      </c>
      <c r="AL433" s="39">
        <f>Таблица15[[#This Row],[Средняя цена млн. ₸]]/440*Таблица15[[#This Row],[Кол-во проданных]]</f>
        <v>0</v>
      </c>
      <c r="AM433" s="39">
        <f>Таблица15[[#This Row],[Средняя цена млн. ₸]]*Таблица15[[#This Row],[Кол-во проданных]]/1000</f>
        <v>0</v>
      </c>
      <c r="AR433" s="22"/>
      <c r="AS433" s="22"/>
      <c r="AT433" s="22"/>
    </row>
    <row r="434" spans="20:46">
      <c r="T434" t="s">
        <v>21</v>
      </c>
      <c r="U434" t="s">
        <v>105</v>
      </c>
      <c r="V434" t="str">
        <f>VLOOKUP(Таблица15[[#This Row],[Модель]],Таблица14[#All],2,0)</f>
        <v>Внедорожник</v>
      </c>
      <c r="W434" s="20">
        <f>VLOOKUP(Таблица15[[#This Row],[Модель]],Таблица14[#All],3,0)</f>
        <v>25000</v>
      </c>
      <c r="X434" s="20">
        <f>VLOOKUP(Таблица15[[#This Row],[Модель]],Таблица14[#All],4,0)</f>
        <v>22000</v>
      </c>
      <c r="Y434" s="4">
        <f>VLOOKUP(Таблица15[[#This Row],[Модель]],Таблица14[#All],5,0)</f>
        <v>30000</v>
      </c>
      <c r="Z434" t="str">
        <f>VLOOKUP(Таблица15[[#This Row],[Модель]],Таблица14[#All],6,0)</f>
        <v>АКПП</v>
      </c>
      <c r="AA434" t="str">
        <f>VLOOKUP(Таблица15[[#This Row],[Модель]],Таблица14[#All],7,0)</f>
        <v>Бензин, Дизель, Гибрид</v>
      </c>
      <c r="AB434" t="str">
        <f>VLOOKUP(Таблица15[[#This Row],[Модель]],Таблица14[#All],8,0)</f>
        <v>Комфорт</v>
      </c>
      <c r="AC434" t="str">
        <f>VLOOKUP(Таблица15[[#This Row],[Модель]],Таблица14[#All],9,0)</f>
        <v>Средний</v>
      </c>
      <c r="AD434">
        <f>VLOOKUP(Таблица15[[#This Row],[Модель]],Таблица14[#All],10,0)</f>
        <v>187</v>
      </c>
      <c r="AE434">
        <f>VLOOKUP(Таблица15[[#This Row],[Модель]],Таблица14[#All],11,0)</f>
        <v>12</v>
      </c>
      <c r="AF434">
        <v>2021</v>
      </c>
      <c r="AG434">
        <v>1001</v>
      </c>
      <c r="AH434" s="22">
        <f>VLOOKUP(Таблица15[[#This Row],[Модель]],Таблица14[#All],12,0)/1000000</f>
        <v>18.869</v>
      </c>
      <c r="AI434" s="21">
        <f>VLOOKUP(Таблица15[[#This Row],[Модель]],Таблица14[#All],13,0)/1000000</f>
        <v>17.657</v>
      </c>
      <c r="AJ434" s="21">
        <f>VLOOKUP(Таблица15[[#This Row],[Модель]],Таблица14[#All],14,0)/1000000</f>
        <v>20.081</v>
      </c>
      <c r="AK434" s="21">
        <f>Таблица15[[#This Row],[Средняя цена (USD)]]*Таблица15[[#This Row],[Кол-во проданных]]/1000000</f>
        <v>25.024999999999999</v>
      </c>
      <c r="AL434" s="39">
        <f>Таблица15[[#This Row],[Средняя цена млн. ₸]]/440*Таблица15[[#This Row],[Кол-во проданных]]</f>
        <v>42.926974999999999</v>
      </c>
      <c r="AM434" s="39">
        <f>Таблица15[[#This Row],[Средняя цена млн. ₸]]*Таблица15[[#This Row],[Кол-во проданных]]/1000</f>
        <v>18.887868999999998</v>
      </c>
      <c r="AR434" s="22"/>
      <c r="AS434" s="22"/>
      <c r="AT434" s="22"/>
    </row>
    <row r="435" spans="20:46">
      <c r="T435" t="s">
        <v>21</v>
      </c>
      <c r="U435" t="s">
        <v>105</v>
      </c>
      <c r="V435" t="str">
        <f>VLOOKUP(Таблица15[[#This Row],[Модель]],Таблица14[#All],2,0)</f>
        <v>Внедорожник</v>
      </c>
      <c r="W435" s="20">
        <f>VLOOKUP(Таблица15[[#This Row],[Модель]],Таблица14[#All],3,0)</f>
        <v>25000</v>
      </c>
      <c r="X435" s="20">
        <f>VLOOKUP(Таблица15[[#This Row],[Модель]],Таблица14[#All],4,0)</f>
        <v>22000</v>
      </c>
      <c r="Y435" s="4">
        <f>VLOOKUP(Таблица15[[#This Row],[Модель]],Таблица14[#All],5,0)</f>
        <v>30000</v>
      </c>
      <c r="Z435" t="str">
        <f>VLOOKUP(Таблица15[[#This Row],[Модель]],Таблица14[#All],6,0)</f>
        <v>АКПП</v>
      </c>
      <c r="AA435" t="str">
        <f>VLOOKUP(Таблица15[[#This Row],[Модель]],Таблица14[#All],7,0)</f>
        <v>Бензин, Дизель, Гибрид</v>
      </c>
      <c r="AB435" t="str">
        <f>VLOOKUP(Таблица15[[#This Row],[Модель]],Таблица14[#All],8,0)</f>
        <v>Комфорт</v>
      </c>
      <c r="AC435" t="str">
        <f>VLOOKUP(Таблица15[[#This Row],[Модель]],Таблица14[#All],9,0)</f>
        <v>Средний</v>
      </c>
      <c r="AD435">
        <f>VLOOKUP(Таблица15[[#This Row],[Модель]],Таблица14[#All],10,0)</f>
        <v>187</v>
      </c>
      <c r="AE435">
        <f>VLOOKUP(Таблица15[[#This Row],[Модель]],Таблица14[#All],11,0)</f>
        <v>12</v>
      </c>
      <c r="AF435">
        <v>2020</v>
      </c>
      <c r="AG435">
        <v>386</v>
      </c>
      <c r="AH435" s="22">
        <f>VLOOKUP(Таблица15[[#This Row],[Модель]],Таблица14[#All],12,0)/1000000</f>
        <v>18.869</v>
      </c>
      <c r="AI435" s="21">
        <f>VLOOKUP(Таблица15[[#This Row],[Модель]],Таблица14[#All],13,0)/1000000</f>
        <v>17.657</v>
      </c>
      <c r="AJ435" s="21">
        <f>VLOOKUP(Таблица15[[#This Row],[Модель]],Таблица14[#All],14,0)/1000000</f>
        <v>20.081</v>
      </c>
      <c r="AK435" s="21">
        <f>Таблица15[[#This Row],[Средняя цена (USD)]]*Таблица15[[#This Row],[Кол-во проданных]]/1000000</f>
        <v>9.65</v>
      </c>
      <c r="AL435" s="39">
        <f>Таблица15[[#This Row],[Средняя цена млн. ₸]]/440*Таблица15[[#This Row],[Кол-во проданных]]</f>
        <v>16.553259090909091</v>
      </c>
      <c r="AM435" s="39">
        <f>Таблица15[[#This Row],[Средняя цена млн. ₸]]*Таблица15[[#This Row],[Кол-во проданных]]/1000</f>
        <v>7.2834340000000006</v>
      </c>
      <c r="AR435" s="22"/>
      <c r="AS435" s="22"/>
      <c r="AT435" s="22"/>
    </row>
    <row r="436" spans="20:46">
      <c r="T436" t="s">
        <v>21</v>
      </c>
      <c r="U436" t="s">
        <v>105</v>
      </c>
      <c r="V436" t="str">
        <f>VLOOKUP(Таблица15[[#This Row],[Модель]],Таблица14[#All],2,0)</f>
        <v>Внедорожник</v>
      </c>
      <c r="W436" s="20">
        <f>VLOOKUP(Таблица15[[#This Row],[Модель]],Таблица14[#All],3,0)</f>
        <v>25000</v>
      </c>
      <c r="X436" s="20">
        <f>VLOOKUP(Таблица15[[#This Row],[Модель]],Таблица14[#All],4,0)</f>
        <v>22000</v>
      </c>
      <c r="Y436" s="4">
        <f>VLOOKUP(Таблица15[[#This Row],[Модель]],Таблица14[#All],5,0)</f>
        <v>30000</v>
      </c>
      <c r="Z436" t="str">
        <f>VLOOKUP(Таблица15[[#This Row],[Модель]],Таблица14[#All],6,0)</f>
        <v>АКПП</v>
      </c>
      <c r="AA436" t="str">
        <f>VLOOKUP(Таблица15[[#This Row],[Модель]],Таблица14[#All],7,0)</f>
        <v>Бензин, Дизель, Гибрид</v>
      </c>
      <c r="AB436" t="str">
        <f>VLOOKUP(Таблица15[[#This Row],[Модель]],Таблица14[#All],8,0)</f>
        <v>Комфорт</v>
      </c>
      <c r="AC436" t="str">
        <f>VLOOKUP(Таблица15[[#This Row],[Модель]],Таблица14[#All],9,0)</f>
        <v>Средний</v>
      </c>
      <c r="AD436">
        <f>VLOOKUP(Таблица15[[#This Row],[Модель]],Таблица14[#All],10,0)</f>
        <v>187</v>
      </c>
      <c r="AE436">
        <f>VLOOKUP(Таблица15[[#This Row],[Модель]],Таблица14[#All],11,0)</f>
        <v>12</v>
      </c>
      <c r="AF436">
        <v>2019</v>
      </c>
      <c r="AG436">
        <v>259</v>
      </c>
      <c r="AH436" s="22">
        <f>VLOOKUP(Таблица15[[#This Row],[Модель]],Таблица14[#All],12,0)/1000000</f>
        <v>18.869</v>
      </c>
      <c r="AI436" s="21">
        <f>VLOOKUP(Таблица15[[#This Row],[Модель]],Таблица14[#All],13,0)/1000000</f>
        <v>17.657</v>
      </c>
      <c r="AJ436" s="21">
        <f>VLOOKUP(Таблица15[[#This Row],[Модель]],Таблица14[#All],14,0)/1000000</f>
        <v>20.081</v>
      </c>
      <c r="AK436" s="21">
        <f>Таблица15[[#This Row],[Средняя цена (USD)]]*Таблица15[[#This Row],[Кол-во проданных]]/1000000</f>
        <v>6.4749999999999996</v>
      </c>
      <c r="AL436" s="39">
        <f>Таблица15[[#This Row],[Средняя цена млн. ₸]]/440*Таблица15[[#This Row],[Кол-во проданных]]</f>
        <v>11.106979545454545</v>
      </c>
      <c r="AM436" s="39">
        <f>Таблица15[[#This Row],[Средняя цена млн. ₸]]*Таблица15[[#This Row],[Кол-во проданных]]/1000</f>
        <v>4.8870709999999997</v>
      </c>
      <c r="AR436" s="22"/>
      <c r="AS436" s="22"/>
      <c r="AT436" s="22"/>
    </row>
    <row r="437" spans="20:46">
      <c r="T437" t="s">
        <v>136</v>
      </c>
      <c r="U437" t="s">
        <v>95</v>
      </c>
      <c r="V437" t="str">
        <f>VLOOKUP(Таблица15[[#This Row],[Модель]],Таблица14[#All],2,0)</f>
        <v>Внедорожник</v>
      </c>
      <c r="W437" s="20">
        <f>VLOOKUP(Таблица15[[#This Row],[Модель]],Таблица14[#All],3,0)</f>
        <v>10000</v>
      </c>
      <c r="X437" s="20">
        <f>VLOOKUP(Таблица15[[#This Row],[Модель]],Таблица14[#All],4,0)</f>
        <v>8000</v>
      </c>
      <c r="Y437" s="4">
        <f>VLOOKUP(Таблица15[[#This Row],[Модель]],Таблица14[#All],5,0)</f>
        <v>12000</v>
      </c>
      <c r="Z437" t="str">
        <f>VLOOKUP(Таблица15[[#This Row],[Модель]],Таблица14[#All],6,0)</f>
        <v>МКПП</v>
      </c>
      <c r="AA437" t="str">
        <f>VLOOKUP(Таблица15[[#This Row],[Модель]],Таблица14[#All],7,0)</f>
        <v>Бензин</v>
      </c>
      <c r="AB437" t="str">
        <f>VLOOKUP(Таблица15[[#This Row],[Модель]],Таблица14[#All],8,0)</f>
        <v>Эконом</v>
      </c>
      <c r="AC437" t="str">
        <f>VLOOKUP(Таблица15[[#This Row],[Модель]],Таблица14[#All],9,0)</f>
        <v>Средний</v>
      </c>
      <c r="AD437">
        <f>VLOOKUP(Таблица15[[#This Row],[Модель]],Таблица14[#All],10,0)</f>
        <v>105</v>
      </c>
      <c r="AE437">
        <f>VLOOKUP(Таблица15[[#This Row],[Модель]],Таблица14[#All],11,0)</f>
        <v>16</v>
      </c>
      <c r="AF437">
        <v>2023</v>
      </c>
      <c r="AG437">
        <v>0</v>
      </c>
      <c r="AH437" s="22">
        <f>VLOOKUP(Таблица15[[#This Row],[Модель]],Таблица14[#All],12,0)/1000000</f>
        <v>12</v>
      </c>
      <c r="AI437" s="21">
        <f>VLOOKUP(Таблица15[[#This Row],[Модель]],Таблица14[#All],13,0)/1000000</f>
        <v>12</v>
      </c>
      <c r="AJ437" s="21">
        <f>VLOOKUP(Таблица15[[#This Row],[Модель]],Таблица14[#All],14,0)/1000000</f>
        <v>12</v>
      </c>
      <c r="AK437" s="21">
        <f>Таблица15[[#This Row],[Средняя цена (USD)]]*Таблица15[[#This Row],[Кол-во проданных]]/1000000</f>
        <v>0</v>
      </c>
      <c r="AL437" s="39">
        <f>Таблица15[[#This Row],[Средняя цена млн. ₸]]/440*Таблица15[[#This Row],[Кол-во проданных]]</f>
        <v>0</v>
      </c>
      <c r="AM437" s="39">
        <f>Таблица15[[#This Row],[Средняя цена млн. ₸]]*Таблица15[[#This Row],[Кол-во проданных]]/1000</f>
        <v>0</v>
      </c>
      <c r="AR437" s="22"/>
      <c r="AS437" s="22"/>
      <c r="AT437" s="22"/>
    </row>
    <row r="438" spans="20:46">
      <c r="T438" t="s">
        <v>136</v>
      </c>
      <c r="U438" t="s">
        <v>95</v>
      </c>
      <c r="V438" t="str">
        <f>VLOOKUP(Таблица15[[#This Row],[Модель]],Таблица14[#All],2,0)</f>
        <v>Внедорожник</v>
      </c>
      <c r="W438" s="20">
        <f>VLOOKUP(Таблица15[[#This Row],[Модель]],Таблица14[#All],3,0)</f>
        <v>10000</v>
      </c>
      <c r="X438" s="20">
        <f>VLOOKUP(Таблица15[[#This Row],[Модель]],Таблица14[#All],4,0)</f>
        <v>8000</v>
      </c>
      <c r="Y438" s="4">
        <f>VLOOKUP(Таблица15[[#This Row],[Модель]],Таблица14[#All],5,0)</f>
        <v>12000</v>
      </c>
      <c r="Z438" t="str">
        <f>VLOOKUP(Таблица15[[#This Row],[Модель]],Таблица14[#All],6,0)</f>
        <v>МКПП</v>
      </c>
      <c r="AA438" t="str">
        <f>VLOOKUP(Таблица15[[#This Row],[Модель]],Таблица14[#All],7,0)</f>
        <v>Бензин</v>
      </c>
      <c r="AB438" t="str">
        <f>VLOOKUP(Таблица15[[#This Row],[Модель]],Таблица14[#All],8,0)</f>
        <v>Эконом</v>
      </c>
      <c r="AC438" t="str">
        <f>VLOOKUP(Таблица15[[#This Row],[Модель]],Таблица14[#All],9,0)</f>
        <v>Средний</v>
      </c>
      <c r="AD438">
        <f>VLOOKUP(Таблица15[[#This Row],[Модель]],Таблица14[#All],10,0)</f>
        <v>105</v>
      </c>
      <c r="AE438">
        <f>VLOOKUP(Таблица15[[#This Row],[Модель]],Таблица14[#All],11,0)</f>
        <v>16</v>
      </c>
      <c r="AF438">
        <v>2022</v>
      </c>
      <c r="AG438">
        <v>544</v>
      </c>
      <c r="AH438" s="22">
        <f>VLOOKUP(Таблица15[[#This Row],[Модель]],Таблица14[#All],12,0)/1000000</f>
        <v>12</v>
      </c>
      <c r="AI438" s="21">
        <f>VLOOKUP(Таблица15[[#This Row],[Модель]],Таблица14[#All],13,0)/1000000</f>
        <v>12</v>
      </c>
      <c r="AJ438" s="21">
        <f>VLOOKUP(Таблица15[[#This Row],[Модель]],Таблица14[#All],14,0)/1000000</f>
        <v>12</v>
      </c>
      <c r="AK438" s="21">
        <f>Таблица15[[#This Row],[Средняя цена (USD)]]*Таблица15[[#This Row],[Кол-во проданных]]/1000000</f>
        <v>5.44</v>
      </c>
      <c r="AL438" s="39">
        <f>Таблица15[[#This Row],[Средняя цена млн. ₸]]/440*Таблица15[[#This Row],[Кол-во проданных]]</f>
        <v>14.836363636363636</v>
      </c>
      <c r="AM438" s="39">
        <f>Таблица15[[#This Row],[Средняя цена млн. ₸]]*Таблица15[[#This Row],[Кол-во проданных]]/1000</f>
        <v>6.5279999999999996</v>
      </c>
      <c r="AR438" s="22"/>
      <c r="AS438" s="22"/>
      <c r="AT438" s="22"/>
    </row>
    <row r="439" spans="20:46">
      <c r="T439" t="s">
        <v>136</v>
      </c>
      <c r="U439" t="s">
        <v>95</v>
      </c>
      <c r="V439" t="str">
        <f>VLOOKUP(Таблица15[[#This Row],[Модель]],Таблица14[#All],2,0)</f>
        <v>Внедорожник</v>
      </c>
      <c r="W439" s="20">
        <f>VLOOKUP(Таблица15[[#This Row],[Модель]],Таблица14[#All],3,0)</f>
        <v>10000</v>
      </c>
      <c r="X439" s="20">
        <f>VLOOKUP(Таблица15[[#This Row],[Модель]],Таблица14[#All],4,0)</f>
        <v>8000</v>
      </c>
      <c r="Y439" s="4">
        <f>VLOOKUP(Таблица15[[#This Row],[Модель]],Таблица14[#All],5,0)</f>
        <v>12000</v>
      </c>
      <c r="Z439" t="str">
        <f>VLOOKUP(Таблица15[[#This Row],[Модель]],Таблица14[#All],6,0)</f>
        <v>МКПП</v>
      </c>
      <c r="AA439" t="str">
        <f>VLOOKUP(Таблица15[[#This Row],[Модель]],Таблица14[#All],7,0)</f>
        <v>Бензин</v>
      </c>
      <c r="AB439" t="str">
        <f>VLOOKUP(Таблица15[[#This Row],[Модель]],Таблица14[#All],8,0)</f>
        <v>Эконом</v>
      </c>
      <c r="AC439" t="str">
        <f>VLOOKUP(Таблица15[[#This Row],[Модель]],Таблица14[#All],9,0)</f>
        <v>Средний</v>
      </c>
      <c r="AD439">
        <f>VLOOKUP(Таблица15[[#This Row],[Модель]],Таблица14[#All],10,0)</f>
        <v>105</v>
      </c>
      <c r="AE439">
        <f>VLOOKUP(Таблица15[[#This Row],[Модель]],Таблица14[#All],11,0)</f>
        <v>16</v>
      </c>
      <c r="AF439">
        <v>2021</v>
      </c>
      <c r="AG439">
        <v>1014</v>
      </c>
      <c r="AH439" s="22">
        <f>VLOOKUP(Таблица15[[#This Row],[Модель]],Таблица14[#All],12,0)/1000000</f>
        <v>12</v>
      </c>
      <c r="AI439" s="21">
        <f>VLOOKUP(Таблица15[[#This Row],[Модель]],Таблица14[#All],13,0)/1000000</f>
        <v>12</v>
      </c>
      <c r="AJ439" s="21">
        <f>VLOOKUP(Таблица15[[#This Row],[Модель]],Таблица14[#All],14,0)/1000000</f>
        <v>12</v>
      </c>
      <c r="AK439" s="21">
        <f>Таблица15[[#This Row],[Средняя цена (USD)]]*Таблица15[[#This Row],[Кол-во проданных]]/1000000</f>
        <v>10.14</v>
      </c>
      <c r="AL439" s="39">
        <f>Таблица15[[#This Row],[Средняя цена млн. ₸]]/440*Таблица15[[#This Row],[Кол-во проданных]]</f>
        <v>27.654545454545453</v>
      </c>
      <c r="AM439" s="39">
        <f>Таблица15[[#This Row],[Средняя цена млн. ₸]]*Таблица15[[#This Row],[Кол-во проданных]]/1000</f>
        <v>12.167999999999999</v>
      </c>
      <c r="AR439" s="22"/>
      <c r="AS439" s="22"/>
      <c r="AT439" s="22"/>
    </row>
    <row r="440" spans="20:46">
      <c r="T440" t="s">
        <v>136</v>
      </c>
      <c r="U440" t="s">
        <v>95</v>
      </c>
      <c r="V440" t="str">
        <f>VLOOKUP(Таблица15[[#This Row],[Модель]],Таблица14[#All],2,0)</f>
        <v>Внедорожник</v>
      </c>
      <c r="W440" s="20">
        <f>VLOOKUP(Таблица15[[#This Row],[Модель]],Таблица14[#All],3,0)</f>
        <v>10000</v>
      </c>
      <c r="X440" s="20">
        <f>VLOOKUP(Таблица15[[#This Row],[Модель]],Таблица14[#All],4,0)</f>
        <v>8000</v>
      </c>
      <c r="Y440" s="4">
        <f>VLOOKUP(Таблица15[[#This Row],[Модель]],Таблица14[#All],5,0)</f>
        <v>12000</v>
      </c>
      <c r="Z440" t="str">
        <f>VLOOKUP(Таблица15[[#This Row],[Модель]],Таблица14[#All],6,0)</f>
        <v>МКПП</v>
      </c>
      <c r="AA440" t="str">
        <f>VLOOKUP(Таблица15[[#This Row],[Модель]],Таблица14[#All],7,0)</f>
        <v>Бензин</v>
      </c>
      <c r="AB440" t="str">
        <f>VLOOKUP(Таблица15[[#This Row],[Модель]],Таблица14[#All],8,0)</f>
        <v>Эконом</v>
      </c>
      <c r="AC440" t="str">
        <f>VLOOKUP(Таблица15[[#This Row],[Модель]],Таблица14[#All],9,0)</f>
        <v>Средний</v>
      </c>
      <c r="AD440">
        <f>VLOOKUP(Таблица15[[#This Row],[Модель]],Таблица14[#All],10,0)</f>
        <v>105</v>
      </c>
      <c r="AE440">
        <f>VLOOKUP(Таблица15[[#This Row],[Модель]],Таблица14[#All],11,0)</f>
        <v>16</v>
      </c>
      <c r="AF440">
        <v>2020</v>
      </c>
      <c r="AG440">
        <v>1228</v>
      </c>
      <c r="AH440" s="22">
        <f>VLOOKUP(Таблица15[[#This Row],[Модель]],Таблица14[#All],12,0)/1000000</f>
        <v>12</v>
      </c>
      <c r="AI440" s="21">
        <f>VLOOKUP(Таблица15[[#This Row],[Модель]],Таблица14[#All],13,0)/1000000</f>
        <v>12</v>
      </c>
      <c r="AJ440" s="21">
        <f>VLOOKUP(Таблица15[[#This Row],[Модель]],Таблица14[#All],14,0)/1000000</f>
        <v>12</v>
      </c>
      <c r="AK440" s="21">
        <f>Таблица15[[#This Row],[Средняя цена (USD)]]*Таблица15[[#This Row],[Кол-во проданных]]/1000000</f>
        <v>12.28</v>
      </c>
      <c r="AL440" s="39">
        <f>Таблица15[[#This Row],[Средняя цена млн. ₸]]/440*Таблица15[[#This Row],[Кол-во проданных]]</f>
        <v>33.490909090909092</v>
      </c>
      <c r="AM440" s="39">
        <f>Таблица15[[#This Row],[Средняя цена млн. ₸]]*Таблица15[[#This Row],[Кол-во проданных]]/1000</f>
        <v>14.736000000000001</v>
      </c>
      <c r="AR440" s="22"/>
      <c r="AS440" s="22"/>
      <c r="AT440" s="22"/>
    </row>
    <row r="441" spans="20:46">
      <c r="T441" t="s">
        <v>136</v>
      </c>
      <c r="U441" t="s">
        <v>95</v>
      </c>
      <c r="V441" t="str">
        <f>VLOOKUP(Таблица15[[#This Row],[Модель]],Таблица14[#All],2,0)</f>
        <v>Внедорожник</v>
      </c>
      <c r="W441" s="20">
        <f>VLOOKUP(Таблица15[[#This Row],[Модель]],Таблица14[#All],3,0)</f>
        <v>10000</v>
      </c>
      <c r="X441" s="20">
        <f>VLOOKUP(Таблица15[[#This Row],[Модель]],Таблица14[#All],4,0)</f>
        <v>8000</v>
      </c>
      <c r="Y441" s="4">
        <f>VLOOKUP(Таблица15[[#This Row],[Модель]],Таблица14[#All],5,0)</f>
        <v>12000</v>
      </c>
      <c r="Z441" t="str">
        <f>VLOOKUP(Таблица15[[#This Row],[Модель]],Таблица14[#All],6,0)</f>
        <v>МКПП</v>
      </c>
      <c r="AA441" t="str">
        <f>VLOOKUP(Таблица15[[#This Row],[Модель]],Таблица14[#All],7,0)</f>
        <v>Бензин</v>
      </c>
      <c r="AB441" t="str">
        <f>VLOOKUP(Таблица15[[#This Row],[Модель]],Таблица14[#All],8,0)</f>
        <v>Эконом</v>
      </c>
      <c r="AC441" t="str">
        <f>VLOOKUP(Таблица15[[#This Row],[Модель]],Таблица14[#All],9,0)</f>
        <v>Средний</v>
      </c>
      <c r="AD441">
        <f>VLOOKUP(Таблица15[[#This Row],[Модель]],Таблица14[#All],10,0)</f>
        <v>105</v>
      </c>
      <c r="AE441">
        <f>VLOOKUP(Таблица15[[#This Row],[Модель]],Таблица14[#All],11,0)</f>
        <v>16</v>
      </c>
      <c r="AF441">
        <v>2019</v>
      </c>
      <c r="AG441">
        <v>1175</v>
      </c>
      <c r="AH441" s="22">
        <f>VLOOKUP(Таблица15[[#This Row],[Модель]],Таблица14[#All],12,0)/1000000</f>
        <v>12</v>
      </c>
      <c r="AI441" s="21">
        <f>VLOOKUP(Таблица15[[#This Row],[Модель]],Таблица14[#All],13,0)/1000000</f>
        <v>12</v>
      </c>
      <c r="AJ441" s="21">
        <f>VLOOKUP(Таблица15[[#This Row],[Модель]],Таблица14[#All],14,0)/1000000</f>
        <v>12</v>
      </c>
      <c r="AK441" s="21">
        <f>Таблица15[[#This Row],[Средняя цена (USD)]]*Таблица15[[#This Row],[Кол-во проданных]]/1000000</f>
        <v>11.75</v>
      </c>
      <c r="AL441" s="39">
        <f>Таблица15[[#This Row],[Средняя цена млн. ₸]]/440*Таблица15[[#This Row],[Кол-во проданных]]</f>
        <v>32.045454545454547</v>
      </c>
      <c r="AM441" s="39">
        <f>Таблица15[[#This Row],[Средняя цена млн. ₸]]*Таблица15[[#This Row],[Кол-во проданных]]/1000</f>
        <v>14.1</v>
      </c>
      <c r="AR441" s="22"/>
      <c r="AS441" s="22"/>
      <c r="AT441" s="22"/>
    </row>
    <row r="442" spans="20:46">
      <c r="T442" t="s">
        <v>136</v>
      </c>
      <c r="U442" t="s">
        <v>122</v>
      </c>
      <c r="V442" t="str">
        <f>VLOOKUP(Таблица15[[#This Row],[Модель]],Таблица14[#All],2,0)</f>
        <v>Внедорожник</v>
      </c>
      <c r="W442" s="20">
        <f>VLOOKUP(Таблица15[[#This Row],[Модель]],Таблица14[#All],3,0)</f>
        <v>12000</v>
      </c>
      <c r="X442" s="20">
        <f>VLOOKUP(Таблица15[[#This Row],[Модель]],Таблица14[#All],4,0)</f>
        <v>10000</v>
      </c>
      <c r="Y442" s="4">
        <f>VLOOKUP(Таблица15[[#This Row],[Модель]],Таблица14[#All],5,0)</f>
        <v>14000</v>
      </c>
      <c r="Z442" t="str">
        <f>VLOOKUP(Таблица15[[#This Row],[Модель]],Таблица14[#All],6,0)</f>
        <v>МКПП</v>
      </c>
      <c r="AA442" t="str">
        <f>VLOOKUP(Таблица15[[#This Row],[Модель]],Таблица14[#All],7,0)</f>
        <v>Бензин</v>
      </c>
      <c r="AB442" t="str">
        <f>VLOOKUP(Таблица15[[#This Row],[Модель]],Таблица14[#All],8,0)</f>
        <v>Эконом</v>
      </c>
      <c r="AC442" t="str">
        <f>VLOOKUP(Таблица15[[#This Row],[Модель]],Таблица14[#All],9,0)</f>
        <v>Средний</v>
      </c>
      <c r="AD442">
        <f>VLOOKUP(Таблица15[[#This Row],[Модель]],Таблица14[#All],10,0)</f>
        <v>120</v>
      </c>
      <c r="AE442">
        <f>VLOOKUP(Таблица15[[#This Row],[Модель]],Таблица14[#All],11,0)</f>
        <v>15</v>
      </c>
      <c r="AF442">
        <v>2023</v>
      </c>
      <c r="AG442">
        <v>0</v>
      </c>
      <c r="AH442" s="22">
        <f>VLOOKUP(Таблица15[[#This Row],[Модель]],Таблица14[#All],12,0)/1000000</f>
        <v>10</v>
      </c>
      <c r="AI442" s="21">
        <f>VLOOKUP(Таблица15[[#This Row],[Модель]],Таблица14[#All],13,0)/1000000</f>
        <v>10</v>
      </c>
      <c r="AJ442" s="21">
        <f>VLOOKUP(Таблица15[[#This Row],[Модель]],Таблица14[#All],14,0)/1000000</f>
        <v>10</v>
      </c>
      <c r="AK442" s="21">
        <f>Таблица15[[#This Row],[Средняя цена (USD)]]*Таблица15[[#This Row],[Кол-во проданных]]/1000000</f>
        <v>0</v>
      </c>
      <c r="AL442" s="39">
        <f>Таблица15[[#This Row],[Средняя цена млн. ₸]]/440*Таблица15[[#This Row],[Кол-во проданных]]</f>
        <v>0</v>
      </c>
      <c r="AM442" s="39">
        <f>Таблица15[[#This Row],[Средняя цена млн. ₸]]*Таблица15[[#This Row],[Кол-во проданных]]/1000</f>
        <v>0</v>
      </c>
      <c r="AR442" s="22"/>
      <c r="AS442" s="22"/>
      <c r="AT442" s="22"/>
    </row>
    <row r="443" spans="20:46">
      <c r="T443" t="s">
        <v>136</v>
      </c>
      <c r="U443" t="s">
        <v>122</v>
      </c>
      <c r="V443" t="str">
        <f>VLOOKUP(Таблица15[[#This Row],[Модель]],Таблица14[#All],2,0)</f>
        <v>Внедорожник</v>
      </c>
      <c r="W443" s="20">
        <f>VLOOKUP(Таблица15[[#This Row],[Модель]],Таблица14[#All],3,0)</f>
        <v>12000</v>
      </c>
      <c r="X443" s="20">
        <f>VLOOKUP(Таблица15[[#This Row],[Модель]],Таблица14[#All],4,0)</f>
        <v>10000</v>
      </c>
      <c r="Y443" s="4">
        <f>VLOOKUP(Таблица15[[#This Row],[Модель]],Таблица14[#All],5,0)</f>
        <v>14000</v>
      </c>
      <c r="Z443" t="str">
        <f>VLOOKUP(Таблица15[[#This Row],[Модель]],Таблица14[#All],6,0)</f>
        <v>МКПП</v>
      </c>
      <c r="AA443" t="str">
        <f>VLOOKUP(Таблица15[[#This Row],[Модель]],Таблица14[#All],7,0)</f>
        <v>Бензин</v>
      </c>
      <c r="AB443" t="str">
        <f>VLOOKUP(Таблица15[[#This Row],[Модель]],Таблица14[#All],8,0)</f>
        <v>Эконом</v>
      </c>
      <c r="AC443" t="str">
        <f>VLOOKUP(Таблица15[[#This Row],[Модель]],Таблица14[#All],9,0)</f>
        <v>Средний</v>
      </c>
      <c r="AD443">
        <f>VLOOKUP(Таблица15[[#This Row],[Модель]],Таблица14[#All],10,0)</f>
        <v>120</v>
      </c>
      <c r="AE443">
        <f>VLOOKUP(Таблица15[[#This Row],[Модель]],Таблица14[#All],11,0)</f>
        <v>15</v>
      </c>
      <c r="AF443">
        <v>2022</v>
      </c>
      <c r="AG443">
        <v>0</v>
      </c>
      <c r="AH443" s="22">
        <f>VLOOKUP(Таблица15[[#This Row],[Модель]],Таблица14[#All],12,0)/1000000</f>
        <v>10</v>
      </c>
      <c r="AI443" s="21">
        <f>VLOOKUP(Таблица15[[#This Row],[Модель]],Таблица14[#All],13,0)/1000000</f>
        <v>10</v>
      </c>
      <c r="AJ443" s="21">
        <f>VLOOKUP(Таблица15[[#This Row],[Модель]],Таблица14[#All],14,0)/1000000</f>
        <v>10</v>
      </c>
      <c r="AK443" s="21">
        <f>Таблица15[[#This Row],[Средняя цена (USD)]]*Таблица15[[#This Row],[Кол-во проданных]]/1000000</f>
        <v>0</v>
      </c>
      <c r="AL443" s="39">
        <f>Таблица15[[#This Row],[Средняя цена млн. ₸]]/440*Таблица15[[#This Row],[Кол-во проданных]]</f>
        <v>0</v>
      </c>
      <c r="AM443" s="39">
        <f>Таблица15[[#This Row],[Средняя цена млн. ₸]]*Таблица15[[#This Row],[Кол-во проданных]]/1000</f>
        <v>0</v>
      </c>
      <c r="AR443" s="22"/>
      <c r="AS443" s="22"/>
      <c r="AT443" s="22"/>
    </row>
    <row r="444" spans="20:46">
      <c r="T444" t="s">
        <v>136</v>
      </c>
      <c r="U444" t="s">
        <v>122</v>
      </c>
      <c r="V444" t="str">
        <f>VLOOKUP(Таблица15[[#This Row],[Модель]],Таблица14[#All],2,0)</f>
        <v>Внедорожник</v>
      </c>
      <c r="W444" s="20">
        <f>VLOOKUP(Таблица15[[#This Row],[Модель]],Таблица14[#All],3,0)</f>
        <v>12000</v>
      </c>
      <c r="X444" s="20">
        <f>VLOOKUP(Таблица15[[#This Row],[Модель]],Таблица14[#All],4,0)</f>
        <v>10000</v>
      </c>
      <c r="Y444" s="4">
        <f>VLOOKUP(Таблица15[[#This Row],[Модель]],Таблица14[#All],5,0)</f>
        <v>14000</v>
      </c>
      <c r="Z444" t="str">
        <f>VLOOKUP(Таблица15[[#This Row],[Модель]],Таблица14[#All],6,0)</f>
        <v>МКПП</v>
      </c>
      <c r="AA444" t="str">
        <f>VLOOKUP(Таблица15[[#This Row],[Модель]],Таблица14[#All],7,0)</f>
        <v>Бензин</v>
      </c>
      <c r="AB444" t="str">
        <f>VLOOKUP(Таблица15[[#This Row],[Модель]],Таблица14[#All],8,0)</f>
        <v>Эконом</v>
      </c>
      <c r="AC444" t="str">
        <f>VLOOKUP(Таблица15[[#This Row],[Модель]],Таблица14[#All],9,0)</f>
        <v>Средний</v>
      </c>
      <c r="AD444">
        <f>VLOOKUP(Таблица15[[#This Row],[Модель]],Таблица14[#All],10,0)</f>
        <v>120</v>
      </c>
      <c r="AE444">
        <f>VLOOKUP(Таблица15[[#This Row],[Модель]],Таблица14[#All],11,0)</f>
        <v>15</v>
      </c>
      <c r="AF444">
        <v>2021</v>
      </c>
      <c r="AG444">
        <v>0</v>
      </c>
      <c r="AH444" s="22">
        <f>VLOOKUP(Таблица15[[#This Row],[Модель]],Таблица14[#All],12,0)/1000000</f>
        <v>10</v>
      </c>
      <c r="AI444" s="21">
        <f>VLOOKUP(Таблица15[[#This Row],[Модель]],Таблица14[#All],13,0)/1000000</f>
        <v>10</v>
      </c>
      <c r="AJ444" s="21">
        <f>VLOOKUP(Таблица15[[#This Row],[Модель]],Таблица14[#All],14,0)/1000000</f>
        <v>10</v>
      </c>
      <c r="AK444" s="21">
        <f>Таблица15[[#This Row],[Средняя цена (USD)]]*Таблица15[[#This Row],[Кол-во проданных]]/1000000</f>
        <v>0</v>
      </c>
      <c r="AL444" s="39">
        <f>Таблица15[[#This Row],[Средняя цена млн. ₸]]/440*Таблица15[[#This Row],[Кол-во проданных]]</f>
        <v>0</v>
      </c>
      <c r="AM444" s="39">
        <f>Таблица15[[#This Row],[Средняя цена млн. ₸]]*Таблица15[[#This Row],[Кол-во проданных]]/1000</f>
        <v>0</v>
      </c>
      <c r="AR444" s="22"/>
      <c r="AS444" s="22"/>
      <c r="AT444" s="22"/>
    </row>
    <row r="445" spans="20:46">
      <c r="T445" t="s">
        <v>136</v>
      </c>
      <c r="U445" t="s">
        <v>122</v>
      </c>
      <c r="V445" t="str">
        <f>VLOOKUP(Таблица15[[#This Row],[Модель]],Таблица14[#All],2,0)</f>
        <v>Внедорожник</v>
      </c>
      <c r="W445" s="20">
        <f>VLOOKUP(Таблица15[[#This Row],[Модель]],Таблица14[#All],3,0)</f>
        <v>12000</v>
      </c>
      <c r="X445" s="20">
        <f>VLOOKUP(Таблица15[[#This Row],[Модель]],Таблица14[#All],4,0)</f>
        <v>10000</v>
      </c>
      <c r="Y445" s="4">
        <f>VLOOKUP(Таблица15[[#This Row],[Модель]],Таблица14[#All],5,0)</f>
        <v>14000</v>
      </c>
      <c r="Z445" t="str">
        <f>VLOOKUP(Таблица15[[#This Row],[Модель]],Таблица14[#All],6,0)</f>
        <v>МКПП</v>
      </c>
      <c r="AA445" t="str">
        <f>VLOOKUP(Таблица15[[#This Row],[Модель]],Таблица14[#All],7,0)</f>
        <v>Бензин</v>
      </c>
      <c r="AB445" t="str">
        <f>VLOOKUP(Таблица15[[#This Row],[Модель]],Таблица14[#All],8,0)</f>
        <v>Эконом</v>
      </c>
      <c r="AC445" t="str">
        <f>VLOOKUP(Таблица15[[#This Row],[Модель]],Таблица14[#All],9,0)</f>
        <v>Средний</v>
      </c>
      <c r="AD445">
        <f>VLOOKUP(Таблица15[[#This Row],[Модель]],Таблица14[#All],10,0)</f>
        <v>120</v>
      </c>
      <c r="AE445">
        <f>VLOOKUP(Таблица15[[#This Row],[Модель]],Таблица14[#All],11,0)</f>
        <v>15</v>
      </c>
      <c r="AF445">
        <v>2020</v>
      </c>
      <c r="AG445">
        <v>0</v>
      </c>
      <c r="AH445" s="22">
        <f>VLOOKUP(Таблица15[[#This Row],[Модель]],Таблица14[#All],12,0)/1000000</f>
        <v>10</v>
      </c>
      <c r="AI445" s="21">
        <f>VLOOKUP(Таблица15[[#This Row],[Модель]],Таблица14[#All],13,0)/1000000</f>
        <v>10</v>
      </c>
      <c r="AJ445" s="21">
        <f>VLOOKUP(Таблица15[[#This Row],[Модель]],Таблица14[#All],14,0)/1000000</f>
        <v>10</v>
      </c>
      <c r="AK445" s="21">
        <f>Таблица15[[#This Row],[Средняя цена (USD)]]*Таблица15[[#This Row],[Кол-во проданных]]/1000000</f>
        <v>0</v>
      </c>
      <c r="AL445" s="39">
        <f>Таблица15[[#This Row],[Средняя цена млн. ₸]]/440*Таблица15[[#This Row],[Кол-во проданных]]</f>
        <v>0</v>
      </c>
      <c r="AM445" s="39">
        <f>Таблица15[[#This Row],[Средняя цена млн. ₸]]*Таблица15[[#This Row],[Кол-во проданных]]/1000</f>
        <v>0</v>
      </c>
      <c r="AR445" s="22"/>
      <c r="AS445" s="22"/>
      <c r="AT445" s="22"/>
    </row>
    <row r="446" spans="20:46">
      <c r="T446" t="s">
        <v>136</v>
      </c>
      <c r="U446" t="s">
        <v>122</v>
      </c>
      <c r="V446" t="str">
        <f>VLOOKUP(Таблица15[[#This Row],[Модель]],Таблица14[#All],2,0)</f>
        <v>Внедорожник</v>
      </c>
      <c r="W446" s="20">
        <f>VLOOKUP(Таблица15[[#This Row],[Модель]],Таблица14[#All],3,0)</f>
        <v>12000</v>
      </c>
      <c r="X446" s="20">
        <f>VLOOKUP(Таблица15[[#This Row],[Модель]],Таблица14[#All],4,0)</f>
        <v>10000</v>
      </c>
      <c r="Y446" s="4">
        <f>VLOOKUP(Таблица15[[#This Row],[Модель]],Таблица14[#All],5,0)</f>
        <v>14000</v>
      </c>
      <c r="Z446" t="str">
        <f>VLOOKUP(Таблица15[[#This Row],[Модель]],Таблица14[#All],6,0)</f>
        <v>МКПП</v>
      </c>
      <c r="AA446" t="str">
        <f>VLOOKUP(Таблица15[[#This Row],[Модель]],Таблица14[#All],7,0)</f>
        <v>Бензин</v>
      </c>
      <c r="AB446" t="str">
        <f>VLOOKUP(Таблица15[[#This Row],[Модель]],Таблица14[#All],8,0)</f>
        <v>Эконом</v>
      </c>
      <c r="AC446" t="str">
        <f>VLOOKUP(Таблица15[[#This Row],[Модель]],Таблица14[#All],9,0)</f>
        <v>Средний</v>
      </c>
      <c r="AD446">
        <f>VLOOKUP(Таблица15[[#This Row],[Модель]],Таблица14[#All],10,0)</f>
        <v>120</v>
      </c>
      <c r="AE446">
        <f>VLOOKUP(Таблица15[[#This Row],[Модель]],Таблица14[#All],11,0)</f>
        <v>15</v>
      </c>
      <c r="AF446">
        <v>2019</v>
      </c>
      <c r="AG446">
        <v>217</v>
      </c>
      <c r="AH446" s="22">
        <f>VLOOKUP(Таблица15[[#This Row],[Модель]],Таблица14[#All],12,0)/1000000</f>
        <v>10</v>
      </c>
      <c r="AI446" s="21">
        <f>VLOOKUP(Таблица15[[#This Row],[Модель]],Таблица14[#All],13,0)/1000000</f>
        <v>10</v>
      </c>
      <c r="AJ446" s="21">
        <f>VLOOKUP(Таблица15[[#This Row],[Модель]],Таблица14[#All],14,0)/1000000</f>
        <v>10</v>
      </c>
      <c r="AK446" s="21">
        <f>Таблица15[[#This Row],[Средняя цена (USD)]]*Таблица15[[#This Row],[Кол-во проданных]]/1000000</f>
        <v>2.6040000000000001</v>
      </c>
      <c r="AL446" s="39">
        <f>Таблица15[[#This Row],[Средняя цена млн. ₸]]/440*Таблица15[[#This Row],[Кол-во проданных]]</f>
        <v>4.9318181818181817</v>
      </c>
      <c r="AM446" s="39">
        <f>Таблица15[[#This Row],[Средняя цена млн. ₸]]*Таблица15[[#This Row],[Кол-во проданных]]/1000</f>
        <v>2.17</v>
      </c>
      <c r="AR446" s="22"/>
      <c r="AS446" s="22"/>
      <c r="AT446" s="22"/>
    </row>
    <row r="447" spans="20:46">
      <c r="T447" t="s">
        <v>136</v>
      </c>
      <c r="U447" t="s">
        <v>112</v>
      </c>
      <c r="V447" t="str">
        <f>VLOOKUP(Таблица15[[#This Row],[Модель]],Таблица14[#All],2,0)</f>
        <v>Внедорожник</v>
      </c>
      <c r="W447" s="20">
        <f>VLOOKUP(Таблица15[[#This Row],[Модель]],Таблица14[#All],3,0)</f>
        <v>14000</v>
      </c>
      <c r="X447" s="20">
        <f>VLOOKUP(Таблица15[[#This Row],[Модель]],Таблица14[#All],4,0)</f>
        <v>12000</v>
      </c>
      <c r="Y447" s="4">
        <f>VLOOKUP(Таблица15[[#This Row],[Модель]],Таблица14[#All],5,0)</f>
        <v>16000</v>
      </c>
      <c r="Z447" t="str">
        <f>VLOOKUP(Таблица15[[#This Row],[Модель]],Таблица14[#All],6,0)</f>
        <v>МКПП</v>
      </c>
      <c r="AA447" t="str">
        <f>VLOOKUP(Таблица15[[#This Row],[Модель]],Таблица14[#All],7,0)</f>
        <v>Бензин</v>
      </c>
      <c r="AB447" t="str">
        <f>VLOOKUP(Таблица15[[#This Row],[Модель]],Таблица14[#All],8,0)</f>
        <v>Эконом</v>
      </c>
      <c r="AC447" t="str">
        <f>VLOOKUP(Таблица15[[#This Row],[Модель]],Таблица14[#All],9,0)</f>
        <v>Средний</v>
      </c>
      <c r="AD447">
        <f>VLOOKUP(Таблица15[[#This Row],[Модель]],Таблица14[#All],10,0)</f>
        <v>135</v>
      </c>
      <c r="AE447">
        <f>VLOOKUP(Таблица15[[#This Row],[Модель]],Таблица14[#All],11,0)</f>
        <v>14</v>
      </c>
      <c r="AF447">
        <v>2023</v>
      </c>
      <c r="AG447">
        <v>0</v>
      </c>
      <c r="AH447" s="22">
        <f>VLOOKUP(Таблица15[[#This Row],[Модель]],Таблица14[#All],12,0)/1000000</f>
        <v>9.77</v>
      </c>
      <c r="AI447" s="21">
        <f>VLOOKUP(Таблица15[[#This Row],[Модель]],Таблица14[#All],13,0)/1000000</f>
        <v>9.77</v>
      </c>
      <c r="AJ447" s="21">
        <f>VLOOKUP(Таблица15[[#This Row],[Модель]],Таблица14[#All],14,0)/1000000</f>
        <v>9.77</v>
      </c>
      <c r="AK447" s="21">
        <f>Таблица15[[#This Row],[Средняя цена (USD)]]*Таблица15[[#This Row],[Кол-во проданных]]/1000000</f>
        <v>0</v>
      </c>
      <c r="AL447" s="39">
        <f>Таблица15[[#This Row],[Средняя цена млн. ₸]]/440*Таблица15[[#This Row],[Кол-во проданных]]</f>
        <v>0</v>
      </c>
      <c r="AM447" s="39">
        <f>Таблица15[[#This Row],[Средняя цена млн. ₸]]*Таблица15[[#This Row],[Кол-во проданных]]/1000</f>
        <v>0</v>
      </c>
      <c r="AR447" s="22"/>
      <c r="AS447" s="22"/>
      <c r="AT447" s="22"/>
    </row>
    <row r="448" spans="20:46">
      <c r="T448" t="s">
        <v>136</v>
      </c>
      <c r="U448" t="s">
        <v>112</v>
      </c>
      <c r="V448" t="str">
        <f>VLOOKUP(Таблица15[[#This Row],[Модель]],Таблица14[#All],2,0)</f>
        <v>Внедорожник</v>
      </c>
      <c r="W448" s="20">
        <f>VLOOKUP(Таблица15[[#This Row],[Модель]],Таблица14[#All],3,0)</f>
        <v>14000</v>
      </c>
      <c r="X448" s="20">
        <f>VLOOKUP(Таблица15[[#This Row],[Модель]],Таблица14[#All],4,0)</f>
        <v>12000</v>
      </c>
      <c r="Y448" s="4">
        <f>VLOOKUP(Таблица15[[#This Row],[Модель]],Таблица14[#All],5,0)</f>
        <v>16000</v>
      </c>
      <c r="Z448" t="str">
        <f>VLOOKUP(Таблица15[[#This Row],[Модель]],Таблица14[#All],6,0)</f>
        <v>МКПП</v>
      </c>
      <c r="AA448" t="str">
        <f>VLOOKUP(Таблица15[[#This Row],[Модель]],Таблица14[#All],7,0)</f>
        <v>Бензин</v>
      </c>
      <c r="AB448" t="str">
        <f>VLOOKUP(Таблица15[[#This Row],[Модель]],Таблица14[#All],8,0)</f>
        <v>Эконом</v>
      </c>
      <c r="AC448" t="str">
        <f>VLOOKUP(Таблица15[[#This Row],[Модель]],Таблица14[#All],9,0)</f>
        <v>Средний</v>
      </c>
      <c r="AD448">
        <f>VLOOKUP(Таблица15[[#This Row],[Модель]],Таблица14[#All],10,0)</f>
        <v>135</v>
      </c>
      <c r="AE448">
        <f>VLOOKUP(Таблица15[[#This Row],[Модель]],Таблица14[#All],11,0)</f>
        <v>14</v>
      </c>
      <c r="AF448">
        <v>2022</v>
      </c>
      <c r="AG448">
        <v>0</v>
      </c>
      <c r="AH448" s="22">
        <f>VLOOKUP(Таблица15[[#This Row],[Модель]],Таблица14[#All],12,0)/1000000</f>
        <v>9.77</v>
      </c>
      <c r="AI448" s="21">
        <f>VLOOKUP(Таблица15[[#This Row],[Модель]],Таблица14[#All],13,0)/1000000</f>
        <v>9.77</v>
      </c>
      <c r="AJ448" s="21">
        <f>VLOOKUP(Таблица15[[#This Row],[Модель]],Таблица14[#All],14,0)/1000000</f>
        <v>9.77</v>
      </c>
      <c r="AK448" s="21">
        <f>Таблица15[[#This Row],[Средняя цена (USD)]]*Таблица15[[#This Row],[Кол-во проданных]]/1000000</f>
        <v>0</v>
      </c>
      <c r="AL448" s="39">
        <f>Таблица15[[#This Row],[Средняя цена млн. ₸]]/440*Таблица15[[#This Row],[Кол-во проданных]]</f>
        <v>0</v>
      </c>
      <c r="AM448" s="39">
        <f>Таблица15[[#This Row],[Средняя цена млн. ₸]]*Таблица15[[#This Row],[Кол-во проданных]]/1000</f>
        <v>0</v>
      </c>
      <c r="AR448" s="22"/>
      <c r="AS448" s="22"/>
      <c r="AT448" s="22"/>
    </row>
    <row r="449" spans="20:46">
      <c r="T449" t="s">
        <v>136</v>
      </c>
      <c r="U449" t="s">
        <v>112</v>
      </c>
      <c r="V449" t="str">
        <f>VLOOKUP(Таблица15[[#This Row],[Модель]],Таблица14[#All],2,0)</f>
        <v>Внедорожник</v>
      </c>
      <c r="W449" s="20">
        <f>VLOOKUP(Таблица15[[#This Row],[Модель]],Таблица14[#All],3,0)</f>
        <v>14000</v>
      </c>
      <c r="X449" s="20">
        <f>VLOOKUP(Таблица15[[#This Row],[Модель]],Таблица14[#All],4,0)</f>
        <v>12000</v>
      </c>
      <c r="Y449" s="4">
        <f>VLOOKUP(Таблица15[[#This Row],[Модель]],Таблица14[#All],5,0)</f>
        <v>16000</v>
      </c>
      <c r="Z449" t="str">
        <f>VLOOKUP(Таблица15[[#This Row],[Модель]],Таблица14[#All],6,0)</f>
        <v>МКПП</v>
      </c>
      <c r="AA449" t="str">
        <f>VLOOKUP(Таблица15[[#This Row],[Модель]],Таблица14[#All],7,0)</f>
        <v>Бензин</v>
      </c>
      <c r="AB449" t="str">
        <f>VLOOKUP(Таблица15[[#This Row],[Модель]],Таблица14[#All],8,0)</f>
        <v>Эконом</v>
      </c>
      <c r="AC449" t="str">
        <f>VLOOKUP(Таблица15[[#This Row],[Модель]],Таблица14[#All],9,0)</f>
        <v>Средний</v>
      </c>
      <c r="AD449">
        <f>VLOOKUP(Таблица15[[#This Row],[Модель]],Таблица14[#All],10,0)</f>
        <v>135</v>
      </c>
      <c r="AE449">
        <f>VLOOKUP(Таблица15[[#This Row],[Модель]],Таблица14[#All],11,0)</f>
        <v>14</v>
      </c>
      <c r="AF449">
        <v>2021</v>
      </c>
      <c r="AG449">
        <v>463</v>
      </c>
      <c r="AH449" s="22">
        <f>VLOOKUP(Таблица15[[#This Row],[Модель]],Таблица14[#All],12,0)/1000000</f>
        <v>9.77</v>
      </c>
      <c r="AI449" s="21">
        <f>VLOOKUP(Таблица15[[#This Row],[Модель]],Таблица14[#All],13,0)/1000000</f>
        <v>9.77</v>
      </c>
      <c r="AJ449" s="21">
        <f>VLOOKUP(Таблица15[[#This Row],[Модель]],Таблица14[#All],14,0)/1000000</f>
        <v>9.77</v>
      </c>
      <c r="AK449" s="21">
        <f>Таблица15[[#This Row],[Средняя цена (USD)]]*Таблица15[[#This Row],[Кол-во проданных]]/1000000</f>
        <v>6.4820000000000002</v>
      </c>
      <c r="AL449" s="39">
        <f>Таблица15[[#This Row],[Средняя цена млн. ₸]]/440*Таблица15[[#This Row],[Кол-во проданных]]</f>
        <v>10.280704545454544</v>
      </c>
      <c r="AM449" s="39">
        <f>Таблица15[[#This Row],[Средняя цена млн. ₸]]*Таблица15[[#This Row],[Кол-во проданных]]/1000</f>
        <v>4.5235099999999999</v>
      </c>
      <c r="AR449" s="22"/>
      <c r="AS449" s="22"/>
      <c r="AT449" s="22"/>
    </row>
    <row r="450" spans="20:46">
      <c r="T450" t="s">
        <v>136</v>
      </c>
      <c r="U450" t="s">
        <v>112</v>
      </c>
      <c r="V450" t="str">
        <f>VLOOKUP(Таблица15[[#This Row],[Модель]],Таблица14[#All],2,0)</f>
        <v>Внедорожник</v>
      </c>
      <c r="W450" s="20">
        <f>VLOOKUP(Таблица15[[#This Row],[Модель]],Таблица14[#All],3,0)</f>
        <v>14000</v>
      </c>
      <c r="X450" s="20">
        <f>VLOOKUP(Таблица15[[#This Row],[Модель]],Таблица14[#All],4,0)</f>
        <v>12000</v>
      </c>
      <c r="Y450" s="4">
        <f>VLOOKUP(Таблица15[[#This Row],[Модель]],Таблица14[#All],5,0)</f>
        <v>16000</v>
      </c>
      <c r="Z450" t="str">
        <f>VLOOKUP(Таблица15[[#This Row],[Модель]],Таблица14[#All],6,0)</f>
        <v>МКПП</v>
      </c>
      <c r="AA450" t="str">
        <f>VLOOKUP(Таблица15[[#This Row],[Модель]],Таблица14[#All],7,0)</f>
        <v>Бензин</v>
      </c>
      <c r="AB450" t="str">
        <f>VLOOKUP(Таблица15[[#This Row],[Модель]],Таблица14[#All],8,0)</f>
        <v>Эконом</v>
      </c>
      <c r="AC450" t="str">
        <f>VLOOKUP(Таблица15[[#This Row],[Модель]],Таблица14[#All],9,0)</f>
        <v>Средний</v>
      </c>
      <c r="AD450">
        <f>VLOOKUP(Таблица15[[#This Row],[Модель]],Таблица14[#All],10,0)</f>
        <v>135</v>
      </c>
      <c r="AE450">
        <f>VLOOKUP(Таблица15[[#This Row],[Модель]],Таблица14[#All],11,0)</f>
        <v>14</v>
      </c>
      <c r="AF450">
        <v>2020</v>
      </c>
      <c r="AG450">
        <v>501</v>
      </c>
      <c r="AH450" s="22">
        <f>VLOOKUP(Таблица15[[#This Row],[Модель]],Таблица14[#All],12,0)/1000000</f>
        <v>9.77</v>
      </c>
      <c r="AI450" s="21">
        <f>VLOOKUP(Таблица15[[#This Row],[Модель]],Таблица14[#All],13,0)/1000000</f>
        <v>9.77</v>
      </c>
      <c r="AJ450" s="21">
        <f>VLOOKUP(Таблица15[[#This Row],[Модель]],Таблица14[#All],14,0)/1000000</f>
        <v>9.77</v>
      </c>
      <c r="AK450" s="21">
        <f>Таблица15[[#This Row],[Средняя цена (USD)]]*Таблица15[[#This Row],[Кол-во проданных]]/1000000</f>
        <v>7.0140000000000002</v>
      </c>
      <c r="AL450" s="39">
        <f>Таблица15[[#This Row],[Средняя цена млн. ₸]]/440*Таблица15[[#This Row],[Кол-во проданных]]</f>
        <v>11.124477272727272</v>
      </c>
      <c r="AM450" s="39">
        <f>Таблица15[[#This Row],[Средняя цена млн. ₸]]*Таблица15[[#This Row],[Кол-во проданных]]/1000</f>
        <v>4.8947699999999994</v>
      </c>
      <c r="AR450" s="22"/>
      <c r="AS450" s="22"/>
      <c r="AT450" s="22"/>
    </row>
    <row r="451" spans="20:46">
      <c r="T451" t="s">
        <v>136</v>
      </c>
      <c r="U451" t="s">
        <v>112</v>
      </c>
      <c r="V451" t="str">
        <f>VLOOKUP(Таблица15[[#This Row],[Модель]],Таблица14[#All],2,0)</f>
        <v>Внедорожник</v>
      </c>
      <c r="W451" s="20">
        <f>VLOOKUP(Таблица15[[#This Row],[Модель]],Таблица14[#All],3,0)</f>
        <v>14000</v>
      </c>
      <c r="X451" s="20">
        <f>VLOOKUP(Таблица15[[#This Row],[Модель]],Таблица14[#All],4,0)</f>
        <v>12000</v>
      </c>
      <c r="Y451" s="4">
        <f>VLOOKUP(Таблица15[[#This Row],[Модель]],Таблица14[#All],5,0)</f>
        <v>16000</v>
      </c>
      <c r="Z451" t="str">
        <f>VLOOKUP(Таблица15[[#This Row],[Модель]],Таблица14[#All],6,0)</f>
        <v>МКПП</v>
      </c>
      <c r="AA451" t="str">
        <f>VLOOKUP(Таблица15[[#This Row],[Модель]],Таблица14[#All],7,0)</f>
        <v>Бензин</v>
      </c>
      <c r="AB451" t="str">
        <f>VLOOKUP(Таблица15[[#This Row],[Модель]],Таблица14[#All],8,0)</f>
        <v>Эконом</v>
      </c>
      <c r="AC451" t="str">
        <f>VLOOKUP(Таблица15[[#This Row],[Модель]],Таблица14[#All],9,0)</f>
        <v>Средний</v>
      </c>
      <c r="AD451">
        <f>VLOOKUP(Таблица15[[#This Row],[Модель]],Таблица14[#All],10,0)</f>
        <v>135</v>
      </c>
      <c r="AE451">
        <f>VLOOKUP(Таблица15[[#This Row],[Модель]],Таблица14[#All],11,0)</f>
        <v>14</v>
      </c>
      <c r="AF451">
        <v>2019</v>
      </c>
      <c r="AG451">
        <v>633</v>
      </c>
      <c r="AH451" s="22">
        <f>VLOOKUP(Таблица15[[#This Row],[Модель]],Таблица14[#All],12,0)/1000000</f>
        <v>9.77</v>
      </c>
      <c r="AI451" s="21">
        <f>VLOOKUP(Таблица15[[#This Row],[Модель]],Таблица14[#All],13,0)/1000000</f>
        <v>9.77</v>
      </c>
      <c r="AJ451" s="21">
        <f>VLOOKUP(Таблица15[[#This Row],[Модель]],Таблица14[#All],14,0)/1000000</f>
        <v>9.77</v>
      </c>
      <c r="AK451" s="21">
        <f>Таблица15[[#This Row],[Средняя цена (USD)]]*Таблица15[[#This Row],[Кол-во проданных]]/1000000</f>
        <v>8.8620000000000001</v>
      </c>
      <c r="AL451" s="39">
        <f>Таблица15[[#This Row],[Средняя цена млн. ₸]]/440*Таблица15[[#This Row],[Кол-во проданных]]</f>
        <v>14.055477272727272</v>
      </c>
      <c r="AM451" s="39">
        <f>Таблица15[[#This Row],[Средняя цена млн. ₸]]*Таблица15[[#This Row],[Кол-во проданных]]/1000</f>
        <v>6.1844099999999997</v>
      </c>
      <c r="AR451" s="22"/>
      <c r="AS451" s="22"/>
      <c r="AT451" s="22"/>
    </row>
  </sheetData>
  <phoneticPr fontId="4" type="noConversion"/>
  <pageMargins left="0.7" right="0.7" top="0.75" bottom="0.75" header="0.3" footer="0.3"/>
  <tableParts count="2">
    <tablePart r:id="rId16"/>
    <tablePart r:id="rId1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EFACC-2F31-4056-BCB9-1FA773491A61}">
  <sheetPr>
    <tabColor rgb="FF92D050"/>
  </sheetPr>
  <dimension ref="B1:AP74"/>
  <sheetViews>
    <sheetView showGridLines="0" topLeftCell="AA1" zoomScaleNormal="52" workbookViewId="0">
      <pane ySplit="2" topLeftCell="A3" activePane="bottomLeft" state="frozen"/>
      <selection pane="bottomLeft" activeCell="G26" sqref="G26"/>
    </sheetView>
  </sheetViews>
  <sheetFormatPr defaultColWidth="8.77734375" defaultRowHeight="14.4"/>
  <cols>
    <col min="2" max="2" width="22.6640625" customWidth="1"/>
    <col min="3" max="3" width="13" bestFit="1" customWidth="1"/>
    <col min="4" max="4" width="20" customWidth="1"/>
    <col min="5" max="5" width="15.109375" customWidth="1"/>
    <col min="6" max="6" width="18.109375" customWidth="1"/>
    <col min="8" max="8" width="17.6640625" customWidth="1"/>
    <col min="9" max="9" width="15.77734375" bestFit="1" customWidth="1"/>
    <col min="10" max="10" width="18.44140625" customWidth="1"/>
    <col min="11" max="11" width="17.77734375" customWidth="1"/>
    <col min="12" max="12" width="21.109375" customWidth="1"/>
    <col min="13" max="13" width="8" bestFit="1" customWidth="1"/>
    <col min="14" max="14" width="21.109375" customWidth="1"/>
    <col min="15" max="15" width="15.77734375" bestFit="1" customWidth="1"/>
    <col min="16" max="16" width="19.44140625" customWidth="1"/>
    <col min="17" max="17" width="18.109375" customWidth="1"/>
    <col min="18" max="18" width="17.6640625" customWidth="1"/>
    <col min="20" max="20" width="17.6640625" customWidth="1"/>
    <col min="21" max="21" width="17.44140625" customWidth="1"/>
    <col min="22" max="22" width="21.77734375" customWidth="1"/>
    <col min="23" max="23" width="17.44140625" customWidth="1"/>
    <col min="24" max="24" width="17.6640625" customWidth="1"/>
    <col min="25" max="25" width="5.77734375" customWidth="1"/>
    <col min="26" max="27" width="17.6640625" customWidth="1"/>
    <col min="28" max="28" width="20.44140625" customWidth="1"/>
    <col min="29" max="30" width="17.6640625" customWidth="1"/>
    <col min="32" max="33" width="17.6640625" customWidth="1"/>
    <col min="34" max="34" width="21.109375" customWidth="1"/>
    <col min="35" max="36" width="17.6640625" customWidth="1"/>
    <col min="38" max="39" width="17.6640625" customWidth="1"/>
    <col min="40" max="40" width="22.6640625" customWidth="1"/>
    <col min="41" max="42" width="17.6640625" customWidth="1"/>
  </cols>
  <sheetData>
    <row r="1" spans="2:42">
      <c r="H1" s="1"/>
      <c r="I1" s="1"/>
      <c r="N1" s="1"/>
      <c r="O1" s="1"/>
      <c r="T1" s="1"/>
      <c r="U1" s="1"/>
      <c r="Z1" s="1"/>
      <c r="AA1" s="1"/>
      <c r="AF1" s="1"/>
      <c r="AG1" s="1"/>
      <c r="AL1" s="1"/>
      <c r="AM1" s="1"/>
    </row>
    <row r="2" spans="2:42">
      <c r="B2" s="266" t="s">
        <v>815</v>
      </c>
      <c r="C2" s="267"/>
      <c r="D2" s="267"/>
      <c r="E2" s="267"/>
      <c r="F2" s="268"/>
      <c r="H2" s="266" t="s">
        <v>811</v>
      </c>
      <c r="I2" s="267"/>
      <c r="J2" s="267"/>
      <c r="K2" s="267"/>
      <c r="L2" s="268"/>
      <c r="N2" s="266" t="s">
        <v>810</v>
      </c>
      <c r="O2" s="267"/>
      <c r="P2" s="267"/>
      <c r="Q2" s="267"/>
      <c r="R2" s="268"/>
      <c r="T2" s="266" t="s">
        <v>814</v>
      </c>
      <c r="U2" s="267"/>
      <c r="V2" s="267"/>
      <c r="W2" s="267"/>
      <c r="X2" s="268"/>
      <c r="Z2" s="266" t="s">
        <v>948</v>
      </c>
      <c r="AA2" s="267"/>
      <c r="AB2" s="267"/>
      <c r="AC2" s="267"/>
      <c r="AD2" s="268"/>
      <c r="AF2" s="266" t="s">
        <v>906</v>
      </c>
      <c r="AG2" s="267"/>
      <c r="AH2" s="267"/>
      <c r="AI2" s="267"/>
      <c r="AJ2" s="268"/>
      <c r="AL2" s="266" t="s">
        <v>812</v>
      </c>
      <c r="AM2" s="267"/>
      <c r="AN2" s="267"/>
      <c r="AO2" s="267"/>
      <c r="AP2" s="268"/>
    </row>
    <row r="3" spans="2:42" ht="28.8">
      <c r="B3" s="168" t="s">
        <v>24</v>
      </c>
      <c r="C3" s="168" t="s">
        <v>780</v>
      </c>
      <c r="D3" s="168" t="s">
        <v>781</v>
      </c>
      <c r="E3" s="168" t="s">
        <v>782</v>
      </c>
      <c r="F3" s="168" t="s">
        <v>783</v>
      </c>
      <c r="H3" s="168" t="s">
        <v>24</v>
      </c>
      <c r="I3" s="168" t="s">
        <v>780</v>
      </c>
      <c r="J3" s="168" t="s">
        <v>781</v>
      </c>
      <c r="K3" s="168" t="s">
        <v>782</v>
      </c>
      <c r="L3" s="168" t="s">
        <v>783</v>
      </c>
      <c r="N3" s="168" t="s">
        <v>24</v>
      </c>
      <c r="O3" s="168" t="s">
        <v>780</v>
      </c>
      <c r="P3" s="168" t="s">
        <v>781</v>
      </c>
      <c r="Q3" s="168" t="s">
        <v>782</v>
      </c>
      <c r="R3" s="168" t="s">
        <v>783</v>
      </c>
      <c r="T3" s="168" t="s">
        <v>24</v>
      </c>
      <c r="U3" s="168" t="s">
        <v>780</v>
      </c>
      <c r="V3" s="168" t="s">
        <v>781</v>
      </c>
      <c r="W3" s="168" t="s">
        <v>782</v>
      </c>
      <c r="X3" s="168" t="s">
        <v>783</v>
      </c>
      <c r="Z3" s="168" t="s">
        <v>24</v>
      </c>
      <c r="AA3" s="168" t="s">
        <v>780</v>
      </c>
      <c r="AB3" s="168" t="s">
        <v>781</v>
      </c>
      <c r="AC3" s="168" t="s">
        <v>782</v>
      </c>
      <c r="AD3" s="168" t="s">
        <v>783</v>
      </c>
      <c r="AF3" s="168" t="s">
        <v>24</v>
      </c>
      <c r="AG3" s="168" t="s">
        <v>780</v>
      </c>
      <c r="AH3" s="168" t="s">
        <v>781</v>
      </c>
      <c r="AI3" s="168" t="s">
        <v>782</v>
      </c>
      <c r="AJ3" s="168" t="s">
        <v>783</v>
      </c>
      <c r="AL3" s="168" t="s">
        <v>24</v>
      </c>
      <c r="AM3" s="168" t="s">
        <v>780</v>
      </c>
      <c r="AN3" s="168" t="s">
        <v>781</v>
      </c>
      <c r="AO3" s="168" t="s">
        <v>782</v>
      </c>
      <c r="AP3" s="168" t="s">
        <v>783</v>
      </c>
    </row>
    <row r="4" spans="2:42" ht="28.8">
      <c r="B4" s="169" t="s">
        <v>25</v>
      </c>
      <c r="C4" s="168">
        <v>7.1</v>
      </c>
      <c r="D4" s="168" t="s">
        <v>784</v>
      </c>
      <c r="E4" s="168" t="s">
        <v>785</v>
      </c>
      <c r="F4" s="168" t="s">
        <v>786</v>
      </c>
      <c r="H4" s="169" t="s">
        <v>58</v>
      </c>
      <c r="I4" s="168">
        <v>10.6</v>
      </c>
      <c r="J4" s="168" t="s">
        <v>792</v>
      </c>
      <c r="K4" s="168" t="s">
        <v>785</v>
      </c>
      <c r="L4" s="168" t="s">
        <v>789</v>
      </c>
      <c r="N4" s="178" t="s">
        <v>250</v>
      </c>
      <c r="O4" s="180">
        <v>16.442104822732809</v>
      </c>
      <c r="P4" s="179" t="s">
        <v>923</v>
      </c>
      <c r="Q4" s="179" t="s">
        <v>785</v>
      </c>
      <c r="R4" s="179" t="s">
        <v>789</v>
      </c>
      <c r="T4" s="178" t="s">
        <v>247</v>
      </c>
      <c r="U4" s="182">
        <v>39.200000000000003</v>
      </c>
      <c r="V4" s="179" t="s">
        <v>916</v>
      </c>
      <c r="W4" s="179" t="s">
        <v>785</v>
      </c>
      <c r="X4" s="179" t="s">
        <v>796</v>
      </c>
      <c r="Z4" s="178" t="s">
        <v>10</v>
      </c>
      <c r="AA4" s="179">
        <v>12.7</v>
      </c>
      <c r="AB4" s="179" t="s">
        <v>802</v>
      </c>
      <c r="AC4" s="179" t="s">
        <v>785</v>
      </c>
      <c r="AD4" s="179" t="s">
        <v>789</v>
      </c>
      <c r="AF4" s="178" t="s">
        <v>12</v>
      </c>
      <c r="AG4" s="179">
        <v>13.2</v>
      </c>
      <c r="AH4" s="179" t="s">
        <v>802</v>
      </c>
      <c r="AI4" s="179" t="s">
        <v>785</v>
      </c>
      <c r="AJ4" s="179" t="s">
        <v>789</v>
      </c>
      <c r="AL4" s="178" t="s">
        <v>243</v>
      </c>
      <c r="AM4" s="179">
        <v>19.100000000000001</v>
      </c>
      <c r="AN4" s="179" t="s">
        <v>802</v>
      </c>
      <c r="AO4" s="179" t="s">
        <v>785</v>
      </c>
      <c r="AP4" s="179" t="s">
        <v>789</v>
      </c>
    </row>
    <row r="5" spans="2:42" ht="28.8">
      <c r="B5" s="169" t="s">
        <v>69</v>
      </c>
      <c r="C5" s="168">
        <v>7.6</v>
      </c>
      <c r="D5" s="168" t="s">
        <v>784</v>
      </c>
      <c r="E5" s="168" t="s">
        <v>785</v>
      </c>
      <c r="F5" s="168" t="s">
        <v>786</v>
      </c>
      <c r="H5" s="169" t="s">
        <v>52</v>
      </c>
      <c r="I5" s="168">
        <v>11</v>
      </c>
      <c r="J5" s="168" t="s">
        <v>793</v>
      </c>
      <c r="K5" s="168" t="s">
        <v>785</v>
      </c>
      <c r="L5" s="168" t="s">
        <v>794</v>
      </c>
      <c r="N5" s="178" t="s">
        <v>239</v>
      </c>
      <c r="O5" s="180">
        <v>15.109158299660701</v>
      </c>
      <c r="P5" s="179" t="s">
        <v>924</v>
      </c>
      <c r="Q5" s="179" t="s">
        <v>785</v>
      </c>
      <c r="R5" s="179" t="s">
        <v>925</v>
      </c>
      <c r="T5" s="178" t="s">
        <v>241</v>
      </c>
      <c r="U5" s="182">
        <v>23.4</v>
      </c>
      <c r="V5" s="179" t="s">
        <v>917</v>
      </c>
      <c r="W5" s="179" t="s">
        <v>785</v>
      </c>
      <c r="X5" s="179" t="s">
        <v>918</v>
      </c>
      <c r="Z5" s="169" t="s">
        <v>61</v>
      </c>
      <c r="AA5" s="168">
        <v>11.49</v>
      </c>
      <c r="AB5" s="181" t="s">
        <v>913</v>
      </c>
      <c r="AC5" s="181" t="s">
        <v>785</v>
      </c>
      <c r="AD5" s="181" t="s">
        <v>786</v>
      </c>
      <c r="AF5" s="169" t="s">
        <v>73</v>
      </c>
      <c r="AG5" s="168">
        <v>12.39</v>
      </c>
      <c r="AH5" s="168" t="s">
        <v>793</v>
      </c>
      <c r="AI5" s="168" t="s">
        <v>785</v>
      </c>
      <c r="AJ5" s="168" t="s">
        <v>907</v>
      </c>
      <c r="AL5" s="169" t="s">
        <v>82</v>
      </c>
      <c r="AM5" s="168">
        <v>14.04</v>
      </c>
      <c r="AN5" s="168" t="s">
        <v>904</v>
      </c>
      <c r="AO5" s="168" t="s">
        <v>903</v>
      </c>
      <c r="AP5" s="168" t="s">
        <v>902</v>
      </c>
    </row>
    <row r="6" spans="2:42" ht="28.8">
      <c r="B6" s="169" t="s">
        <v>26</v>
      </c>
      <c r="C6" s="168">
        <v>6.1</v>
      </c>
      <c r="D6" s="168" t="s">
        <v>787</v>
      </c>
      <c r="E6" s="168" t="s">
        <v>785</v>
      </c>
      <c r="F6" s="168" t="s">
        <v>786</v>
      </c>
      <c r="H6" s="169" t="s">
        <v>53</v>
      </c>
      <c r="I6" s="168">
        <v>14.4</v>
      </c>
      <c r="J6" s="168" t="s">
        <v>795</v>
      </c>
      <c r="K6" s="168" t="s">
        <v>785</v>
      </c>
      <c r="L6" s="168" t="s">
        <v>796</v>
      </c>
      <c r="N6" s="178" t="s">
        <v>244</v>
      </c>
      <c r="O6" s="180">
        <v>14.688227818690562</v>
      </c>
      <c r="P6" s="179" t="s">
        <v>926</v>
      </c>
      <c r="Q6" s="179" t="s">
        <v>785</v>
      </c>
      <c r="R6" s="179" t="s">
        <v>927</v>
      </c>
      <c r="T6" s="178" t="s">
        <v>248</v>
      </c>
      <c r="U6" s="182">
        <v>21.7</v>
      </c>
      <c r="V6" s="179" t="s">
        <v>947</v>
      </c>
      <c r="W6" s="179" t="s">
        <v>785</v>
      </c>
      <c r="X6" s="179" t="s">
        <v>945</v>
      </c>
      <c r="Z6" s="169" t="s">
        <v>68</v>
      </c>
      <c r="AA6" s="168">
        <v>11.54</v>
      </c>
      <c r="AB6" s="181" t="s">
        <v>914</v>
      </c>
      <c r="AC6" s="181" t="s">
        <v>785</v>
      </c>
      <c r="AD6" s="181" t="s">
        <v>786</v>
      </c>
      <c r="AF6" s="169" t="s">
        <v>30</v>
      </c>
      <c r="AG6" s="168">
        <v>11.09</v>
      </c>
      <c r="AH6" s="168" t="s">
        <v>793</v>
      </c>
      <c r="AI6" s="168" t="s">
        <v>785</v>
      </c>
      <c r="AJ6" s="168" t="s">
        <v>907</v>
      </c>
      <c r="AL6" s="169" t="s">
        <v>91</v>
      </c>
      <c r="AM6" s="168">
        <v>25.4</v>
      </c>
      <c r="AN6" s="168" t="s">
        <v>905</v>
      </c>
      <c r="AO6" s="168" t="s">
        <v>903</v>
      </c>
      <c r="AP6" s="168" t="s">
        <v>902</v>
      </c>
    </row>
    <row r="7" spans="2:42" ht="43.2">
      <c r="B7" s="169" t="s">
        <v>27</v>
      </c>
      <c r="C7" s="168">
        <v>10.4</v>
      </c>
      <c r="D7" s="168" t="s">
        <v>788</v>
      </c>
      <c r="E7" s="168" t="s">
        <v>785</v>
      </c>
      <c r="F7" s="168" t="s">
        <v>789</v>
      </c>
      <c r="H7" s="169" t="s">
        <v>56</v>
      </c>
      <c r="I7" s="168">
        <v>7.6</v>
      </c>
      <c r="J7" s="168" t="s">
        <v>797</v>
      </c>
      <c r="K7" s="168" t="s">
        <v>785</v>
      </c>
      <c r="L7" s="168" t="s">
        <v>794</v>
      </c>
      <c r="N7" s="178" t="s">
        <v>13</v>
      </c>
      <c r="O7" s="180">
        <v>10.110608838140319</v>
      </c>
      <c r="P7" s="179" t="s">
        <v>928</v>
      </c>
      <c r="Q7" s="179" t="s">
        <v>785</v>
      </c>
      <c r="R7" s="179" t="s">
        <v>791</v>
      </c>
      <c r="T7" s="178" t="s">
        <v>251</v>
      </c>
      <c r="U7" s="182">
        <v>21.7</v>
      </c>
      <c r="V7" s="179" t="s">
        <v>919</v>
      </c>
      <c r="W7" s="179" t="s">
        <v>903</v>
      </c>
      <c r="X7" s="179" t="s">
        <v>786</v>
      </c>
      <c r="Z7" s="169" t="s">
        <v>92</v>
      </c>
      <c r="AA7" s="168">
        <v>12.24</v>
      </c>
      <c r="AB7" s="181" t="s">
        <v>915</v>
      </c>
      <c r="AC7" s="181" t="s">
        <v>785</v>
      </c>
      <c r="AD7" s="181" t="s">
        <v>786</v>
      </c>
      <c r="AF7" s="169" t="s">
        <v>71</v>
      </c>
      <c r="AG7" s="168">
        <v>9.99</v>
      </c>
      <c r="AH7" s="168" t="s">
        <v>908</v>
      </c>
      <c r="AI7" s="168" t="s">
        <v>785</v>
      </c>
      <c r="AJ7" s="220" t="s">
        <v>912</v>
      </c>
    </row>
    <row r="8" spans="2:42" ht="28.8">
      <c r="B8" s="169" t="s">
        <v>78</v>
      </c>
      <c r="C8" s="168">
        <v>6</v>
      </c>
      <c r="D8" s="168" t="s">
        <v>790</v>
      </c>
      <c r="E8" s="168" t="s">
        <v>785</v>
      </c>
      <c r="F8" s="168" t="s">
        <v>791</v>
      </c>
      <c r="H8" s="169" t="s">
        <v>59</v>
      </c>
      <c r="I8" s="168">
        <v>12.6</v>
      </c>
      <c r="J8" s="168" t="s">
        <v>798</v>
      </c>
      <c r="K8" s="168" t="s">
        <v>785</v>
      </c>
      <c r="L8" s="168" t="s">
        <v>786</v>
      </c>
      <c r="N8" s="169" t="s">
        <v>47</v>
      </c>
      <c r="O8" s="181">
        <v>19.511389579806725</v>
      </c>
      <c r="P8" s="181" t="s">
        <v>799</v>
      </c>
      <c r="Q8" s="181" t="s">
        <v>785</v>
      </c>
      <c r="R8" s="181" t="s">
        <v>929</v>
      </c>
      <c r="T8" s="178" t="s">
        <v>245</v>
      </c>
      <c r="U8" s="182">
        <v>19.5</v>
      </c>
      <c r="V8" s="179" t="s">
        <v>946</v>
      </c>
      <c r="W8" s="179" t="s">
        <v>785</v>
      </c>
      <c r="X8" s="179" t="s">
        <v>945</v>
      </c>
      <c r="AF8" s="169" t="s">
        <v>77</v>
      </c>
      <c r="AG8" s="168">
        <v>12.865</v>
      </c>
      <c r="AH8" s="168" t="s">
        <v>909</v>
      </c>
      <c r="AI8" s="168" t="s">
        <v>785</v>
      </c>
      <c r="AJ8" s="220" t="s">
        <v>789</v>
      </c>
    </row>
    <row r="9" spans="2:42" ht="43.2">
      <c r="B9" s="169" t="s">
        <v>32</v>
      </c>
      <c r="C9" s="168">
        <v>7.4</v>
      </c>
      <c r="D9" s="168" t="s">
        <v>790</v>
      </c>
      <c r="E9" s="168" t="s">
        <v>785</v>
      </c>
      <c r="F9" s="168" t="s">
        <v>791</v>
      </c>
      <c r="H9" s="169" t="s">
        <v>67</v>
      </c>
      <c r="I9" s="168">
        <v>16.3</v>
      </c>
      <c r="J9" s="168" t="s">
        <v>799</v>
      </c>
      <c r="K9" s="168" t="s">
        <v>785</v>
      </c>
      <c r="L9" s="168" t="s">
        <v>796</v>
      </c>
      <c r="N9" s="169" t="s">
        <v>48</v>
      </c>
      <c r="O9" s="181">
        <v>19.072920328796165</v>
      </c>
      <c r="P9" s="181" t="s">
        <v>930</v>
      </c>
      <c r="Q9" s="181" t="s">
        <v>785</v>
      </c>
      <c r="R9" s="181" t="s">
        <v>931</v>
      </c>
      <c r="T9" s="169" t="s">
        <v>75</v>
      </c>
      <c r="U9" s="168">
        <v>55.13</v>
      </c>
      <c r="V9" s="168" t="s">
        <v>920</v>
      </c>
      <c r="W9" s="168" t="s">
        <v>903</v>
      </c>
      <c r="X9" s="168" t="s">
        <v>918</v>
      </c>
      <c r="AF9" s="169" t="s">
        <v>86</v>
      </c>
      <c r="AG9" s="168">
        <v>12.59</v>
      </c>
      <c r="AH9" s="168" t="s">
        <v>910</v>
      </c>
      <c r="AI9" s="168" t="s">
        <v>785</v>
      </c>
      <c r="AJ9" s="220" t="s">
        <v>912</v>
      </c>
    </row>
    <row r="10" spans="2:42" ht="43.2">
      <c r="B10" s="178" t="s">
        <v>366</v>
      </c>
      <c r="C10" s="179">
        <v>10.1</v>
      </c>
      <c r="D10" s="179" t="s">
        <v>797</v>
      </c>
      <c r="E10" s="179" t="s">
        <v>785</v>
      </c>
      <c r="F10" s="179" t="s">
        <v>794</v>
      </c>
      <c r="H10" s="169" t="s">
        <v>28</v>
      </c>
      <c r="I10" s="168">
        <v>17.7</v>
      </c>
      <c r="J10" s="168" t="s">
        <v>800</v>
      </c>
      <c r="K10" s="168" t="s">
        <v>785</v>
      </c>
      <c r="L10" s="168" t="s">
        <v>796</v>
      </c>
      <c r="N10" s="169" t="s">
        <v>49</v>
      </c>
      <c r="O10" s="181">
        <v>16.442104822732809</v>
      </c>
      <c r="P10" s="181" t="s">
        <v>932</v>
      </c>
      <c r="Q10" s="168" t="s">
        <v>903</v>
      </c>
      <c r="R10" s="168" t="s">
        <v>786</v>
      </c>
      <c r="T10" s="169" t="s">
        <v>72</v>
      </c>
      <c r="U10" s="168">
        <v>29.74</v>
      </c>
      <c r="V10" s="168" t="s">
        <v>921</v>
      </c>
      <c r="W10" s="168" t="s">
        <v>903</v>
      </c>
      <c r="X10" s="168" t="s">
        <v>796</v>
      </c>
      <c r="AF10" s="169" t="s">
        <v>100</v>
      </c>
      <c r="AG10" s="168">
        <v>11.170999999999999</v>
      </c>
      <c r="AH10" s="168" t="s">
        <v>911</v>
      </c>
      <c r="AI10" s="168" t="s">
        <v>785</v>
      </c>
      <c r="AJ10" s="220" t="s">
        <v>912</v>
      </c>
    </row>
    <row r="11" spans="2:42" ht="28.8">
      <c r="H11" s="169" t="s">
        <v>80</v>
      </c>
      <c r="I11" s="168">
        <v>13.3</v>
      </c>
      <c r="J11" s="168" t="s">
        <v>801</v>
      </c>
      <c r="K11" s="168" t="s">
        <v>785</v>
      </c>
      <c r="L11" s="168" t="s">
        <v>794</v>
      </c>
      <c r="N11" s="169" t="s">
        <v>55</v>
      </c>
      <c r="O11" s="181">
        <v>16.442104822732809</v>
      </c>
      <c r="P11" s="181" t="s">
        <v>933</v>
      </c>
      <c r="Q11" s="181" t="s">
        <v>785</v>
      </c>
      <c r="R11" s="168" t="s">
        <v>934</v>
      </c>
      <c r="T11" s="169" t="s">
        <v>45</v>
      </c>
      <c r="U11" s="168">
        <v>85.37</v>
      </c>
      <c r="V11" s="168" t="s">
        <v>922</v>
      </c>
      <c r="W11" s="168" t="s">
        <v>903</v>
      </c>
      <c r="X11" s="168" t="s">
        <v>918</v>
      </c>
    </row>
    <row r="12" spans="2:42" ht="28.8">
      <c r="H12" s="178" t="s">
        <v>10</v>
      </c>
      <c r="I12" s="179">
        <v>12.7</v>
      </c>
      <c r="J12" s="179" t="s">
        <v>802</v>
      </c>
      <c r="K12" s="179" t="s">
        <v>785</v>
      </c>
      <c r="L12" s="179" t="s">
        <v>789</v>
      </c>
      <c r="N12" s="169" t="s">
        <v>60</v>
      </c>
      <c r="O12" s="181">
        <v>16.442104822732809</v>
      </c>
      <c r="P12" s="181" t="s">
        <v>932</v>
      </c>
      <c r="Q12" s="181" t="s">
        <v>785</v>
      </c>
      <c r="R12" s="168" t="s">
        <v>786</v>
      </c>
      <c r="T12" s="1"/>
      <c r="U12" s="1"/>
    </row>
    <row r="13" spans="2:42" ht="28.8">
      <c r="N13" s="169" t="s">
        <v>70</v>
      </c>
      <c r="O13" s="181">
        <v>15.986096801681823</v>
      </c>
      <c r="P13" s="181" t="s">
        <v>933</v>
      </c>
      <c r="Q13" s="181" t="s">
        <v>785</v>
      </c>
      <c r="R13" s="181" t="s">
        <v>931</v>
      </c>
    </row>
    <row r="14" spans="2:42" ht="28.8">
      <c r="H14" s="1"/>
      <c r="I14" s="1"/>
      <c r="N14" s="169" t="s">
        <v>31</v>
      </c>
      <c r="O14" s="181">
        <v>15.459933700469152</v>
      </c>
      <c r="P14" s="168" t="s">
        <v>935</v>
      </c>
      <c r="Q14" s="181" t="s">
        <v>785</v>
      </c>
      <c r="R14" s="181" t="s">
        <v>931</v>
      </c>
    </row>
    <row r="15" spans="2:42" ht="28.8">
      <c r="H15" s="1"/>
      <c r="I15" s="1"/>
      <c r="N15" s="169" t="s">
        <v>66</v>
      </c>
      <c r="O15" s="181">
        <v>15.109158299660701</v>
      </c>
      <c r="P15" s="181" t="s">
        <v>930</v>
      </c>
      <c r="Q15" s="181" t="s">
        <v>785</v>
      </c>
      <c r="R15" s="181" t="s">
        <v>929</v>
      </c>
    </row>
    <row r="16" spans="2:42" ht="43.2">
      <c r="B16" s="170" t="s">
        <v>149</v>
      </c>
      <c r="C16" s="1" t="s">
        <v>901</v>
      </c>
      <c r="E16" s="175" t="s">
        <v>803</v>
      </c>
      <c r="H16" s="170" t="s">
        <v>149</v>
      </c>
      <c r="I16" s="1" t="s">
        <v>901</v>
      </c>
      <c r="K16" s="175" t="s">
        <v>803</v>
      </c>
      <c r="N16" s="169" t="s">
        <v>81</v>
      </c>
      <c r="O16" s="181">
        <v>14.688227818690562</v>
      </c>
      <c r="P16" s="181" t="s">
        <v>936</v>
      </c>
      <c r="Q16" s="181" t="s">
        <v>785</v>
      </c>
      <c r="R16" s="181" t="s">
        <v>929</v>
      </c>
      <c r="Z16" s="170" t="s">
        <v>149</v>
      </c>
      <c r="AA16" s="1" t="s">
        <v>637</v>
      </c>
      <c r="AC16" s="175" t="s">
        <v>803</v>
      </c>
      <c r="AF16" s="170" t="s">
        <v>149</v>
      </c>
      <c r="AG16" s="1" t="s">
        <v>637</v>
      </c>
      <c r="AI16" s="175" t="s">
        <v>803</v>
      </c>
      <c r="AL16" s="170" t="s">
        <v>149</v>
      </c>
      <c r="AM16" s="1" t="s">
        <v>637</v>
      </c>
      <c r="AO16" s="175" t="s">
        <v>803</v>
      </c>
    </row>
    <row r="17" spans="2:41" ht="28.8">
      <c r="B17" s="170" t="s">
        <v>189</v>
      </c>
      <c r="C17" s="1" t="s">
        <v>199</v>
      </c>
      <c r="E17" s="174">
        <f>GETPIVOTDATA("Кол-во",$B$21)/2</f>
        <v>39186.5</v>
      </c>
      <c r="H17" s="170" t="s">
        <v>189</v>
      </c>
      <c r="I17" s="1" t="s">
        <v>199</v>
      </c>
      <c r="K17" s="174">
        <f>GETPIVOTDATA("Кол-во",$H$21)/2</f>
        <v>22167</v>
      </c>
      <c r="N17" s="169" t="s">
        <v>76</v>
      </c>
      <c r="O17" s="181">
        <v>13.223740520315291</v>
      </c>
      <c r="P17" s="181" t="s">
        <v>937</v>
      </c>
      <c r="Q17" s="181" t="s">
        <v>785</v>
      </c>
      <c r="R17" s="181" t="s">
        <v>786</v>
      </c>
      <c r="Z17" s="170" t="s">
        <v>189</v>
      </c>
      <c r="AA17" s="1" t="s">
        <v>197</v>
      </c>
      <c r="AC17" s="174">
        <f>GETPIVOTDATA("Кол-во",$Z$21)/2</f>
        <v>3914</v>
      </c>
      <c r="AF17" s="170" t="s">
        <v>189</v>
      </c>
      <c r="AG17" s="1" t="s">
        <v>203</v>
      </c>
      <c r="AI17" s="174">
        <f>GETPIVOTDATA("Кол-во",$AF$21)/2</f>
        <v>4459.5</v>
      </c>
      <c r="AL17" s="170" t="s">
        <v>189</v>
      </c>
      <c r="AM17" s="1" t="s">
        <v>198</v>
      </c>
      <c r="AO17" s="174">
        <f>GETPIVOTDATA("Кол-во",$AL$21)/2</f>
        <v>1443.5</v>
      </c>
    </row>
    <row r="18" spans="2:41" ht="28.8">
      <c r="B18" s="170" t="s">
        <v>194</v>
      </c>
      <c r="C18" s="1" t="s">
        <v>216</v>
      </c>
      <c r="H18" s="170" t="s">
        <v>194</v>
      </c>
      <c r="I18" s="1" t="s">
        <v>217</v>
      </c>
      <c r="N18" s="169" t="s">
        <v>79</v>
      </c>
      <c r="O18" s="181">
        <v>12.741424344203677</v>
      </c>
      <c r="P18" s="168" t="s">
        <v>798</v>
      </c>
      <c r="Q18" s="168" t="s">
        <v>903</v>
      </c>
      <c r="R18" s="181" t="s">
        <v>938</v>
      </c>
      <c r="Z18" s="170" t="s">
        <v>194</v>
      </c>
      <c r="AA18" s="1" t="s">
        <v>217</v>
      </c>
      <c r="AF18" s="170" t="s">
        <v>194</v>
      </c>
      <c r="AG18" s="1" t="s">
        <v>217</v>
      </c>
      <c r="AL18" s="170" t="s">
        <v>194</v>
      </c>
      <c r="AM18" s="1" t="s">
        <v>217</v>
      </c>
    </row>
    <row r="19" spans="2:41" ht="28.8">
      <c r="B19" s="170" t="s">
        <v>193</v>
      </c>
      <c r="C19" s="1" t="s">
        <v>213</v>
      </c>
      <c r="H19" s="170" t="s">
        <v>193</v>
      </c>
      <c r="I19" s="1" t="s">
        <v>212</v>
      </c>
      <c r="N19" s="169" t="s">
        <v>84</v>
      </c>
      <c r="O19" s="181">
        <v>10.456999546438658</v>
      </c>
      <c r="P19" s="168" t="s">
        <v>939</v>
      </c>
      <c r="Q19" s="181" t="s">
        <v>785</v>
      </c>
      <c r="R19" s="181" t="s">
        <v>940</v>
      </c>
      <c r="Z19" s="170" t="s">
        <v>193</v>
      </c>
      <c r="AA19" s="1" t="s">
        <v>212</v>
      </c>
      <c r="AF19" s="170" t="s">
        <v>193</v>
      </c>
      <c r="AG19" s="1" t="s">
        <v>212</v>
      </c>
      <c r="AL19" s="170" t="s">
        <v>193</v>
      </c>
      <c r="AM19" s="1" t="s">
        <v>212</v>
      </c>
    </row>
    <row r="20" spans="2:41" ht="28.8">
      <c r="N20" s="169" t="s">
        <v>93</v>
      </c>
      <c r="O20" s="181">
        <v>10.119378223160528</v>
      </c>
      <c r="P20" s="168" t="s">
        <v>941</v>
      </c>
      <c r="Q20" s="168" t="s">
        <v>903</v>
      </c>
      <c r="R20" s="181" t="s">
        <v>786</v>
      </c>
      <c r="T20" s="170" t="s">
        <v>149</v>
      </c>
      <c r="U20" s="1" t="s">
        <v>637</v>
      </c>
      <c r="W20" s="175" t="s">
        <v>803</v>
      </c>
    </row>
    <row r="21" spans="2:41" ht="28.8">
      <c r="B21" s="1"/>
      <c r="C21" s="1"/>
      <c r="D21" s="170" t="s">
        <v>778</v>
      </c>
      <c r="E21" s="1"/>
      <c r="H21" s="1"/>
      <c r="I21" s="1"/>
      <c r="J21" s="170" t="s">
        <v>778</v>
      </c>
      <c r="K21" s="1"/>
      <c r="N21" s="169" t="s">
        <v>101</v>
      </c>
      <c r="O21" s="181">
        <v>10.110608838140319</v>
      </c>
      <c r="P21" s="168" t="s">
        <v>942</v>
      </c>
      <c r="Q21" s="168" t="s">
        <v>903</v>
      </c>
      <c r="R21" s="181" t="s">
        <v>931</v>
      </c>
      <c r="T21" s="170" t="s">
        <v>189</v>
      </c>
      <c r="U21" s="1" t="s">
        <v>202</v>
      </c>
      <c r="W21" s="174">
        <f>GETPIVOTDATA("Кол-во",$T$25)/2</f>
        <v>3835</v>
      </c>
      <c r="Z21" s="1"/>
      <c r="AA21" s="1"/>
      <c r="AB21" s="170" t="s">
        <v>778</v>
      </c>
      <c r="AC21" s="1"/>
      <c r="AF21" s="1"/>
      <c r="AG21" s="1"/>
      <c r="AH21" s="170" t="s">
        <v>778</v>
      </c>
      <c r="AI21" s="1"/>
      <c r="AL21" s="1"/>
      <c r="AM21" s="1"/>
      <c r="AN21" s="170" t="s">
        <v>778</v>
      </c>
      <c r="AO21" s="1"/>
    </row>
    <row r="22" spans="2:41" ht="28.8">
      <c r="B22" s="170" t="s">
        <v>24</v>
      </c>
      <c r="C22" s="170" t="s">
        <v>268</v>
      </c>
      <c r="D22" s="1" t="s">
        <v>779</v>
      </c>
      <c r="E22" s="1" t="s">
        <v>467</v>
      </c>
      <c r="H22" s="170" t="s">
        <v>24</v>
      </c>
      <c r="I22" s="170" t="s">
        <v>268</v>
      </c>
      <c r="J22" s="1" t="s">
        <v>779</v>
      </c>
      <c r="K22" s="1" t="s">
        <v>467</v>
      </c>
      <c r="N22" s="169" t="s">
        <v>102</v>
      </c>
      <c r="O22" s="181">
        <v>9.8650660575744045</v>
      </c>
      <c r="P22" s="181" t="s">
        <v>943</v>
      </c>
      <c r="Q22" s="181" t="s">
        <v>785</v>
      </c>
      <c r="R22" s="168" t="s">
        <v>944</v>
      </c>
      <c r="T22" s="170" t="s">
        <v>194</v>
      </c>
      <c r="U22" s="1" t="s">
        <v>215</v>
      </c>
      <c r="Z22" s="170" t="s">
        <v>24</v>
      </c>
      <c r="AA22" s="170" t="s">
        <v>268</v>
      </c>
      <c r="AB22" s="1" t="s">
        <v>779</v>
      </c>
      <c r="AC22" s="1" t="s">
        <v>467</v>
      </c>
      <c r="AF22" s="170" t="s">
        <v>24</v>
      </c>
      <c r="AG22" s="170" t="s">
        <v>268</v>
      </c>
      <c r="AH22" s="1" t="s">
        <v>779</v>
      </c>
      <c r="AI22" s="1" t="s">
        <v>467</v>
      </c>
      <c r="AL22" s="170" t="s">
        <v>24</v>
      </c>
      <c r="AM22" s="170" t="s">
        <v>268</v>
      </c>
      <c r="AN22" s="1" t="s">
        <v>779</v>
      </c>
      <c r="AO22" s="1" t="s">
        <v>467</v>
      </c>
    </row>
    <row r="23" spans="2:41">
      <c r="B23" s="1" t="s">
        <v>25</v>
      </c>
      <c r="C23" s="171">
        <v>7.09</v>
      </c>
      <c r="D23" s="173">
        <v>53618</v>
      </c>
      <c r="E23" s="172">
        <v>0.68413867020530028</v>
      </c>
      <c r="F23" s="176"/>
      <c r="H23" s="1" t="s">
        <v>52</v>
      </c>
      <c r="I23" s="171">
        <v>11</v>
      </c>
      <c r="J23" s="173">
        <v>10965</v>
      </c>
      <c r="K23" s="172">
        <v>0.24732710786303966</v>
      </c>
      <c r="T23" s="170" t="s">
        <v>193</v>
      </c>
      <c r="U23" s="1" t="s">
        <v>214</v>
      </c>
      <c r="Z23" s="1" t="s">
        <v>61</v>
      </c>
      <c r="AA23" s="171">
        <v>11.49</v>
      </c>
      <c r="AB23" s="173">
        <v>4432</v>
      </c>
      <c r="AC23" s="172">
        <v>0.56617271333673991</v>
      </c>
      <c r="AF23" s="1" t="s">
        <v>73</v>
      </c>
      <c r="AG23" s="171">
        <v>12.39</v>
      </c>
      <c r="AH23" s="173">
        <v>2732</v>
      </c>
      <c r="AI23" s="172">
        <v>0.30631236685727098</v>
      </c>
      <c r="AL23" s="1" t="s">
        <v>82</v>
      </c>
      <c r="AM23" s="171">
        <v>14.04</v>
      </c>
      <c r="AN23" s="173">
        <v>1924</v>
      </c>
      <c r="AO23" s="172">
        <v>0.66643574644960168</v>
      </c>
    </row>
    <row r="24" spans="2:41">
      <c r="B24" s="1" t="s">
        <v>26</v>
      </c>
      <c r="C24" s="171">
        <v>6.1150000000000002</v>
      </c>
      <c r="D24" s="173">
        <v>11105</v>
      </c>
      <c r="E24" s="172">
        <v>0.14169420591275056</v>
      </c>
      <c r="F24" s="176"/>
      <c r="H24" s="1" t="s">
        <v>53</v>
      </c>
      <c r="I24" s="171">
        <v>14.39</v>
      </c>
      <c r="J24" s="173">
        <v>9375</v>
      </c>
      <c r="K24" s="172">
        <v>0.21146298551901474</v>
      </c>
      <c r="Z24" s="1" t="s">
        <v>68</v>
      </c>
      <c r="AA24" s="171">
        <v>11.54</v>
      </c>
      <c r="AB24" s="173">
        <v>2627</v>
      </c>
      <c r="AC24" s="172">
        <v>0.33559018906489524</v>
      </c>
      <c r="AF24" s="1" t="s">
        <v>30</v>
      </c>
      <c r="AG24" s="171">
        <v>11.09</v>
      </c>
      <c r="AH24" s="173">
        <v>1850</v>
      </c>
      <c r="AI24" s="172">
        <v>0.20742235676645362</v>
      </c>
      <c r="AL24" s="1" t="s">
        <v>91</v>
      </c>
      <c r="AM24" s="171">
        <v>25.4</v>
      </c>
      <c r="AN24" s="173">
        <v>963</v>
      </c>
      <c r="AO24" s="172">
        <v>0.33356425355039832</v>
      </c>
    </row>
    <row r="25" spans="2:41">
      <c r="B25" s="1" t="s">
        <v>27</v>
      </c>
      <c r="C25" s="171">
        <v>10.445</v>
      </c>
      <c r="D25" s="173">
        <v>5679</v>
      </c>
      <c r="E25" s="172">
        <v>7.2461179232643891E-2</v>
      </c>
      <c r="F25" s="176"/>
      <c r="H25" s="1" t="s">
        <v>56</v>
      </c>
      <c r="I25" s="171">
        <v>7.64</v>
      </c>
      <c r="J25" s="173">
        <v>5251</v>
      </c>
      <c r="K25" s="172">
        <v>0.11844182794243696</v>
      </c>
      <c r="T25" s="1"/>
      <c r="U25" s="1"/>
      <c r="V25" s="170" t="s">
        <v>778</v>
      </c>
      <c r="W25" s="1"/>
      <c r="Z25" s="1" t="s">
        <v>92</v>
      </c>
      <c r="AA25" s="171">
        <v>12.24</v>
      </c>
      <c r="AB25" s="173">
        <v>769</v>
      </c>
      <c r="AC25" s="172">
        <v>9.8237097598364839E-2</v>
      </c>
      <c r="AF25" s="1" t="s">
        <v>71</v>
      </c>
      <c r="AG25" s="171">
        <v>9.99</v>
      </c>
      <c r="AH25" s="173">
        <v>1691</v>
      </c>
      <c r="AI25" s="172">
        <v>0.18959524610382331</v>
      </c>
      <c r="AL25" s="1" t="s">
        <v>155</v>
      </c>
      <c r="AM25" s="1"/>
      <c r="AN25" s="173">
        <v>2887</v>
      </c>
      <c r="AO25" s="172">
        <v>1</v>
      </c>
    </row>
    <row r="26" spans="2:41" ht="28.8">
      <c r="B26" s="1" t="s">
        <v>78</v>
      </c>
      <c r="C26" s="171">
        <v>5.9850000000000003</v>
      </c>
      <c r="D26" s="173">
        <v>4131</v>
      </c>
      <c r="E26" s="172">
        <v>5.2709479029767907E-2</v>
      </c>
      <c r="F26" s="176"/>
      <c r="H26" s="1" t="s">
        <v>28</v>
      </c>
      <c r="I26" s="171">
        <v>17.745000000000001</v>
      </c>
      <c r="J26" s="173">
        <v>4738</v>
      </c>
      <c r="K26" s="172">
        <v>0.10687057337483646</v>
      </c>
      <c r="N26" s="170" t="s">
        <v>149</v>
      </c>
      <c r="O26" s="1" t="s">
        <v>637</v>
      </c>
      <c r="Q26" s="175" t="s">
        <v>803</v>
      </c>
      <c r="T26" s="170" t="s">
        <v>24</v>
      </c>
      <c r="U26" s="170" t="s">
        <v>268</v>
      </c>
      <c r="V26" s="1" t="s">
        <v>779</v>
      </c>
      <c r="W26" s="1" t="s">
        <v>467</v>
      </c>
      <c r="Z26" s="1" t="s">
        <v>155</v>
      </c>
      <c r="AA26" s="1"/>
      <c r="AB26" s="173">
        <v>7828</v>
      </c>
      <c r="AC26" s="172">
        <v>1</v>
      </c>
      <c r="AF26" s="1" t="s">
        <v>77</v>
      </c>
      <c r="AG26" s="171">
        <v>12.865</v>
      </c>
      <c r="AH26" s="173">
        <v>1363</v>
      </c>
      <c r="AI26" s="172">
        <v>0.15281982285009529</v>
      </c>
    </row>
    <row r="27" spans="2:41" ht="28.8">
      <c r="B27" s="1" t="s">
        <v>69</v>
      </c>
      <c r="C27" s="171">
        <v>7.64</v>
      </c>
      <c r="D27" s="173">
        <v>1928</v>
      </c>
      <c r="E27" s="172">
        <v>2.4600308779809375E-2</v>
      </c>
      <c r="F27" s="176"/>
      <c r="H27" s="1" t="s">
        <v>67</v>
      </c>
      <c r="I27" s="171">
        <v>16.29</v>
      </c>
      <c r="J27" s="173">
        <v>4341</v>
      </c>
      <c r="K27" s="172">
        <v>9.7915820814724594E-2</v>
      </c>
      <c r="N27" s="170" t="s">
        <v>189</v>
      </c>
      <c r="O27" s="1" t="s">
        <v>202</v>
      </c>
      <c r="Q27" s="174">
        <f>GETPIVOTDATA("Кол-во",$N$31)/2</f>
        <v>37321</v>
      </c>
      <c r="T27" s="1" t="s">
        <v>75</v>
      </c>
      <c r="U27" s="171">
        <v>55.13</v>
      </c>
      <c r="V27" s="173">
        <v>3279</v>
      </c>
      <c r="W27" s="172">
        <v>0.42750977835723597</v>
      </c>
      <c r="AF27" s="1" t="s">
        <v>86</v>
      </c>
      <c r="AG27" s="171">
        <v>12.59</v>
      </c>
      <c r="AH27" s="173">
        <v>820</v>
      </c>
      <c r="AI27" s="172">
        <v>9.1938558134319989E-2</v>
      </c>
    </row>
    <row r="28" spans="2:41">
      <c r="B28" s="1" t="s">
        <v>32</v>
      </c>
      <c r="C28" s="171">
        <v>7.44</v>
      </c>
      <c r="D28" s="173">
        <v>1912</v>
      </c>
      <c r="E28" s="172">
        <v>2.4396156839727966E-2</v>
      </c>
      <c r="F28" s="176"/>
      <c r="H28" s="1" t="s">
        <v>59</v>
      </c>
      <c r="I28" s="171">
        <v>12.59</v>
      </c>
      <c r="J28" s="173">
        <v>4311</v>
      </c>
      <c r="K28" s="172">
        <v>9.7239139261063742E-2</v>
      </c>
      <c r="N28" s="170" t="s">
        <v>194</v>
      </c>
      <c r="O28" s="1" t="s">
        <v>217</v>
      </c>
      <c r="T28" s="1" t="s">
        <v>72</v>
      </c>
      <c r="U28" s="171">
        <v>29.74</v>
      </c>
      <c r="V28" s="173">
        <v>2575</v>
      </c>
      <c r="W28" s="172">
        <v>0.33572359843546284</v>
      </c>
      <c r="AF28" s="1" t="s">
        <v>100</v>
      </c>
      <c r="AG28" s="171">
        <v>11.170999999999999</v>
      </c>
      <c r="AH28" s="173">
        <v>463</v>
      </c>
      <c r="AI28" s="172">
        <v>5.1911649288036772E-2</v>
      </c>
    </row>
    <row r="29" spans="2:41">
      <c r="B29" s="1" t="s">
        <v>900</v>
      </c>
      <c r="C29" s="1"/>
      <c r="D29" s="173">
        <v>78373</v>
      </c>
      <c r="E29" s="172">
        <v>1</v>
      </c>
      <c r="F29" s="176"/>
      <c r="H29" s="1" t="s">
        <v>58</v>
      </c>
      <c r="I29" s="171">
        <v>10.59</v>
      </c>
      <c r="J29" s="173">
        <v>3250</v>
      </c>
      <c r="K29" s="172">
        <v>7.3307168313258453E-2</v>
      </c>
      <c r="N29" s="170" t="s">
        <v>193</v>
      </c>
      <c r="O29" s="1" t="s">
        <v>212</v>
      </c>
      <c r="T29" s="1" t="s">
        <v>45</v>
      </c>
      <c r="U29" s="171">
        <v>85.37</v>
      </c>
      <c r="V29" s="173">
        <v>1816</v>
      </c>
      <c r="W29" s="172">
        <v>0.23676662320730119</v>
      </c>
      <c r="AF29" s="1" t="s">
        <v>155</v>
      </c>
      <c r="AG29" s="1"/>
      <c r="AH29" s="173">
        <v>8919</v>
      </c>
      <c r="AI29" s="172">
        <v>1</v>
      </c>
    </row>
    <row r="30" spans="2:41">
      <c r="H30" s="1" t="s">
        <v>80</v>
      </c>
      <c r="I30" s="171">
        <v>13.325200000000001</v>
      </c>
      <c r="J30" s="173">
        <v>2103</v>
      </c>
      <c r="K30" s="172">
        <v>4.7435376911625388E-2</v>
      </c>
      <c r="T30" s="1" t="s">
        <v>155</v>
      </c>
      <c r="U30" s="1"/>
      <c r="V30" s="173">
        <v>7670</v>
      </c>
      <c r="W30" s="172">
        <v>1</v>
      </c>
    </row>
    <row r="31" spans="2:41">
      <c r="H31" s="1" t="s">
        <v>900</v>
      </c>
      <c r="I31" s="1"/>
      <c r="J31" s="173">
        <v>44334</v>
      </c>
      <c r="K31" s="172">
        <v>1</v>
      </c>
      <c r="N31" s="1"/>
      <c r="O31" s="1"/>
      <c r="P31" s="170" t="s">
        <v>778</v>
      </c>
      <c r="Q31" s="1"/>
    </row>
    <row r="32" spans="2:41" ht="28.8">
      <c r="N32" s="170" t="s">
        <v>24</v>
      </c>
      <c r="O32" s="170" t="s">
        <v>268</v>
      </c>
      <c r="P32" s="1" t="s">
        <v>779</v>
      </c>
      <c r="Q32" s="1" t="s">
        <v>467</v>
      </c>
      <c r="AJ32" s="176"/>
    </row>
    <row r="33" spans="2:39">
      <c r="B33" s="170" t="s">
        <v>189</v>
      </c>
      <c r="C33" s="1" t="s">
        <v>199</v>
      </c>
      <c r="N33" s="1" t="s">
        <v>47</v>
      </c>
      <c r="O33" s="171">
        <v>15.64</v>
      </c>
      <c r="P33" s="173">
        <v>23296</v>
      </c>
      <c r="Q33" s="172">
        <v>0.31210310549020659</v>
      </c>
      <c r="AJ33" s="176"/>
    </row>
    <row r="34" spans="2:39">
      <c r="B34" s="170" t="s">
        <v>194</v>
      </c>
      <c r="C34" s="1" t="s">
        <v>216</v>
      </c>
      <c r="N34" s="1" t="s">
        <v>48</v>
      </c>
      <c r="O34" s="171">
        <v>16.940000000000001</v>
      </c>
      <c r="P34" s="173">
        <v>13828</v>
      </c>
      <c r="Q34" s="172">
        <v>0.18525762975268614</v>
      </c>
    </row>
    <row r="35" spans="2:39">
      <c r="B35" s="170" t="s">
        <v>193</v>
      </c>
      <c r="C35" s="1" t="s">
        <v>213</v>
      </c>
      <c r="N35" s="1" t="s">
        <v>49</v>
      </c>
      <c r="O35" s="171">
        <v>23.19</v>
      </c>
      <c r="P35" s="173">
        <v>10421</v>
      </c>
      <c r="Q35" s="172">
        <v>0.13961308646606468</v>
      </c>
    </row>
    <row r="36" spans="2:39">
      <c r="B36" s="170" t="s">
        <v>24</v>
      </c>
      <c r="C36" s="1" t="s">
        <v>370</v>
      </c>
      <c r="N36" s="1" t="s">
        <v>55</v>
      </c>
      <c r="O36" s="171">
        <v>12.095000000000001</v>
      </c>
      <c r="P36" s="173">
        <v>6655</v>
      </c>
      <c r="Q36" s="172">
        <v>8.9158918571313736E-2</v>
      </c>
    </row>
    <row r="37" spans="2:39">
      <c r="B37" s="170" t="s">
        <v>268</v>
      </c>
      <c r="C37" s="1" t="s">
        <v>370</v>
      </c>
      <c r="N37" s="1" t="s">
        <v>60</v>
      </c>
      <c r="O37" s="171">
        <v>18.59</v>
      </c>
      <c r="P37" s="173">
        <v>5193</v>
      </c>
      <c r="Q37" s="172">
        <v>6.9572090779989812E-2</v>
      </c>
    </row>
    <row r="38" spans="2:39">
      <c r="H38" s="170" t="s">
        <v>189</v>
      </c>
      <c r="I38" s="1" t="s">
        <v>199</v>
      </c>
      <c r="N38" s="1" t="s">
        <v>70</v>
      </c>
      <c r="O38" s="171">
        <v>14.25</v>
      </c>
      <c r="P38" s="173">
        <v>3536</v>
      </c>
      <c r="Q38" s="172">
        <v>4.737279279762064E-2</v>
      </c>
    </row>
    <row r="39" spans="2:39">
      <c r="B39" s="1"/>
      <c r="C39" s="170" t="s">
        <v>778</v>
      </c>
      <c r="D39" s="1"/>
      <c r="E39" s="1"/>
      <c r="F39" s="1"/>
      <c r="H39" s="170" t="s">
        <v>194</v>
      </c>
      <c r="I39" s="1" t="s">
        <v>217</v>
      </c>
      <c r="N39" s="1" t="s">
        <v>31</v>
      </c>
      <c r="O39" s="171">
        <v>21.844999999999999</v>
      </c>
      <c r="P39" s="173">
        <v>2351</v>
      </c>
      <c r="Q39" s="172">
        <v>3.1497012405884088E-2</v>
      </c>
    </row>
    <row r="40" spans="2:39" ht="43.2">
      <c r="B40" s="170" t="s">
        <v>149</v>
      </c>
      <c r="C40" s="1" t="s">
        <v>779</v>
      </c>
      <c r="D40" s="1" t="s">
        <v>808</v>
      </c>
      <c r="E40" s="1" t="s">
        <v>807</v>
      </c>
      <c r="F40" s="1" t="s">
        <v>809</v>
      </c>
      <c r="H40" s="170" t="s">
        <v>193</v>
      </c>
      <c r="I40" s="1" t="s">
        <v>212</v>
      </c>
      <c r="N40" s="1" t="s">
        <v>66</v>
      </c>
      <c r="O40" s="171">
        <v>11.14</v>
      </c>
      <c r="P40" s="173">
        <v>2246</v>
      </c>
      <c r="Q40" s="172">
        <v>3.0090297687628949E-2</v>
      </c>
    </row>
    <row r="41" spans="2:39">
      <c r="B41" s="1">
        <v>2019</v>
      </c>
      <c r="C41" s="173">
        <v>16250</v>
      </c>
      <c r="D41" s="172"/>
      <c r="E41" s="177">
        <v>121.44287750000001</v>
      </c>
      <c r="F41" s="172"/>
      <c r="H41" s="170" t="s">
        <v>24</v>
      </c>
      <c r="I41" s="1" t="s">
        <v>370</v>
      </c>
      <c r="N41" s="1" t="s">
        <v>81</v>
      </c>
      <c r="O41" s="171">
        <v>15.94</v>
      </c>
      <c r="P41" s="173">
        <v>1701</v>
      </c>
      <c r="Q41" s="172">
        <v>2.2788778435733233E-2</v>
      </c>
    </row>
    <row r="42" spans="2:39" ht="28.8">
      <c r="B42" s="1">
        <v>2020</v>
      </c>
      <c r="C42" s="173">
        <v>32119</v>
      </c>
      <c r="D42" s="172">
        <v>0.97655384615384611</v>
      </c>
      <c r="E42" s="177">
        <v>232.01666150000003</v>
      </c>
      <c r="F42" s="172">
        <v>0.91050036260875</v>
      </c>
      <c r="H42" s="170" t="s">
        <v>268</v>
      </c>
      <c r="I42" s="1" t="s">
        <v>370</v>
      </c>
      <c r="N42" s="1" t="s">
        <v>76</v>
      </c>
      <c r="O42" s="171">
        <v>13.94</v>
      </c>
      <c r="P42" s="173">
        <v>1396</v>
      </c>
      <c r="Q42" s="172">
        <v>1.8702607111277834E-2</v>
      </c>
    </row>
    <row r="43" spans="2:39">
      <c r="B43" s="1">
        <v>2021</v>
      </c>
      <c r="C43" s="173">
        <v>41365</v>
      </c>
      <c r="D43" s="172">
        <v>0.28786699461378001</v>
      </c>
      <c r="E43" s="177">
        <v>313.08661749999999</v>
      </c>
      <c r="F43" s="172">
        <v>0.34941437169157763</v>
      </c>
      <c r="N43" s="1" t="s">
        <v>79</v>
      </c>
      <c r="O43" s="171">
        <v>20.844999999999999</v>
      </c>
      <c r="P43" s="173">
        <v>1325</v>
      </c>
      <c r="Q43" s="172">
        <v>1.7751400016076741E-2</v>
      </c>
    </row>
    <row r="44" spans="2:39">
      <c r="B44" s="1">
        <v>2022</v>
      </c>
      <c r="C44" s="173">
        <v>37978</v>
      </c>
      <c r="D44" s="172">
        <v>-8.1880817115919255E-2</v>
      </c>
      <c r="E44" s="177">
        <v>269.810025</v>
      </c>
      <c r="F44" s="172">
        <v>-0.13822562217945963</v>
      </c>
      <c r="H44" s="1"/>
      <c r="I44" s="170" t="s">
        <v>778</v>
      </c>
      <c r="J44" s="1"/>
      <c r="K44" s="1"/>
      <c r="L44" s="1"/>
      <c r="N44" s="1" t="s">
        <v>84</v>
      </c>
      <c r="O44" s="171">
        <v>12.89</v>
      </c>
      <c r="P44" s="173">
        <v>1028</v>
      </c>
      <c r="Q44" s="172">
        <v>1.377240695586935E-2</v>
      </c>
      <c r="Z44" s="170" t="s">
        <v>189</v>
      </c>
      <c r="AA44" s="1" t="s">
        <v>197</v>
      </c>
      <c r="AF44" s="170" t="s">
        <v>189</v>
      </c>
      <c r="AG44" s="1" t="s">
        <v>203</v>
      </c>
      <c r="AL44" s="170" t="s">
        <v>189</v>
      </c>
      <c r="AM44" s="1" t="s">
        <v>198</v>
      </c>
    </row>
    <row r="45" spans="2:39" ht="28.8">
      <c r="B45" s="1">
        <v>2023</v>
      </c>
      <c r="C45" s="173">
        <v>40395</v>
      </c>
      <c r="D45" s="172">
        <v>6.3642108589183205E-2</v>
      </c>
      <c r="E45" s="177">
        <v>291.24505999999997</v>
      </c>
      <c r="F45" s="172">
        <v>7.9444916844731664E-2</v>
      </c>
      <c r="H45" s="170" t="s">
        <v>149</v>
      </c>
      <c r="I45" s="1" t="s">
        <v>779</v>
      </c>
      <c r="J45" s="1" t="s">
        <v>808</v>
      </c>
      <c r="K45" s="1" t="s">
        <v>807</v>
      </c>
      <c r="L45" s="1" t="s">
        <v>809</v>
      </c>
      <c r="N45" s="1" t="s">
        <v>93</v>
      </c>
      <c r="O45" s="171">
        <v>13.994999999999999</v>
      </c>
      <c r="P45" s="173">
        <v>762</v>
      </c>
      <c r="Q45" s="172">
        <v>1.0208729669623001E-2</v>
      </c>
      <c r="Z45" s="170" t="s">
        <v>194</v>
      </c>
      <c r="AA45" s="1" t="s">
        <v>217</v>
      </c>
      <c r="AF45" s="170" t="s">
        <v>194</v>
      </c>
      <c r="AG45" s="1" t="s">
        <v>217</v>
      </c>
      <c r="AL45" s="170" t="s">
        <v>194</v>
      </c>
      <c r="AM45" s="1" t="s">
        <v>217</v>
      </c>
    </row>
    <row r="46" spans="2:39">
      <c r="B46" s="1" t="s">
        <v>155</v>
      </c>
      <c r="C46" s="173">
        <v>168107</v>
      </c>
      <c r="D46" s="172"/>
      <c r="E46" s="177">
        <v>1227.6012415</v>
      </c>
      <c r="F46" s="172"/>
      <c r="H46" s="1">
        <v>2019</v>
      </c>
      <c r="I46" s="173">
        <v>11612</v>
      </c>
      <c r="J46" s="172"/>
      <c r="K46" s="177">
        <v>177.41921299999998</v>
      </c>
      <c r="L46" s="172"/>
      <c r="N46" s="1" t="s">
        <v>101</v>
      </c>
      <c r="O46" s="171">
        <v>9.99</v>
      </c>
      <c r="P46" s="173">
        <v>457</v>
      </c>
      <c r="Q46" s="172">
        <v>6.1225583451676004E-3</v>
      </c>
      <c r="Z46" s="170" t="s">
        <v>193</v>
      </c>
      <c r="AA46" s="1" t="s">
        <v>212</v>
      </c>
      <c r="AF46" s="170" t="s">
        <v>193</v>
      </c>
      <c r="AG46" s="1" t="s">
        <v>212</v>
      </c>
      <c r="AL46" s="170" t="s">
        <v>193</v>
      </c>
      <c r="AM46" s="1" t="s">
        <v>212</v>
      </c>
    </row>
    <row r="47" spans="2:39">
      <c r="H47" s="1">
        <v>2020</v>
      </c>
      <c r="I47" s="173">
        <v>8600</v>
      </c>
      <c r="J47" s="172">
        <v>-0.25938684119875988</v>
      </c>
      <c r="K47" s="177">
        <v>130.64529400000004</v>
      </c>
      <c r="L47" s="172">
        <v>-0.26363502694603858</v>
      </c>
      <c r="N47" s="1" t="s">
        <v>102</v>
      </c>
      <c r="O47" s="171">
        <v>19.512499999999999</v>
      </c>
      <c r="P47" s="173">
        <v>447</v>
      </c>
      <c r="Q47" s="172">
        <v>5.9885855148575865E-3</v>
      </c>
      <c r="Z47" s="170" t="s">
        <v>24</v>
      </c>
      <c r="AA47" s="1" t="s">
        <v>370</v>
      </c>
      <c r="AF47" s="170" t="s">
        <v>24</v>
      </c>
      <c r="AG47" s="1" t="s">
        <v>370</v>
      </c>
      <c r="AL47" s="170" t="s">
        <v>24</v>
      </c>
      <c r="AM47" s="1" t="s">
        <v>370</v>
      </c>
    </row>
    <row r="48" spans="2:39" ht="28.8">
      <c r="H48" s="1">
        <v>2021</v>
      </c>
      <c r="I48" s="173">
        <v>14757</v>
      </c>
      <c r="J48" s="172">
        <v>0.71593023255813959</v>
      </c>
      <c r="K48" s="177">
        <v>212.15454640000002</v>
      </c>
      <c r="L48" s="172">
        <v>0.62389734757686688</v>
      </c>
      <c r="N48" s="1" t="s">
        <v>155</v>
      </c>
      <c r="O48" s="1"/>
      <c r="P48" s="173">
        <v>74642</v>
      </c>
      <c r="Q48" s="172">
        <v>1</v>
      </c>
      <c r="T48" s="170" t="s">
        <v>189</v>
      </c>
      <c r="U48" s="1" t="s">
        <v>202</v>
      </c>
      <c r="Z48" s="170" t="s">
        <v>268</v>
      </c>
      <c r="AA48" s="1" t="s">
        <v>370</v>
      </c>
      <c r="AF48" s="170" t="s">
        <v>268</v>
      </c>
      <c r="AG48" s="1" t="s">
        <v>370</v>
      </c>
      <c r="AL48" s="170" t="s">
        <v>268</v>
      </c>
      <c r="AM48" s="1" t="s">
        <v>370</v>
      </c>
    </row>
    <row r="49" spans="8:42">
      <c r="H49" s="1">
        <v>2022</v>
      </c>
      <c r="I49" s="173">
        <v>16114</v>
      </c>
      <c r="J49" s="172">
        <v>9.1956359693704678E-2</v>
      </c>
      <c r="K49" s="177">
        <v>209.72200199999997</v>
      </c>
      <c r="L49" s="172">
        <v>-1.146590747771993E-2</v>
      </c>
      <c r="T49" s="170" t="s">
        <v>194</v>
      </c>
      <c r="U49" s="1" t="s">
        <v>215</v>
      </c>
    </row>
    <row r="50" spans="8:42">
      <c r="H50" s="1">
        <v>2023</v>
      </c>
      <c r="I50" s="173">
        <v>28220</v>
      </c>
      <c r="J50" s="172">
        <v>0.75127218567705101</v>
      </c>
      <c r="K50" s="177">
        <v>357.42347360000002</v>
      </c>
      <c r="L50" s="172">
        <v>0.70427265709584475</v>
      </c>
      <c r="T50" s="170" t="s">
        <v>193</v>
      </c>
      <c r="U50" s="1" t="s">
        <v>214</v>
      </c>
      <c r="Z50" s="1"/>
      <c r="AA50" s="170" t="s">
        <v>778</v>
      </c>
      <c r="AB50" s="1"/>
      <c r="AC50" s="1"/>
      <c r="AD50" s="1"/>
      <c r="AF50" s="1"/>
      <c r="AG50" s="170" t="s">
        <v>778</v>
      </c>
      <c r="AH50" s="1"/>
      <c r="AI50" s="1"/>
      <c r="AJ50" s="1"/>
      <c r="AL50" s="1"/>
      <c r="AM50" s="170" t="s">
        <v>778</v>
      </c>
      <c r="AN50" s="1"/>
      <c r="AO50" s="1"/>
      <c r="AP50" s="1"/>
    </row>
    <row r="51" spans="8:42" ht="28.8">
      <c r="H51" s="1" t="s">
        <v>155</v>
      </c>
      <c r="I51" s="173">
        <v>79303</v>
      </c>
      <c r="J51" s="172"/>
      <c r="K51" s="177">
        <v>1087.3645290000002</v>
      </c>
      <c r="L51" s="172"/>
      <c r="T51" s="170" t="s">
        <v>24</v>
      </c>
      <c r="U51" s="1" t="s">
        <v>370</v>
      </c>
      <c r="Z51" s="170" t="s">
        <v>149</v>
      </c>
      <c r="AA51" s="1" t="s">
        <v>779</v>
      </c>
      <c r="AB51" s="1" t="s">
        <v>808</v>
      </c>
      <c r="AC51" s="1" t="s">
        <v>807</v>
      </c>
      <c r="AD51" s="1" t="s">
        <v>809</v>
      </c>
      <c r="AF51" s="170" t="s">
        <v>149</v>
      </c>
      <c r="AG51" s="1" t="s">
        <v>779</v>
      </c>
      <c r="AH51" s="1" t="s">
        <v>808</v>
      </c>
      <c r="AI51" s="1" t="s">
        <v>807</v>
      </c>
      <c r="AJ51" s="1" t="s">
        <v>809</v>
      </c>
      <c r="AL51" s="170" t="s">
        <v>149</v>
      </c>
      <c r="AM51" s="1" t="s">
        <v>779</v>
      </c>
      <c r="AN51" s="1" t="s">
        <v>808</v>
      </c>
      <c r="AO51" s="1" t="s">
        <v>807</v>
      </c>
      <c r="AP51" s="1" t="s">
        <v>809</v>
      </c>
    </row>
    <row r="52" spans="8:42" ht="28.8">
      <c r="T52" s="170" t="s">
        <v>268</v>
      </c>
      <c r="U52" s="1" t="s">
        <v>370</v>
      </c>
      <c r="Z52" s="1">
        <v>2019</v>
      </c>
      <c r="AA52" s="173">
        <v>0</v>
      </c>
      <c r="AB52" s="172"/>
      <c r="AC52" s="177">
        <v>0</v>
      </c>
      <c r="AD52" s="172"/>
      <c r="AF52" s="1">
        <v>2019</v>
      </c>
      <c r="AG52" s="173">
        <v>4100</v>
      </c>
      <c r="AH52" s="172"/>
      <c r="AI52" s="177">
        <v>49.654867999999993</v>
      </c>
      <c r="AJ52" s="172"/>
      <c r="AL52" s="1">
        <v>2019</v>
      </c>
      <c r="AM52" s="173">
        <v>1018</v>
      </c>
      <c r="AN52" s="172"/>
      <c r="AO52" s="177">
        <v>25.857199999999999</v>
      </c>
      <c r="AP52" s="172"/>
    </row>
    <row r="53" spans="8:42">
      <c r="Z53" s="1">
        <v>2020</v>
      </c>
      <c r="AA53" s="173">
        <v>0</v>
      </c>
      <c r="AB53" s="172"/>
      <c r="AC53" s="177">
        <v>0</v>
      </c>
      <c r="AD53" s="172"/>
      <c r="AF53" s="1">
        <v>2020</v>
      </c>
      <c r="AG53" s="173">
        <v>4836</v>
      </c>
      <c r="AH53" s="172">
        <v>0.17951219512195121</v>
      </c>
      <c r="AI53" s="177">
        <v>56.951361999999996</v>
      </c>
      <c r="AJ53" s="172">
        <v>0.14694418279392071</v>
      </c>
      <c r="AL53" s="1">
        <v>2020</v>
      </c>
      <c r="AM53" s="173">
        <v>740</v>
      </c>
      <c r="AN53" s="172">
        <v>-0.2730844793713163</v>
      </c>
      <c r="AO53" s="177">
        <v>18.795999999999999</v>
      </c>
      <c r="AP53" s="172">
        <v>-0.2730844793713163</v>
      </c>
    </row>
    <row r="54" spans="8:42">
      <c r="N54" s="170" t="s">
        <v>189</v>
      </c>
      <c r="O54" s="1" t="s">
        <v>202</v>
      </c>
      <c r="T54" s="1"/>
      <c r="U54" s="170" t="s">
        <v>778</v>
      </c>
      <c r="V54" s="1"/>
      <c r="W54" s="1"/>
      <c r="X54" s="1"/>
      <c r="Z54" s="1">
        <v>2021</v>
      </c>
      <c r="AA54" s="173">
        <v>0</v>
      </c>
      <c r="AB54" s="172"/>
      <c r="AC54" s="177">
        <v>0</v>
      </c>
      <c r="AD54" s="172"/>
      <c r="AF54" s="1">
        <v>2021</v>
      </c>
      <c r="AG54" s="173">
        <v>7243</v>
      </c>
      <c r="AH54" s="172">
        <v>0.49772539288668322</v>
      </c>
      <c r="AI54" s="177">
        <v>87.535820999999999</v>
      </c>
      <c r="AJ54" s="172">
        <v>0.53702770093540531</v>
      </c>
      <c r="AL54" s="1">
        <v>2021</v>
      </c>
      <c r="AM54" s="173">
        <v>1177</v>
      </c>
      <c r="AN54" s="172">
        <v>0.5905405405405405</v>
      </c>
      <c r="AO54" s="177">
        <v>25.147319999999997</v>
      </c>
      <c r="AP54" s="172">
        <v>0.33790806554586073</v>
      </c>
    </row>
    <row r="55" spans="8:42" ht="28.8">
      <c r="N55" s="170" t="s">
        <v>194</v>
      </c>
      <c r="O55" s="1" t="s">
        <v>217</v>
      </c>
      <c r="T55" s="170" t="s">
        <v>149</v>
      </c>
      <c r="U55" s="1" t="s">
        <v>779</v>
      </c>
      <c r="V55" s="1" t="s">
        <v>808</v>
      </c>
      <c r="W55" s="1" t="s">
        <v>807</v>
      </c>
      <c r="X55" s="1" t="s">
        <v>809</v>
      </c>
      <c r="Z55" s="1">
        <v>2022</v>
      </c>
      <c r="AA55" s="173">
        <v>2993</v>
      </c>
      <c r="AB55" s="172"/>
      <c r="AC55" s="177">
        <v>34.998869999999997</v>
      </c>
      <c r="AD55" s="172"/>
      <c r="AF55" s="1">
        <v>2022</v>
      </c>
      <c r="AG55" s="173">
        <v>3518</v>
      </c>
      <c r="AH55" s="172">
        <v>-0.51428965898108514</v>
      </c>
      <c r="AI55" s="177">
        <v>40.618622999999999</v>
      </c>
      <c r="AJ55" s="172">
        <v>-0.53597712872310865</v>
      </c>
      <c r="AL55" s="1">
        <v>2022</v>
      </c>
      <c r="AM55" s="173">
        <v>1763</v>
      </c>
      <c r="AN55" s="172">
        <v>0.49787595581988103</v>
      </c>
      <c r="AO55" s="177">
        <v>35.6922</v>
      </c>
      <c r="AP55" s="172">
        <v>0.41932420631701522</v>
      </c>
    </row>
    <row r="56" spans="8:42">
      <c r="N56" s="170" t="s">
        <v>193</v>
      </c>
      <c r="O56" s="1" t="s">
        <v>212</v>
      </c>
      <c r="T56" s="1">
        <v>2019</v>
      </c>
      <c r="U56" s="173">
        <v>1709</v>
      </c>
      <c r="V56" s="172"/>
      <c r="W56" s="177">
        <v>100.32740000000001</v>
      </c>
      <c r="X56" s="172"/>
      <c r="Z56" s="1">
        <v>2023</v>
      </c>
      <c r="AA56" s="173">
        <v>4835</v>
      </c>
      <c r="AB56" s="172">
        <v>0.61543601737387232</v>
      </c>
      <c r="AC56" s="177">
        <v>55.652949999999997</v>
      </c>
      <c r="AD56" s="172">
        <v>0.59013562437873002</v>
      </c>
      <c r="AF56" s="1">
        <v>2023</v>
      </c>
      <c r="AG56" s="173">
        <v>5401</v>
      </c>
      <c r="AH56" s="172">
        <v>0.53524729960204664</v>
      </c>
      <c r="AI56" s="177">
        <v>63.671414999999996</v>
      </c>
      <c r="AJ56" s="172">
        <v>0.56754242998340931</v>
      </c>
      <c r="AL56" s="1">
        <v>2023</v>
      </c>
      <c r="AM56" s="173">
        <v>1124</v>
      </c>
      <c r="AN56" s="172">
        <v>-0.3624503686897334</v>
      </c>
      <c r="AO56" s="177">
        <v>15.780959999999999</v>
      </c>
      <c r="AP56" s="172">
        <v>-0.55785970043875133</v>
      </c>
    </row>
    <row r="57" spans="8:42">
      <c r="N57" s="170" t="s">
        <v>24</v>
      </c>
      <c r="O57" s="1" t="s">
        <v>370</v>
      </c>
      <c r="T57" s="1">
        <v>2020</v>
      </c>
      <c r="U57" s="173">
        <v>1042</v>
      </c>
      <c r="V57" s="172">
        <v>-0.39028671737858395</v>
      </c>
      <c r="W57" s="177">
        <v>66.456980000000001</v>
      </c>
      <c r="X57" s="172">
        <v>-0.33759890119747954</v>
      </c>
      <c r="Z57" s="1" t="s">
        <v>155</v>
      </c>
      <c r="AA57" s="173">
        <v>7828</v>
      </c>
      <c r="AB57" s="172"/>
      <c r="AC57" s="177">
        <v>90.651819999999987</v>
      </c>
      <c r="AD57" s="172"/>
      <c r="AF57" s="1" t="s">
        <v>155</v>
      </c>
      <c r="AG57" s="173">
        <v>25098</v>
      </c>
      <c r="AH57" s="172"/>
      <c r="AI57" s="177">
        <v>298.43208900000002</v>
      </c>
      <c r="AJ57" s="172"/>
      <c r="AL57" s="1" t="s">
        <v>155</v>
      </c>
      <c r="AM57" s="173">
        <v>5822</v>
      </c>
      <c r="AN57" s="172"/>
      <c r="AO57" s="177">
        <v>121.27367999999998</v>
      </c>
      <c r="AP57" s="172"/>
    </row>
    <row r="58" spans="8:42">
      <c r="N58" s="170" t="s">
        <v>268</v>
      </c>
      <c r="O58" s="1" t="s">
        <v>370</v>
      </c>
      <c r="T58" s="1">
        <v>2021</v>
      </c>
      <c r="U58" s="173">
        <v>1274</v>
      </c>
      <c r="V58" s="172">
        <v>0.22264875239923224</v>
      </c>
      <c r="W58" s="177">
        <v>79.401260000000008</v>
      </c>
      <c r="X58" s="172">
        <v>0.19477683156833198</v>
      </c>
    </row>
    <row r="59" spans="8:42">
      <c r="T59" s="1">
        <v>2022</v>
      </c>
      <c r="U59" s="173">
        <v>3669</v>
      </c>
      <c r="V59" s="172">
        <v>1.8799058084772371</v>
      </c>
      <c r="W59" s="177">
        <v>203.02473000000003</v>
      </c>
      <c r="X59" s="172">
        <v>1.5569459477091423</v>
      </c>
    </row>
    <row r="60" spans="8:42">
      <c r="N60" s="1"/>
      <c r="O60" s="170" t="s">
        <v>778</v>
      </c>
      <c r="P60" s="1"/>
      <c r="Q60" s="1"/>
      <c r="R60" s="1"/>
      <c r="T60" s="1">
        <v>2023</v>
      </c>
      <c r="U60" s="173">
        <v>4001</v>
      </c>
      <c r="V60" s="172">
        <v>9.0487871354592533E-2</v>
      </c>
      <c r="W60" s="177">
        <v>209.35896</v>
      </c>
      <c r="X60" s="172">
        <v>3.1199302666231651E-2</v>
      </c>
    </row>
    <row r="61" spans="8:42" ht="28.8">
      <c r="N61" s="170" t="s">
        <v>149</v>
      </c>
      <c r="O61" s="1" t="s">
        <v>779</v>
      </c>
      <c r="P61" s="1" t="s">
        <v>808</v>
      </c>
      <c r="Q61" s="1" t="s">
        <v>807</v>
      </c>
      <c r="R61" s="1" t="s">
        <v>809</v>
      </c>
      <c r="T61" s="1" t="s">
        <v>155</v>
      </c>
      <c r="U61" s="173">
        <v>11695</v>
      </c>
      <c r="V61" s="172"/>
      <c r="W61" s="177">
        <v>658.56933000000004</v>
      </c>
      <c r="X61" s="172"/>
    </row>
    <row r="62" spans="8:42">
      <c r="N62" s="1">
        <v>2019</v>
      </c>
      <c r="O62" s="173">
        <v>13139</v>
      </c>
      <c r="P62" s="172"/>
      <c r="Q62" s="177">
        <v>219.39164549999998</v>
      </c>
      <c r="R62" s="172"/>
    </row>
    <row r="63" spans="8:42">
      <c r="N63" s="1">
        <v>2020</v>
      </c>
      <c r="O63" s="173">
        <v>14275</v>
      </c>
      <c r="P63" s="172">
        <v>8.646015678514346E-2</v>
      </c>
      <c r="Q63" s="177">
        <v>241.9493415</v>
      </c>
      <c r="R63" s="172">
        <v>0.10281930266118554</v>
      </c>
    </row>
    <row r="64" spans="8:42">
      <c r="N64" s="1">
        <v>2021</v>
      </c>
      <c r="O64" s="173">
        <v>17652</v>
      </c>
      <c r="P64" s="172">
        <v>0.23656742556917687</v>
      </c>
      <c r="Q64" s="177">
        <v>320.01724649999994</v>
      </c>
      <c r="R64" s="172">
        <v>0.32266219249040584</v>
      </c>
    </row>
    <row r="65" spans="2:18">
      <c r="N65" s="1">
        <v>2022</v>
      </c>
      <c r="O65" s="173">
        <v>24429</v>
      </c>
      <c r="P65" s="172">
        <v>0.38392250169952413</v>
      </c>
      <c r="Q65" s="177">
        <v>408.33867250000003</v>
      </c>
      <c r="R65" s="172">
        <v>0.27598958170524757</v>
      </c>
    </row>
    <row r="66" spans="2:18">
      <c r="N66" s="1">
        <v>2023</v>
      </c>
      <c r="O66" s="173">
        <v>50213</v>
      </c>
      <c r="P66" s="172">
        <v>1.0554668631544475</v>
      </c>
      <c r="Q66" s="177">
        <v>847.11264000000017</v>
      </c>
      <c r="R66" s="172">
        <v>1.0745344417506772</v>
      </c>
    </row>
    <row r="67" spans="2:18">
      <c r="N67" s="1" t="s">
        <v>155</v>
      </c>
      <c r="O67" s="173">
        <v>119708</v>
      </c>
      <c r="P67" s="172"/>
      <c r="Q67" s="177">
        <v>2036.809546</v>
      </c>
      <c r="R67" s="172"/>
    </row>
    <row r="71" spans="2:18">
      <c r="B71" s="1"/>
      <c r="C71" s="1"/>
    </row>
    <row r="72" spans="2:18">
      <c r="B72" s="1"/>
      <c r="C72" s="1"/>
    </row>
    <row r="73" spans="2:18">
      <c r="B73" s="1"/>
      <c r="C73" s="1"/>
    </row>
    <row r="74" spans="2:18">
      <c r="B74" s="1"/>
      <c r="C74" s="1"/>
    </row>
  </sheetData>
  <sortState xmlns:xlrd2="http://schemas.microsoft.com/office/spreadsheetml/2017/richdata2" ref="N4:R22">
    <sortCondition descending="1" ref="O4:O22"/>
  </sortState>
  <mergeCells count="7">
    <mergeCell ref="AL2:AP2"/>
    <mergeCell ref="N2:R2"/>
    <mergeCell ref="T2:X2"/>
    <mergeCell ref="Z2:AD2"/>
    <mergeCell ref="B2:F2"/>
    <mergeCell ref="H2:L2"/>
    <mergeCell ref="AF2:AJ2"/>
  </mergeCells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C8D52-2A02-AB42-B6D1-B25A233AA50D}">
  <sheetPr>
    <tabColor rgb="FF92D050"/>
  </sheetPr>
  <dimension ref="A1:G42"/>
  <sheetViews>
    <sheetView workbookViewId="0">
      <selection activeCell="A16" sqref="A16:XFD16"/>
    </sheetView>
  </sheetViews>
  <sheetFormatPr defaultColWidth="11.5546875" defaultRowHeight="14.4"/>
  <cols>
    <col min="1" max="1" width="11.5546875" customWidth="1"/>
    <col min="2" max="3" width="29.33203125" customWidth="1"/>
    <col min="4" max="4" width="24.6640625" customWidth="1"/>
    <col min="5" max="5" width="24.6640625" style="5" customWidth="1"/>
    <col min="6" max="6" width="30.77734375" style="237" customWidth="1"/>
    <col min="7" max="7" width="3.88671875" customWidth="1"/>
  </cols>
  <sheetData>
    <row r="1" spans="1:7" ht="21">
      <c r="A1" s="269" t="s">
        <v>815</v>
      </c>
      <c r="B1" s="270"/>
      <c r="C1" s="270"/>
      <c r="D1" s="270"/>
      <c r="E1" s="270"/>
      <c r="F1" s="270"/>
      <c r="G1" s="270"/>
    </row>
    <row r="2" spans="1:7">
      <c r="A2" s="7"/>
      <c r="B2" s="7"/>
      <c r="C2" s="7"/>
      <c r="D2" s="7"/>
      <c r="E2" s="7"/>
      <c r="F2" s="234"/>
      <c r="G2" s="7"/>
    </row>
    <row r="3" spans="1:7">
      <c r="A3" s="231" t="s">
        <v>953</v>
      </c>
      <c r="B3" s="232" t="s">
        <v>952</v>
      </c>
      <c r="C3" s="230" t="s">
        <v>956</v>
      </c>
      <c r="D3" s="232" t="s">
        <v>954</v>
      </c>
      <c r="E3" s="230" t="s">
        <v>955</v>
      </c>
      <c r="F3" s="235" t="s">
        <v>957</v>
      </c>
    </row>
    <row r="4" spans="1:7">
      <c r="A4" s="227">
        <v>1</v>
      </c>
      <c r="B4" s="228">
        <f>COUNTA(SAM_Segmentation!B4:B10)</f>
        <v>7</v>
      </c>
      <c r="C4" s="228" t="s">
        <v>366</v>
      </c>
      <c r="D4" s="228">
        <f>SAM_Segmentation!E17</f>
        <v>39186.5</v>
      </c>
      <c r="E4" s="238">
        <f>ROUND('SOM (баллы MG по Benchmark)'!M83,2)</f>
        <v>1.61</v>
      </c>
      <c r="F4" s="236">
        <f>A4/B4*IFERROR(VLOOKUP(E4,SOM_forecast!$B$13:$C$62,2,0),
IFERROR(VLOOKUP(E4,SOM_forecast!$D$13:$E$62,2,0),
IFERROR(VLOOKUP(E4,SOM_forecast!$F$13:$G$62,2,0),
IFERROR(VLOOKUP(E4,SOM_forecast!$H$13:$I$62,2,0),
IFERROR(VLOOKUP(E4,SOM_forecast!$J$13:$K$62,2,0),
IFERROR(VLOOKUP(E4,SOM_forecast!$L$13:$M$62,2,0),
IFERROR(VLOOKUP(E4,SOM_forecast!$N$13:$O$62,2,0),
IFERROR(VLOOKUP(E4,SOM_forecast!$P$13:$Q$62,2,0),"?"))))))))</f>
        <v>5.7500000000000002E-2</v>
      </c>
    </row>
    <row r="5" spans="1:7">
      <c r="A5" s="7"/>
      <c r="B5" s="7"/>
      <c r="C5" s="7"/>
      <c r="D5" s="7"/>
      <c r="E5" s="7"/>
      <c r="F5" s="234"/>
    </row>
    <row r="6" spans="1:7" ht="21">
      <c r="A6" s="269" t="s">
        <v>811</v>
      </c>
      <c r="B6" s="270"/>
      <c r="C6" s="270"/>
      <c r="D6" s="270"/>
      <c r="E6" s="270"/>
      <c r="F6" s="270"/>
      <c r="G6" s="270"/>
    </row>
    <row r="7" spans="1:7">
      <c r="A7" s="7"/>
      <c r="B7" s="7"/>
      <c r="C7" s="7"/>
      <c r="D7" s="7"/>
      <c r="E7" s="7"/>
      <c r="F7" s="234"/>
      <c r="G7" s="7"/>
    </row>
    <row r="8" spans="1:7">
      <c r="A8" s="231" t="s">
        <v>953</v>
      </c>
      <c r="B8" s="232" t="s">
        <v>952</v>
      </c>
      <c r="C8" s="230" t="s">
        <v>956</v>
      </c>
      <c r="D8" s="232" t="s">
        <v>954</v>
      </c>
      <c r="E8" s="230" t="s">
        <v>955</v>
      </c>
      <c r="F8" s="235" t="s">
        <v>957</v>
      </c>
    </row>
    <row r="9" spans="1:7">
      <c r="A9" s="227">
        <v>2</v>
      </c>
      <c r="B9" s="228">
        <f>COUNTA(SAM_Segmentation!H4:H12)</f>
        <v>9</v>
      </c>
      <c r="C9" s="228" t="s">
        <v>10</v>
      </c>
      <c r="D9" s="228">
        <f>SAM_Segmentation!K17</f>
        <v>22167</v>
      </c>
      <c r="E9" s="239">
        <f>ROUND('SOM (баллы MG по Benchmark)'!M74,2)</f>
        <v>2.35</v>
      </c>
      <c r="F9" s="236">
        <f>1/B9*IFERROR(VLOOKUP(E9,SOM_forecast!$B$13:$C$62,2,0),
IFERROR(VLOOKUP(E9,SOM_forecast!$D$13:$E$62,2,0),
IFERROR(VLOOKUP(E9,SOM_forecast!$F$13:$G$62,2,0),
IFERROR(VLOOKUP(E9,SOM_forecast!$H$13:$I$62,2,0),
IFERROR(VLOOKUP(E9,SOM_forecast!$J$13:$K$62,2,0),
IFERROR(VLOOKUP(E9,SOM_forecast!$L$13:$M$62,2,0),
IFERROR(VLOOKUP(E9,SOM_forecast!$N$13:$O$62,2,0),
IFERROR(VLOOKUP(E9,SOM_forecast!$P$13:$Q$62,2,0),"?"))))))))</f>
        <v>6.5277777777777782E-2</v>
      </c>
    </row>
    <row r="10" spans="1:7">
      <c r="A10" s="7"/>
      <c r="B10" s="7"/>
      <c r="C10" s="7"/>
      <c r="D10" s="7"/>
      <c r="E10" s="7"/>
      <c r="F10" s="234"/>
    </row>
    <row r="11" spans="1:7" ht="21">
      <c r="A11" s="269" t="s">
        <v>950</v>
      </c>
      <c r="B11" s="270"/>
      <c r="C11" s="270"/>
      <c r="D11" s="270"/>
      <c r="E11" s="270"/>
      <c r="F11" s="270"/>
      <c r="G11" s="270"/>
    </row>
    <row r="12" spans="1:7">
      <c r="A12" s="7"/>
      <c r="B12" s="7"/>
      <c r="C12" s="7"/>
      <c r="D12" s="7"/>
      <c r="E12" s="7"/>
      <c r="F12" s="234"/>
    </row>
    <row r="13" spans="1:7">
      <c r="A13" s="41" t="s">
        <v>953</v>
      </c>
      <c r="B13" s="40" t="s">
        <v>952</v>
      </c>
      <c r="C13" s="41" t="s">
        <v>956</v>
      </c>
      <c r="D13" s="40" t="s">
        <v>954</v>
      </c>
      <c r="E13" s="41" t="s">
        <v>955</v>
      </c>
      <c r="F13" s="208" t="s">
        <v>957</v>
      </c>
    </row>
    <row r="14" spans="1:7">
      <c r="A14" s="41">
        <v>3</v>
      </c>
      <c r="B14" s="41">
        <f>COUNTA(SAM_Segmentation!N4:N22)</f>
        <v>19</v>
      </c>
      <c r="C14" s="41" t="s">
        <v>250</v>
      </c>
      <c r="D14" s="41">
        <f>SAM_Segmentation!Q27</f>
        <v>37321</v>
      </c>
      <c r="E14" s="41">
        <f>ROUND('SOM (баллы MG по Benchmark)'!M56,2)</f>
        <v>1.45</v>
      </c>
      <c r="F14" s="136">
        <f>1/B14*IFERROR(VLOOKUP(E14,SOM_forecast!$B$13:$C$62,2,0),
IFERROR(VLOOKUP(E14,SOM_forecast!$D$13:$E$62,2,0),
IFERROR(VLOOKUP(E14,SOM_forecast!$F$13:$G$62,2,0),
IFERROR(VLOOKUP(E14,SOM_forecast!$H$13:$I$62,2,0),
IFERROR(VLOOKUP(E14,SOM_forecast!$J$13:$K$62,2,0),
IFERROR(VLOOKUP(E14,SOM_forecast!$L$13:$M$62,2,0),
IFERROR(VLOOKUP(E14,SOM_forecast!$N$13:$O$62,2,0),
IFERROR(VLOOKUP(E14,SOM_forecast!$P$13:$Q$62,2,0),"?"))))))))</f>
        <v>1.9078947368421049E-2</v>
      </c>
    </row>
    <row r="15" spans="1:7">
      <c r="A15" s="41">
        <v>3</v>
      </c>
      <c r="B15" s="41">
        <f>COUNTA(SAM_Segmentation!N4:N22)</f>
        <v>19</v>
      </c>
      <c r="C15" s="41" t="s">
        <v>239</v>
      </c>
      <c r="D15" s="41">
        <f>SAM_Segmentation!Q27</f>
        <v>37321</v>
      </c>
      <c r="E15" s="41">
        <f>ROUND('SOM (баллы MG по Benchmark)'!M59,2)</f>
        <v>1.53</v>
      </c>
      <c r="F15" s="136">
        <f>1/B15*IFERROR(VLOOKUP(E15,SOM_forecast!$B$13:$C$62,2,0),
IFERROR(VLOOKUP(E15,SOM_forecast!$D$13:$E$62,2,0),
IFERROR(VLOOKUP(E15,SOM_forecast!$F$13:$G$62,2,0),
IFERROR(VLOOKUP(E15,SOM_forecast!$H$13:$I$62,2,0),
IFERROR(VLOOKUP(E15,SOM_forecast!$J$13:$K$62,2,0),
IFERROR(VLOOKUP(E15,SOM_forecast!$L$13:$M$62,2,0),
IFERROR(VLOOKUP(E15,SOM_forecast!$N$13:$O$62,2,0),
IFERROR(VLOOKUP(E15,SOM_forecast!$P$13:$Q$62,2,0),"?"))))))))</f>
        <v>2.013157894736842E-2</v>
      </c>
    </row>
    <row r="16" spans="1:7">
      <c r="A16" s="228">
        <v>3</v>
      </c>
      <c r="B16" s="41">
        <f>COUNTA(SAM_Segmentation!N4:N22)</f>
        <v>19</v>
      </c>
      <c r="C16" s="41" t="s">
        <v>13</v>
      </c>
      <c r="D16" s="41">
        <f>SAM_Segmentation!Q27</f>
        <v>37321</v>
      </c>
      <c r="E16" s="41">
        <f>ROUND('SOM (баллы MG по Benchmark)'!M65,2)</f>
        <v>2.4300000000000002</v>
      </c>
      <c r="F16" s="136">
        <f>1/B16*IFERROR(VLOOKUP(E16,SOM_forecast!$B$13:$C$62,2,0),
IFERROR(VLOOKUP(E16,SOM_forecast!$D$13:$E$62,2,0),
IFERROR(VLOOKUP(E16,SOM_forecast!$F$13:$G$62,2,0),
IFERROR(VLOOKUP(E16,SOM_forecast!$H$13:$I$62,2,0),
IFERROR(VLOOKUP(E16,SOM_forecast!$J$13:$K$62,2,0),
IFERROR(VLOOKUP(E16,SOM_forecast!$L$13:$M$62,2,0),
IFERROR(VLOOKUP(E16,SOM_forecast!$N$13:$O$62,2,0),
IFERROR(VLOOKUP(E16,SOM_forecast!$P$13:$Q$62,2,0),"?"))))))))</f>
        <v>3.1973684210526314E-2</v>
      </c>
    </row>
    <row r="17" spans="1:7">
      <c r="A17" s="227" t="s">
        <v>123</v>
      </c>
      <c r="B17" s="228"/>
      <c r="C17" s="228"/>
      <c r="D17" s="228"/>
      <c r="E17" s="228"/>
      <c r="F17" s="240">
        <f>SUBTOTAL(109,Table134[Доля рынка по сегменту])</f>
        <v>7.1184210526315794E-2</v>
      </c>
    </row>
    <row r="18" spans="1:7">
      <c r="A18" s="7"/>
      <c r="B18" s="229"/>
    </row>
    <row r="19" spans="1:7" ht="21">
      <c r="A19" s="269" t="s">
        <v>814</v>
      </c>
      <c r="B19" s="270"/>
      <c r="C19" s="270"/>
      <c r="D19" s="270"/>
      <c r="E19" s="270"/>
      <c r="F19" s="270"/>
      <c r="G19" s="270"/>
    </row>
    <row r="20" spans="1:7">
      <c r="A20" s="7"/>
      <c r="B20" s="7"/>
      <c r="C20" s="7"/>
      <c r="D20" s="7"/>
      <c r="E20" s="7"/>
      <c r="F20" s="234"/>
      <c r="G20" s="233"/>
    </row>
    <row r="21" spans="1:7">
      <c r="A21" s="230" t="s">
        <v>953</v>
      </c>
      <c r="B21" s="232" t="s">
        <v>952</v>
      </c>
      <c r="C21" s="230" t="s">
        <v>956</v>
      </c>
      <c r="D21" s="232" t="s">
        <v>954</v>
      </c>
      <c r="E21" s="230" t="s">
        <v>955</v>
      </c>
      <c r="F21" s="235" t="s">
        <v>957</v>
      </c>
    </row>
    <row r="22" spans="1:7">
      <c r="A22" s="41">
        <v>4</v>
      </c>
      <c r="B22" s="41">
        <f>COUNTA(SAM_Segmentation!T4:T11)</f>
        <v>8</v>
      </c>
      <c r="C22" s="41" t="s">
        <v>247</v>
      </c>
      <c r="D22" s="41">
        <f>SAM_Segmentation!W21</f>
        <v>3835</v>
      </c>
      <c r="E22" s="41">
        <f>ROUND('SOM (баллы MG по Benchmark)'!M34,2)</f>
        <v>2.0699999999999998</v>
      </c>
      <c r="F22" s="136">
        <f>1/B22*IFERROR(VLOOKUP(E22,SOM_forecast!$B$13:$C$62,2,0),
IFERROR(VLOOKUP(E22,SOM_forecast!$D$13:$E$62,2,0),
IFERROR(VLOOKUP(E22,SOM_forecast!$F$13:$G$62,2,0),
IFERROR(VLOOKUP(E22,SOM_forecast!$H$13:$I$62,2,0),
IFERROR(VLOOKUP(E22,SOM_forecast!$J$13:$K$62,2,0),
IFERROR(VLOOKUP(E22,SOM_forecast!$L$13:$M$62,2,0),
IFERROR(VLOOKUP(E22,SOM_forecast!$N$13:$O$62,2,0),
IFERROR(VLOOKUP(E22,SOM_forecast!$P$13:$Q$62,2,0),"?"))))))))</f>
        <v>6.4687499999999995E-2</v>
      </c>
    </row>
    <row r="23" spans="1:7">
      <c r="A23" s="41">
        <v>4</v>
      </c>
      <c r="B23" s="41">
        <f>COUNTA(SAM_Segmentation!T4:T11)</f>
        <v>8</v>
      </c>
      <c r="C23" s="41" t="s">
        <v>241</v>
      </c>
      <c r="D23" s="41">
        <f>SAM_Segmentation!W21</f>
        <v>3835</v>
      </c>
      <c r="E23" s="41">
        <f>ROUND('SOM (баллы MG по Benchmark)'!M37,2)</f>
        <v>2.13</v>
      </c>
      <c r="F23" s="136">
        <f>1/B23*IFERROR(VLOOKUP(E23,SOM_forecast!$B$13:$C$62,2,0),
IFERROR(VLOOKUP(E23,SOM_forecast!$D$13:$E$62,2,0),
IFERROR(VLOOKUP(E23,SOM_forecast!$F$13:$G$62,2,0),
IFERROR(VLOOKUP(E23,SOM_forecast!$H$13:$I$62,2,0),
IFERROR(VLOOKUP(E23,SOM_forecast!$J$13:$K$62,2,0),
IFERROR(VLOOKUP(E23,SOM_forecast!$L$13:$M$62,2,0),
IFERROR(VLOOKUP(E23,SOM_forecast!$N$13:$O$62,2,0),
IFERROR(VLOOKUP(E23,SOM_forecast!$P$13:$Q$62,2,0),"?"))))))))</f>
        <v>6.6562499999999997E-2</v>
      </c>
    </row>
    <row r="24" spans="1:7">
      <c r="A24" s="41">
        <v>4</v>
      </c>
      <c r="B24" s="41">
        <f>COUNTA(SAM_Segmentation!T4:T11)</f>
        <v>8</v>
      </c>
      <c r="C24" s="41" t="s">
        <v>248</v>
      </c>
      <c r="D24" s="41">
        <f>SAM_Segmentation!W21</f>
        <v>3835</v>
      </c>
      <c r="E24" s="41">
        <f>ROUND('SOM (баллы MG по Benchmark)'!M40,2)</f>
        <v>2.21</v>
      </c>
      <c r="F24" s="136">
        <f>1/B24*IFERROR(VLOOKUP(E24,SOM_forecast!$B$13:$C$62,2,0),
IFERROR(VLOOKUP(E24,SOM_forecast!$D$13:$E$62,2,0),
IFERROR(VLOOKUP(E24,SOM_forecast!$F$13:$G$62,2,0),
IFERROR(VLOOKUP(E24,SOM_forecast!$H$13:$I$62,2,0),
IFERROR(VLOOKUP(E24,SOM_forecast!$J$13:$K$62,2,0),
IFERROR(VLOOKUP(E24,SOM_forecast!$L$13:$M$62,2,0),
IFERROR(VLOOKUP(E24,SOM_forecast!$N$13:$O$62,2,0),
IFERROR(VLOOKUP(E24,SOM_forecast!$P$13:$Q$62,2,0),"?"))))))))</f>
        <v>6.9062499999999999E-2</v>
      </c>
    </row>
    <row r="25" spans="1:7">
      <c r="A25" s="41">
        <v>4</v>
      </c>
      <c r="B25" s="41">
        <f>COUNTA(SAM_Segmentation!T4:T11)</f>
        <v>8</v>
      </c>
      <c r="C25" s="41" t="s">
        <v>251</v>
      </c>
      <c r="D25" s="41">
        <f>SAM_Segmentation!W21</f>
        <v>3835</v>
      </c>
      <c r="E25" s="164">
        <f>ROUND('SOM (баллы MG по Benchmark)'!M43,2)</f>
        <v>2.4500000000000002</v>
      </c>
      <c r="F25" s="136">
        <f>1/B25*IFERROR(VLOOKUP(E25,SOM_forecast!$B$13:$C$62,2,0),
IFERROR(VLOOKUP(E25,SOM_forecast!$D$13:$E$62,2,0),
IFERROR(VLOOKUP(E25,SOM_forecast!$F$13:$G$62,2,0),
IFERROR(VLOOKUP(E25,SOM_forecast!$H$13:$I$62,2,0),
IFERROR(VLOOKUP(E25,SOM_forecast!$J$13:$K$62,2,0),
IFERROR(VLOOKUP(E25,SOM_forecast!$L$13:$M$62,2,0),
IFERROR(VLOOKUP(E25,SOM_forecast!$N$13:$O$62,2,0),
IFERROR(VLOOKUP(E25,SOM_forecast!$P$13:$Q$62,2,0),"?"))))))))</f>
        <v>7.6562500000000006E-2</v>
      </c>
    </row>
    <row r="26" spans="1:7">
      <c r="A26" s="41">
        <v>4</v>
      </c>
      <c r="B26" s="41">
        <f>COUNTA(SAM_Segmentation!T4:T11)</f>
        <v>8</v>
      </c>
      <c r="C26" s="41" t="s">
        <v>245</v>
      </c>
      <c r="D26" s="41">
        <f>SAM_Segmentation!W21</f>
        <v>3835</v>
      </c>
      <c r="E26" s="41">
        <f>ROUND('SOM (баллы MG по Benchmark)'!M46,2)</f>
        <v>2.21</v>
      </c>
      <c r="F26" s="136">
        <f>1/B26*IFERROR(VLOOKUP(E26,SOM_forecast!$B$13:$C$62,2,0),
IFERROR(VLOOKUP(E26,SOM_forecast!$D$13:$E$62,2,0),
IFERROR(VLOOKUP(E26,SOM_forecast!$F$13:$G$62,2,0),
IFERROR(VLOOKUP(E26,SOM_forecast!$H$13:$I$62,2,0),
IFERROR(VLOOKUP(E26,SOM_forecast!$J$13:$K$62,2,0),
IFERROR(VLOOKUP(E26,SOM_forecast!$L$13:$M$62,2,0),
IFERROR(VLOOKUP(E26,SOM_forecast!$N$13:$O$62,2,0),
IFERROR(VLOOKUP(E26,SOM_forecast!$P$13:$Q$62,2,0),"?"))))))))</f>
        <v>6.9062499999999999E-2</v>
      </c>
    </row>
    <row r="27" spans="1:7">
      <c r="A27" s="41" t="s">
        <v>123</v>
      </c>
      <c r="B27" s="41"/>
      <c r="C27" s="41"/>
      <c r="D27" s="41"/>
      <c r="E27" s="41"/>
      <c r="F27" s="241">
        <f>SUBTOTAL(109,Table4[Доля рынка по сегменту])</f>
        <v>0.34593750000000001</v>
      </c>
    </row>
    <row r="29" spans="1:7" ht="21">
      <c r="A29" s="269" t="s">
        <v>813</v>
      </c>
      <c r="B29" s="270"/>
      <c r="C29" s="270"/>
      <c r="D29" s="270"/>
      <c r="E29" s="270"/>
      <c r="F29" s="270"/>
      <c r="G29" s="270"/>
    </row>
    <row r="31" spans="1:7">
      <c r="A31" s="231" t="s">
        <v>953</v>
      </c>
      <c r="B31" s="232" t="s">
        <v>952</v>
      </c>
      <c r="C31" s="230" t="s">
        <v>956</v>
      </c>
      <c r="D31" s="232" t="s">
        <v>954</v>
      </c>
      <c r="E31" s="230" t="s">
        <v>955</v>
      </c>
      <c r="F31" s="235" t="s">
        <v>957</v>
      </c>
    </row>
    <row r="32" spans="1:7">
      <c r="A32" s="227">
        <v>5</v>
      </c>
      <c r="B32" s="228">
        <f>COUNTA(SAM_Segmentation!Z4:Z7)</f>
        <v>4</v>
      </c>
      <c r="C32" s="228" t="s">
        <v>10</v>
      </c>
      <c r="D32" s="228">
        <f>SAM_Segmentation!AC17</f>
        <v>3914</v>
      </c>
      <c r="E32" s="5">
        <f>ROUND('SOM (баллы MG по Benchmark)'!M24,2)</f>
        <v>2.0099999999999998</v>
      </c>
      <c r="F32" s="236">
        <f>1/B32*IFERROR(VLOOKUP(E32,SOM_forecast!$B$13:$C$62,2,0),
IFERROR(VLOOKUP(E32,SOM_forecast!$D$13:$E$62,2,0),
IFERROR(VLOOKUP(E32,SOM_forecast!$F$13:$G$62,2,0),
IFERROR(VLOOKUP(E32,SOM_forecast!$H$13:$I$62,2,0),
IFERROR(VLOOKUP(E32,SOM_forecast!$J$13:$K$62,2,0),
IFERROR(VLOOKUP(E32,SOM_forecast!$L$13:$M$62,2,0),
IFERROR(VLOOKUP(E32,SOM_forecast!$N$13:$O$62,2,0),
IFERROR(VLOOKUP(E32,SOM_forecast!$P$13:$Q$62,2,0),"?"))))))))</f>
        <v>0.12562499999999999</v>
      </c>
    </row>
    <row r="34" spans="1:7" ht="21">
      <c r="A34" s="269" t="s">
        <v>906</v>
      </c>
      <c r="B34" s="270"/>
      <c r="C34" s="270"/>
      <c r="D34" s="270"/>
      <c r="E34" s="270"/>
      <c r="F34" s="270"/>
      <c r="G34" s="270"/>
    </row>
    <row r="36" spans="1:7">
      <c r="A36" s="231" t="s">
        <v>953</v>
      </c>
      <c r="B36" s="232" t="s">
        <v>952</v>
      </c>
      <c r="C36" s="230" t="s">
        <v>956</v>
      </c>
      <c r="D36" s="232" t="s">
        <v>954</v>
      </c>
      <c r="E36" s="230" t="s">
        <v>955</v>
      </c>
      <c r="F36" s="235" t="s">
        <v>957</v>
      </c>
    </row>
    <row r="37" spans="1:7">
      <c r="A37" s="227">
        <v>6</v>
      </c>
      <c r="B37" s="228">
        <f>COUNTA(SAM_Segmentation!AF4:AF10)</f>
        <v>7</v>
      </c>
      <c r="C37" s="228" t="s">
        <v>12</v>
      </c>
      <c r="D37" s="228">
        <f>SAM_Segmentation!AI17</f>
        <v>4459.5</v>
      </c>
      <c r="E37" s="5">
        <f>ROUND('SOM (баллы MG по Benchmark)'!M15,2)</f>
        <v>1.85</v>
      </c>
      <c r="F37" s="236">
        <f>1/B37*IFERROR(VLOOKUP(E37,SOM_forecast!$B$13:$C$62,2,0),
IFERROR(VLOOKUP(E37,SOM_forecast!$D$13:$E$62,2,0),
IFERROR(VLOOKUP(E37,SOM_forecast!$F$13:$G$62,2,0),
IFERROR(VLOOKUP(E37,SOM_forecast!$H$13:$I$62,2,0),
IFERROR(VLOOKUP(E37,SOM_forecast!$J$13:$K$62,2,0),
IFERROR(VLOOKUP(E37,SOM_forecast!$L$13:$M$62,2,0),
IFERROR(VLOOKUP(E37,SOM_forecast!$N$13:$O$62,2,0),
IFERROR(VLOOKUP(E37,SOM_forecast!$P$13:$Q$62,2,0),"?"))))))))</f>
        <v>6.6071428571428573E-2</v>
      </c>
    </row>
    <row r="39" spans="1:7" ht="21">
      <c r="A39" s="269" t="s">
        <v>812</v>
      </c>
      <c r="B39" s="270"/>
      <c r="C39" s="270"/>
      <c r="D39" s="270"/>
      <c r="E39" s="270"/>
      <c r="F39" s="270"/>
      <c r="G39" s="270"/>
    </row>
    <row r="41" spans="1:7">
      <c r="A41" s="231" t="s">
        <v>953</v>
      </c>
      <c r="B41" s="232" t="s">
        <v>952</v>
      </c>
      <c r="C41" s="230" t="s">
        <v>956</v>
      </c>
      <c r="D41" s="232" t="s">
        <v>954</v>
      </c>
      <c r="E41" s="230" t="s">
        <v>955</v>
      </c>
      <c r="F41" s="235" t="s">
        <v>957</v>
      </c>
    </row>
    <row r="42" spans="1:7">
      <c r="A42" s="227">
        <v>7</v>
      </c>
      <c r="B42" s="228">
        <f>COUNTA(SAM_Segmentation!AL4:AL6)</f>
        <v>3</v>
      </c>
      <c r="C42" s="228" t="s">
        <v>243</v>
      </c>
      <c r="D42" s="228">
        <f>SAM_Segmentation!AO17</f>
        <v>1443.5</v>
      </c>
      <c r="E42" s="5">
        <f>ROUND('SOM (баллы MG по Benchmark)'!M5,2)</f>
        <v>2.0099999999999998</v>
      </c>
      <c r="F42" s="236">
        <v>7.2499999999999995E-2</v>
      </c>
    </row>
  </sheetData>
  <mergeCells count="7">
    <mergeCell ref="A39:G39"/>
    <mergeCell ref="A1:G1"/>
    <mergeCell ref="A6:G6"/>
    <mergeCell ref="A11:G11"/>
    <mergeCell ref="A19:G19"/>
    <mergeCell ref="A29:G29"/>
    <mergeCell ref="A34:G34"/>
  </mergeCells>
  <phoneticPr fontId="4" type="noConversion"/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A1606-6799-A740-BCC1-B4726033A7D9}">
  <sheetPr>
    <tabColor rgb="FF92D050"/>
  </sheetPr>
  <dimension ref="A1:M85"/>
  <sheetViews>
    <sheetView topLeftCell="A55" zoomScale="110" workbookViewId="0">
      <selection activeCell="B62" sqref="A62:XFD64"/>
    </sheetView>
  </sheetViews>
  <sheetFormatPr defaultColWidth="11.5546875" defaultRowHeight="14.4"/>
  <cols>
    <col min="2" max="2" width="15" customWidth="1"/>
    <col min="3" max="12" width="16" customWidth="1"/>
  </cols>
  <sheetData>
    <row r="1" spans="1:13" ht="21">
      <c r="A1" s="269" t="s">
        <v>812</v>
      </c>
      <c r="B1" s="270"/>
      <c r="C1" s="270"/>
      <c r="D1" s="270"/>
      <c r="E1" s="270"/>
      <c r="F1" s="270"/>
      <c r="G1" s="270"/>
      <c r="H1" s="270"/>
      <c r="I1" s="270"/>
      <c r="J1" s="270"/>
      <c r="K1" s="270"/>
      <c r="L1" s="270"/>
      <c r="M1" s="270"/>
    </row>
    <row r="2" spans="1:13">
      <c r="A2" s="212"/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</row>
    <row r="3" spans="1:13" ht="57.6">
      <c r="A3" s="213" t="s">
        <v>24</v>
      </c>
      <c r="B3" s="214" t="s">
        <v>830</v>
      </c>
      <c r="C3" s="214" t="s">
        <v>228</v>
      </c>
      <c r="D3" s="214" t="s">
        <v>705</v>
      </c>
      <c r="E3" s="214" t="s">
        <v>699</v>
      </c>
      <c r="F3" s="214" t="s">
        <v>704</v>
      </c>
      <c r="G3" s="214" t="s">
        <v>702</v>
      </c>
      <c r="H3" s="214" t="s">
        <v>701</v>
      </c>
      <c r="I3" s="214" t="s">
        <v>694</v>
      </c>
      <c r="J3" s="214" t="s">
        <v>697</v>
      </c>
      <c r="K3" s="214" t="s">
        <v>693</v>
      </c>
      <c r="L3" s="214" t="s">
        <v>698</v>
      </c>
      <c r="M3" s="271" t="s">
        <v>831</v>
      </c>
    </row>
    <row r="4" spans="1:13" ht="132.6">
      <c r="A4" s="271" t="s">
        <v>243</v>
      </c>
      <c r="B4" s="215" t="s">
        <v>898</v>
      </c>
      <c r="C4" s="216" t="s">
        <v>714</v>
      </c>
      <c r="D4" s="216" t="s">
        <v>758</v>
      </c>
      <c r="E4" s="216" t="s">
        <v>754</v>
      </c>
      <c r="F4" s="216" t="s">
        <v>747</v>
      </c>
      <c r="G4" s="216" t="s">
        <v>743</v>
      </c>
      <c r="H4" s="216" t="s">
        <v>737</v>
      </c>
      <c r="I4" s="216" t="s">
        <v>732</v>
      </c>
      <c r="J4" s="216" t="s">
        <v>949</v>
      </c>
      <c r="K4" s="216" t="s">
        <v>724</v>
      </c>
      <c r="L4" s="216" t="s">
        <v>750</v>
      </c>
      <c r="M4" s="272"/>
    </row>
    <row r="5" spans="1:13" ht="28.8">
      <c r="A5" s="273"/>
      <c r="B5" s="215" t="s">
        <v>832</v>
      </c>
      <c r="C5" s="219">
        <v>2</v>
      </c>
      <c r="D5" s="219">
        <v>3</v>
      </c>
      <c r="E5" s="219">
        <v>3</v>
      </c>
      <c r="F5" s="219">
        <v>2</v>
      </c>
      <c r="G5" s="219">
        <v>2</v>
      </c>
      <c r="H5" s="219">
        <v>2</v>
      </c>
      <c r="I5" s="219">
        <v>2</v>
      </c>
      <c r="J5" s="219">
        <v>1</v>
      </c>
      <c r="K5" s="219">
        <v>1</v>
      </c>
      <c r="L5" s="219">
        <v>2</v>
      </c>
      <c r="M5" s="274">
        <f>SUM(C7:L7)</f>
        <v>2.0099999999999998</v>
      </c>
    </row>
    <row r="6" spans="1:13" ht="28.8">
      <c r="A6" s="273"/>
      <c r="B6" s="215" t="s">
        <v>695</v>
      </c>
      <c r="C6" s="218">
        <v>0.3</v>
      </c>
      <c r="D6" s="218">
        <v>0.08</v>
      </c>
      <c r="E6" s="218">
        <v>0.08</v>
      </c>
      <c r="F6" s="218">
        <v>0.08</v>
      </c>
      <c r="G6" s="218">
        <v>0.08</v>
      </c>
      <c r="H6" s="218">
        <v>0.08</v>
      </c>
      <c r="I6" s="218">
        <v>0.1</v>
      </c>
      <c r="J6" s="218">
        <v>0.1</v>
      </c>
      <c r="K6" s="218">
        <v>0.05</v>
      </c>
      <c r="L6" s="218">
        <v>0.05</v>
      </c>
      <c r="M6" s="273"/>
    </row>
    <row r="7" spans="1:13" ht="28.8">
      <c r="A7" s="272"/>
      <c r="B7" s="215" t="s">
        <v>833</v>
      </c>
      <c r="C7" s="217">
        <f>C5*C6</f>
        <v>0.6</v>
      </c>
      <c r="D7" s="217">
        <f t="shared" ref="D7:L7" si="0">D5*D6</f>
        <v>0.24</v>
      </c>
      <c r="E7" s="217">
        <f t="shared" si="0"/>
        <v>0.24</v>
      </c>
      <c r="F7" s="217">
        <f t="shared" si="0"/>
        <v>0.16</v>
      </c>
      <c r="G7" s="217">
        <f t="shared" si="0"/>
        <v>0.16</v>
      </c>
      <c r="H7" s="217">
        <f t="shared" si="0"/>
        <v>0.16</v>
      </c>
      <c r="I7" s="217">
        <f t="shared" si="0"/>
        <v>0.2</v>
      </c>
      <c r="J7" s="217">
        <f t="shared" si="0"/>
        <v>0.1</v>
      </c>
      <c r="K7" s="217">
        <f t="shared" si="0"/>
        <v>0.05</v>
      </c>
      <c r="L7" s="217">
        <f t="shared" si="0"/>
        <v>0.1</v>
      </c>
      <c r="M7" s="275"/>
    </row>
    <row r="11" spans="1:13" ht="21">
      <c r="A11" s="269" t="s">
        <v>906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70"/>
      <c r="L11" s="270"/>
      <c r="M11" s="270"/>
    </row>
    <row r="12" spans="1:13">
      <c r="A12" s="212"/>
      <c r="B12" s="212"/>
      <c r="C12" s="212"/>
      <c r="D12" s="212"/>
      <c r="E12" s="212"/>
      <c r="F12" s="212"/>
      <c r="G12" s="212"/>
      <c r="H12" s="212"/>
      <c r="I12" s="212"/>
      <c r="J12" s="212"/>
      <c r="K12" s="212"/>
      <c r="L12" s="212"/>
      <c r="M12" s="212"/>
    </row>
    <row r="13" spans="1:13" ht="57.6">
      <c r="A13" s="213" t="s">
        <v>24</v>
      </c>
      <c r="B13" s="214" t="s">
        <v>830</v>
      </c>
      <c r="C13" s="214" t="s">
        <v>228</v>
      </c>
      <c r="D13" s="214" t="s">
        <v>705</v>
      </c>
      <c r="E13" s="214" t="s">
        <v>699</v>
      </c>
      <c r="F13" s="214" t="s">
        <v>704</v>
      </c>
      <c r="G13" s="214" t="s">
        <v>702</v>
      </c>
      <c r="H13" s="214" t="s">
        <v>701</v>
      </c>
      <c r="I13" s="214" t="s">
        <v>694</v>
      </c>
      <c r="J13" s="214" t="s">
        <v>697</v>
      </c>
      <c r="K13" s="214" t="s">
        <v>693</v>
      </c>
      <c r="L13" s="214" t="s">
        <v>698</v>
      </c>
      <c r="M13" s="271" t="s">
        <v>831</v>
      </c>
    </row>
    <row r="14" spans="1:13" ht="132.6">
      <c r="A14" s="271" t="s">
        <v>12</v>
      </c>
      <c r="B14" s="215" t="s">
        <v>898</v>
      </c>
      <c r="C14" s="216" t="s">
        <v>714</v>
      </c>
      <c r="D14" s="216" t="s">
        <v>757</v>
      </c>
      <c r="E14" s="216" t="s">
        <v>755</v>
      </c>
      <c r="F14" s="216" t="s">
        <v>747</v>
      </c>
      <c r="G14" s="216" t="s">
        <v>741</v>
      </c>
      <c r="H14" s="216" t="s">
        <v>738</v>
      </c>
      <c r="I14" s="216" t="s">
        <v>732</v>
      </c>
      <c r="J14" s="216" t="s">
        <v>949</v>
      </c>
      <c r="K14" s="216" t="s">
        <v>724</v>
      </c>
      <c r="L14" s="216" t="s">
        <v>750</v>
      </c>
      <c r="M14" s="272"/>
    </row>
    <row r="15" spans="1:13" ht="28.8">
      <c r="A15" s="273"/>
      <c r="B15" s="215" t="s">
        <v>832</v>
      </c>
      <c r="C15" s="219">
        <v>2</v>
      </c>
      <c r="D15" s="219">
        <v>2</v>
      </c>
      <c r="E15" s="219">
        <v>2</v>
      </c>
      <c r="F15" s="219">
        <v>2</v>
      </c>
      <c r="G15" s="219">
        <v>2</v>
      </c>
      <c r="H15" s="219">
        <v>2</v>
      </c>
      <c r="I15" s="219">
        <v>2</v>
      </c>
      <c r="J15" s="219">
        <v>1</v>
      </c>
      <c r="K15" s="219">
        <v>1</v>
      </c>
      <c r="L15" s="219">
        <v>2</v>
      </c>
      <c r="M15" s="274">
        <f>SUM(C17:L17)</f>
        <v>1.85</v>
      </c>
    </row>
    <row r="16" spans="1:13" ht="28.8">
      <c r="A16" s="273"/>
      <c r="B16" s="215" t="s">
        <v>695</v>
      </c>
      <c r="C16" s="218">
        <v>0.3</v>
      </c>
      <c r="D16" s="218">
        <v>0.08</v>
      </c>
      <c r="E16" s="218">
        <v>0.08</v>
      </c>
      <c r="F16" s="218">
        <v>0.08</v>
      </c>
      <c r="G16" s="218">
        <v>0.08</v>
      </c>
      <c r="H16" s="218">
        <v>0.08</v>
      </c>
      <c r="I16" s="218">
        <v>0.1</v>
      </c>
      <c r="J16" s="218">
        <v>0.1</v>
      </c>
      <c r="K16" s="218">
        <v>0.05</v>
      </c>
      <c r="L16" s="218">
        <v>0.05</v>
      </c>
      <c r="M16" s="273"/>
    </row>
    <row r="17" spans="1:13" ht="28.8">
      <c r="A17" s="272"/>
      <c r="B17" s="215" t="s">
        <v>833</v>
      </c>
      <c r="C17" s="217">
        <f>C15*C16</f>
        <v>0.6</v>
      </c>
      <c r="D17" s="217">
        <f t="shared" ref="D17" si="1">D15*D16</f>
        <v>0.16</v>
      </c>
      <c r="E17" s="217">
        <f t="shared" ref="E17" si="2">E15*E16</f>
        <v>0.16</v>
      </c>
      <c r="F17" s="217">
        <f t="shared" ref="F17" si="3">F15*F16</f>
        <v>0.16</v>
      </c>
      <c r="G17" s="217">
        <f t="shared" ref="G17" si="4">G15*G16</f>
        <v>0.16</v>
      </c>
      <c r="H17" s="217">
        <f t="shared" ref="H17" si="5">H15*H16</f>
        <v>0.16</v>
      </c>
      <c r="I17" s="217">
        <f t="shared" ref="I17" si="6">I15*I16</f>
        <v>0.2</v>
      </c>
      <c r="J17" s="217">
        <f t="shared" ref="J17" si="7">J15*J16</f>
        <v>0.1</v>
      </c>
      <c r="K17" s="217">
        <f t="shared" ref="K17" si="8">K15*K16</f>
        <v>0.05</v>
      </c>
      <c r="L17" s="217">
        <f t="shared" ref="L17" si="9">L15*L16</f>
        <v>0.1</v>
      </c>
      <c r="M17" s="275"/>
    </row>
    <row r="20" spans="1:13" ht="21">
      <c r="A20" s="269" t="s">
        <v>813</v>
      </c>
      <c r="B20" s="270"/>
      <c r="C20" s="270"/>
      <c r="D20" s="270"/>
      <c r="E20" s="270"/>
      <c r="F20" s="270"/>
      <c r="G20" s="270"/>
      <c r="H20" s="270"/>
      <c r="I20" s="270"/>
      <c r="J20" s="270"/>
      <c r="K20" s="270"/>
      <c r="L20" s="270"/>
      <c r="M20" s="270"/>
    </row>
    <row r="21" spans="1:13">
      <c r="A21" s="212"/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</row>
    <row r="22" spans="1:13" ht="57.6">
      <c r="A22" s="213" t="s">
        <v>24</v>
      </c>
      <c r="B22" s="214" t="s">
        <v>830</v>
      </c>
      <c r="C22" s="214" t="s">
        <v>228</v>
      </c>
      <c r="D22" s="214" t="s">
        <v>705</v>
      </c>
      <c r="E22" s="214" t="s">
        <v>699</v>
      </c>
      <c r="F22" s="214" t="s">
        <v>704</v>
      </c>
      <c r="G22" s="214" t="s">
        <v>702</v>
      </c>
      <c r="H22" s="214" t="s">
        <v>701</v>
      </c>
      <c r="I22" s="214" t="s">
        <v>694</v>
      </c>
      <c r="J22" s="214" t="s">
        <v>697</v>
      </c>
      <c r="K22" s="214" t="s">
        <v>693</v>
      </c>
      <c r="L22" s="214" t="s">
        <v>698</v>
      </c>
      <c r="M22" s="271" t="s">
        <v>831</v>
      </c>
    </row>
    <row r="23" spans="1:13" ht="132.6">
      <c r="A23" s="271" t="s">
        <v>10</v>
      </c>
      <c r="B23" s="215" t="s">
        <v>898</v>
      </c>
      <c r="C23" s="216" t="s">
        <v>714</v>
      </c>
      <c r="D23" s="216" t="s">
        <v>758</v>
      </c>
      <c r="E23" s="216" t="s">
        <v>755</v>
      </c>
      <c r="F23" s="216" t="s">
        <v>751</v>
      </c>
      <c r="G23" s="216" t="s">
        <v>741</v>
      </c>
      <c r="H23" s="216" t="s">
        <v>737</v>
      </c>
      <c r="I23" s="216" t="s">
        <v>732</v>
      </c>
      <c r="J23" s="216" t="s">
        <v>949</v>
      </c>
      <c r="K23" s="216" t="s">
        <v>724</v>
      </c>
      <c r="L23" s="216" t="s">
        <v>750</v>
      </c>
      <c r="M23" s="272"/>
    </row>
    <row r="24" spans="1:13" ht="28.8">
      <c r="A24" s="273"/>
      <c r="B24" s="215" t="s">
        <v>832</v>
      </c>
      <c r="C24" s="219">
        <v>2</v>
      </c>
      <c r="D24" s="219">
        <v>3</v>
      </c>
      <c r="E24" s="219">
        <v>2</v>
      </c>
      <c r="F24" s="219">
        <v>3</v>
      </c>
      <c r="G24" s="219">
        <v>2</v>
      </c>
      <c r="H24" s="219">
        <v>2</v>
      </c>
      <c r="I24" s="219">
        <v>2</v>
      </c>
      <c r="J24" s="219">
        <v>1</v>
      </c>
      <c r="K24" s="219">
        <v>1</v>
      </c>
      <c r="L24" s="219">
        <v>2</v>
      </c>
      <c r="M24" s="274">
        <f>SUM(C26:L26)</f>
        <v>2.0099999999999998</v>
      </c>
    </row>
    <row r="25" spans="1:13" ht="28.8">
      <c r="A25" s="273"/>
      <c r="B25" s="215" t="s">
        <v>695</v>
      </c>
      <c r="C25" s="218">
        <v>0.3</v>
      </c>
      <c r="D25" s="218">
        <v>0.08</v>
      </c>
      <c r="E25" s="218">
        <v>0.08</v>
      </c>
      <c r="F25" s="218">
        <v>0.08</v>
      </c>
      <c r="G25" s="218">
        <v>0.08</v>
      </c>
      <c r="H25" s="218">
        <v>0.08</v>
      </c>
      <c r="I25" s="218">
        <v>0.1</v>
      </c>
      <c r="J25" s="218">
        <v>0.1</v>
      </c>
      <c r="K25" s="218">
        <v>0.05</v>
      </c>
      <c r="L25" s="218">
        <v>0.05</v>
      </c>
      <c r="M25" s="273"/>
    </row>
    <row r="26" spans="1:13" ht="28.8">
      <c r="A26" s="272"/>
      <c r="B26" s="215" t="s">
        <v>833</v>
      </c>
      <c r="C26" s="217">
        <f>C24*C25</f>
        <v>0.6</v>
      </c>
      <c r="D26" s="217">
        <f t="shared" ref="D26" si="10">D24*D25</f>
        <v>0.24</v>
      </c>
      <c r="E26" s="217">
        <f t="shared" ref="E26" si="11">E24*E25</f>
        <v>0.16</v>
      </c>
      <c r="F26" s="217">
        <f t="shared" ref="F26" si="12">F24*F25</f>
        <v>0.24</v>
      </c>
      <c r="G26" s="217">
        <f t="shared" ref="G26" si="13">G24*G25</f>
        <v>0.16</v>
      </c>
      <c r="H26" s="217">
        <f t="shared" ref="H26" si="14">H24*H25</f>
        <v>0.16</v>
      </c>
      <c r="I26" s="217">
        <f t="shared" ref="I26" si="15">I24*I25</f>
        <v>0.2</v>
      </c>
      <c r="J26" s="217">
        <f t="shared" ref="J26" si="16">J24*J25</f>
        <v>0.1</v>
      </c>
      <c r="K26" s="217">
        <f t="shared" ref="K26" si="17">K24*K25</f>
        <v>0.05</v>
      </c>
      <c r="L26" s="217">
        <f t="shared" ref="L26" si="18">L24*L25</f>
        <v>0.1</v>
      </c>
      <c r="M26" s="275"/>
    </row>
    <row r="30" spans="1:13" ht="21">
      <c r="A30" s="269" t="s">
        <v>814</v>
      </c>
      <c r="B30" s="270"/>
      <c r="C30" s="270"/>
      <c r="D30" s="270"/>
      <c r="E30" s="270"/>
      <c r="F30" s="270"/>
      <c r="G30" s="270"/>
      <c r="H30" s="270"/>
      <c r="I30" s="270"/>
      <c r="J30" s="270"/>
      <c r="K30" s="270"/>
      <c r="L30" s="270"/>
      <c r="M30" s="270"/>
    </row>
    <row r="31" spans="1:13">
      <c r="A31" s="212"/>
      <c r="B31" s="212"/>
      <c r="C31" s="212"/>
      <c r="D31" s="212"/>
      <c r="E31" s="212"/>
      <c r="F31" s="212"/>
      <c r="G31" s="212"/>
      <c r="H31" s="212"/>
      <c r="I31" s="212"/>
      <c r="J31" s="212"/>
      <c r="K31" s="212"/>
      <c r="L31" s="212"/>
      <c r="M31" s="212"/>
    </row>
    <row r="32" spans="1:13" ht="57.6">
      <c r="A32" s="213" t="s">
        <v>24</v>
      </c>
      <c r="B32" s="214" t="s">
        <v>830</v>
      </c>
      <c r="C32" s="214" t="s">
        <v>228</v>
      </c>
      <c r="D32" s="214" t="s">
        <v>705</v>
      </c>
      <c r="E32" s="214" t="s">
        <v>699</v>
      </c>
      <c r="F32" s="214" t="s">
        <v>704</v>
      </c>
      <c r="G32" s="214" t="s">
        <v>702</v>
      </c>
      <c r="H32" s="214" t="s">
        <v>701</v>
      </c>
      <c r="I32" s="214" t="s">
        <v>694</v>
      </c>
      <c r="J32" s="214" t="s">
        <v>697</v>
      </c>
      <c r="K32" s="214" t="s">
        <v>693</v>
      </c>
      <c r="L32" s="214" t="s">
        <v>698</v>
      </c>
      <c r="M32" s="271" t="s">
        <v>831</v>
      </c>
    </row>
    <row r="33" spans="1:13" ht="132.6">
      <c r="A33" s="271" t="s">
        <v>247</v>
      </c>
      <c r="B33" s="215" t="s">
        <v>898</v>
      </c>
      <c r="C33" s="216" t="s">
        <v>951</v>
      </c>
      <c r="D33" s="216" t="s">
        <v>760</v>
      </c>
      <c r="E33" s="216" t="s">
        <v>755</v>
      </c>
      <c r="F33" s="216" t="s">
        <v>747</v>
      </c>
      <c r="G33" s="216" t="s">
        <v>741</v>
      </c>
      <c r="H33" s="216" t="s">
        <v>737</v>
      </c>
      <c r="I33" s="216" t="s">
        <v>734</v>
      </c>
      <c r="J33" s="216" t="s">
        <v>949</v>
      </c>
      <c r="K33" s="216" t="s">
        <v>724</v>
      </c>
      <c r="L33" s="216" t="s">
        <v>750</v>
      </c>
      <c r="M33" s="272"/>
    </row>
    <row r="34" spans="1:13" ht="28.8">
      <c r="A34" s="273"/>
      <c r="B34" s="215" t="s">
        <v>832</v>
      </c>
      <c r="C34" s="219">
        <v>3</v>
      </c>
      <c r="D34" s="219">
        <v>1</v>
      </c>
      <c r="E34" s="219">
        <v>2</v>
      </c>
      <c r="F34" s="219">
        <v>2</v>
      </c>
      <c r="G34" s="219">
        <v>2</v>
      </c>
      <c r="H34" s="219">
        <v>2</v>
      </c>
      <c r="I34" s="219">
        <v>2</v>
      </c>
      <c r="J34" s="219">
        <v>1</v>
      </c>
      <c r="K34" s="219">
        <v>1</v>
      </c>
      <c r="L34" s="219">
        <v>2</v>
      </c>
      <c r="M34" s="274">
        <f>SUM(C36:L36)</f>
        <v>2.0699999999999998</v>
      </c>
    </row>
    <row r="35" spans="1:13" ht="28.8">
      <c r="A35" s="273"/>
      <c r="B35" s="215" t="s">
        <v>695</v>
      </c>
      <c r="C35" s="218">
        <v>0.3</v>
      </c>
      <c r="D35" s="218">
        <v>0.08</v>
      </c>
      <c r="E35" s="218">
        <v>0.08</v>
      </c>
      <c r="F35" s="218">
        <v>0.08</v>
      </c>
      <c r="G35" s="218">
        <v>0.08</v>
      </c>
      <c r="H35" s="218">
        <v>0.08</v>
      </c>
      <c r="I35" s="218">
        <v>0.1</v>
      </c>
      <c r="J35" s="218">
        <v>0.1</v>
      </c>
      <c r="K35" s="218">
        <v>0.05</v>
      </c>
      <c r="L35" s="218">
        <v>0.05</v>
      </c>
      <c r="M35" s="273"/>
    </row>
    <row r="36" spans="1:13" ht="28.8">
      <c r="A36" s="272"/>
      <c r="B36" s="215" t="s">
        <v>833</v>
      </c>
      <c r="C36" s="217">
        <f>C34*C35</f>
        <v>0.89999999999999991</v>
      </c>
      <c r="D36" s="217">
        <f t="shared" ref="D36" si="19">D34*D35</f>
        <v>0.08</v>
      </c>
      <c r="E36" s="217">
        <f t="shared" ref="E36" si="20">E34*E35</f>
        <v>0.16</v>
      </c>
      <c r="F36" s="217">
        <f t="shared" ref="F36" si="21">F34*F35</f>
        <v>0.16</v>
      </c>
      <c r="G36" s="217">
        <f t="shared" ref="G36" si="22">G34*G35</f>
        <v>0.16</v>
      </c>
      <c r="H36" s="217">
        <f t="shared" ref="H36" si="23">H34*H35</f>
        <v>0.16</v>
      </c>
      <c r="I36" s="217">
        <f t="shared" ref="I36" si="24">I34*I35</f>
        <v>0.2</v>
      </c>
      <c r="J36" s="217">
        <f t="shared" ref="J36" si="25">J34*J35</f>
        <v>0.1</v>
      </c>
      <c r="K36" s="217">
        <f t="shared" ref="K36" si="26">K34*K35</f>
        <v>0.05</v>
      </c>
      <c r="L36" s="217">
        <f t="shared" ref="L36" si="27">L34*L35</f>
        <v>0.1</v>
      </c>
      <c r="M36" s="275"/>
    </row>
    <row r="37" spans="1:13" ht="28.8">
      <c r="A37" s="273" t="s">
        <v>241</v>
      </c>
      <c r="B37" s="215" t="s">
        <v>832</v>
      </c>
      <c r="C37" s="219">
        <v>4</v>
      </c>
      <c r="D37" s="219">
        <v>1</v>
      </c>
      <c r="E37" s="219">
        <v>2</v>
      </c>
      <c r="F37" s="219">
        <v>1</v>
      </c>
      <c r="G37" s="219">
        <v>1</v>
      </c>
      <c r="H37" s="219">
        <v>1</v>
      </c>
      <c r="I37" s="219">
        <v>2</v>
      </c>
      <c r="J37" s="219">
        <v>1</v>
      </c>
      <c r="K37" s="219">
        <v>1</v>
      </c>
      <c r="L37" s="219">
        <v>2</v>
      </c>
      <c r="M37" s="274">
        <f>SUM(C39:L39)</f>
        <v>2.1300000000000003</v>
      </c>
    </row>
    <row r="38" spans="1:13" ht="28.8">
      <c r="A38" s="273"/>
      <c r="B38" s="215" t="s">
        <v>695</v>
      </c>
      <c r="C38" s="218">
        <v>0.3</v>
      </c>
      <c r="D38" s="218">
        <v>0.08</v>
      </c>
      <c r="E38" s="218">
        <v>0.08</v>
      </c>
      <c r="F38" s="218">
        <v>0.08</v>
      </c>
      <c r="G38" s="218">
        <v>0.08</v>
      </c>
      <c r="H38" s="218">
        <v>0.08</v>
      </c>
      <c r="I38" s="218">
        <v>0.1</v>
      </c>
      <c r="J38" s="218">
        <v>0.1</v>
      </c>
      <c r="K38" s="218">
        <v>0.05</v>
      </c>
      <c r="L38" s="218">
        <v>0.05</v>
      </c>
      <c r="M38" s="273"/>
    </row>
    <row r="39" spans="1:13" ht="28.8">
      <c r="A39" s="272"/>
      <c r="B39" s="215" t="s">
        <v>833</v>
      </c>
      <c r="C39" s="217">
        <f>C37*C38</f>
        <v>1.2</v>
      </c>
      <c r="D39" s="217">
        <f t="shared" ref="D39:L39" si="28">D37*D38</f>
        <v>0.08</v>
      </c>
      <c r="E39" s="217">
        <f t="shared" si="28"/>
        <v>0.16</v>
      </c>
      <c r="F39" s="217">
        <f t="shared" si="28"/>
        <v>0.08</v>
      </c>
      <c r="G39" s="217">
        <f t="shared" si="28"/>
        <v>0.08</v>
      </c>
      <c r="H39" s="217">
        <f t="shared" si="28"/>
        <v>0.08</v>
      </c>
      <c r="I39" s="217">
        <f t="shared" si="28"/>
        <v>0.2</v>
      </c>
      <c r="J39" s="217">
        <f t="shared" si="28"/>
        <v>0.1</v>
      </c>
      <c r="K39" s="217">
        <f t="shared" si="28"/>
        <v>0.05</v>
      </c>
      <c r="L39" s="217">
        <f t="shared" si="28"/>
        <v>0.1</v>
      </c>
      <c r="M39" s="275"/>
    </row>
    <row r="40" spans="1:13" ht="28.8">
      <c r="A40" s="273" t="s">
        <v>248</v>
      </c>
      <c r="B40" s="215" t="s">
        <v>832</v>
      </c>
      <c r="C40" s="219">
        <v>4</v>
      </c>
      <c r="D40" s="219">
        <v>1</v>
      </c>
      <c r="E40" s="219">
        <v>2</v>
      </c>
      <c r="F40" s="219">
        <v>2</v>
      </c>
      <c r="G40" s="219">
        <v>1</v>
      </c>
      <c r="H40" s="219">
        <v>1</v>
      </c>
      <c r="I40" s="219">
        <v>2</v>
      </c>
      <c r="J40" s="219">
        <v>1</v>
      </c>
      <c r="K40" s="219">
        <v>1</v>
      </c>
      <c r="L40" s="219">
        <v>2</v>
      </c>
      <c r="M40" s="274">
        <f>SUM(C42:L42)</f>
        <v>2.21</v>
      </c>
    </row>
    <row r="41" spans="1:13" ht="28.8">
      <c r="A41" s="273"/>
      <c r="B41" s="215" t="s">
        <v>695</v>
      </c>
      <c r="C41" s="218">
        <v>0.3</v>
      </c>
      <c r="D41" s="218">
        <v>0.08</v>
      </c>
      <c r="E41" s="218">
        <v>0.08</v>
      </c>
      <c r="F41" s="218">
        <v>0.08</v>
      </c>
      <c r="G41" s="218">
        <v>0.08</v>
      </c>
      <c r="H41" s="218">
        <v>0.08</v>
      </c>
      <c r="I41" s="218">
        <v>0.1</v>
      </c>
      <c r="J41" s="218">
        <v>0.1</v>
      </c>
      <c r="K41" s="218">
        <v>0.05</v>
      </c>
      <c r="L41" s="218">
        <v>0.05</v>
      </c>
      <c r="M41" s="273"/>
    </row>
    <row r="42" spans="1:13" ht="28.8">
      <c r="A42" s="272"/>
      <c r="B42" s="215" t="s">
        <v>833</v>
      </c>
      <c r="C42" s="217">
        <f>C40*C41</f>
        <v>1.2</v>
      </c>
      <c r="D42" s="217">
        <f t="shared" ref="D42:L42" si="29">D40*D41</f>
        <v>0.08</v>
      </c>
      <c r="E42" s="217">
        <f t="shared" si="29"/>
        <v>0.16</v>
      </c>
      <c r="F42" s="217">
        <f t="shared" si="29"/>
        <v>0.16</v>
      </c>
      <c r="G42" s="217">
        <f t="shared" si="29"/>
        <v>0.08</v>
      </c>
      <c r="H42" s="217">
        <f t="shared" si="29"/>
        <v>0.08</v>
      </c>
      <c r="I42" s="217">
        <f t="shared" si="29"/>
        <v>0.2</v>
      </c>
      <c r="J42" s="217">
        <f t="shared" si="29"/>
        <v>0.1</v>
      </c>
      <c r="K42" s="217">
        <f t="shared" si="29"/>
        <v>0.05</v>
      </c>
      <c r="L42" s="217">
        <f t="shared" si="29"/>
        <v>0.1</v>
      </c>
      <c r="M42" s="275"/>
    </row>
    <row r="43" spans="1:13" ht="28.8">
      <c r="A43" s="273" t="s">
        <v>251</v>
      </c>
      <c r="B43" s="215" t="s">
        <v>832</v>
      </c>
      <c r="C43" s="219">
        <v>4</v>
      </c>
      <c r="D43" s="219">
        <v>2</v>
      </c>
      <c r="E43" s="219">
        <v>2</v>
      </c>
      <c r="F43" s="219">
        <v>2</v>
      </c>
      <c r="G43" s="219">
        <v>2</v>
      </c>
      <c r="H43" s="219">
        <v>2</v>
      </c>
      <c r="I43" s="219">
        <v>2</v>
      </c>
      <c r="J43" s="219">
        <v>1</v>
      </c>
      <c r="K43" s="219">
        <v>1</v>
      </c>
      <c r="L43" s="219">
        <v>2</v>
      </c>
      <c r="M43" s="274">
        <f>SUM(C45:L45)</f>
        <v>2.4499999999999997</v>
      </c>
    </row>
    <row r="44" spans="1:13" ht="28.8">
      <c r="A44" s="273"/>
      <c r="B44" s="215" t="s">
        <v>695</v>
      </c>
      <c r="C44" s="218">
        <v>0.3</v>
      </c>
      <c r="D44" s="218">
        <v>0.08</v>
      </c>
      <c r="E44" s="218">
        <v>0.08</v>
      </c>
      <c r="F44" s="218">
        <v>0.08</v>
      </c>
      <c r="G44" s="218">
        <v>0.08</v>
      </c>
      <c r="H44" s="218">
        <v>0.08</v>
      </c>
      <c r="I44" s="218">
        <v>0.1</v>
      </c>
      <c r="J44" s="218">
        <v>0.1</v>
      </c>
      <c r="K44" s="218">
        <v>0.05</v>
      </c>
      <c r="L44" s="218">
        <v>0.05</v>
      </c>
      <c r="M44" s="273"/>
    </row>
    <row r="45" spans="1:13" ht="28.8">
      <c r="A45" s="272"/>
      <c r="B45" s="215" t="s">
        <v>833</v>
      </c>
      <c r="C45" s="217">
        <f>C43*C44</f>
        <v>1.2</v>
      </c>
      <c r="D45" s="217">
        <f t="shared" ref="D45:L45" si="30">D43*D44</f>
        <v>0.16</v>
      </c>
      <c r="E45" s="217">
        <f t="shared" si="30"/>
        <v>0.16</v>
      </c>
      <c r="F45" s="217">
        <f t="shared" si="30"/>
        <v>0.16</v>
      </c>
      <c r="G45" s="217">
        <f t="shared" si="30"/>
        <v>0.16</v>
      </c>
      <c r="H45" s="217">
        <f t="shared" si="30"/>
        <v>0.16</v>
      </c>
      <c r="I45" s="217">
        <f t="shared" si="30"/>
        <v>0.2</v>
      </c>
      <c r="J45" s="217">
        <f t="shared" si="30"/>
        <v>0.1</v>
      </c>
      <c r="K45" s="217">
        <f t="shared" si="30"/>
        <v>0.05</v>
      </c>
      <c r="L45" s="217">
        <f t="shared" si="30"/>
        <v>0.1</v>
      </c>
      <c r="M45" s="275"/>
    </row>
    <row r="46" spans="1:13" ht="28.8">
      <c r="A46" s="273" t="s">
        <v>245</v>
      </c>
      <c r="B46" s="215" t="s">
        <v>832</v>
      </c>
      <c r="C46" s="219">
        <v>4</v>
      </c>
      <c r="D46" s="219">
        <v>1</v>
      </c>
      <c r="E46" s="219">
        <v>2</v>
      </c>
      <c r="F46" s="219">
        <v>1</v>
      </c>
      <c r="G46" s="219">
        <v>2</v>
      </c>
      <c r="H46" s="219">
        <v>1</v>
      </c>
      <c r="I46" s="219">
        <v>2</v>
      </c>
      <c r="J46" s="219">
        <v>1</v>
      </c>
      <c r="K46" s="219">
        <v>1</v>
      </c>
      <c r="L46" s="219">
        <v>2</v>
      </c>
      <c r="M46" s="274">
        <f>SUM(C48:L48)</f>
        <v>2.21</v>
      </c>
    </row>
    <row r="47" spans="1:13" ht="28.8">
      <c r="A47" s="273"/>
      <c r="B47" s="215" t="s">
        <v>695</v>
      </c>
      <c r="C47" s="218">
        <v>0.3</v>
      </c>
      <c r="D47" s="218">
        <v>0.08</v>
      </c>
      <c r="E47" s="218">
        <v>0.08</v>
      </c>
      <c r="F47" s="218">
        <v>0.08</v>
      </c>
      <c r="G47" s="218">
        <v>0.08</v>
      </c>
      <c r="H47" s="218">
        <v>0.08</v>
      </c>
      <c r="I47" s="218">
        <v>0.1</v>
      </c>
      <c r="J47" s="218">
        <v>0.1</v>
      </c>
      <c r="K47" s="218">
        <v>0.05</v>
      </c>
      <c r="L47" s="218">
        <v>0.05</v>
      </c>
      <c r="M47" s="273"/>
    </row>
    <row r="48" spans="1:13" ht="28.8">
      <c r="A48" s="272"/>
      <c r="B48" s="215" t="s">
        <v>833</v>
      </c>
      <c r="C48" s="217">
        <f>C46*C47</f>
        <v>1.2</v>
      </c>
      <c r="D48" s="217">
        <f t="shared" ref="D48:L48" si="31">D46*D47</f>
        <v>0.08</v>
      </c>
      <c r="E48" s="217">
        <f t="shared" si="31"/>
        <v>0.16</v>
      </c>
      <c r="F48" s="217">
        <f t="shared" si="31"/>
        <v>0.08</v>
      </c>
      <c r="G48" s="217">
        <f t="shared" si="31"/>
        <v>0.16</v>
      </c>
      <c r="H48" s="217">
        <f t="shared" si="31"/>
        <v>0.08</v>
      </c>
      <c r="I48" s="217">
        <f t="shared" si="31"/>
        <v>0.2</v>
      </c>
      <c r="J48" s="217">
        <f t="shared" si="31"/>
        <v>0.1</v>
      </c>
      <c r="K48" s="217">
        <f t="shared" si="31"/>
        <v>0.05</v>
      </c>
      <c r="L48" s="217">
        <f t="shared" si="31"/>
        <v>0.1</v>
      </c>
      <c r="M48" s="275"/>
    </row>
    <row r="49" spans="1:13">
      <c r="A49" s="276"/>
      <c r="B49" s="224"/>
      <c r="C49" s="223"/>
      <c r="D49" s="223"/>
      <c r="E49" s="223"/>
      <c r="F49" s="223"/>
      <c r="G49" s="223"/>
      <c r="H49" s="223"/>
      <c r="I49" s="223"/>
      <c r="J49" s="225"/>
      <c r="K49" s="223"/>
      <c r="L49" s="223"/>
      <c r="M49" s="276"/>
    </row>
    <row r="50" spans="1:13">
      <c r="A50" s="276"/>
      <c r="B50" s="224"/>
      <c r="C50" s="226"/>
      <c r="D50" s="226"/>
      <c r="E50" s="226"/>
      <c r="F50" s="226"/>
      <c r="G50" s="226"/>
      <c r="H50" s="226"/>
      <c r="I50" s="226"/>
      <c r="J50" s="226"/>
      <c r="K50" s="226"/>
      <c r="L50" s="226"/>
      <c r="M50" s="276"/>
    </row>
    <row r="51" spans="1:13">
      <c r="A51" s="276"/>
      <c r="B51" s="224"/>
      <c r="C51" s="223"/>
      <c r="D51" s="223"/>
      <c r="E51" s="223"/>
      <c r="F51" s="223"/>
      <c r="G51" s="223"/>
      <c r="H51" s="223"/>
      <c r="I51" s="223"/>
      <c r="J51" s="223"/>
      <c r="K51" s="223"/>
      <c r="L51" s="223"/>
      <c r="M51" s="276"/>
    </row>
    <row r="52" spans="1:13" ht="21">
      <c r="A52" s="269" t="s">
        <v>950</v>
      </c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</row>
    <row r="54" spans="1:13" ht="57.6">
      <c r="A54" s="213" t="s">
        <v>24</v>
      </c>
      <c r="B54" s="214" t="s">
        <v>830</v>
      </c>
      <c r="C54" s="214" t="s">
        <v>228</v>
      </c>
      <c r="D54" s="214" t="s">
        <v>705</v>
      </c>
      <c r="E54" s="214" t="s">
        <v>699</v>
      </c>
      <c r="F54" s="214" t="s">
        <v>704</v>
      </c>
      <c r="G54" s="214" t="s">
        <v>702</v>
      </c>
      <c r="H54" s="214" t="s">
        <v>701</v>
      </c>
      <c r="I54" s="214" t="s">
        <v>694</v>
      </c>
      <c r="J54" s="214" t="s">
        <v>697</v>
      </c>
      <c r="K54" s="214" t="s">
        <v>693</v>
      </c>
      <c r="L54" s="214" t="s">
        <v>698</v>
      </c>
      <c r="M54" s="271" t="s">
        <v>831</v>
      </c>
    </row>
    <row r="55" spans="1:13" ht="132.6">
      <c r="A55" s="271" t="s">
        <v>250</v>
      </c>
      <c r="B55" s="215" t="s">
        <v>898</v>
      </c>
      <c r="C55" s="216" t="s">
        <v>715</v>
      </c>
      <c r="D55" s="216" t="s">
        <v>757</v>
      </c>
      <c r="E55" s="216" t="s">
        <v>754</v>
      </c>
      <c r="F55" s="216" t="s">
        <v>746</v>
      </c>
      <c r="G55" s="216" t="s">
        <v>743</v>
      </c>
      <c r="H55" s="216" t="s">
        <v>738</v>
      </c>
      <c r="I55" s="216" t="s">
        <v>731</v>
      </c>
      <c r="J55" s="216" t="s">
        <v>949</v>
      </c>
      <c r="K55" s="216" t="s">
        <v>724</v>
      </c>
      <c r="L55" s="216" t="s">
        <v>750</v>
      </c>
      <c r="M55" s="272"/>
    </row>
    <row r="56" spans="1:13" ht="28.8">
      <c r="A56" s="273"/>
      <c r="B56" s="215" t="s">
        <v>832</v>
      </c>
      <c r="C56" s="219">
        <v>1</v>
      </c>
      <c r="D56" s="219">
        <v>2</v>
      </c>
      <c r="E56" s="219">
        <v>3</v>
      </c>
      <c r="F56" s="219">
        <v>1</v>
      </c>
      <c r="G56" s="219">
        <v>2</v>
      </c>
      <c r="H56" s="219">
        <v>2</v>
      </c>
      <c r="I56" s="219">
        <v>1</v>
      </c>
      <c r="J56" s="222">
        <v>1</v>
      </c>
      <c r="K56" s="219">
        <v>1</v>
      </c>
      <c r="L56" s="219">
        <v>2</v>
      </c>
      <c r="M56" s="274">
        <f>SUM(C58:L58)</f>
        <v>1.4500000000000002</v>
      </c>
    </row>
    <row r="57" spans="1:13" ht="28.8">
      <c r="A57" s="273"/>
      <c r="B57" s="215" t="s">
        <v>695</v>
      </c>
      <c r="C57" s="218">
        <v>0.3</v>
      </c>
      <c r="D57" s="218">
        <v>0.08</v>
      </c>
      <c r="E57" s="218">
        <v>0.08</v>
      </c>
      <c r="F57" s="218">
        <v>0.08</v>
      </c>
      <c r="G57" s="218">
        <v>0.08</v>
      </c>
      <c r="H57" s="218">
        <v>0.08</v>
      </c>
      <c r="I57" s="218">
        <v>0.1</v>
      </c>
      <c r="J57" s="218">
        <v>0.1</v>
      </c>
      <c r="K57" s="218">
        <v>0.05</v>
      </c>
      <c r="L57" s="218">
        <v>0.05</v>
      </c>
      <c r="M57" s="273"/>
    </row>
    <row r="58" spans="1:13" ht="28.8">
      <c r="A58" s="272"/>
      <c r="B58" s="215" t="s">
        <v>833</v>
      </c>
      <c r="C58" s="217">
        <f>C56*C57</f>
        <v>0.3</v>
      </c>
      <c r="D58" s="217">
        <f t="shared" ref="D58:L58" si="32">D56*D57</f>
        <v>0.16</v>
      </c>
      <c r="E58" s="217">
        <f t="shared" si="32"/>
        <v>0.24</v>
      </c>
      <c r="F58" s="217">
        <f t="shared" si="32"/>
        <v>0.08</v>
      </c>
      <c r="G58" s="217">
        <f t="shared" si="32"/>
        <v>0.16</v>
      </c>
      <c r="H58" s="217">
        <f t="shared" si="32"/>
        <v>0.16</v>
      </c>
      <c r="I58" s="217">
        <f t="shared" si="32"/>
        <v>0.1</v>
      </c>
      <c r="J58" s="217">
        <f t="shared" si="32"/>
        <v>0.1</v>
      </c>
      <c r="K58" s="217">
        <f t="shared" si="32"/>
        <v>0.05</v>
      </c>
      <c r="L58" s="217">
        <f t="shared" si="32"/>
        <v>0.1</v>
      </c>
      <c r="M58" s="275"/>
    </row>
    <row r="59" spans="1:13" ht="28.8">
      <c r="A59" s="273" t="s">
        <v>239</v>
      </c>
      <c r="B59" s="215" t="s">
        <v>832</v>
      </c>
      <c r="C59" s="219">
        <v>1</v>
      </c>
      <c r="D59" s="219">
        <v>2</v>
      </c>
      <c r="E59" s="219">
        <v>3</v>
      </c>
      <c r="F59" s="219">
        <v>2</v>
      </c>
      <c r="G59" s="219">
        <v>2</v>
      </c>
      <c r="H59" s="219">
        <v>2</v>
      </c>
      <c r="I59" s="219">
        <v>1</v>
      </c>
      <c r="J59" s="222">
        <v>1</v>
      </c>
      <c r="K59" s="219">
        <v>1</v>
      </c>
      <c r="L59" s="219">
        <v>2</v>
      </c>
      <c r="M59" s="274">
        <f>SUM(C61:L61)</f>
        <v>1.5300000000000002</v>
      </c>
    </row>
    <row r="60" spans="1:13" ht="28.8">
      <c r="A60" s="273"/>
      <c r="B60" s="215" t="s">
        <v>695</v>
      </c>
      <c r="C60" s="218">
        <v>0.3</v>
      </c>
      <c r="D60" s="218">
        <v>0.08</v>
      </c>
      <c r="E60" s="218">
        <v>0.08</v>
      </c>
      <c r="F60" s="218">
        <v>0.08</v>
      </c>
      <c r="G60" s="218">
        <v>0.08</v>
      </c>
      <c r="H60" s="218">
        <v>0.08</v>
      </c>
      <c r="I60" s="218">
        <v>0.1</v>
      </c>
      <c r="J60" s="218">
        <v>0.1</v>
      </c>
      <c r="K60" s="218">
        <v>0.05</v>
      </c>
      <c r="L60" s="218">
        <v>0.05</v>
      </c>
      <c r="M60" s="273"/>
    </row>
    <row r="61" spans="1:13" ht="28.8">
      <c r="A61" s="272"/>
      <c r="B61" s="215" t="s">
        <v>833</v>
      </c>
      <c r="C61" s="217">
        <f>C59*C60</f>
        <v>0.3</v>
      </c>
      <c r="D61" s="217">
        <f t="shared" ref="D61:L61" si="33">D59*D60</f>
        <v>0.16</v>
      </c>
      <c r="E61" s="217">
        <f t="shared" si="33"/>
        <v>0.24</v>
      </c>
      <c r="F61" s="217">
        <f t="shared" si="33"/>
        <v>0.16</v>
      </c>
      <c r="G61" s="217">
        <f t="shared" si="33"/>
        <v>0.16</v>
      </c>
      <c r="H61" s="217">
        <f t="shared" si="33"/>
        <v>0.16</v>
      </c>
      <c r="I61" s="217">
        <f t="shared" si="33"/>
        <v>0.1</v>
      </c>
      <c r="J61" s="217">
        <f t="shared" si="33"/>
        <v>0.1</v>
      </c>
      <c r="K61" s="217">
        <f t="shared" si="33"/>
        <v>0.05</v>
      </c>
      <c r="L61" s="217">
        <f t="shared" si="33"/>
        <v>0.1</v>
      </c>
      <c r="M61" s="275"/>
    </row>
    <row r="62" spans="1:13" ht="28.8">
      <c r="A62" s="273" t="s">
        <v>244</v>
      </c>
      <c r="B62" s="215" t="s">
        <v>832</v>
      </c>
      <c r="C62" s="219">
        <v>2</v>
      </c>
      <c r="D62" s="219">
        <v>2</v>
      </c>
      <c r="E62" s="219">
        <v>3</v>
      </c>
      <c r="F62" s="219">
        <v>1</v>
      </c>
      <c r="G62" s="219">
        <v>2</v>
      </c>
      <c r="H62" s="219">
        <v>2</v>
      </c>
      <c r="I62" s="219">
        <v>1</v>
      </c>
      <c r="J62" s="222">
        <v>1</v>
      </c>
      <c r="K62" s="219">
        <v>1</v>
      </c>
      <c r="L62" s="219">
        <v>2</v>
      </c>
      <c r="M62" s="274">
        <f>SUM(C64:L64)</f>
        <v>1.7500000000000002</v>
      </c>
    </row>
    <row r="63" spans="1:13" ht="28.8">
      <c r="A63" s="273"/>
      <c r="B63" s="215" t="s">
        <v>695</v>
      </c>
      <c r="C63" s="218">
        <v>0.3</v>
      </c>
      <c r="D63" s="218">
        <v>0.08</v>
      </c>
      <c r="E63" s="218">
        <v>0.08</v>
      </c>
      <c r="F63" s="218">
        <v>0.08</v>
      </c>
      <c r="G63" s="218">
        <v>0.08</v>
      </c>
      <c r="H63" s="218">
        <v>0.08</v>
      </c>
      <c r="I63" s="218">
        <v>0.1</v>
      </c>
      <c r="J63" s="218">
        <v>0.1</v>
      </c>
      <c r="K63" s="218">
        <v>0.05</v>
      </c>
      <c r="L63" s="218">
        <v>0.05</v>
      </c>
      <c r="M63" s="273"/>
    </row>
    <row r="64" spans="1:13" ht="28.8">
      <c r="A64" s="272"/>
      <c r="B64" s="215" t="s">
        <v>833</v>
      </c>
      <c r="C64" s="217">
        <f>C62*C63</f>
        <v>0.6</v>
      </c>
      <c r="D64" s="217">
        <f t="shared" ref="D64:L64" si="34">D62*D63</f>
        <v>0.16</v>
      </c>
      <c r="E64" s="217">
        <f t="shared" si="34"/>
        <v>0.24</v>
      </c>
      <c r="F64" s="217">
        <f t="shared" si="34"/>
        <v>0.08</v>
      </c>
      <c r="G64" s="217">
        <f t="shared" si="34"/>
        <v>0.16</v>
      </c>
      <c r="H64" s="217">
        <f t="shared" si="34"/>
        <v>0.16</v>
      </c>
      <c r="I64" s="217">
        <f t="shared" si="34"/>
        <v>0.1</v>
      </c>
      <c r="J64" s="217">
        <f t="shared" si="34"/>
        <v>0.1</v>
      </c>
      <c r="K64" s="217">
        <f t="shared" si="34"/>
        <v>0.05</v>
      </c>
      <c r="L64" s="217">
        <f t="shared" si="34"/>
        <v>0.1</v>
      </c>
      <c r="M64" s="275"/>
    </row>
    <row r="65" spans="1:13" ht="28.8">
      <c r="A65" s="273" t="s">
        <v>13</v>
      </c>
      <c r="B65" s="215" t="s">
        <v>832</v>
      </c>
      <c r="C65" s="219">
        <v>4</v>
      </c>
      <c r="D65" s="219">
        <v>2</v>
      </c>
      <c r="E65" s="219">
        <v>3</v>
      </c>
      <c r="F65" s="219">
        <v>2</v>
      </c>
      <c r="G65" s="219">
        <v>2</v>
      </c>
      <c r="H65" s="219">
        <v>2</v>
      </c>
      <c r="I65" s="219">
        <v>1</v>
      </c>
      <c r="J65" s="222">
        <v>1</v>
      </c>
      <c r="K65" s="219">
        <v>1</v>
      </c>
      <c r="L65" s="219">
        <v>2</v>
      </c>
      <c r="M65" s="274">
        <f>SUM(C67:L67)</f>
        <v>2.4299999999999997</v>
      </c>
    </row>
    <row r="66" spans="1:13" ht="28.8">
      <c r="A66" s="273"/>
      <c r="B66" s="215" t="s">
        <v>695</v>
      </c>
      <c r="C66" s="218">
        <v>0.3</v>
      </c>
      <c r="D66" s="218">
        <v>0.08</v>
      </c>
      <c r="E66" s="218">
        <v>0.08</v>
      </c>
      <c r="F66" s="218">
        <v>0.08</v>
      </c>
      <c r="G66" s="218">
        <v>0.08</v>
      </c>
      <c r="H66" s="218">
        <v>0.08</v>
      </c>
      <c r="I66" s="218">
        <v>0.1</v>
      </c>
      <c r="J66" s="218">
        <v>0.1</v>
      </c>
      <c r="K66" s="218">
        <v>0.05</v>
      </c>
      <c r="L66" s="218">
        <v>0.05</v>
      </c>
      <c r="M66" s="273"/>
    </row>
    <row r="67" spans="1:13" ht="28.8">
      <c r="A67" s="272"/>
      <c r="B67" s="215" t="s">
        <v>833</v>
      </c>
      <c r="C67" s="217">
        <f>C65*C66</f>
        <v>1.2</v>
      </c>
      <c r="D67" s="217">
        <f t="shared" ref="D67:L67" si="35">D65*D66</f>
        <v>0.16</v>
      </c>
      <c r="E67" s="217">
        <f t="shared" si="35"/>
        <v>0.24</v>
      </c>
      <c r="F67" s="217">
        <f t="shared" si="35"/>
        <v>0.16</v>
      </c>
      <c r="G67" s="217">
        <f t="shared" si="35"/>
        <v>0.16</v>
      </c>
      <c r="H67" s="217">
        <f t="shared" si="35"/>
        <v>0.16</v>
      </c>
      <c r="I67" s="217">
        <f t="shared" si="35"/>
        <v>0.1</v>
      </c>
      <c r="J67" s="217">
        <f t="shared" si="35"/>
        <v>0.1</v>
      </c>
      <c r="K67" s="217">
        <f t="shared" si="35"/>
        <v>0.05</v>
      </c>
      <c r="L67" s="217">
        <f t="shared" si="35"/>
        <v>0.1</v>
      </c>
      <c r="M67" s="275"/>
    </row>
    <row r="70" spans="1:13" ht="21">
      <c r="A70" s="269" t="s">
        <v>811</v>
      </c>
      <c r="B70" s="270"/>
      <c r="C70" s="270"/>
      <c r="D70" s="270"/>
      <c r="E70" s="270"/>
      <c r="F70" s="270"/>
      <c r="G70" s="270"/>
      <c r="H70" s="270"/>
      <c r="I70" s="270"/>
      <c r="J70" s="270"/>
      <c r="K70" s="270"/>
      <c r="L70" s="270"/>
      <c r="M70" s="270"/>
    </row>
    <row r="72" spans="1:13" ht="57.6">
      <c r="A72" s="213" t="s">
        <v>24</v>
      </c>
      <c r="B72" s="214" t="s">
        <v>830</v>
      </c>
      <c r="C72" s="214" t="s">
        <v>228</v>
      </c>
      <c r="D72" s="214" t="s">
        <v>705</v>
      </c>
      <c r="E72" s="214" t="s">
        <v>699</v>
      </c>
      <c r="F72" s="214" t="s">
        <v>704</v>
      </c>
      <c r="G72" s="214" t="s">
        <v>702</v>
      </c>
      <c r="H72" s="214" t="s">
        <v>701</v>
      </c>
      <c r="I72" s="214" t="s">
        <v>694</v>
      </c>
      <c r="J72" s="214" t="s">
        <v>697</v>
      </c>
      <c r="K72" s="214" t="s">
        <v>693</v>
      </c>
      <c r="L72" s="214" t="s">
        <v>698</v>
      </c>
      <c r="M72" s="271" t="s">
        <v>831</v>
      </c>
    </row>
    <row r="73" spans="1:13" ht="132.6">
      <c r="A73" s="271" t="s">
        <v>10</v>
      </c>
      <c r="B73" s="215" t="s">
        <v>898</v>
      </c>
      <c r="C73" s="216" t="s">
        <v>717</v>
      </c>
      <c r="D73" s="216" t="s">
        <v>757</v>
      </c>
      <c r="E73" s="216" t="s">
        <v>755</v>
      </c>
      <c r="F73" s="216" t="s">
        <v>747</v>
      </c>
      <c r="G73" s="216" t="s">
        <v>741</v>
      </c>
      <c r="H73" s="216" t="s">
        <v>737</v>
      </c>
      <c r="I73" s="216" t="s">
        <v>731</v>
      </c>
      <c r="J73" s="216" t="s">
        <v>949</v>
      </c>
      <c r="K73" s="216" t="s">
        <v>723</v>
      </c>
      <c r="L73" s="216" t="s">
        <v>750</v>
      </c>
      <c r="M73" s="272"/>
    </row>
    <row r="74" spans="1:13" ht="28.8">
      <c r="A74" s="273"/>
      <c r="B74" s="215" t="s">
        <v>832</v>
      </c>
      <c r="C74" s="219">
        <v>4</v>
      </c>
      <c r="D74" s="219">
        <v>2</v>
      </c>
      <c r="E74" s="219">
        <v>2</v>
      </c>
      <c r="F74" s="219">
        <v>2</v>
      </c>
      <c r="G74" s="219">
        <v>2</v>
      </c>
      <c r="H74" s="219">
        <v>2</v>
      </c>
      <c r="I74" s="219">
        <v>1</v>
      </c>
      <c r="J74" s="222">
        <v>1</v>
      </c>
      <c r="K74" s="219">
        <v>1</v>
      </c>
      <c r="L74" s="219">
        <v>2</v>
      </c>
      <c r="M74" s="274">
        <f>SUM(C76:L76)</f>
        <v>2.3499999999999996</v>
      </c>
    </row>
    <row r="75" spans="1:13" ht="28.8">
      <c r="A75" s="273"/>
      <c r="B75" s="215" t="s">
        <v>695</v>
      </c>
      <c r="C75" s="218">
        <v>0.3</v>
      </c>
      <c r="D75" s="218">
        <v>0.08</v>
      </c>
      <c r="E75" s="218">
        <v>0.08</v>
      </c>
      <c r="F75" s="218">
        <v>0.08</v>
      </c>
      <c r="G75" s="218">
        <v>0.08</v>
      </c>
      <c r="H75" s="218">
        <v>0.08</v>
      </c>
      <c r="I75" s="218">
        <v>0.1</v>
      </c>
      <c r="J75" s="218">
        <v>0.1</v>
      </c>
      <c r="K75" s="218">
        <v>0.05</v>
      </c>
      <c r="L75" s="218">
        <v>0.05</v>
      </c>
      <c r="M75" s="273"/>
    </row>
    <row r="76" spans="1:13" ht="28.8">
      <c r="A76" s="272"/>
      <c r="B76" s="215" t="s">
        <v>833</v>
      </c>
      <c r="C76" s="217">
        <f>C74*C75</f>
        <v>1.2</v>
      </c>
      <c r="D76" s="217">
        <f t="shared" ref="D76:L76" si="36">D74*D75</f>
        <v>0.16</v>
      </c>
      <c r="E76" s="217">
        <f t="shared" si="36"/>
        <v>0.16</v>
      </c>
      <c r="F76" s="217">
        <f t="shared" si="36"/>
        <v>0.16</v>
      </c>
      <c r="G76" s="217">
        <f t="shared" si="36"/>
        <v>0.16</v>
      </c>
      <c r="H76" s="217">
        <f t="shared" si="36"/>
        <v>0.16</v>
      </c>
      <c r="I76" s="217">
        <f t="shared" si="36"/>
        <v>0.1</v>
      </c>
      <c r="J76" s="217">
        <f t="shared" si="36"/>
        <v>0.1</v>
      </c>
      <c r="K76" s="217">
        <f t="shared" si="36"/>
        <v>0.05</v>
      </c>
      <c r="L76" s="217">
        <f t="shared" si="36"/>
        <v>0.1</v>
      </c>
      <c r="M76" s="275"/>
    </row>
    <row r="79" spans="1:13" ht="21">
      <c r="A79" s="269" t="s">
        <v>815</v>
      </c>
      <c r="B79" s="270"/>
      <c r="C79" s="270"/>
      <c r="D79" s="270"/>
      <c r="E79" s="270"/>
      <c r="F79" s="270"/>
      <c r="G79" s="270"/>
      <c r="H79" s="270"/>
      <c r="I79" s="270"/>
      <c r="J79" s="270"/>
      <c r="K79" s="270"/>
      <c r="L79" s="270"/>
      <c r="M79" s="270"/>
    </row>
    <row r="81" spans="1:13" ht="57.6">
      <c r="A81" s="213" t="s">
        <v>24</v>
      </c>
      <c r="B81" s="214" t="s">
        <v>830</v>
      </c>
      <c r="C81" s="214" t="s">
        <v>228</v>
      </c>
      <c r="D81" s="214" t="s">
        <v>705</v>
      </c>
      <c r="E81" s="214" t="s">
        <v>699</v>
      </c>
      <c r="F81" s="214" t="s">
        <v>704</v>
      </c>
      <c r="G81" s="214" t="s">
        <v>702</v>
      </c>
      <c r="H81" s="214" t="s">
        <v>701</v>
      </c>
      <c r="I81" s="214" t="s">
        <v>694</v>
      </c>
      <c r="J81" s="214" t="s">
        <v>697</v>
      </c>
      <c r="K81" s="214" t="s">
        <v>693</v>
      </c>
      <c r="L81" s="214" t="s">
        <v>698</v>
      </c>
      <c r="M81" s="271" t="s">
        <v>831</v>
      </c>
    </row>
    <row r="82" spans="1:13" ht="132.6">
      <c r="A82" s="271" t="s">
        <v>366</v>
      </c>
      <c r="B82" s="215" t="s">
        <v>898</v>
      </c>
      <c r="C82" s="216" t="s">
        <v>715</v>
      </c>
      <c r="D82" s="216" t="s">
        <v>757</v>
      </c>
      <c r="E82" s="216" t="s">
        <v>754</v>
      </c>
      <c r="F82" s="216" t="s">
        <v>751</v>
      </c>
      <c r="G82" s="216" t="s">
        <v>743</v>
      </c>
      <c r="H82" s="216" t="s">
        <v>738</v>
      </c>
      <c r="I82" s="216" t="s">
        <v>731</v>
      </c>
      <c r="J82" s="216" t="s">
        <v>949</v>
      </c>
      <c r="K82" s="216" t="s">
        <v>723</v>
      </c>
      <c r="L82" s="216" t="s">
        <v>750</v>
      </c>
      <c r="M82" s="272"/>
    </row>
    <row r="83" spans="1:13" ht="28.8">
      <c r="A83" s="273"/>
      <c r="B83" s="215" t="s">
        <v>832</v>
      </c>
      <c r="C83" s="219">
        <v>1</v>
      </c>
      <c r="D83" s="219">
        <v>2</v>
      </c>
      <c r="E83" s="219">
        <v>3</v>
      </c>
      <c r="F83" s="219">
        <v>2</v>
      </c>
      <c r="G83" s="219">
        <v>2</v>
      </c>
      <c r="H83" s="219">
        <v>3</v>
      </c>
      <c r="I83" s="219">
        <v>1</v>
      </c>
      <c r="J83" s="222">
        <v>1</v>
      </c>
      <c r="K83" s="219">
        <v>1</v>
      </c>
      <c r="L83" s="219">
        <v>2</v>
      </c>
      <c r="M83" s="274">
        <f>SUM(C85:L85)</f>
        <v>1.6100000000000003</v>
      </c>
    </row>
    <row r="84" spans="1:13" ht="28.8">
      <c r="A84" s="273"/>
      <c r="B84" s="215" t="s">
        <v>695</v>
      </c>
      <c r="C84" s="218">
        <v>0.3</v>
      </c>
      <c r="D84" s="218">
        <v>0.08</v>
      </c>
      <c r="E84" s="218">
        <v>0.08</v>
      </c>
      <c r="F84" s="218">
        <v>0.08</v>
      </c>
      <c r="G84" s="218">
        <v>0.08</v>
      </c>
      <c r="H84" s="218">
        <v>0.08</v>
      </c>
      <c r="I84" s="218">
        <v>0.1</v>
      </c>
      <c r="J84" s="218">
        <v>0.1</v>
      </c>
      <c r="K84" s="218">
        <v>0.05</v>
      </c>
      <c r="L84" s="218">
        <v>0.05</v>
      </c>
      <c r="M84" s="273"/>
    </row>
    <row r="85" spans="1:13" ht="28.8">
      <c r="A85" s="272"/>
      <c r="B85" s="215" t="s">
        <v>833</v>
      </c>
      <c r="C85" s="217">
        <f>C83*C84</f>
        <v>0.3</v>
      </c>
      <c r="D85" s="217">
        <f t="shared" ref="D85:L85" si="37">D83*D84</f>
        <v>0.16</v>
      </c>
      <c r="E85" s="217">
        <f t="shared" si="37"/>
        <v>0.24</v>
      </c>
      <c r="F85" s="217">
        <f t="shared" si="37"/>
        <v>0.16</v>
      </c>
      <c r="G85" s="217">
        <f t="shared" si="37"/>
        <v>0.16</v>
      </c>
      <c r="H85" s="217">
        <f t="shared" si="37"/>
        <v>0.24</v>
      </c>
      <c r="I85" s="217">
        <f t="shared" si="37"/>
        <v>0.1</v>
      </c>
      <c r="J85" s="217">
        <f t="shared" si="37"/>
        <v>0.1</v>
      </c>
      <c r="K85" s="217">
        <f t="shared" si="37"/>
        <v>0.05</v>
      </c>
      <c r="L85" s="217">
        <f t="shared" si="37"/>
        <v>0.1</v>
      </c>
      <c r="M85" s="275"/>
    </row>
  </sheetData>
  <mergeCells count="44">
    <mergeCell ref="M81:M82"/>
    <mergeCell ref="A82:A85"/>
    <mergeCell ref="M83:M85"/>
    <mergeCell ref="A59:A61"/>
    <mergeCell ref="M59:M61"/>
    <mergeCell ref="A62:A64"/>
    <mergeCell ref="M62:M64"/>
    <mergeCell ref="A65:A67"/>
    <mergeCell ref="M65:M67"/>
    <mergeCell ref="A70:M70"/>
    <mergeCell ref="M72:M73"/>
    <mergeCell ref="A73:A76"/>
    <mergeCell ref="M74:M76"/>
    <mergeCell ref="A79:M79"/>
    <mergeCell ref="A52:M52"/>
    <mergeCell ref="M54:M55"/>
    <mergeCell ref="A55:A58"/>
    <mergeCell ref="M56:M58"/>
    <mergeCell ref="A46:A48"/>
    <mergeCell ref="M46:M48"/>
    <mergeCell ref="A49:A51"/>
    <mergeCell ref="M49:M51"/>
    <mergeCell ref="A30:M30"/>
    <mergeCell ref="M32:M33"/>
    <mergeCell ref="A33:A36"/>
    <mergeCell ref="M34:M36"/>
    <mergeCell ref="M43:M45"/>
    <mergeCell ref="A37:A39"/>
    <mergeCell ref="M37:M39"/>
    <mergeCell ref="A40:A42"/>
    <mergeCell ref="M40:M42"/>
    <mergeCell ref="A43:A45"/>
    <mergeCell ref="M22:M23"/>
    <mergeCell ref="A23:A26"/>
    <mergeCell ref="M24:M26"/>
    <mergeCell ref="A1:M1"/>
    <mergeCell ref="M3:M4"/>
    <mergeCell ref="A4:A7"/>
    <mergeCell ref="M5:M7"/>
    <mergeCell ref="A11:M11"/>
    <mergeCell ref="M13:M14"/>
    <mergeCell ref="A14:A17"/>
    <mergeCell ref="M15:M17"/>
    <mergeCell ref="A20:M20"/>
  </mergeCells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8EEFD-A4E3-4FC7-8DC6-461FFA630193}">
  <sheetPr>
    <tabColor rgb="FF92D050"/>
  </sheetPr>
  <dimension ref="B2:I15"/>
  <sheetViews>
    <sheetView showGridLines="0" zoomScaleNormal="100" workbookViewId="0">
      <pane xSplit="9" ySplit="4" topLeftCell="J10" activePane="bottomRight" state="frozen"/>
      <selection activeCell="C6" sqref="C6"/>
      <selection pane="topRight" activeCell="C6" sqref="C6"/>
      <selection pane="bottomLeft" activeCell="C6" sqref="C6"/>
      <selection pane="bottomRight" activeCell="F13" sqref="F13"/>
    </sheetView>
  </sheetViews>
  <sheetFormatPr defaultColWidth="8.77734375" defaultRowHeight="14.4"/>
  <cols>
    <col min="1" max="1" width="8.77734375" style="9"/>
    <col min="2" max="2" width="16" style="8" customWidth="1"/>
    <col min="3" max="3" width="34.109375" style="6" customWidth="1"/>
    <col min="4" max="4" width="13" style="9" customWidth="1"/>
    <col min="5" max="5" width="19" style="9" customWidth="1"/>
    <col min="6" max="9" width="29.33203125" style="8" customWidth="1"/>
    <col min="10" max="16384" width="8.77734375" style="9"/>
  </cols>
  <sheetData>
    <row r="2" spans="2:9" ht="23.4">
      <c r="B2" s="277" t="s">
        <v>899</v>
      </c>
      <c r="C2" s="278"/>
      <c r="D2" s="278"/>
      <c r="E2" s="278"/>
      <c r="F2" s="278"/>
      <c r="G2" s="278"/>
      <c r="H2" s="278"/>
      <c r="I2" s="279"/>
    </row>
    <row r="4" spans="2:9" s="6" customFormat="1" ht="28.8">
      <c r="B4" s="40" t="s">
        <v>696</v>
      </c>
      <c r="C4" s="40" t="s">
        <v>700</v>
      </c>
      <c r="D4" s="40" t="s">
        <v>695</v>
      </c>
      <c r="E4" s="40" t="s">
        <v>713</v>
      </c>
      <c r="F4" s="40" t="s">
        <v>718</v>
      </c>
      <c r="G4" s="40" t="s">
        <v>719</v>
      </c>
      <c r="H4" s="40" t="s">
        <v>720</v>
      </c>
      <c r="I4" s="40" t="s">
        <v>721</v>
      </c>
    </row>
    <row r="5" spans="2:9" ht="43.2">
      <c r="B5" s="47" t="s">
        <v>228</v>
      </c>
      <c r="C5" s="40" t="s">
        <v>709</v>
      </c>
      <c r="D5" s="164">
        <v>0.3</v>
      </c>
      <c r="E5" s="40" t="s">
        <v>742</v>
      </c>
      <c r="F5" s="40" t="s">
        <v>715</v>
      </c>
      <c r="G5" s="40" t="s">
        <v>714</v>
      </c>
      <c r="H5" s="40" t="s">
        <v>716</v>
      </c>
      <c r="I5" s="40" t="s">
        <v>717</v>
      </c>
    </row>
    <row r="6" spans="2:9" ht="72">
      <c r="B6" s="47" t="s">
        <v>705</v>
      </c>
      <c r="C6" s="40" t="s">
        <v>706</v>
      </c>
      <c r="D6" s="164">
        <v>0.08</v>
      </c>
      <c r="E6" s="40" t="s">
        <v>742</v>
      </c>
      <c r="F6" s="40" t="s">
        <v>760</v>
      </c>
      <c r="G6" s="40" t="s">
        <v>757</v>
      </c>
      <c r="H6" s="40" t="s">
        <v>758</v>
      </c>
      <c r="I6" s="40" t="s">
        <v>759</v>
      </c>
    </row>
    <row r="7" spans="2:9" ht="72">
      <c r="B7" s="47" t="s">
        <v>699</v>
      </c>
      <c r="C7" s="40" t="s">
        <v>707</v>
      </c>
      <c r="D7" s="164">
        <v>0.08</v>
      </c>
      <c r="E7" s="40" t="s">
        <v>742</v>
      </c>
      <c r="F7" s="40" t="s">
        <v>752</v>
      </c>
      <c r="G7" s="40" t="s">
        <v>755</v>
      </c>
      <c r="H7" s="40" t="s">
        <v>754</v>
      </c>
      <c r="I7" s="40" t="s">
        <v>753</v>
      </c>
    </row>
    <row r="8" spans="2:9" ht="86.4">
      <c r="B8" s="47" t="s">
        <v>704</v>
      </c>
      <c r="C8" s="40" t="s">
        <v>745</v>
      </c>
      <c r="D8" s="164">
        <v>0.08</v>
      </c>
      <c r="E8" s="40" t="s">
        <v>742</v>
      </c>
      <c r="F8" s="40" t="s">
        <v>746</v>
      </c>
      <c r="G8" s="40" t="s">
        <v>747</v>
      </c>
      <c r="H8" s="40" t="s">
        <v>751</v>
      </c>
      <c r="I8" s="40" t="s">
        <v>756</v>
      </c>
    </row>
    <row r="9" spans="2:9" ht="100.8">
      <c r="B9" s="47" t="s">
        <v>702</v>
      </c>
      <c r="C9" s="40" t="s">
        <v>703</v>
      </c>
      <c r="D9" s="164">
        <v>0.08</v>
      </c>
      <c r="E9" s="40" t="s">
        <v>742</v>
      </c>
      <c r="F9" s="40" t="s">
        <v>740</v>
      </c>
      <c r="G9" s="40" t="s">
        <v>741</v>
      </c>
      <c r="H9" s="40" t="s">
        <v>743</v>
      </c>
      <c r="I9" s="40" t="s">
        <v>744</v>
      </c>
    </row>
    <row r="10" spans="2:9" ht="72">
      <c r="B10" s="47" t="s">
        <v>701</v>
      </c>
      <c r="C10" s="40" t="s">
        <v>735</v>
      </c>
      <c r="D10" s="164">
        <v>0.08</v>
      </c>
      <c r="E10" s="40" t="s">
        <v>742</v>
      </c>
      <c r="F10" s="40" t="s">
        <v>736</v>
      </c>
      <c r="G10" s="40" t="s">
        <v>737</v>
      </c>
      <c r="H10" s="40" t="s">
        <v>738</v>
      </c>
      <c r="I10" s="40" t="s">
        <v>739</v>
      </c>
    </row>
    <row r="11" spans="2:9" ht="115.2">
      <c r="B11" s="47" t="s">
        <v>694</v>
      </c>
      <c r="C11" s="40" t="s">
        <v>708</v>
      </c>
      <c r="D11" s="164">
        <v>0.1</v>
      </c>
      <c r="E11" s="40" t="s">
        <v>742</v>
      </c>
      <c r="F11" s="40" t="s">
        <v>731</v>
      </c>
      <c r="G11" s="40" t="s">
        <v>732</v>
      </c>
      <c r="H11" s="40" t="s">
        <v>733</v>
      </c>
      <c r="I11" s="40" t="s">
        <v>734</v>
      </c>
    </row>
    <row r="12" spans="2:9" ht="100.8">
      <c r="B12" s="47" t="s">
        <v>697</v>
      </c>
      <c r="C12" s="40" t="s">
        <v>711</v>
      </c>
      <c r="D12" s="164">
        <v>0.1</v>
      </c>
      <c r="E12" s="40" t="s">
        <v>742</v>
      </c>
      <c r="F12" s="40" t="s">
        <v>727</v>
      </c>
      <c r="G12" s="40" t="s">
        <v>729</v>
      </c>
      <c r="H12" s="40" t="s">
        <v>728</v>
      </c>
      <c r="I12" s="40" t="s">
        <v>730</v>
      </c>
    </row>
    <row r="13" spans="2:9" ht="72">
      <c r="B13" s="47" t="s">
        <v>693</v>
      </c>
      <c r="C13" s="40" t="s">
        <v>710</v>
      </c>
      <c r="D13" s="164">
        <v>0.05</v>
      </c>
      <c r="E13" s="40" t="s">
        <v>742</v>
      </c>
      <c r="F13" s="40" t="s">
        <v>723</v>
      </c>
      <c r="G13" s="40" t="s">
        <v>724</v>
      </c>
      <c r="H13" s="40" t="s">
        <v>725</v>
      </c>
      <c r="I13" s="40" t="s">
        <v>726</v>
      </c>
    </row>
    <row r="14" spans="2:9" ht="72">
      <c r="B14" s="47" t="s">
        <v>698</v>
      </c>
      <c r="C14" s="40" t="s">
        <v>712</v>
      </c>
      <c r="D14" s="164">
        <v>0.05</v>
      </c>
      <c r="E14" s="40" t="s">
        <v>742</v>
      </c>
      <c r="F14" s="40" t="s">
        <v>748</v>
      </c>
      <c r="G14" s="40" t="s">
        <v>749</v>
      </c>
      <c r="H14" s="40" t="s">
        <v>750</v>
      </c>
      <c r="I14" s="40" t="s">
        <v>722</v>
      </c>
    </row>
    <row r="15" spans="2:9">
      <c r="D15" s="36"/>
    </row>
  </sheetData>
  <mergeCells count="1">
    <mergeCell ref="B2:I2"/>
  </mergeCell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3F8F-0FB1-4CF0-A2E3-49ADDB9AD3AF}">
  <sheetPr>
    <tabColor rgb="FF92D050"/>
  </sheetPr>
  <dimension ref="B2:Q62"/>
  <sheetViews>
    <sheetView showGridLines="0" topLeftCell="B36" zoomScale="84" workbookViewId="0">
      <selection activeCell="F62" sqref="F62"/>
    </sheetView>
  </sheetViews>
  <sheetFormatPr defaultColWidth="8.77734375" defaultRowHeight="14.4"/>
  <cols>
    <col min="1" max="1" width="8.77734375" style="196"/>
    <col min="2" max="2" width="17.109375" style="196" customWidth="1"/>
    <col min="3" max="12" width="15.109375" style="196" customWidth="1"/>
    <col min="13" max="13" width="18" style="196" customWidth="1"/>
    <col min="14" max="14" width="15.109375" style="196" customWidth="1"/>
    <col min="15" max="15" width="18" style="196" customWidth="1"/>
    <col min="16" max="16" width="15.109375" style="196" customWidth="1"/>
    <col min="17" max="17" width="18" style="196" customWidth="1"/>
    <col min="18" max="16384" width="8.77734375" style="196"/>
  </cols>
  <sheetData>
    <row r="2" spans="2:17" ht="30" customHeight="1">
      <c r="B2" s="285" t="s">
        <v>829</v>
      </c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</row>
    <row r="4" spans="2:17" ht="57.6">
      <c r="B4" s="197" t="s">
        <v>24</v>
      </c>
      <c r="C4" s="197" t="s">
        <v>830</v>
      </c>
      <c r="D4" s="197" t="s">
        <v>228</v>
      </c>
      <c r="E4" s="197" t="s">
        <v>705</v>
      </c>
      <c r="F4" s="197" t="s">
        <v>699</v>
      </c>
      <c r="G4" s="197" t="s">
        <v>704</v>
      </c>
      <c r="H4" s="197" t="s">
        <v>702</v>
      </c>
      <c r="I4" s="197" t="s">
        <v>701</v>
      </c>
      <c r="J4" s="197" t="s">
        <v>694</v>
      </c>
      <c r="K4" s="197" t="s">
        <v>697</v>
      </c>
      <c r="L4" s="197" t="s">
        <v>693</v>
      </c>
      <c r="M4" s="197" t="s">
        <v>698</v>
      </c>
      <c r="N4" s="282" t="s">
        <v>831</v>
      </c>
    </row>
    <row r="5" spans="2:17" ht="122.4">
      <c r="B5" s="282" t="s">
        <v>366</v>
      </c>
      <c r="C5" s="201" t="s">
        <v>898</v>
      </c>
      <c r="D5" s="211" t="s">
        <v>714</v>
      </c>
      <c r="E5" s="211" t="s">
        <v>758</v>
      </c>
      <c r="F5" s="211" t="s">
        <v>755</v>
      </c>
      <c r="G5" s="211" t="s">
        <v>746</v>
      </c>
      <c r="H5" s="211" t="s">
        <v>743</v>
      </c>
      <c r="I5" s="211" t="s">
        <v>737</v>
      </c>
      <c r="J5" s="211" t="s">
        <v>732</v>
      </c>
      <c r="K5" s="211" t="s">
        <v>727</v>
      </c>
      <c r="L5" s="211" t="s">
        <v>725</v>
      </c>
      <c r="M5" s="211" t="s">
        <v>748</v>
      </c>
      <c r="N5" s="283"/>
    </row>
    <row r="6" spans="2:17" ht="28.8">
      <c r="B6" s="284"/>
      <c r="C6" s="201" t="s">
        <v>832</v>
      </c>
      <c r="D6" s="197">
        <v>2</v>
      </c>
      <c r="E6" s="197">
        <v>3</v>
      </c>
      <c r="F6" s="197">
        <v>2</v>
      </c>
      <c r="G6" s="197">
        <v>1</v>
      </c>
      <c r="H6" s="197">
        <v>3</v>
      </c>
      <c r="I6" s="197">
        <v>2</v>
      </c>
      <c r="J6" s="197">
        <v>2</v>
      </c>
      <c r="K6" s="197">
        <v>1</v>
      </c>
      <c r="L6" s="197">
        <v>3</v>
      </c>
      <c r="M6" s="197">
        <v>1</v>
      </c>
      <c r="N6" s="280">
        <f>SUM(D8:M8)</f>
        <v>1.9800000000000002</v>
      </c>
    </row>
    <row r="7" spans="2:17" ht="28.8">
      <c r="B7" s="284"/>
      <c r="C7" s="201" t="s">
        <v>695</v>
      </c>
      <c r="D7" s="198">
        <v>0.3</v>
      </c>
      <c r="E7" s="198">
        <v>0.08</v>
      </c>
      <c r="F7" s="198">
        <v>0.08</v>
      </c>
      <c r="G7" s="198">
        <v>0.08</v>
      </c>
      <c r="H7" s="198">
        <v>0.08</v>
      </c>
      <c r="I7" s="198">
        <v>0.08</v>
      </c>
      <c r="J7" s="198">
        <v>0.1</v>
      </c>
      <c r="K7" s="198">
        <v>0.1</v>
      </c>
      <c r="L7" s="198">
        <v>0.05</v>
      </c>
      <c r="M7" s="198">
        <v>0.05</v>
      </c>
      <c r="N7" s="280"/>
    </row>
    <row r="8" spans="2:17" ht="28.8">
      <c r="B8" s="283"/>
      <c r="C8" s="201" t="s">
        <v>833</v>
      </c>
      <c r="D8" s="197">
        <f>D6*D7</f>
        <v>0.6</v>
      </c>
      <c r="E8" s="197">
        <f t="shared" ref="E8:M8" si="0">E6*E7</f>
        <v>0.24</v>
      </c>
      <c r="F8" s="197">
        <f t="shared" si="0"/>
        <v>0.16</v>
      </c>
      <c r="G8" s="197">
        <f t="shared" si="0"/>
        <v>0.08</v>
      </c>
      <c r="H8" s="197">
        <f t="shared" si="0"/>
        <v>0.24</v>
      </c>
      <c r="I8" s="197">
        <f t="shared" si="0"/>
        <v>0.16</v>
      </c>
      <c r="J8" s="197">
        <f t="shared" si="0"/>
        <v>0.2</v>
      </c>
      <c r="K8" s="197">
        <f t="shared" si="0"/>
        <v>0.1</v>
      </c>
      <c r="L8" s="197">
        <f t="shared" si="0"/>
        <v>0.15000000000000002</v>
      </c>
      <c r="M8" s="197">
        <f t="shared" si="0"/>
        <v>0.05</v>
      </c>
      <c r="N8" s="280"/>
    </row>
    <row r="10" spans="2:17" ht="23.4">
      <c r="B10" s="281" t="s">
        <v>834</v>
      </c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</row>
    <row r="12" spans="2:17" ht="43.2">
      <c r="B12" s="197" t="s">
        <v>839</v>
      </c>
      <c r="C12" s="197" t="s">
        <v>835</v>
      </c>
      <c r="D12" s="197" t="s">
        <v>838</v>
      </c>
      <c r="E12" s="197" t="s">
        <v>835</v>
      </c>
      <c r="F12" s="197" t="s">
        <v>836</v>
      </c>
      <c r="G12" s="197" t="s">
        <v>835</v>
      </c>
      <c r="H12" s="197" t="s">
        <v>837</v>
      </c>
      <c r="I12" s="197" t="s">
        <v>835</v>
      </c>
      <c r="J12" s="197" t="s">
        <v>840</v>
      </c>
      <c r="K12" s="197" t="s">
        <v>835</v>
      </c>
      <c r="L12" s="197" t="s">
        <v>841</v>
      </c>
      <c r="M12" s="197" t="s">
        <v>835</v>
      </c>
      <c r="N12" s="197" t="s">
        <v>842</v>
      </c>
      <c r="O12" s="197" t="s">
        <v>835</v>
      </c>
      <c r="P12" s="197" t="s">
        <v>843</v>
      </c>
      <c r="Q12" s="197" t="s">
        <v>835</v>
      </c>
    </row>
    <row r="13" spans="2:17">
      <c r="B13" s="199">
        <v>0.01</v>
      </c>
      <c r="C13" s="200">
        <f>B13/4</f>
        <v>2.5000000000000001E-3</v>
      </c>
      <c r="D13" s="199">
        <v>0.51</v>
      </c>
      <c r="E13" s="200">
        <f>D13/4</f>
        <v>0.1275</v>
      </c>
      <c r="F13" s="199">
        <v>1.01</v>
      </c>
      <c r="G13" s="200">
        <f>F13/4</f>
        <v>0.2525</v>
      </c>
      <c r="H13" s="199">
        <v>1.51</v>
      </c>
      <c r="I13" s="200">
        <f>H13/4</f>
        <v>0.3775</v>
      </c>
      <c r="J13" s="199">
        <v>2.0099999999999998</v>
      </c>
      <c r="K13" s="200">
        <f>J13/4</f>
        <v>0.50249999999999995</v>
      </c>
      <c r="L13" s="199">
        <v>2.5099999999999998</v>
      </c>
      <c r="M13" s="200">
        <f>L13/4</f>
        <v>0.62749999999999995</v>
      </c>
      <c r="N13" s="199">
        <v>3.01</v>
      </c>
      <c r="O13" s="200">
        <f>N13/4</f>
        <v>0.75249999999999995</v>
      </c>
      <c r="P13" s="199">
        <v>3.51</v>
      </c>
      <c r="Q13" s="200">
        <f>P13/4</f>
        <v>0.87749999999999995</v>
      </c>
    </row>
    <row r="14" spans="2:17">
      <c r="B14" s="199">
        <v>0.02</v>
      </c>
      <c r="C14" s="200">
        <f t="shared" ref="C14:C29" si="1">B14/4</f>
        <v>5.0000000000000001E-3</v>
      </c>
      <c r="D14" s="199">
        <v>0.52</v>
      </c>
      <c r="E14" s="200">
        <f t="shared" ref="E14:E62" si="2">D14/4</f>
        <v>0.13</v>
      </c>
      <c r="F14" s="199">
        <v>1.02</v>
      </c>
      <c r="G14" s="200">
        <f t="shared" ref="G14:G62" si="3">F14/4</f>
        <v>0.255</v>
      </c>
      <c r="H14" s="199">
        <v>1.52</v>
      </c>
      <c r="I14" s="200">
        <f t="shared" ref="I14:I62" si="4">H14/4</f>
        <v>0.38</v>
      </c>
      <c r="J14" s="199">
        <v>2.0199999999999996</v>
      </c>
      <c r="K14" s="200">
        <f t="shared" ref="K14:K62" si="5">J14/4</f>
        <v>0.50499999999999989</v>
      </c>
      <c r="L14" s="199">
        <v>2.52</v>
      </c>
      <c r="M14" s="200">
        <f t="shared" ref="M14:M62" si="6">L14/4</f>
        <v>0.63</v>
      </c>
      <c r="N14" s="199">
        <v>3.02</v>
      </c>
      <c r="O14" s="200">
        <f t="shared" ref="O14:O62" si="7">N14/4</f>
        <v>0.755</v>
      </c>
      <c r="P14" s="199">
        <v>3.52</v>
      </c>
      <c r="Q14" s="200">
        <f t="shared" ref="Q14:Q62" si="8">P14/4</f>
        <v>0.88</v>
      </c>
    </row>
    <row r="15" spans="2:17">
      <c r="B15" s="199">
        <v>0.03</v>
      </c>
      <c r="C15" s="200">
        <f t="shared" si="1"/>
        <v>7.4999999999999997E-3</v>
      </c>
      <c r="D15" s="199">
        <v>0.53</v>
      </c>
      <c r="E15" s="200">
        <f t="shared" si="2"/>
        <v>0.13250000000000001</v>
      </c>
      <c r="F15" s="199">
        <v>1.03</v>
      </c>
      <c r="G15" s="200">
        <f t="shared" si="3"/>
        <v>0.25750000000000001</v>
      </c>
      <c r="H15" s="199">
        <v>1.53</v>
      </c>
      <c r="I15" s="200">
        <f t="shared" si="4"/>
        <v>0.38250000000000001</v>
      </c>
      <c r="J15" s="199">
        <v>2.0299999999999998</v>
      </c>
      <c r="K15" s="200">
        <f t="shared" si="5"/>
        <v>0.50749999999999995</v>
      </c>
      <c r="L15" s="199">
        <v>2.5299999999999998</v>
      </c>
      <c r="M15" s="200">
        <f t="shared" si="6"/>
        <v>0.63249999999999995</v>
      </c>
      <c r="N15" s="199">
        <v>3.03</v>
      </c>
      <c r="O15" s="200">
        <f t="shared" si="7"/>
        <v>0.75749999999999995</v>
      </c>
      <c r="P15" s="199">
        <v>3.53</v>
      </c>
      <c r="Q15" s="200">
        <f t="shared" si="8"/>
        <v>0.88249999999999995</v>
      </c>
    </row>
    <row r="16" spans="2:17">
      <c r="B16" s="199">
        <v>0.04</v>
      </c>
      <c r="C16" s="200">
        <f t="shared" si="1"/>
        <v>0.01</v>
      </c>
      <c r="D16" s="199">
        <v>0.54</v>
      </c>
      <c r="E16" s="200">
        <f t="shared" si="2"/>
        <v>0.13500000000000001</v>
      </c>
      <c r="F16" s="199">
        <v>1.04</v>
      </c>
      <c r="G16" s="200">
        <f t="shared" si="3"/>
        <v>0.26</v>
      </c>
      <c r="H16" s="199">
        <v>1.54</v>
      </c>
      <c r="I16" s="200">
        <f t="shared" si="4"/>
        <v>0.38500000000000001</v>
      </c>
      <c r="J16" s="199">
        <v>2.04</v>
      </c>
      <c r="K16" s="200">
        <f t="shared" si="5"/>
        <v>0.51</v>
      </c>
      <c r="L16" s="199">
        <v>2.54</v>
      </c>
      <c r="M16" s="200">
        <f t="shared" si="6"/>
        <v>0.63500000000000001</v>
      </c>
      <c r="N16" s="199">
        <v>3.04</v>
      </c>
      <c r="O16" s="200">
        <f t="shared" si="7"/>
        <v>0.76</v>
      </c>
      <c r="P16" s="199">
        <v>3.54</v>
      </c>
      <c r="Q16" s="200">
        <f t="shared" si="8"/>
        <v>0.88500000000000001</v>
      </c>
    </row>
    <row r="17" spans="2:17">
      <c r="B17" s="199">
        <v>0.05</v>
      </c>
      <c r="C17" s="200">
        <f t="shared" si="1"/>
        <v>1.2500000000000001E-2</v>
      </c>
      <c r="D17" s="199">
        <v>0.55000000000000004</v>
      </c>
      <c r="E17" s="200">
        <f t="shared" si="2"/>
        <v>0.13750000000000001</v>
      </c>
      <c r="F17" s="199">
        <v>1.05</v>
      </c>
      <c r="G17" s="200">
        <f t="shared" si="3"/>
        <v>0.26250000000000001</v>
      </c>
      <c r="H17" s="199">
        <v>1.55</v>
      </c>
      <c r="I17" s="200">
        <f t="shared" si="4"/>
        <v>0.38750000000000001</v>
      </c>
      <c r="J17" s="199">
        <v>2.0499999999999998</v>
      </c>
      <c r="K17" s="200">
        <f t="shared" si="5"/>
        <v>0.51249999999999996</v>
      </c>
      <c r="L17" s="199">
        <v>2.5499999999999998</v>
      </c>
      <c r="M17" s="200">
        <f t="shared" si="6"/>
        <v>0.63749999999999996</v>
      </c>
      <c r="N17" s="199">
        <v>3.05</v>
      </c>
      <c r="O17" s="200">
        <f t="shared" si="7"/>
        <v>0.76249999999999996</v>
      </c>
      <c r="P17" s="199">
        <v>3.55</v>
      </c>
      <c r="Q17" s="200">
        <f t="shared" si="8"/>
        <v>0.88749999999999996</v>
      </c>
    </row>
    <row r="18" spans="2:17">
      <c r="B18" s="199">
        <v>0.06</v>
      </c>
      <c r="C18" s="200">
        <f t="shared" si="1"/>
        <v>1.4999999999999999E-2</v>
      </c>
      <c r="D18" s="199">
        <v>0.56000000000000005</v>
      </c>
      <c r="E18" s="200">
        <f t="shared" si="2"/>
        <v>0.14000000000000001</v>
      </c>
      <c r="F18" s="199">
        <v>1.06</v>
      </c>
      <c r="G18" s="200">
        <f t="shared" si="3"/>
        <v>0.26500000000000001</v>
      </c>
      <c r="H18" s="199">
        <v>1.56</v>
      </c>
      <c r="I18" s="200">
        <f t="shared" si="4"/>
        <v>0.39</v>
      </c>
      <c r="J18" s="199">
        <v>2.06</v>
      </c>
      <c r="K18" s="200">
        <f t="shared" si="5"/>
        <v>0.51500000000000001</v>
      </c>
      <c r="L18" s="199">
        <v>2.56</v>
      </c>
      <c r="M18" s="200">
        <f t="shared" si="6"/>
        <v>0.64</v>
      </c>
      <c r="N18" s="199">
        <v>3.06</v>
      </c>
      <c r="O18" s="200">
        <f t="shared" si="7"/>
        <v>0.76500000000000001</v>
      </c>
      <c r="P18" s="199">
        <v>3.56</v>
      </c>
      <c r="Q18" s="200">
        <f t="shared" si="8"/>
        <v>0.89</v>
      </c>
    </row>
    <row r="19" spans="2:17">
      <c r="B19" s="199">
        <v>7.0000000000000007E-2</v>
      </c>
      <c r="C19" s="200">
        <f t="shared" si="1"/>
        <v>1.7500000000000002E-2</v>
      </c>
      <c r="D19" s="199">
        <v>0.56999999999999995</v>
      </c>
      <c r="E19" s="200">
        <f t="shared" si="2"/>
        <v>0.14249999999999999</v>
      </c>
      <c r="F19" s="199">
        <v>1.07</v>
      </c>
      <c r="G19" s="200">
        <f t="shared" si="3"/>
        <v>0.26750000000000002</v>
      </c>
      <c r="H19" s="199">
        <v>1.57</v>
      </c>
      <c r="I19" s="200">
        <f t="shared" si="4"/>
        <v>0.39250000000000002</v>
      </c>
      <c r="J19" s="199">
        <v>2.0699999999999998</v>
      </c>
      <c r="K19" s="200">
        <f t="shared" si="5"/>
        <v>0.51749999999999996</v>
      </c>
      <c r="L19" s="199">
        <v>2.57</v>
      </c>
      <c r="M19" s="200">
        <f t="shared" si="6"/>
        <v>0.64249999999999996</v>
      </c>
      <c r="N19" s="199">
        <v>3.07</v>
      </c>
      <c r="O19" s="200">
        <f t="shared" si="7"/>
        <v>0.76749999999999996</v>
      </c>
      <c r="P19" s="199">
        <v>3.57</v>
      </c>
      <c r="Q19" s="200">
        <f t="shared" si="8"/>
        <v>0.89249999999999996</v>
      </c>
    </row>
    <row r="20" spans="2:17">
      <c r="B20" s="199">
        <v>0.08</v>
      </c>
      <c r="C20" s="200">
        <f t="shared" si="1"/>
        <v>0.02</v>
      </c>
      <c r="D20" s="199">
        <v>0.57999999999999996</v>
      </c>
      <c r="E20" s="200">
        <f t="shared" si="2"/>
        <v>0.14499999999999999</v>
      </c>
      <c r="F20" s="199">
        <v>1.08</v>
      </c>
      <c r="G20" s="200">
        <f t="shared" si="3"/>
        <v>0.27</v>
      </c>
      <c r="H20" s="199">
        <v>1.58</v>
      </c>
      <c r="I20" s="200">
        <f t="shared" si="4"/>
        <v>0.39500000000000002</v>
      </c>
      <c r="J20" s="199">
        <v>2.08</v>
      </c>
      <c r="K20" s="200">
        <f t="shared" si="5"/>
        <v>0.52</v>
      </c>
      <c r="L20" s="199">
        <v>2.58</v>
      </c>
      <c r="M20" s="200">
        <f t="shared" si="6"/>
        <v>0.64500000000000002</v>
      </c>
      <c r="N20" s="199">
        <v>3.08</v>
      </c>
      <c r="O20" s="200">
        <f t="shared" si="7"/>
        <v>0.77</v>
      </c>
      <c r="P20" s="199">
        <v>3.58</v>
      </c>
      <c r="Q20" s="200">
        <f t="shared" si="8"/>
        <v>0.89500000000000002</v>
      </c>
    </row>
    <row r="21" spans="2:17">
      <c r="B21" s="199">
        <v>0.09</v>
      </c>
      <c r="C21" s="200">
        <f t="shared" si="1"/>
        <v>2.2499999999999999E-2</v>
      </c>
      <c r="D21" s="199">
        <v>0.59</v>
      </c>
      <c r="E21" s="200">
        <f t="shared" si="2"/>
        <v>0.14749999999999999</v>
      </c>
      <c r="F21" s="199">
        <v>1.0900000000000001</v>
      </c>
      <c r="G21" s="200">
        <f t="shared" si="3"/>
        <v>0.27250000000000002</v>
      </c>
      <c r="H21" s="199">
        <v>1.59</v>
      </c>
      <c r="I21" s="200">
        <f t="shared" si="4"/>
        <v>0.39750000000000002</v>
      </c>
      <c r="J21" s="199">
        <v>2.09</v>
      </c>
      <c r="K21" s="200">
        <f t="shared" si="5"/>
        <v>0.52249999999999996</v>
      </c>
      <c r="L21" s="199">
        <v>2.59</v>
      </c>
      <c r="M21" s="200">
        <f t="shared" si="6"/>
        <v>0.64749999999999996</v>
      </c>
      <c r="N21" s="199">
        <v>3.09</v>
      </c>
      <c r="O21" s="200">
        <f t="shared" si="7"/>
        <v>0.77249999999999996</v>
      </c>
      <c r="P21" s="199">
        <v>3.59</v>
      </c>
      <c r="Q21" s="200">
        <f t="shared" si="8"/>
        <v>0.89749999999999996</v>
      </c>
    </row>
    <row r="22" spans="2:17">
      <c r="B22" s="199">
        <v>0.1</v>
      </c>
      <c r="C22" s="200">
        <f t="shared" si="1"/>
        <v>2.5000000000000001E-2</v>
      </c>
      <c r="D22" s="199">
        <v>0.6</v>
      </c>
      <c r="E22" s="200">
        <f t="shared" si="2"/>
        <v>0.15</v>
      </c>
      <c r="F22" s="199">
        <v>1.1000000000000001</v>
      </c>
      <c r="G22" s="200">
        <f t="shared" si="3"/>
        <v>0.27500000000000002</v>
      </c>
      <c r="H22" s="199">
        <v>1.6</v>
      </c>
      <c r="I22" s="200">
        <f t="shared" si="4"/>
        <v>0.4</v>
      </c>
      <c r="J22" s="199">
        <v>2.1</v>
      </c>
      <c r="K22" s="200">
        <f t="shared" si="5"/>
        <v>0.52500000000000002</v>
      </c>
      <c r="L22" s="199">
        <v>2.6</v>
      </c>
      <c r="M22" s="200">
        <f t="shared" si="6"/>
        <v>0.65</v>
      </c>
      <c r="N22" s="199">
        <v>3.1</v>
      </c>
      <c r="O22" s="200">
        <f t="shared" si="7"/>
        <v>0.77500000000000002</v>
      </c>
      <c r="P22" s="199">
        <v>3.6</v>
      </c>
      <c r="Q22" s="200">
        <f t="shared" si="8"/>
        <v>0.9</v>
      </c>
    </row>
    <row r="23" spans="2:17">
      <c r="B23" s="199">
        <v>0.11</v>
      </c>
      <c r="C23" s="200">
        <f t="shared" si="1"/>
        <v>2.75E-2</v>
      </c>
      <c r="D23" s="199">
        <v>0.61</v>
      </c>
      <c r="E23" s="200">
        <f t="shared" si="2"/>
        <v>0.1525</v>
      </c>
      <c r="F23" s="199">
        <v>1.1100000000000001</v>
      </c>
      <c r="G23" s="200">
        <f t="shared" si="3"/>
        <v>0.27750000000000002</v>
      </c>
      <c r="H23" s="199">
        <v>1.61</v>
      </c>
      <c r="I23" s="200">
        <f t="shared" si="4"/>
        <v>0.40250000000000002</v>
      </c>
      <c r="J23" s="199">
        <v>2.11</v>
      </c>
      <c r="K23" s="200">
        <f t="shared" si="5"/>
        <v>0.52749999999999997</v>
      </c>
      <c r="L23" s="199">
        <v>2.61</v>
      </c>
      <c r="M23" s="200">
        <f t="shared" si="6"/>
        <v>0.65249999999999997</v>
      </c>
      <c r="N23" s="199">
        <v>3.11</v>
      </c>
      <c r="O23" s="200">
        <f t="shared" si="7"/>
        <v>0.77749999999999997</v>
      </c>
      <c r="P23" s="199">
        <v>3.61</v>
      </c>
      <c r="Q23" s="200">
        <f t="shared" si="8"/>
        <v>0.90249999999999997</v>
      </c>
    </row>
    <row r="24" spans="2:17">
      <c r="B24" s="199">
        <v>0.12</v>
      </c>
      <c r="C24" s="200">
        <f t="shared" si="1"/>
        <v>0.03</v>
      </c>
      <c r="D24" s="199">
        <v>0.62</v>
      </c>
      <c r="E24" s="200">
        <f t="shared" si="2"/>
        <v>0.155</v>
      </c>
      <c r="F24" s="199">
        <v>1.1200000000000001</v>
      </c>
      <c r="G24" s="200">
        <f t="shared" si="3"/>
        <v>0.28000000000000003</v>
      </c>
      <c r="H24" s="199">
        <v>1.62</v>
      </c>
      <c r="I24" s="200">
        <f t="shared" si="4"/>
        <v>0.40500000000000003</v>
      </c>
      <c r="J24" s="199">
        <v>2.12</v>
      </c>
      <c r="K24" s="200">
        <f t="shared" si="5"/>
        <v>0.53</v>
      </c>
      <c r="L24" s="199">
        <v>2.62</v>
      </c>
      <c r="M24" s="200">
        <f t="shared" si="6"/>
        <v>0.65500000000000003</v>
      </c>
      <c r="N24" s="199">
        <v>3.12</v>
      </c>
      <c r="O24" s="200">
        <f t="shared" si="7"/>
        <v>0.78</v>
      </c>
      <c r="P24" s="199">
        <v>3.62</v>
      </c>
      <c r="Q24" s="200">
        <f t="shared" si="8"/>
        <v>0.90500000000000003</v>
      </c>
    </row>
    <row r="25" spans="2:17">
      <c r="B25" s="199">
        <v>0.13</v>
      </c>
      <c r="C25" s="200">
        <f t="shared" si="1"/>
        <v>3.2500000000000001E-2</v>
      </c>
      <c r="D25" s="199">
        <v>0.63</v>
      </c>
      <c r="E25" s="200">
        <f t="shared" si="2"/>
        <v>0.1575</v>
      </c>
      <c r="F25" s="199">
        <v>1.1299999999999999</v>
      </c>
      <c r="G25" s="200">
        <f t="shared" si="3"/>
        <v>0.28249999999999997</v>
      </c>
      <c r="H25" s="199">
        <v>1.63</v>
      </c>
      <c r="I25" s="200">
        <f t="shared" si="4"/>
        <v>0.40749999999999997</v>
      </c>
      <c r="J25" s="199">
        <v>2.13</v>
      </c>
      <c r="K25" s="200">
        <f t="shared" si="5"/>
        <v>0.53249999999999997</v>
      </c>
      <c r="L25" s="199">
        <v>2.63</v>
      </c>
      <c r="M25" s="200">
        <f t="shared" si="6"/>
        <v>0.65749999999999997</v>
      </c>
      <c r="N25" s="199">
        <v>3.13</v>
      </c>
      <c r="O25" s="200">
        <f t="shared" si="7"/>
        <v>0.78249999999999997</v>
      </c>
      <c r="P25" s="199">
        <v>3.63</v>
      </c>
      <c r="Q25" s="200">
        <f t="shared" si="8"/>
        <v>0.90749999999999997</v>
      </c>
    </row>
    <row r="26" spans="2:17">
      <c r="B26" s="199">
        <v>0.14000000000000001</v>
      </c>
      <c r="C26" s="200">
        <f t="shared" si="1"/>
        <v>3.5000000000000003E-2</v>
      </c>
      <c r="D26" s="199">
        <v>0.64</v>
      </c>
      <c r="E26" s="200">
        <f t="shared" si="2"/>
        <v>0.16</v>
      </c>
      <c r="F26" s="199">
        <v>1.1399999999999999</v>
      </c>
      <c r="G26" s="200">
        <f t="shared" si="3"/>
        <v>0.28499999999999998</v>
      </c>
      <c r="H26" s="199">
        <v>1.64</v>
      </c>
      <c r="I26" s="200">
        <f t="shared" si="4"/>
        <v>0.41</v>
      </c>
      <c r="J26" s="199">
        <v>2.14</v>
      </c>
      <c r="K26" s="200">
        <f t="shared" si="5"/>
        <v>0.53500000000000003</v>
      </c>
      <c r="L26" s="199">
        <v>2.64</v>
      </c>
      <c r="M26" s="200">
        <f t="shared" si="6"/>
        <v>0.66</v>
      </c>
      <c r="N26" s="199">
        <v>3.14</v>
      </c>
      <c r="O26" s="200">
        <f t="shared" si="7"/>
        <v>0.78500000000000003</v>
      </c>
      <c r="P26" s="199">
        <v>3.64</v>
      </c>
      <c r="Q26" s="200">
        <f t="shared" si="8"/>
        <v>0.91</v>
      </c>
    </row>
    <row r="27" spans="2:17">
      <c r="B27" s="199">
        <v>0.15</v>
      </c>
      <c r="C27" s="200">
        <f t="shared" si="1"/>
        <v>3.7499999999999999E-2</v>
      </c>
      <c r="D27" s="199">
        <v>0.65</v>
      </c>
      <c r="E27" s="200">
        <f t="shared" si="2"/>
        <v>0.16250000000000001</v>
      </c>
      <c r="F27" s="199">
        <v>1.1499999999999999</v>
      </c>
      <c r="G27" s="200">
        <f t="shared" si="3"/>
        <v>0.28749999999999998</v>
      </c>
      <c r="H27" s="199">
        <v>1.65</v>
      </c>
      <c r="I27" s="200">
        <f t="shared" si="4"/>
        <v>0.41249999999999998</v>
      </c>
      <c r="J27" s="199">
        <v>2.15</v>
      </c>
      <c r="K27" s="200">
        <f t="shared" si="5"/>
        <v>0.53749999999999998</v>
      </c>
      <c r="L27" s="199">
        <v>2.65</v>
      </c>
      <c r="M27" s="200">
        <f t="shared" si="6"/>
        <v>0.66249999999999998</v>
      </c>
      <c r="N27" s="199">
        <v>3.15</v>
      </c>
      <c r="O27" s="200">
        <f t="shared" si="7"/>
        <v>0.78749999999999998</v>
      </c>
      <c r="P27" s="199">
        <v>3.65</v>
      </c>
      <c r="Q27" s="200">
        <f t="shared" si="8"/>
        <v>0.91249999999999998</v>
      </c>
    </row>
    <row r="28" spans="2:17">
      <c r="B28" s="199">
        <v>0.16</v>
      </c>
      <c r="C28" s="200">
        <f t="shared" si="1"/>
        <v>0.04</v>
      </c>
      <c r="D28" s="199">
        <v>0.66</v>
      </c>
      <c r="E28" s="200">
        <f t="shared" si="2"/>
        <v>0.16500000000000001</v>
      </c>
      <c r="F28" s="199">
        <v>1.1599999999999999</v>
      </c>
      <c r="G28" s="200">
        <f t="shared" si="3"/>
        <v>0.28999999999999998</v>
      </c>
      <c r="H28" s="199">
        <v>1.66</v>
      </c>
      <c r="I28" s="200">
        <f t="shared" si="4"/>
        <v>0.41499999999999998</v>
      </c>
      <c r="J28" s="199">
        <v>2.16</v>
      </c>
      <c r="K28" s="200">
        <f t="shared" si="5"/>
        <v>0.54</v>
      </c>
      <c r="L28" s="199">
        <v>2.66</v>
      </c>
      <c r="M28" s="200">
        <f t="shared" si="6"/>
        <v>0.66500000000000004</v>
      </c>
      <c r="N28" s="199">
        <v>3.16</v>
      </c>
      <c r="O28" s="200">
        <f t="shared" si="7"/>
        <v>0.79</v>
      </c>
      <c r="P28" s="199">
        <v>3.66</v>
      </c>
      <c r="Q28" s="200">
        <f t="shared" si="8"/>
        <v>0.91500000000000004</v>
      </c>
    </row>
    <row r="29" spans="2:17">
      <c r="B29" s="199">
        <v>0.17</v>
      </c>
      <c r="C29" s="200">
        <f t="shared" si="1"/>
        <v>4.2500000000000003E-2</v>
      </c>
      <c r="D29" s="199">
        <v>0.67</v>
      </c>
      <c r="E29" s="200">
        <f t="shared" si="2"/>
        <v>0.16750000000000001</v>
      </c>
      <c r="F29" s="199">
        <v>1.17</v>
      </c>
      <c r="G29" s="200">
        <f t="shared" si="3"/>
        <v>0.29249999999999998</v>
      </c>
      <c r="H29" s="199">
        <v>1.67</v>
      </c>
      <c r="I29" s="200">
        <f t="shared" si="4"/>
        <v>0.41749999999999998</v>
      </c>
      <c r="J29" s="199">
        <v>2.17</v>
      </c>
      <c r="K29" s="200">
        <f t="shared" si="5"/>
        <v>0.54249999999999998</v>
      </c>
      <c r="L29" s="199">
        <v>2.67</v>
      </c>
      <c r="M29" s="200">
        <f t="shared" si="6"/>
        <v>0.66749999999999998</v>
      </c>
      <c r="N29" s="199">
        <v>3.17</v>
      </c>
      <c r="O29" s="200">
        <f t="shared" si="7"/>
        <v>0.79249999999999998</v>
      </c>
      <c r="P29" s="199">
        <v>3.67</v>
      </c>
      <c r="Q29" s="200">
        <f t="shared" si="8"/>
        <v>0.91749999999999998</v>
      </c>
    </row>
    <row r="30" spans="2:17">
      <c r="B30" s="199">
        <v>0.18</v>
      </c>
      <c r="C30" s="200">
        <f t="shared" ref="C30:C45" si="9">B30/4</f>
        <v>4.4999999999999998E-2</v>
      </c>
      <c r="D30" s="199">
        <v>0.68</v>
      </c>
      <c r="E30" s="200">
        <f t="shared" si="2"/>
        <v>0.17</v>
      </c>
      <c r="F30" s="199">
        <v>1.18</v>
      </c>
      <c r="G30" s="200">
        <f t="shared" si="3"/>
        <v>0.29499999999999998</v>
      </c>
      <c r="H30" s="199">
        <v>1.68</v>
      </c>
      <c r="I30" s="200">
        <f t="shared" si="4"/>
        <v>0.42</v>
      </c>
      <c r="J30" s="199">
        <v>2.1800000000000002</v>
      </c>
      <c r="K30" s="200">
        <f t="shared" si="5"/>
        <v>0.54500000000000004</v>
      </c>
      <c r="L30" s="199">
        <v>2.68</v>
      </c>
      <c r="M30" s="200">
        <f t="shared" si="6"/>
        <v>0.67</v>
      </c>
      <c r="N30" s="199">
        <v>3.18</v>
      </c>
      <c r="O30" s="200">
        <f t="shared" si="7"/>
        <v>0.79500000000000004</v>
      </c>
      <c r="P30" s="199">
        <v>3.68</v>
      </c>
      <c r="Q30" s="200">
        <f t="shared" si="8"/>
        <v>0.92</v>
      </c>
    </row>
    <row r="31" spans="2:17">
      <c r="B31" s="199">
        <v>0.19</v>
      </c>
      <c r="C31" s="200">
        <f t="shared" si="9"/>
        <v>4.7500000000000001E-2</v>
      </c>
      <c r="D31" s="199">
        <v>0.69</v>
      </c>
      <c r="E31" s="200">
        <f t="shared" si="2"/>
        <v>0.17249999999999999</v>
      </c>
      <c r="F31" s="199">
        <v>1.19</v>
      </c>
      <c r="G31" s="200">
        <f t="shared" si="3"/>
        <v>0.29749999999999999</v>
      </c>
      <c r="H31" s="199">
        <v>1.69</v>
      </c>
      <c r="I31" s="200">
        <f t="shared" si="4"/>
        <v>0.42249999999999999</v>
      </c>
      <c r="J31" s="199">
        <v>2.19</v>
      </c>
      <c r="K31" s="200">
        <f t="shared" si="5"/>
        <v>0.54749999999999999</v>
      </c>
      <c r="L31" s="199">
        <v>2.69</v>
      </c>
      <c r="M31" s="200">
        <f t="shared" si="6"/>
        <v>0.67249999999999999</v>
      </c>
      <c r="N31" s="199">
        <v>3.19</v>
      </c>
      <c r="O31" s="200">
        <f t="shared" si="7"/>
        <v>0.79749999999999999</v>
      </c>
      <c r="P31" s="199">
        <v>3.69</v>
      </c>
      <c r="Q31" s="200">
        <f t="shared" si="8"/>
        <v>0.92249999999999999</v>
      </c>
    </row>
    <row r="32" spans="2:17">
      <c r="B32" s="199">
        <v>0.2</v>
      </c>
      <c r="C32" s="200">
        <f t="shared" si="9"/>
        <v>0.05</v>
      </c>
      <c r="D32" s="199">
        <v>0.7</v>
      </c>
      <c r="E32" s="200">
        <f t="shared" si="2"/>
        <v>0.17499999999999999</v>
      </c>
      <c r="F32" s="199">
        <v>1.2</v>
      </c>
      <c r="G32" s="200">
        <f t="shared" si="3"/>
        <v>0.3</v>
      </c>
      <c r="H32" s="199">
        <v>1.7</v>
      </c>
      <c r="I32" s="200">
        <f t="shared" si="4"/>
        <v>0.42499999999999999</v>
      </c>
      <c r="J32" s="199">
        <v>2.2000000000000002</v>
      </c>
      <c r="K32" s="200">
        <f t="shared" si="5"/>
        <v>0.55000000000000004</v>
      </c>
      <c r="L32" s="199">
        <v>2.7</v>
      </c>
      <c r="M32" s="200">
        <f t="shared" si="6"/>
        <v>0.67500000000000004</v>
      </c>
      <c r="N32" s="199">
        <v>3.2</v>
      </c>
      <c r="O32" s="200">
        <f t="shared" si="7"/>
        <v>0.8</v>
      </c>
      <c r="P32" s="199">
        <v>3.7</v>
      </c>
      <c r="Q32" s="200">
        <f t="shared" si="8"/>
        <v>0.92500000000000004</v>
      </c>
    </row>
    <row r="33" spans="2:17">
      <c r="B33" s="199">
        <v>0.21</v>
      </c>
      <c r="C33" s="200">
        <f t="shared" si="9"/>
        <v>5.2499999999999998E-2</v>
      </c>
      <c r="D33" s="199">
        <v>0.71</v>
      </c>
      <c r="E33" s="200">
        <f t="shared" si="2"/>
        <v>0.17749999999999999</v>
      </c>
      <c r="F33" s="199">
        <v>1.21</v>
      </c>
      <c r="G33" s="200">
        <f t="shared" si="3"/>
        <v>0.30249999999999999</v>
      </c>
      <c r="H33" s="199">
        <v>1.71</v>
      </c>
      <c r="I33" s="200">
        <f t="shared" si="4"/>
        <v>0.42749999999999999</v>
      </c>
      <c r="J33" s="199">
        <v>2.21</v>
      </c>
      <c r="K33" s="200">
        <f t="shared" si="5"/>
        <v>0.55249999999999999</v>
      </c>
      <c r="L33" s="199">
        <v>2.71</v>
      </c>
      <c r="M33" s="200">
        <f t="shared" si="6"/>
        <v>0.67749999999999999</v>
      </c>
      <c r="N33" s="199">
        <v>3.21</v>
      </c>
      <c r="O33" s="200">
        <f t="shared" si="7"/>
        <v>0.80249999999999999</v>
      </c>
      <c r="P33" s="199">
        <v>3.71</v>
      </c>
      <c r="Q33" s="200">
        <f t="shared" si="8"/>
        <v>0.92749999999999999</v>
      </c>
    </row>
    <row r="34" spans="2:17">
      <c r="B34" s="199">
        <v>0.22</v>
      </c>
      <c r="C34" s="200">
        <f t="shared" si="9"/>
        <v>5.5E-2</v>
      </c>
      <c r="D34" s="199">
        <v>0.72</v>
      </c>
      <c r="E34" s="200">
        <f t="shared" si="2"/>
        <v>0.18</v>
      </c>
      <c r="F34" s="199">
        <v>1.22</v>
      </c>
      <c r="G34" s="200">
        <f t="shared" si="3"/>
        <v>0.30499999999999999</v>
      </c>
      <c r="H34" s="199">
        <v>1.72</v>
      </c>
      <c r="I34" s="200">
        <f t="shared" si="4"/>
        <v>0.43</v>
      </c>
      <c r="J34" s="199">
        <v>2.2200000000000002</v>
      </c>
      <c r="K34" s="200">
        <f t="shared" si="5"/>
        <v>0.55500000000000005</v>
      </c>
      <c r="L34" s="199">
        <v>2.72</v>
      </c>
      <c r="M34" s="200">
        <f t="shared" si="6"/>
        <v>0.68</v>
      </c>
      <c r="N34" s="199">
        <v>3.22</v>
      </c>
      <c r="O34" s="200">
        <f t="shared" si="7"/>
        <v>0.80500000000000005</v>
      </c>
      <c r="P34" s="199">
        <v>3.72</v>
      </c>
      <c r="Q34" s="200">
        <f t="shared" si="8"/>
        <v>0.93</v>
      </c>
    </row>
    <row r="35" spans="2:17">
      <c r="B35" s="199">
        <v>0.23</v>
      </c>
      <c r="C35" s="200">
        <f t="shared" si="9"/>
        <v>5.7500000000000002E-2</v>
      </c>
      <c r="D35" s="199">
        <v>0.73</v>
      </c>
      <c r="E35" s="200">
        <f t="shared" si="2"/>
        <v>0.1825</v>
      </c>
      <c r="F35" s="199">
        <v>1.23</v>
      </c>
      <c r="G35" s="200">
        <f t="shared" si="3"/>
        <v>0.3075</v>
      </c>
      <c r="H35" s="199">
        <v>1.73</v>
      </c>
      <c r="I35" s="200">
        <f t="shared" si="4"/>
        <v>0.4325</v>
      </c>
      <c r="J35" s="199">
        <v>2.23</v>
      </c>
      <c r="K35" s="200">
        <f t="shared" si="5"/>
        <v>0.5575</v>
      </c>
      <c r="L35" s="199">
        <v>2.73</v>
      </c>
      <c r="M35" s="200">
        <f t="shared" si="6"/>
        <v>0.6825</v>
      </c>
      <c r="N35" s="199">
        <v>3.23</v>
      </c>
      <c r="O35" s="200">
        <f t="shared" si="7"/>
        <v>0.8075</v>
      </c>
      <c r="P35" s="199">
        <v>3.73</v>
      </c>
      <c r="Q35" s="200">
        <f t="shared" si="8"/>
        <v>0.9325</v>
      </c>
    </row>
    <row r="36" spans="2:17">
      <c r="B36" s="199">
        <v>0.24</v>
      </c>
      <c r="C36" s="200">
        <f t="shared" si="9"/>
        <v>0.06</v>
      </c>
      <c r="D36" s="199">
        <v>0.74</v>
      </c>
      <c r="E36" s="200">
        <f t="shared" si="2"/>
        <v>0.185</v>
      </c>
      <c r="F36" s="199">
        <v>1.24</v>
      </c>
      <c r="G36" s="200">
        <f t="shared" si="3"/>
        <v>0.31</v>
      </c>
      <c r="H36" s="199">
        <v>1.74</v>
      </c>
      <c r="I36" s="200">
        <f t="shared" si="4"/>
        <v>0.435</v>
      </c>
      <c r="J36" s="199">
        <v>2.2400000000000002</v>
      </c>
      <c r="K36" s="200">
        <f t="shared" si="5"/>
        <v>0.56000000000000005</v>
      </c>
      <c r="L36" s="199">
        <v>2.74</v>
      </c>
      <c r="M36" s="200">
        <f t="shared" si="6"/>
        <v>0.68500000000000005</v>
      </c>
      <c r="N36" s="199">
        <v>3.24</v>
      </c>
      <c r="O36" s="200">
        <f t="shared" si="7"/>
        <v>0.81</v>
      </c>
      <c r="P36" s="199">
        <v>3.74</v>
      </c>
      <c r="Q36" s="200">
        <f t="shared" si="8"/>
        <v>0.93500000000000005</v>
      </c>
    </row>
    <row r="37" spans="2:17">
      <c r="B37" s="199">
        <v>0.25</v>
      </c>
      <c r="C37" s="200">
        <f t="shared" si="9"/>
        <v>6.25E-2</v>
      </c>
      <c r="D37" s="199">
        <v>0.75</v>
      </c>
      <c r="E37" s="200">
        <f t="shared" si="2"/>
        <v>0.1875</v>
      </c>
      <c r="F37" s="199">
        <v>1.25</v>
      </c>
      <c r="G37" s="200">
        <f t="shared" si="3"/>
        <v>0.3125</v>
      </c>
      <c r="H37" s="199">
        <v>1.75</v>
      </c>
      <c r="I37" s="200">
        <f t="shared" si="4"/>
        <v>0.4375</v>
      </c>
      <c r="J37" s="199">
        <v>2.25</v>
      </c>
      <c r="K37" s="200">
        <f t="shared" si="5"/>
        <v>0.5625</v>
      </c>
      <c r="L37" s="199">
        <v>2.75</v>
      </c>
      <c r="M37" s="200">
        <f t="shared" si="6"/>
        <v>0.6875</v>
      </c>
      <c r="N37" s="199">
        <v>3.25</v>
      </c>
      <c r="O37" s="200">
        <f t="shared" si="7"/>
        <v>0.8125</v>
      </c>
      <c r="P37" s="199">
        <v>3.75</v>
      </c>
      <c r="Q37" s="200">
        <f t="shared" si="8"/>
        <v>0.9375</v>
      </c>
    </row>
    <row r="38" spans="2:17">
      <c r="B38" s="199">
        <v>0.26</v>
      </c>
      <c r="C38" s="200">
        <f t="shared" si="9"/>
        <v>6.5000000000000002E-2</v>
      </c>
      <c r="D38" s="199">
        <v>0.76</v>
      </c>
      <c r="E38" s="200">
        <f t="shared" si="2"/>
        <v>0.19</v>
      </c>
      <c r="F38" s="199">
        <v>1.26</v>
      </c>
      <c r="G38" s="200">
        <f t="shared" si="3"/>
        <v>0.315</v>
      </c>
      <c r="H38" s="199">
        <v>1.76</v>
      </c>
      <c r="I38" s="200">
        <f t="shared" si="4"/>
        <v>0.44</v>
      </c>
      <c r="J38" s="199">
        <v>2.2599999999999998</v>
      </c>
      <c r="K38" s="200">
        <f t="shared" si="5"/>
        <v>0.56499999999999995</v>
      </c>
      <c r="L38" s="199">
        <v>2.76</v>
      </c>
      <c r="M38" s="200">
        <f t="shared" si="6"/>
        <v>0.69</v>
      </c>
      <c r="N38" s="199">
        <v>3.26</v>
      </c>
      <c r="O38" s="200">
        <f t="shared" si="7"/>
        <v>0.81499999999999995</v>
      </c>
      <c r="P38" s="199">
        <v>3.76</v>
      </c>
      <c r="Q38" s="200">
        <f t="shared" si="8"/>
        <v>0.94</v>
      </c>
    </row>
    <row r="39" spans="2:17">
      <c r="B39" s="199">
        <v>0.27</v>
      </c>
      <c r="C39" s="200">
        <f t="shared" si="9"/>
        <v>6.7500000000000004E-2</v>
      </c>
      <c r="D39" s="199">
        <v>0.77</v>
      </c>
      <c r="E39" s="200">
        <f t="shared" si="2"/>
        <v>0.1925</v>
      </c>
      <c r="F39" s="199">
        <v>1.27</v>
      </c>
      <c r="G39" s="200">
        <f t="shared" si="3"/>
        <v>0.3175</v>
      </c>
      <c r="H39" s="199">
        <v>1.77</v>
      </c>
      <c r="I39" s="200">
        <f t="shared" si="4"/>
        <v>0.4425</v>
      </c>
      <c r="J39" s="199">
        <v>2.27</v>
      </c>
      <c r="K39" s="200">
        <f t="shared" si="5"/>
        <v>0.5675</v>
      </c>
      <c r="L39" s="199">
        <v>2.77</v>
      </c>
      <c r="M39" s="200">
        <f t="shared" si="6"/>
        <v>0.6925</v>
      </c>
      <c r="N39" s="199">
        <v>3.27</v>
      </c>
      <c r="O39" s="200">
        <f t="shared" si="7"/>
        <v>0.8175</v>
      </c>
      <c r="P39" s="199">
        <v>3.77</v>
      </c>
      <c r="Q39" s="200">
        <f t="shared" si="8"/>
        <v>0.9425</v>
      </c>
    </row>
    <row r="40" spans="2:17">
      <c r="B40" s="199">
        <v>0.28000000000000003</v>
      </c>
      <c r="C40" s="200">
        <f t="shared" si="9"/>
        <v>7.0000000000000007E-2</v>
      </c>
      <c r="D40" s="199">
        <v>0.78</v>
      </c>
      <c r="E40" s="200">
        <f t="shared" si="2"/>
        <v>0.19500000000000001</v>
      </c>
      <c r="F40" s="199">
        <v>1.28</v>
      </c>
      <c r="G40" s="200">
        <f t="shared" si="3"/>
        <v>0.32</v>
      </c>
      <c r="H40" s="199">
        <v>1.78</v>
      </c>
      <c r="I40" s="200">
        <f t="shared" si="4"/>
        <v>0.44500000000000001</v>
      </c>
      <c r="J40" s="199">
        <v>2.2799999999999998</v>
      </c>
      <c r="K40" s="200">
        <f t="shared" si="5"/>
        <v>0.56999999999999995</v>
      </c>
      <c r="L40" s="199">
        <v>2.78</v>
      </c>
      <c r="M40" s="200">
        <f t="shared" si="6"/>
        <v>0.69499999999999995</v>
      </c>
      <c r="N40" s="199">
        <v>3.28</v>
      </c>
      <c r="O40" s="200">
        <f t="shared" si="7"/>
        <v>0.82</v>
      </c>
      <c r="P40" s="199">
        <v>3.78</v>
      </c>
      <c r="Q40" s="200">
        <f t="shared" si="8"/>
        <v>0.94499999999999995</v>
      </c>
    </row>
    <row r="41" spans="2:17">
      <c r="B41" s="199">
        <v>0.28999999999999998</v>
      </c>
      <c r="C41" s="200">
        <f t="shared" si="9"/>
        <v>7.2499999999999995E-2</v>
      </c>
      <c r="D41" s="199">
        <v>0.79</v>
      </c>
      <c r="E41" s="200">
        <f t="shared" si="2"/>
        <v>0.19750000000000001</v>
      </c>
      <c r="F41" s="199">
        <v>1.29</v>
      </c>
      <c r="G41" s="200">
        <f t="shared" si="3"/>
        <v>0.32250000000000001</v>
      </c>
      <c r="H41" s="199">
        <v>1.79</v>
      </c>
      <c r="I41" s="200">
        <f t="shared" si="4"/>
        <v>0.44750000000000001</v>
      </c>
      <c r="J41" s="199">
        <v>2.29</v>
      </c>
      <c r="K41" s="200">
        <f t="shared" si="5"/>
        <v>0.57250000000000001</v>
      </c>
      <c r="L41" s="199">
        <v>2.79</v>
      </c>
      <c r="M41" s="200">
        <f t="shared" si="6"/>
        <v>0.69750000000000001</v>
      </c>
      <c r="N41" s="199">
        <v>3.29</v>
      </c>
      <c r="O41" s="200">
        <f t="shared" si="7"/>
        <v>0.82250000000000001</v>
      </c>
      <c r="P41" s="199">
        <v>3.79</v>
      </c>
      <c r="Q41" s="200">
        <f t="shared" si="8"/>
        <v>0.94750000000000001</v>
      </c>
    </row>
    <row r="42" spans="2:17">
      <c r="B42" s="199">
        <v>0.3</v>
      </c>
      <c r="C42" s="200">
        <f t="shared" si="9"/>
        <v>7.4999999999999997E-2</v>
      </c>
      <c r="D42" s="199">
        <v>0.8</v>
      </c>
      <c r="E42" s="200">
        <f t="shared" si="2"/>
        <v>0.2</v>
      </c>
      <c r="F42" s="199">
        <v>1.3</v>
      </c>
      <c r="G42" s="200">
        <f t="shared" si="3"/>
        <v>0.32500000000000001</v>
      </c>
      <c r="H42" s="199">
        <v>1.8</v>
      </c>
      <c r="I42" s="200">
        <f t="shared" si="4"/>
        <v>0.45</v>
      </c>
      <c r="J42" s="199">
        <v>2.2999999999999998</v>
      </c>
      <c r="K42" s="200">
        <f t="shared" si="5"/>
        <v>0.57499999999999996</v>
      </c>
      <c r="L42" s="199">
        <v>2.8</v>
      </c>
      <c r="M42" s="200">
        <f t="shared" si="6"/>
        <v>0.7</v>
      </c>
      <c r="N42" s="199">
        <v>3.3</v>
      </c>
      <c r="O42" s="200">
        <f t="shared" si="7"/>
        <v>0.82499999999999996</v>
      </c>
      <c r="P42" s="199">
        <v>3.8</v>
      </c>
      <c r="Q42" s="200">
        <f t="shared" si="8"/>
        <v>0.95</v>
      </c>
    </row>
    <row r="43" spans="2:17">
      <c r="B43" s="199">
        <v>0.31</v>
      </c>
      <c r="C43" s="200">
        <f t="shared" si="9"/>
        <v>7.7499999999999999E-2</v>
      </c>
      <c r="D43" s="199">
        <v>0.81</v>
      </c>
      <c r="E43" s="200">
        <f t="shared" si="2"/>
        <v>0.20250000000000001</v>
      </c>
      <c r="F43" s="199">
        <v>1.31</v>
      </c>
      <c r="G43" s="200">
        <f t="shared" si="3"/>
        <v>0.32750000000000001</v>
      </c>
      <c r="H43" s="199">
        <v>1.81</v>
      </c>
      <c r="I43" s="200">
        <f t="shared" si="4"/>
        <v>0.45250000000000001</v>
      </c>
      <c r="J43" s="199">
        <v>2.31</v>
      </c>
      <c r="K43" s="200">
        <f t="shared" si="5"/>
        <v>0.57750000000000001</v>
      </c>
      <c r="L43" s="199">
        <v>2.81</v>
      </c>
      <c r="M43" s="200">
        <f t="shared" si="6"/>
        <v>0.70250000000000001</v>
      </c>
      <c r="N43" s="199">
        <v>3.31</v>
      </c>
      <c r="O43" s="200">
        <f t="shared" si="7"/>
        <v>0.82750000000000001</v>
      </c>
      <c r="P43" s="199">
        <v>3.81</v>
      </c>
      <c r="Q43" s="200">
        <f t="shared" si="8"/>
        <v>0.95250000000000001</v>
      </c>
    </row>
    <row r="44" spans="2:17">
      <c r="B44" s="199">
        <v>0.32</v>
      </c>
      <c r="C44" s="200">
        <f t="shared" si="9"/>
        <v>0.08</v>
      </c>
      <c r="D44" s="199">
        <v>0.82</v>
      </c>
      <c r="E44" s="200">
        <f t="shared" si="2"/>
        <v>0.20499999999999999</v>
      </c>
      <c r="F44" s="199">
        <v>1.32</v>
      </c>
      <c r="G44" s="200">
        <f t="shared" si="3"/>
        <v>0.33</v>
      </c>
      <c r="H44" s="199">
        <v>1.82</v>
      </c>
      <c r="I44" s="200">
        <f t="shared" si="4"/>
        <v>0.45500000000000002</v>
      </c>
      <c r="J44" s="199">
        <v>2.3199999999999998</v>
      </c>
      <c r="K44" s="200">
        <f t="shared" si="5"/>
        <v>0.57999999999999996</v>
      </c>
      <c r="L44" s="199">
        <v>2.82</v>
      </c>
      <c r="M44" s="200">
        <f t="shared" si="6"/>
        <v>0.70499999999999996</v>
      </c>
      <c r="N44" s="199">
        <v>3.32</v>
      </c>
      <c r="O44" s="200">
        <f t="shared" si="7"/>
        <v>0.83</v>
      </c>
      <c r="P44" s="199">
        <v>3.82</v>
      </c>
      <c r="Q44" s="200">
        <f t="shared" si="8"/>
        <v>0.95499999999999996</v>
      </c>
    </row>
    <row r="45" spans="2:17">
      <c r="B45" s="199">
        <v>0.33</v>
      </c>
      <c r="C45" s="200">
        <f t="shared" si="9"/>
        <v>8.2500000000000004E-2</v>
      </c>
      <c r="D45" s="199">
        <v>0.83</v>
      </c>
      <c r="E45" s="200">
        <f t="shared" si="2"/>
        <v>0.20749999999999999</v>
      </c>
      <c r="F45" s="199">
        <v>1.33</v>
      </c>
      <c r="G45" s="200">
        <f t="shared" si="3"/>
        <v>0.33250000000000002</v>
      </c>
      <c r="H45" s="199">
        <v>1.83</v>
      </c>
      <c r="I45" s="200">
        <f t="shared" si="4"/>
        <v>0.45750000000000002</v>
      </c>
      <c r="J45" s="199">
        <v>2.33</v>
      </c>
      <c r="K45" s="200">
        <f t="shared" si="5"/>
        <v>0.58250000000000002</v>
      </c>
      <c r="L45" s="199">
        <v>2.83</v>
      </c>
      <c r="M45" s="200">
        <f t="shared" si="6"/>
        <v>0.70750000000000002</v>
      </c>
      <c r="N45" s="199">
        <v>3.33</v>
      </c>
      <c r="O45" s="200">
        <f t="shared" si="7"/>
        <v>0.83250000000000002</v>
      </c>
      <c r="P45" s="199">
        <v>3.83</v>
      </c>
      <c r="Q45" s="200">
        <f t="shared" si="8"/>
        <v>0.95750000000000002</v>
      </c>
    </row>
    <row r="46" spans="2:17">
      <c r="B46" s="199">
        <v>0.34</v>
      </c>
      <c r="C46" s="200">
        <f t="shared" ref="C46:C61" si="10">B46/4</f>
        <v>8.5000000000000006E-2</v>
      </c>
      <c r="D46" s="199">
        <v>0.84</v>
      </c>
      <c r="E46" s="200">
        <f t="shared" si="2"/>
        <v>0.21</v>
      </c>
      <c r="F46" s="199">
        <v>1.34</v>
      </c>
      <c r="G46" s="200">
        <f t="shared" si="3"/>
        <v>0.33500000000000002</v>
      </c>
      <c r="H46" s="199">
        <v>1.84</v>
      </c>
      <c r="I46" s="200">
        <f t="shared" si="4"/>
        <v>0.46</v>
      </c>
      <c r="J46" s="199">
        <v>2.34</v>
      </c>
      <c r="K46" s="200">
        <f t="shared" si="5"/>
        <v>0.58499999999999996</v>
      </c>
      <c r="L46" s="199">
        <v>2.84</v>
      </c>
      <c r="M46" s="200">
        <f t="shared" si="6"/>
        <v>0.71</v>
      </c>
      <c r="N46" s="199">
        <v>3.34</v>
      </c>
      <c r="O46" s="200">
        <f t="shared" si="7"/>
        <v>0.83499999999999996</v>
      </c>
      <c r="P46" s="199">
        <v>3.84</v>
      </c>
      <c r="Q46" s="200">
        <f t="shared" si="8"/>
        <v>0.96</v>
      </c>
    </row>
    <row r="47" spans="2:17">
      <c r="B47" s="199">
        <v>0.35</v>
      </c>
      <c r="C47" s="200">
        <f t="shared" si="10"/>
        <v>8.7499999999999994E-2</v>
      </c>
      <c r="D47" s="199">
        <v>0.85</v>
      </c>
      <c r="E47" s="200">
        <f t="shared" si="2"/>
        <v>0.21249999999999999</v>
      </c>
      <c r="F47" s="199">
        <v>1.35</v>
      </c>
      <c r="G47" s="200">
        <f t="shared" si="3"/>
        <v>0.33750000000000002</v>
      </c>
      <c r="H47" s="199">
        <v>1.85</v>
      </c>
      <c r="I47" s="200">
        <f t="shared" si="4"/>
        <v>0.46250000000000002</v>
      </c>
      <c r="J47" s="199">
        <v>2.35</v>
      </c>
      <c r="K47" s="200">
        <f t="shared" si="5"/>
        <v>0.58750000000000002</v>
      </c>
      <c r="L47" s="199">
        <v>2.85</v>
      </c>
      <c r="M47" s="200">
        <f t="shared" si="6"/>
        <v>0.71250000000000002</v>
      </c>
      <c r="N47" s="199">
        <v>3.35</v>
      </c>
      <c r="O47" s="200">
        <f t="shared" si="7"/>
        <v>0.83750000000000002</v>
      </c>
      <c r="P47" s="199">
        <v>3.85</v>
      </c>
      <c r="Q47" s="200">
        <f t="shared" si="8"/>
        <v>0.96250000000000002</v>
      </c>
    </row>
    <row r="48" spans="2:17">
      <c r="B48" s="199">
        <v>0.36</v>
      </c>
      <c r="C48" s="200">
        <f t="shared" si="10"/>
        <v>0.09</v>
      </c>
      <c r="D48" s="199">
        <v>0.86</v>
      </c>
      <c r="E48" s="200">
        <f t="shared" si="2"/>
        <v>0.215</v>
      </c>
      <c r="F48" s="199">
        <v>1.36</v>
      </c>
      <c r="G48" s="200">
        <f t="shared" si="3"/>
        <v>0.34</v>
      </c>
      <c r="H48" s="199">
        <v>1.86</v>
      </c>
      <c r="I48" s="200">
        <f t="shared" si="4"/>
        <v>0.46500000000000002</v>
      </c>
      <c r="J48" s="199">
        <v>2.36</v>
      </c>
      <c r="K48" s="200">
        <f t="shared" si="5"/>
        <v>0.59</v>
      </c>
      <c r="L48" s="199">
        <v>2.86</v>
      </c>
      <c r="M48" s="200">
        <f t="shared" si="6"/>
        <v>0.71499999999999997</v>
      </c>
      <c r="N48" s="199">
        <v>3.36</v>
      </c>
      <c r="O48" s="200">
        <f t="shared" si="7"/>
        <v>0.84</v>
      </c>
      <c r="P48" s="199">
        <v>3.86</v>
      </c>
      <c r="Q48" s="200">
        <f t="shared" si="8"/>
        <v>0.96499999999999997</v>
      </c>
    </row>
    <row r="49" spans="2:17">
      <c r="B49" s="199">
        <v>0.37</v>
      </c>
      <c r="C49" s="200">
        <f t="shared" si="10"/>
        <v>9.2499999999999999E-2</v>
      </c>
      <c r="D49" s="199">
        <v>0.87</v>
      </c>
      <c r="E49" s="200">
        <f t="shared" si="2"/>
        <v>0.2175</v>
      </c>
      <c r="F49" s="199">
        <v>1.37</v>
      </c>
      <c r="G49" s="200">
        <f t="shared" si="3"/>
        <v>0.34250000000000003</v>
      </c>
      <c r="H49" s="199">
        <v>1.87</v>
      </c>
      <c r="I49" s="200">
        <f t="shared" si="4"/>
        <v>0.46750000000000003</v>
      </c>
      <c r="J49" s="199">
        <v>2.37</v>
      </c>
      <c r="K49" s="200">
        <f t="shared" si="5"/>
        <v>0.59250000000000003</v>
      </c>
      <c r="L49" s="199">
        <v>2.87</v>
      </c>
      <c r="M49" s="200">
        <f t="shared" si="6"/>
        <v>0.71750000000000003</v>
      </c>
      <c r="N49" s="199">
        <v>3.37</v>
      </c>
      <c r="O49" s="200">
        <f t="shared" si="7"/>
        <v>0.84250000000000003</v>
      </c>
      <c r="P49" s="199">
        <v>3.87</v>
      </c>
      <c r="Q49" s="200">
        <f t="shared" si="8"/>
        <v>0.96750000000000003</v>
      </c>
    </row>
    <row r="50" spans="2:17">
      <c r="B50" s="199">
        <v>0.38</v>
      </c>
      <c r="C50" s="200">
        <f t="shared" si="10"/>
        <v>9.5000000000000001E-2</v>
      </c>
      <c r="D50" s="199">
        <v>0.88</v>
      </c>
      <c r="E50" s="200">
        <f t="shared" si="2"/>
        <v>0.22</v>
      </c>
      <c r="F50" s="199">
        <v>1.38</v>
      </c>
      <c r="G50" s="200">
        <f t="shared" si="3"/>
        <v>0.34499999999999997</v>
      </c>
      <c r="H50" s="199">
        <v>1.88</v>
      </c>
      <c r="I50" s="200">
        <f t="shared" si="4"/>
        <v>0.47</v>
      </c>
      <c r="J50" s="199">
        <v>2.38</v>
      </c>
      <c r="K50" s="200">
        <f t="shared" si="5"/>
        <v>0.59499999999999997</v>
      </c>
      <c r="L50" s="199">
        <v>2.88</v>
      </c>
      <c r="M50" s="200">
        <f t="shared" si="6"/>
        <v>0.72</v>
      </c>
      <c r="N50" s="199">
        <v>3.38</v>
      </c>
      <c r="O50" s="200">
        <f t="shared" si="7"/>
        <v>0.84499999999999997</v>
      </c>
      <c r="P50" s="199">
        <v>3.88</v>
      </c>
      <c r="Q50" s="200">
        <f t="shared" si="8"/>
        <v>0.97</v>
      </c>
    </row>
    <row r="51" spans="2:17">
      <c r="B51" s="199">
        <v>0.39</v>
      </c>
      <c r="C51" s="200">
        <f t="shared" si="10"/>
        <v>9.7500000000000003E-2</v>
      </c>
      <c r="D51" s="199">
        <v>0.89</v>
      </c>
      <c r="E51" s="200">
        <f t="shared" si="2"/>
        <v>0.2225</v>
      </c>
      <c r="F51" s="199">
        <v>1.39</v>
      </c>
      <c r="G51" s="200">
        <f t="shared" si="3"/>
        <v>0.34749999999999998</v>
      </c>
      <c r="H51" s="199">
        <v>1.89</v>
      </c>
      <c r="I51" s="200">
        <f t="shared" si="4"/>
        <v>0.47249999999999998</v>
      </c>
      <c r="J51" s="199">
        <v>2.39</v>
      </c>
      <c r="K51" s="200">
        <f t="shared" si="5"/>
        <v>0.59750000000000003</v>
      </c>
      <c r="L51" s="199">
        <v>2.89</v>
      </c>
      <c r="M51" s="200">
        <f t="shared" si="6"/>
        <v>0.72250000000000003</v>
      </c>
      <c r="N51" s="199">
        <v>3.39</v>
      </c>
      <c r="O51" s="200">
        <f t="shared" si="7"/>
        <v>0.84750000000000003</v>
      </c>
      <c r="P51" s="199">
        <v>3.89</v>
      </c>
      <c r="Q51" s="200">
        <f t="shared" si="8"/>
        <v>0.97250000000000003</v>
      </c>
    </row>
    <row r="52" spans="2:17">
      <c r="B52" s="199">
        <v>0.4</v>
      </c>
      <c r="C52" s="200">
        <f t="shared" si="10"/>
        <v>0.1</v>
      </c>
      <c r="D52" s="199">
        <v>0.9</v>
      </c>
      <c r="E52" s="200">
        <f t="shared" si="2"/>
        <v>0.22500000000000001</v>
      </c>
      <c r="F52" s="199">
        <v>1.4</v>
      </c>
      <c r="G52" s="200">
        <f t="shared" si="3"/>
        <v>0.35</v>
      </c>
      <c r="H52" s="199">
        <v>1.9</v>
      </c>
      <c r="I52" s="200">
        <f t="shared" si="4"/>
        <v>0.47499999999999998</v>
      </c>
      <c r="J52" s="199">
        <v>2.4</v>
      </c>
      <c r="K52" s="200">
        <f t="shared" si="5"/>
        <v>0.6</v>
      </c>
      <c r="L52" s="199">
        <v>2.9</v>
      </c>
      <c r="M52" s="200">
        <f t="shared" si="6"/>
        <v>0.72499999999999998</v>
      </c>
      <c r="N52" s="199">
        <v>3.4</v>
      </c>
      <c r="O52" s="200">
        <f t="shared" si="7"/>
        <v>0.85</v>
      </c>
      <c r="P52" s="199">
        <v>3.9</v>
      </c>
      <c r="Q52" s="200">
        <f t="shared" si="8"/>
        <v>0.97499999999999998</v>
      </c>
    </row>
    <row r="53" spans="2:17">
      <c r="B53" s="199">
        <v>0.41</v>
      </c>
      <c r="C53" s="200">
        <f t="shared" si="10"/>
        <v>0.10249999999999999</v>
      </c>
      <c r="D53" s="199">
        <v>0.91</v>
      </c>
      <c r="E53" s="200">
        <f t="shared" si="2"/>
        <v>0.22750000000000001</v>
      </c>
      <c r="F53" s="199">
        <v>1.41</v>
      </c>
      <c r="G53" s="200">
        <f t="shared" si="3"/>
        <v>0.35249999999999998</v>
      </c>
      <c r="H53" s="199">
        <v>1.91</v>
      </c>
      <c r="I53" s="200">
        <f t="shared" si="4"/>
        <v>0.47749999999999998</v>
      </c>
      <c r="J53" s="199">
        <v>2.41</v>
      </c>
      <c r="K53" s="200">
        <f t="shared" si="5"/>
        <v>0.60250000000000004</v>
      </c>
      <c r="L53" s="199">
        <v>2.91</v>
      </c>
      <c r="M53" s="200">
        <f t="shared" si="6"/>
        <v>0.72750000000000004</v>
      </c>
      <c r="N53" s="199">
        <v>3.41</v>
      </c>
      <c r="O53" s="200">
        <f t="shared" si="7"/>
        <v>0.85250000000000004</v>
      </c>
      <c r="P53" s="199">
        <v>3.91</v>
      </c>
      <c r="Q53" s="200">
        <f t="shared" si="8"/>
        <v>0.97750000000000004</v>
      </c>
    </row>
    <row r="54" spans="2:17">
      <c r="B54" s="199">
        <v>0.42</v>
      </c>
      <c r="C54" s="200">
        <f t="shared" si="10"/>
        <v>0.105</v>
      </c>
      <c r="D54" s="199">
        <v>0.92</v>
      </c>
      <c r="E54" s="200">
        <f t="shared" si="2"/>
        <v>0.23</v>
      </c>
      <c r="F54" s="199">
        <v>1.42</v>
      </c>
      <c r="G54" s="200">
        <f t="shared" si="3"/>
        <v>0.35499999999999998</v>
      </c>
      <c r="H54" s="199">
        <v>1.92</v>
      </c>
      <c r="I54" s="200">
        <f t="shared" si="4"/>
        <v>0.48</v>
      </c>
      <c r="J54" s="199">
        <v>2.42</v>
      </c>
      <c r="K54" s="200">
        <f t="shared" si="5"/>
        <v>0.60499999999999998</v>
      </c>
      <c r="L54" s="199">
        <v>2.92</v>
      </c>
      <c r="M54" s="200">
        <f t="shared" si="6"/>
        <v>0.73</v>
      </c>
      <c r="N54" s="199">
        <v>3.42</v>
      </c>
      <c r="O54" s="200">
        <f t="shared" si="7"/>
        <v>0.85499999999999998</v>
      </c>
      <c r="P54" s="199">
        <v>3.92</v>
      </c>
      <c r="Q54" s="200">
        <f t="shared" si="8"/>
        <v>0.98</v>
      </c>
    </row>
    <row r="55" spans="2:17">
      <c r="B55" s="199">
        <v>0.43</v>
      </c>
      <c r="C55" s="200">
        <f t="shared" si="10"/>
        <v>0.1075</v>
      </c>
      <c r="D55" s="199">
        <v>0.93</v>
      </c>
      <c r="E55" s="200">
        <f t="shared" si="2"/>
        <v>0.23250000000000001</v>
      </c>
      <c r="F55" s="199">
        <v>1.43</v>
      </c>
      <c r="G55" s="200">
        <f t="shared" si="3"/>
        <v>0.35749999999999998</v>
      </c>
      <c r="H55" s="199">
        <v>1.93</v>
      </c>
      <c r="I55" s="200">
        <f t="shared" si="4"/>
        <v>0.48249999999999998</v>
      </c>
      <c r="J55" s="199">
        <v>2.4300000000000002</v>
      </c>
      <c r="K55" s="200">
        <f t="shared" si="5"/>
        <v>0.60750000000000004</v>
      </c>
      <c r="L55" s="199">
        <v>2.93</v>
      </c>
      <c r="M55" s="200">
        <f t="shared" si="6"/>
        <v>0.73250000000000004</v>
      </c>
      <c r="N55" s="199">
        <v>3.43</v>
      </c>
      <c r="O55" s="200">
        <f t="shared" si="7"/>
        <v>0.85750000000000004</v>
      </c>
      <c r="P55" s="199">
        <v>3.93</v>
      </c>
      <c r="Q55" s="200">
        <f t="shared" si="8"/>
        <v>0.98250000000000004</v>
      </c>
    </row>
    <row r="56" spans="2:17">
      <c r="B56" s="199">
        <v>0.44</v>
      </c>
      <c r="C56" s="200">
        <f t="shared" si="10"/>
        <v>0.11</v>
      </c>
      <c r="D56" s="199">
        <v>0.94</v>
      </c>
      <c r="E56" s="200">
        <f t="shared" si="2"/>
        <v>0.23499999999999999</v>
      </c>
      <c r="F56" s="199">
        <v>1.44</v>
      </c>
      <c r="G56" s="200">
        <f t="shared" si="3"/>
        <v>0.36</v>
      </c>
      <c r="H56" s="199">
        <v>1.94</v>
      </c>
      <c r="I56" s="200">
        <f t="shared" si="4"/>
        <v>0.48499999999999999</v>
      </c>
      <c r="J56" s="199">
        <v>2.44</v>
      </c>
      <c r="K56" s="200">
        <f t="shared" si="5"/>
        <v>0.61</v>
      </c>
      <c r="L56" s="199">
        <v>2.94</v>
      </c>
      <c r="M56" s="200">
        <f t="shared" si="6"/>
        <v>0.73499999999999999</v>
      </c>
      <c r="N56" s="199">
        <v>3.44</v>
      </c>
      <c r="O56" s="200">
        <f t="shared" si="7"/>
        <v>0.86</v>
      </c>
      <c r="P56" s="199">
        <v>3.94</v>
      </c>
      <c r="Q56" s="200">
        <f t="shared" si="8"/>
        <v>0.98499999999999999</v>
      </c>
    </row>
    <row r="57" spans="2:17">
      <c r="B57" s="199">
        <v>0.45</v>
      </c>
      <c r="C57" s="200">
        <f t="shared" si="10"/>
        <v>0.1125</v>
      </c>
      <c r="D57" s="199">
        <v>0.95</v>
      </c>
      <c r="E57" s="200">
        <f t="shared" si="2"/>
        <v>0.23749999999999999</v>
      </c>
      <c r="F57" s="199">
        <v>1.45</v>
      </c>
      <c r="G57" s="200">
        <f t="shared" si="3"/>
        <v>0.36249999999999999</v>
      </c>
      <c r="H57" s="199">
        <v>1.95</v>
      </c>
      <c r="I57" s="200">
        <f t="shared" si="4"/>
        <v>0.48749999999999999</v>
      </c>
      <c r="J57" s="199">
        <v>2.4500000000000002</v>
      </c>
      <c r="K57" s="200">
        <f t="shared" si="5"/>
        <v>0.61250000000000004</v>
      </c>
      <c r="L57" s="199">
        <v>2.95</v>
      </c>
      <c r="M57" s="200">
        <f t="shared" si="6"/>
        <v>0.73750000000000004</v>
      </c>
      <c r="N57" s="199">
        <v>3.45</v>
      </c>
      <c r="O57" s="200">
        <f t="shared" si="7"/>
        <v>0.86250000000000004</v>
      </c>
      <c r="P57" s="199">
        <v>3.95</v>
      </c>
      <c r="Q57" s="200">
        <f t="shared" si="8"/>
        <v>0.98750000000000004</v>
      </c>
    </row>
    <row r="58" spans="2:17">
      <c r="B58" s="199">
        <v>0.46</v>
      </c>
      <c r="C58" s="200">
        <f t="shared" si="10"/>
        <v>0.115</v>
      </c>
      <c r="D58" s="199">
        <v>0.96</v>
      </c>
      <c r="E58" s="200">
        <f t="shared" si="2"/>
        <v>0.24</v>
      </c>
      <c r="F58" s="199">
        <v>1.46</v>
      </c>
      <c r="G58" s="200">
        <f t="shared" si="3"/>
        <v>0.36499999999999999</v>
      </c>
      <c r="H58" s="199">
        <v>1.96</v>
      </c>
      <c r="I58" s="200">
        <f t="shared" si="4"/>
        <v>0.49</v>
      </c>
      <c r="J58" s="199">
        <v>2.46</v>
      </c>
      <c r="K58" s="200">
        <f t="shared" si="5"/>
        <v>0.61499999999999999</v>
      </c>
      <c r="L58" s="199">
        <v>2.96</v>
      </c>
      <c r="M58" s="200">
        <f t="shared" si="6"/>
        <v>0.74</v>
      </c>
      <c r="N58" s="199">
        <v>3.46</v>
      </c>
      <c r="O58" s="200">
        <f t="shared" si="7"/>
        <v>0.86499999999999999</v>
      </c>
      <c r="P58" s="199">
        <v>3.96</v>
      </c>
      <c r="Q58" s="200">
        <f t="shared" si="8"/>
        <v>0.99</v>
      </c>
    </row>
    <row r="59" spans="2:17">
      <c r="B59" s="199">
        <v>0.47</v>
      </c>
      <c r="C59" s="200">
        <f t="shared" si="10"/>
        <v>0.11749999999999999</v>
      </c>
      <c r="D59" s="199">
        <v>0.97</v>
      </c>
      <c r="E59" s="200">
        <f t="shared" si="2"/>
        <v>0.24249999999999999</v>
      </c>
      <c r="F59" s="199">
        <v>1.47</v>
      </c>
      <c r="G59" s="200">
        <f t="shared" si="3"/>
        <v>0.36749999999999999</v>
      </c>
      <c r="H59" s="199">
        <v>1.97</v>
      </c>
      <c r="I59" s="200">
        <f t="shared" si="4"/>
        <v>0.49249999999999999</v>
      </c>
      <c r="J59" s="199">
        <v>2.4700000000000002</v>
      </c>
      <c r="K59" s="200">
        <f t="shared" si="5"/>
        <v>0.61750000000000005</v>
      </c>
      <c r="L59" s="199">
        <v>2.97</v>
      </c>
      <c r="M59" s="200">
        <f t="shared" si="6"/>
        <v>0.74250000000000005</v>
      </c>
      <c r="N59" s="199">
        <v>3.47</v>
      </c>
      <c r="O59" s="200">
        <f t="shared" si="7"/>
        <v>0.86750000000000005</v>
      </c>
      <c r="P59" s="199">
        <v>3.97</v>
      </c>
      <c r="Q59" s="200">
        <f t="shared" si="8"/>
        <v>0.99250000000000005</v>
      </c>
    </row>
    <row r="60" spans="2:17">
      <c r="B60" s="199">
        <v>0.48</v>
      </c>
      <c r="C60" s="200">
        <f t="shared" si="10"/>
        <v>0.12</v>
      </c>
      <c r="D60" s="199">
        <v>0.98</v>
      </c>
      <c r="E60" s="200">
        <f t="shared" si="2"/>
        <v>0.245</v>
      </c>
      <c r="F60" s="199">
        <v>1.48</v>
      </c>
      <c r="G60" s="200">
        <f t="shared" si="3"/>
        <v>0.37</v>
      </c>
      <c r="H60" s="199">
        <v>1.98</v>
      </c>
      <c r="I60" s="200">
        <f t="shared" si="4"/>
        <v>0.495</v>
      </c>
      <c r="J60" s="199">
        <v>2.48</v>
      </c>
      <c r="K60" s="200">
        <f t="shared" si="5"/>
        <v>0.62</v>
      </c>
      <c r="L60" s="199">
        <v>2.98</v>
      </c>
      <c r="M60" s="200">
        <f t="shared" si="6"/>
        <v>0.745</v>
      </c>
      <c r="N60" s="199">
        <v>3.48</v>
      </c>
      <c r="O60" s="200">
        <f t="shared" si="7"/>
        <v>0.87</v>
      </c>
      <c r="P60" s="199">
        <v>3.98</v>
      </c>
      <c r="Q60" s="200">
        <f t="shared" si="8"/>
        <v>0.995</v>
      </c>
    </row>
    <row r="61" spans="2:17">
      <c r="B61" s="199">
        <v>0.49</v>
      </c>
      <c r="C61" s="200">
        <f t="shared" si="10"/>
        <v>0.1225</v>
      </c>
      <c r="D61" s="199">
        <v>0.99</v>
      </c>
      <c r="E61" s="200">
        <f t="shared" si="2"/>
        <v>0.2475</v>
      </c>
      <c r="F61" s="199">
        <v>1.49</v>
      </c>
      <c r="G61" s="200">
        <f t="shared" si="3"/>
        <v>0.3725</v>
      </c>
      <c r="H61" s="199">
        <v>1.99</v>
      </c>
      <c r="I61" s="200">
        <f t="shared" si="4"/>
        <v>0.4975</v>
      </c>
      <c r="J61" s="199">
        <v>2.4900000000000002</v>
      </c>
      <c r="K61" s="200">
        <f t="shared" si="5"/>
        <v>0.62250000000000005</v>
      </c>
      <c r="L61" s="199">
        <v>2.99</v>
      </c>
      <c r="M61" s="200">
        <f t="shared" si="6"/>
        <v>0.74750000000000005</v>
      </c>
      <c r="N61" s="199">
        <v>3.49</v>
      </c>
      <c r="O61" s="200">
        <f t="shared" si="7"/>
        <v>0.87250000000000005</v>
      </c>
      <c r="P61" s="199">
        <v>3.99</v>
      </c>
      <c r="Q61" s="200">
        <f t="shared" si="8"/>
        <v>0.99750000000000005</v>
      </c>
    </row>
    <row r="62" spans="2:17">
      <c r="B62" s="199">
        <v>0.5</v>
      </c>
      <c r="C62" s="200">
        <f t="shared" ref="C62" si="11">B62/4</f>
        <v>0.125</v>
      </c>
      <c r="D62" s="199">
        <v>1</v>
      </c>
      <c r="E62" s="200">
        <f t="shared" si="2"/>
        <v>0.25</v>
      </c>
      <c r="F62" s="199">
        <v>1.5</v>
      </c>
      <c r="G62" s="200">
        <f t="shared" si="3"/>
        <v>0.375</v>
      </c>
      <c r="H62" s="199">
        <v>2</v>
      </c>
      <c r="I62" s="200">
        <f t="shared" si="4"/>
        <v>0.5</v>
      </c>
      <c r="J62" s="199">
        <v>2.5</v>
      </c>
      <c r="K62" s="200">
        <f t="shared" si="5"/>
        <v>0.625</v>
      </c>
      <c r="L62" s="199">
        <v>3</v>
      </c>
      <c r="M62" s="200">
        <f t="shared" si="6"/>
        <v>0.75</v>
      </c>
      <c r="N62" s="199">
        <v>3.5</v>
      </c>
      <c r="O62" s="200">
        <f t="shared" si="7"/>
        <v>0.875</v>
      </c>
      <c r="P62" s="199">
        <v>4</v>
      </c>
      <c r="Q62" s="200">
        <f t="shared" si="8"/>
        <v>1</v>
      </c>
    </row>
  </sheetData>
  <mergeCells count="5">
    <mergeCell ref="N6:N8"/>
    <mergeCell ref="B10:Q10"/>
    <mergeCell ref="N4:N5"/>
    <mergeCell ref="B5:B8"/>
    <mergeCell ref="B2:N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E656D-05E6-45BF-A021-E8E174B7F9FE}">
  <sheetPr>
    <tabColor rgb="FF92D050"/>
  </sheetPr>
  <dimension ref="A1:AA43"/>
  <sheetViews>
    <sheetView showGridLine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3" sqref="A23:XFD23"/>
    </sheetView>
  </sheetViews>
  <sheetFormatPr defaultColWidth="8.77734375" defaultRowHeight="14.4"/>
  <cols>
    <col min="1" max="1" width="18.109375" bestFit="1" customWidth="1"/>
    <col min="2" max="2" width="16.44140625" style="5" customWidth="1"/>
    <col min="3" max="3" width="20.109375" style="5" bestFit="1" customWidth="1"/>
    <col min="4" max="4" width="22.44140625" style="5" customWidth="1"/>
    <col min="5" max="5" width="10.109375" style="5" customWidth="1"/>
    <col min="6" max="6" width="10.77734375" style="5" bestFit="1" customWidth="1"/>
    <col min="7" max="7" width="6.77734375" style="60" customWidth="1"/>
    <col min="8" max="8" width="15.44140625" style="5" customWidth="1"/>
    <col min="9" max="9" width="10.44140625" style="5" customWidth="1"/>
    <col min="10" max="10" width="13.44140625" style="5" customWidth="1"/>
    <col min="11" max="14" width="13.6640625" customWidth="1"/>
    <col min="15" max="15" width="17.77734375" customWidth="1"/>
    <col min="16" max="16" width="15.77734375" customWidth="1"/>
    <col min="17" max="18" width="18.33203125" customWidth="1"/>
    <col min="19" max="20" width="16.33203125" customWidth="1"/>
    <col min="21" max="21" width="16.77734375" customWidth="1"/>
    <col min="22" max="22" width="15.44140625" customWidth="1"/>
    <col min="23" max="23" width="15.6640625" customWidth="1"/>
    <col min="24" max="24" width="13.6640625" customWidth="1"/>
  </cols>
  <sheetData>
    <row r="1" spans="1:27" s="7" customFormat="1" ht="94.8" customHeight="1">
      <c r="A1" s="7" t="s">
        <v>232</v>
      </c>
      <c r="B1" s="7" t="s">
        <v>233</v>
      </c>
      <c r="C1" s="7" t="s">
        <v>175</v>
      </c>
      <c r="D1" s="7" t="s">
        <v>185</v>
      </c>
      <c r="E1" s="7" t="s">
        <v>234</v>
      </c>
      <c r="F1" s="7" t="s">
        <v>186</v>
      </c>
      <c r="G1" s="7" t="s">
        <v>235</v>
      </c>
      <c r="H1" s="36" t="s">
        <v>236</v>
      </c>
      <c r="I1" s="7" t="s">
        <v>237</v>
      </c>
      <c r="J1" s="7" t="s">
        <v>238</v>
      </c>
      <c r="K1" s="166" t="s">
        <v>359</v>
      </c>
      <c r="L1" s="166" t="s">
        <v>358</v>
      </c>
      <c r="M1" s="166" t="s">
        <v>357</v>
      </c>
      <c r="N1" s="166" t="s">
        <v>356</v>
      </c>
      <c r="O1" s="6" t="s">
        <v>353</v>
      </c>
      <c r="P1" s="6" t="s">
        <v>354</v>
      </c>
      <c r="Q1" s="6" t="s">
        <v>355</v>
      </c>
      <c r="R1" s="6" t="s">
        <v>777</v>
      </c>
      <c r="S1" s="6" t="s">
        <v>360</v>
      </c>
      <c r="T1" s="6" t="s">
        <v>362</v>
      </c>
      <c r="U1" s="6" t="s">
        <v>361</v>
      </c>
      <c r="V1" s="6" t="s">
        <v>363</v>
      </c>
      <c r="W1" s="6" t="s">
        <v>364</v>
      </c>
      <c r="X1" s="6" t="s">
        <v>367</v>
      </c>
      <c r="Z1" s="40" t="s">
        <v>318</v>
      </c>
    </row>
    <row r="2" spans="1:27">
      <c r="A2" s="61" t="s">
        <v>241</v>
      </c>
      <c r="B2" s="5" t="s">
        <v>202</v>
      </c>
      <c r="C2" s="5" t="s">
        <v>204</v>
      </c>
      <c r="D2" s="5" t="s">
        <v>471</v>
      </c>
      <c r="E2" s="5" t="s">
        <v>214</v>
      </c>
      <c r="F2" s="5" t="s">
        <v>215</v>
      </c>
      <c r="G2" s="5">
        <v>258</v>
      </c>
      <c r="H2" s="60">
        <v>2.1</v>
      </c>
      <c r="I2" s="5">
        <v>2019</v>
      </c>
      <c r="J2" s="5" t="s">
        <v>164</v>
      </c>
      <c r="K2" s="4">
        <v>200000</v>
      </c>
      <c r="L2" s="4">
        <v>260000</v>
      </c>
      <c r="M2" s="165">
        <f>AVERAGE(Таблица18[[#This Row],[Wholesale Min. Price in China, CNY]],Таблица18[[#This Row],[Wholesale Max. Price in China, CNY]])</f>
        <v>230000</v>
      </c>
      <c r="N2" s="4">
        <f>Таблица18[[#This Row],[ Wholesale Average price in China, CNY]]*$Z$2</f>
        <v>32200.000000000004</v>
      </c>
      <c r="O2" s="59">
        <v>0.2</v>
      </c>
      <c r="P2" s="4">
        <f>Таблица18[[#This Row],[Wholesale Price in China, USD]]*(1-Таблица18[[#This Row],[Скидка для дистрибьютора от производителя]])</f>
        <v>25760.000000000004</v>
      </c>
      <c r="Q2" s="4">
        <f>Таблица18[[#This Row],[Стоимость авто в Китае с учетом скидки, USD]]*Sales_by_models!$BI$2</f>
        <v>11334400.000000002</v>
      </c>
      <c r="R2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20111122.1184</v>
      </c>
      <c r="S2" s="4">
        <f>Таблица18[[#This Row],[Стоимость авто в Казахстане для дистрибьютора, KZT]]*1.08</f>
        <v>21720011.887872003</v>
      </c>
      <c r="T2" s="4">
        <f>Таблица18[[#This Row],[Стоимость авто в Казахстане для дилера, KZT]]/Sales_by_models!$BI$2</f>
        <v>49363.66338152728</v>
      </c>
      <c r="U2" s="4">
        <f>Таблица18[[#This Row],[Стоимость авто в Казахстане для дилера, KZT]]*1.08</f>
        <v>23457612.838901766</v>
      </c>
      <c r="V2" s="4">
        <f>Таблица18[[#This Row],[Стоимость авто в Казахстане для потребителя, KZT]]/Sales_by_models!$BI$2</f>
        <v>53312.756452049471</v>
      </c>
      <c r="W2" s="4"/>
      <c r="X2" s="4">
        <f>Таблица18[[#This Row],[Стоимость авто в России для потребителя, руб.]]/92</f>
        <v>0</v>
      </c>
      <c r="Z2" s="56">
        <v>0.14000000000000001</v>
      </c>
      <c r="AA2" s="39"/>
    </row>
    <row r="3" spans="1:27">
      <c r="A3" s="61" t="s">
        <v>11</v>
      </c>
      <c r="B3" s="5" t="s">
        <v>255</v>
      </c>
      <c r="C3" s="5" t="s">
        <v>204</v>
      </c>
      <c r="D3" s="5" t="s">
        <v>643</v>
      </c>
      <c r="E3" s="5" t="s">
        <v>214</v>
      </c>
      <c r="F3" s="5" t="s">
        <v>216</v>
      </c>
      <c r="G3" s="5">
        <v>315</v>
      </c>
      <c r="H3" s="60">
        <v>4.2</v>
      </c>
      <c r="I3" s="5">
        <v>2024</v>
      </c>
      <c r="J3" s="5" t="s">
        <v>164</v>
      </c>
      <c r="K3" s="4">
        <v>319800</v>
      </c>
      <c r="L3" s="4">
        <v>359800</v>
      </c>
      <c r="M3" s="165">
        <f>AVERAGE(Таблица18[[#This Row],[Wholesale Min. Price in China, CNY]],Таблица18[[#This Row],[Wholesale Max. Price in China, CNY]])</f>
        <v>339800</v>
      </c>
      <c r="N3" s="4">
        <f>Таблица18[[#This Row],[ Wholesale Average price in China, CNY]]*$Z$2</f>
        <v>47572.000000000007</v>
      </c>
      <c r="O3" s="59">
        <v>0.2</v>
      </c>
      <c r="P3" s="4">
        <f>Таблица18[[#This Row],[Wholesale Price in China, USD]]*(1-Таблица18[[#This Row],[Скидка для дистрибьютора от производителя]])</f>
        <v>38057.600000000006</v>
      </c>
      <c r="Q3" s="4">
        <f>Таблица18[[#This Row],[Стоимость авто в Китае с учетом скидки, USD]]*Sales_by_models!$BI$2</f>
        <v>16745344.000000002</v>
      </c>
      <c r="R3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28366253.078784004</v>
      </c>
      <c r="S3" s="4">
        <f>Таблица18[[#This Row],[Стоимость авто в Казахстане для дистрибьютора, KZT]]*1.08</f>
        <v>30635553.325086728</v>
      </c>
      <c r="T3" s="4">
        <f>Таблица18[[#This Row],[Стоимость авто в Казахстане для дилера, KZT]]/Sales_by_models!$BI$2</f>
        <v>69626.257557015284</v>
      </c>
      <c r="U3" s="4">
        <f>Таблица18[[#This Row],[Стоимость авто в Казахстане для дилера, KZT]]*1.08</f>
        <v>33086397.591093667</v>
      </c>
      <c r="V3" s="4">
        <f>Таблица18[[#This Row],[Стоимость авто в Казахстане для потребителя, KZT]]/Sales_by_models!$BI$2</f>
        <v>75196.358161576514</v>
      </c>
      <c r="W3" s="4">
        <v>7595632</v>
      </c>
      <c r="X3" s="4">
        <f>Таблица18[[#This Row],[Стоимость авто в России для потребителя, руб.]]/92</f>
        <v>82561.217391304352</v>
      </c>
      <c r="AA3" s="39"/>
    </row>
    <row r="4" spans="1:27">
      <c r="A4" s="61" t="s">
        <v>242</v>
      </c>
      <c r="B4" s="5" t="s">
        <v>202</v>
      </c>
      <c r="C4" s="5" t="s">
        <v>204</v>
      </c>
      <c r="D4" s="5" t="s">
        <v>643</v>
      </c>
      <c r="E4" s="5" t="s">
        <v>214</v>
      </c>
      <c r="F4" s="5" t="s">
        <v>217</v>
      </c>
      <c r="G4" s="5">
        <v>288</v>
      </c>
      <c r="H4" s="60">
        <v>4.5</v>
      </c>
      <c r="I4" s="5">
        <v>2021</v>
      </c>
      <c r="J4" s="5" t="s">
        <v>164</v>
      </c>
      <c r="K4" s="4">
        <v>280000</v>
      </c>
      <c r="L4" s="4">
        <v>340000</v>
      </c>
      <c r="M4" s="165">
        <f>AVERAGE(Таблица18[[#This Row],[Wholesale Min. Price in China, CNY]],Таблица18[[#This Row],[Wholesale Max. Price in China, CNY]])</f>
        <v>310000</v>
      </c>
      <c r="N4" s="4">
        <f>Таблица18[[#This Row],[ Wholesale Average price in China, CNY]]*$Z$2</f>
        <v>43400.000000000007</v>
      </c>
      <c r="O4" s="59">
        <v>0.2</v>
      </c>
      <c r="P4" s="4">
        <f>Таблица18[[#This Row],[Wholesale Price in China, USD]]*(1-Таблица18[[#This Row],[Скидка для дистрибьютора от производителя]])</f>
        <v>34720.000000000007</v>
      </c>
      <c r="Q4" s="4">
        <f>Таблица18[[#This Row],[Стоимость авто в Китае с учетом скидки, USD]]*Sales_by_models!$BI$2</f>
        <v>15276800.000000004</v>
      </c>
      <c r="R4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26125789.484800007</v>
      </c>
      <c r="S4" s="4">
        <f>Таблица18[[#This Row],[Стоимость авто в Казахстане для дистрибьютора, KZT]]*1.08</f>
        <v>28215852.643584009</v>
      </c>
      <c r="T4" s="4">
        <f>Таблица18[[#This Row],[Стоимость авто в Казахстане для дилера, KZT]]/Sales_by_models!$BI$2</f>
        <v>64126.937826327296</v>
      </c>
      <c r="U4" s="4">
        <f>Таблица18[[#This Row],[Стоимость авто в Казахстане для дилера, KZT]]*1.08</f>
        <v>30473120.855070733</v>
      </c>
      <c r="V4" s="4">
        <f>Таблица18[[#This Row],[Стоимость авто в Казахстане для потребителя, KZT]]/Sales_by_models!$BI$2</f>
        <v>69257.092852433489</v>
      </c>
      <c r="W4" s="4"/>
      <c r="X4" s="4">
        <f>Таблица18[[#This Row],[Стоимость авто в России для потребителя, руб.]]/92</f>
        <v>0</v>
      </c>
      <c r="AA4" s="39"/>
    </row>
    <row r="5" spans="1:27">
      <c r="A5" s="61" t="s">
        <v>248</v>
      </c>
      <c r="B5" s="5" t="s">
        <v>202</v>
      </c>
      <c r="C5" s="5" t="s">
        <v>204</v>
      </c>
      <c r="D5" s="5" t="s">
        <v>208</v>
      </c>
      <c r="E5" s="5" t="s">
        <v>214</v>
      </c>
      <c r="F5" s="5" t="s">
        <v>215</v>
      </c>
      <c r="G5" s="5">
        <v>160</v>
      </c>
      <c r="H5" s="5">
        <v>11</v>
      </c>
      <c r="I5" s="5">
        <v>2020</v>
      </c>
      <c r="J5" s="5" t="s">
        <v>368</v>
      </c>
      <c r="K5" s="4">
        <v>180000</v>
      </c>
      <c r="L5" s="4">
        <v>240000</v>
      </c>
      <c r="M5" s="165">
        <f>AVERAGE(Таблица18[[#This Row],[Wholesale Min. Price in China, CNY]],Таблица18[[#This Row],[Wholesale Max. Price in China, CNY]])</f>
        <v>210000</v>
      </c>
      <c r="N5" s="4">
        <f>Таблица18[[#This Row],[ Wholesale Average price in China, CNY]]*$Z$2</f>
        <v>29400.000000000004</v>
      </c>
      <c r="O5" s="59">
        <v>0.2</v>
      </c>
      <c r="P5" s="4">
        <f>Таблица18[[#This Row],[Wholesale Price in China, USD]]*(1-Таблица18[[#This Row],[Скидка для дистрибьютора от производителя]])</f>
        <v>23520.000000000004</v>
      </c>
      <c r="Q5" s="4">
        <f>Таблица18[[#This Row],[Стоимость авто в Китае с учетом скидки, USD]]*Sales_by_models!$BI$2</f>
        <v>10348800.000000002</v>
      </c>
      <c r="R5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18607455.276800003</v>
      </c>
      <c r="S5" s="4">
        <f>Таблица18[[#This Row],[Стоимость авто в Казахстане для дистрибьютора, KZT]]*1.08</f>
        <v>20096051.698944006</v>
      </c>
      <c r="T5" s="4">
        <f>Таблица18[[#This Row],[Стоимость авто в Казахстане для дилера, KZT]]/Sales_by_models!$BI$2</f>
        <v>45672.844770327283</v>
      </c>
      <c r="U5" s="4">
        <f>Таблица18[[#This Row],[Стоимость авто в Казахстане для дилера, KZT]]*1.08</f>
        <v>21703735.834859528</v>
      </c>
      <c r="V5" s="4">
        <f>Таблица18[[#This Row],[Стоимость авто в Казахстане для потребителя, KZT]]/Sales_by_models!$BI$2</f>
        <v>49326.672351953472</v>
      </c>
      <c r="W5" s="4"/>
      <c r="X5" s="4">
        <f>Таблица18[[#This Row],[Стоимость авто в России для потребителя, руб.]]/92</f>
        <v>0</v>
      </c>
      <c r="AA5" s="39"/>
    </row>
    <row r="6" spans="1:27">
      <c r="A6" s="61" t="s">
        <v>240</v>
      </c>
      <c r="B6" s="5" t="s">
        <v>202</v>
      </c>
      <c r="C6" s="5" t="s">
        <v>204</v>
      </c>
      <c r="D6" s="5" t="s">
        <v>643</v>
      </c>
      <c r="E6" s="5" t="s">
        <v>212</v>
      </c>
      <c r="F6" s="5" t="s">
        <v>217</v>
      </c>
      <c r="G6" s="5">
        <v>143</v>
      </c>
      <c r="H6" s="60">
        <v>4.9000000000000004</v>
      </c>
      <c r="I6" s="5">
        <v>2019</v>
      </c>
      <c r="J6" s="5" t="s">
        <v>164</v>
      </c>
      <c r="K6" s="4">
        <v>180000</v>
      </c>
      <c r="L6" s="4">
        <v>240000</v>
      </c>
      <c r="M6" s="165">
        <f>AVERAGE(Таблица18[[#This Row],[Wholesale Min. Price in China, CNY]],Таблица18[[#This Row],[Wholesale Max. Price in China, CNY]])</f>
        <v>210000</v>
      </c>
      <c r="N6" s="4">
        <f>Таблица18[[#This Row],[ Wholesale Average price in China, CNY]]*$Z$2</f>
        <v>29400.000000000004</v>
      </c>
      <c r="O6" s="59">
        <v>0.2</v>
      </c>
      <c r="P6" s="4">
        <f>Таблица18[[#This Row],[Wholesale Price in China, USD]]*(1-Таблица18[[#This Row],[Скидка для дистрибьютора от производителя]])</f>
        <v>23520.000000000004</v>
      </c>
      <c r="Q6" s="4">
        <f>Таблица18[[#This Row],[Стоимость авто в Китае с учетом скидки, USD]]*Sales_by_models!$BI$2</f>
        <v>10348800.000000002</v>
      </c>
      <c r="R6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18607455.276800003</v>
      </c>
      <c r="S6" s="4">
        <f>Таблица18[[#This Row],[Стоимость авто в Казахстане для дистрибьютора, KZT]]*1.08</f>
        <v>20096051.698944006</v>
      </c>
      <c r="T6" s="4">
        <f>Таблица18[[#This Row],[Стоимость авто в Казахстане для дилера, KZT]]/Sales_by_models!$BI$2</f>
        <v>45672.844770327283</v>
      </c>
      <c r="U6" s="4">
        <f>Таблица18[[#This Row],[Стоимость авто в Казахстане для дилера, KZT]]*1.08</f>
        <v>21703735.834859528</v>
      </c>
      <c r="V6" s="4">
        <f>Таблица18[[#This Row],[Стоимость авто в Казахстане для потребителя, KZT]]/Sales_by_models!$BI$2</f>
        <v>49326.672351953472</v>
      </c>
      <c r="W6" s="4"/>
      <c r="X6" s="4">
        <f>Таблица18[[#This Row],[Стоимость авто в России для потребителя, руб.]]/92</f>
        <v>0</v>
      </c>
      <c r="AA6" s="39"/>
    </row>
    <row r="7" spans="1:27">
      <c r="A7" s="61" t="s">
        <v>245</v>
      </c>
      <c r="B7" s="5" t="s">
        <v>202</v>
      </c>
      <c r="C7" s="5" t="s">
        <v>204</v>
      </c>
      <c r="D7" s="5" t="s">
        <v>208</v>
      </c>
      <c r="E7" s="5" t="s">
        <v>214</v>
      </c>
      <c r="F7" s="5" t="s">
        <v>215</v>
      </c>
      <c r="G7" s="5">
        <v>150</v>
      </c>
      <c r="H7" s="5">
        <v>12</v>
      </c>
      <c r="I7" s="5">
        <v>2019</v>
      </c>
      <c r="J7" s="5" t="s">
        <v>368</v>
      </c>
      <c r="K7" s="4">
        <v>150000</v>
      </c>
      <c r="L7" s="4">
        <v>220000</v>
      </c>
      <c r="M7" s="165">
        <f>AVERAGE(Таблица18[[#This Row],[Wholesale Min. Price in China, CNY]],Таблица18[[#This Row],[Wholesale Max. Price in China, CNY]])</f>
        <v>185000</v>
      </c>
      <c r="N7" s="4">
        <f>Таблица18[[#This Row],[ Wholesale Average price in China, CNY]]*$Z$2</f>
        <v>25900.000000000004</v>
      </c>
      <c r="O7" s="59">
        <v>0.2</v>
      </c>
      <c r="P7" s="4">
        <f>Таблица18[[#This Row],[Wholesale Price in China, USD]]*(1-Таблица18[[#This Row],[Скидка для дистрибьютора от производителя]])</f>
        <v>20720.000000000004</v>
      </c>
      <c r="Q7" s="4">
        <f>Таблица18[[#This Row],[Стоимость авто в Китае с учетом скидки, USD]]*Sales_by_models!$BI$2</f>
        <v>9116800.0000000019</v>
      </c>
      <c r="R7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16727871.724800004</v>
      </c>
      <c r="S7" s="4">
        <f>Таблица18[[#This Row],[Стоимость авто в Казахстане для дистрибьютора, KZT]]*1.08</f>
        <v>18066101.462784003</v>
      </c>
      <c r="T7" s="4">
        <f>Таблица18[[#This Row],[Стоимость авто в Казахстане для дилера, KZT]]/Sales_by_models!$BI$2</f>
        <v>41059.32150632728</v>
      </c>
      <c r="U7" s="4">
        <f>Таблица18[[#This Row],[Стоимость авто в Казахстане для дилера, KZT]]*1.08</f>
        <v>19511389.579806726</v>
      </c>
      <c r="V7" s="4">
        <f>Таблица18[[#This Row],[Стоимость авто в Казахстане для потребителя, KZT]]/Sales_by_models!$BI$2</f>
        <v>44344.067226833467</v>
      </c>
      <c r="W7" s="4"/>
      <c r="X7" s="4">
        <f>Таблица18[[#This Row],[Стоимость авто в России для потребителя, руб.]]/92</f>
        <v>0</v>
      </c>
      <c r="AA7" s="39"/>
    </row>
    <row r="8" spans="1:27">
      <c r="A8" s="61" t="s">
        <v>250</v>
      </c>
      <c r="B8" s="5" t="s">
        <v>202</v>
      </c>
      <c r="C8" s="5" t="s">
        <v>204</v>
      </c>
      <c r="D8" s="5" t="s">
        <v>208</v>
      </c>
      <c r="E8" s="5" t="s">
        <v>212</v>
      </c>
      <c r="F8" s="5" t="s">
        <v>217</v>
      </c>
      <c r="G8" s="5">
        <v>160</v>
      </c>
      <c r="H8" s="5">
        <v>12</v>
      </c>
      <c r="I8" s="5">
        <v>2016</v>
      </c>
      <c r="J8" s="5" t="s">
        <v>164</v>
      </c>
      <c r="K8" s="4">
        <v>120000</v>
      </c>
      <c r="L8" s="4">
        <v>180000</v>
      </c>
      <c r="M8" s="165">
        <f>AVERAGE(Таблица18[[#This Row],[Wholesale Min. Price in China, CNY]],Таблица18[[#This Row],[Wholesale Max. Price in China, CNY]])</f>
        <v>150000</v>
      </c>
      <c r="N8" s="4">
        <f>Таблица18[[#This Row],[ Wholesale Average price in China, CNY]]*$Z$2</f>
        <v>21000.000000000004</v>
      </c>
      <c r="O8" s="59">
        <v>0.2</v>
      </c>
      <c r="P8" s="4">
        <f>Таблица18[[#This Row],[Wholesale Price in China, USD]]*(1-Таблица18[[#This Row],[Скидка для дистрибьютора от производителя]])</f>
        <v>16800.000000000004</v>
      </c>
      <c r="Q8" s="4">
        <f>Таблица18[[#This Row],[Стоимость авто в Китае с учетом скидки, USD]]*Sales_by_models!$BI$2</f>
        <v>7392000.0000000019</v>
      </c>
      <c r="R8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14096454.752000004</v>
      </c>
      <c r="S8" s="4">
        <f>Таблица18[[#This Row],[Стоимость авто в Казахстане для дистрибьютора, KZT]]*1.08</f>
        <v>15224171.132160006</v>
      </c>
      <c r="T8" s="4">
        <f>Таблица18[[#This Row],[Стоимость авто в Казахстане для дилера, KZT]]/Sales_by_models!$BI$2</f>
        <v>34600.388936727286</v>
      </c>
      <c r="U8" s="4">
        <f>Таблица18[[#This Row],[Стоимость авто в Казахстане для дилера, KZT]]*1.08</f>
        <v>16442104.822732808</v>
      </c>
      <c r="V8" s="4">
        <f>Таблица18[[#This Row],[Стоимость авто в Казахстане для потребителя, KZT]]/Sales_by_models!$BI$2</f>
        <v>37368.420051665475</v>
      </c>
      <c r="W8" s="4"/>
      <c r="X8" s="4">
        <f>Таблица18[[#This Row],[Стоимость авто в России для потребителя, руб.]]/92</f>
        <v>0</v>
      </c>
      <c r="AA8" s="39"/>
    </row>
    <row r="9" spans="1:27">
      <c r="A9" s="61" t="s">
        <v>254</v>
      </c>
      <c r="B9" s="5" t="s">
        <v>199</v>
      </c>
      <c r="C9" s="5" t="s">
        <v>204</v>
      </c>
      <c r="D9" s="5" t="s">
        <v>643</v>
      </c>
      <c r="E9" s="5" t="s">
        <v>212</v>
      </c>
      <c r="F9" s="5" t="s">
        <v>217</v>
      </c>
      <c r="G9" s="5">
        <v>156</v>
      </c>
      <c r="H9" s="60">
        <v>5.0999999999999996</v>
      </c>
      <c r="I9" s="5">
        <v>2020</v>
      </c>
      <c r="J9" s="5" t="s">
        <v>164</v>
      </c>
      <c r="K9" s="4">
        <v>160000</v>
      </c>
      <c r="L9" s="4">
        <v>220000</v>
      </c>
      <c r="M9" s="165">
        <f>AVERAGE(Таблица18[[#This Row],[Wholesale Min. Price in China, CNY]],Таблица18[[#This Row],[Wholesale Max. Price in China, CNY]])</f>
        <v>190000</v>
      </c>
      <c r="N9" s="4">
        <f>Таблица18[[#This Row],[ Wholesale Average price in China, CNY]]*$Z$2</f>
        <v>26600.000000000004</v>
      </c>
      <c r="O9" s="59">
        <v>0.2</v>
      </c>
      <c r="P9" s="4">
        <f>Таблица18[[#This Row],[Wholesale Price in China, USD]]*(1-Таблица18[[#This Row],[Скидка для дистрибьютора от производителя]])</f>
        <v>21280.000000000004</v>
      </c>
      <c r="Q9" s="4">
        <f>Таблица18[[#This Row],[Стоимость авто в Китае с учетом скидки, USD]]*Sales_by_models!$BI$2</f>
        <v>9363200.0000000019</v>
      </c>
      <c r="R9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17103788.435200006</v>
      </c>
      <c r="S9" s="4">
        <f>Таблица18[[#This Row],[Стоимость авто в Казахстане для дистрибьютора, KZT]]*1.08</f>
        <v>18472091.510016009</v>
      </c>
      <c r="T9" s="4">
        <f>Таблица18[[#This Row],[Стоимость авто в Казахстане для дилера, KZT]]/Sales_by_models!$BI$2</f>
        <v>41982.026159127294</v>
      </c>
      <c r="U9" s="4">
        <f>Таблица18[[#This Row],[Стоимость авто в Казахстане для дилера, KZT]]*1.08</f>
        <v>19949858.83081729</v>
      </c>
      <c r="V9" s="4">
        <f>Таблица18[[#This Row],[Стоимость авто в Казахстане для потребителя, KZT]]/Sales_by_models!$BI$2</f>
        <v>45340.58825185748</v>
      </c>
      <c r="W9" s="4"/>
      <c r="X9" s="4">
        <f>Таблица18[[#This Row],[Стоимость авто в России для потребителя, руб.]]/92</f>
        <v>0</v>
      </c>
      <c r="AA9" s="39"/>
    </row>
    <row r="10" spans="1:27">
      <c r="A10" s="61" t="s">
        <v>239</v>
      </c>
      <c r="B10" s="5" t="s">
        <v>202</v>
      </c>
      <c r="C10" s="5" t="s">
        <v>204</v>
      </c>
      <c r="D10" s="5" t="s">
        <v>211</v>
      </c>
      <c r="E10" s="5" t="s">
        <v>212</v>
      </c>
      <c r="F10" s="5" t="s">
        <v>217</v>
      </c>
      <c r="G10" s="5">
        <v>160</v>
      </c>
      <c r="H10" s="60">
        <v>5.8</v>
      </c>
      <c r="I10" s="5">
        <v>2018</v>
      </c>
      <c r="J10" s="5" t="s">
        <v>164</v>
      </c>
      <c r="K10" s="4">
        <v>99800</v>
      </c>
      <c r="L10" s="4">
        <v>169800</v>
      </c>
      <c r="M10" s="165">
        <f>AVERAGE(Таблица18[[#This Row],[Wholesale Min. Price in China, CNY]],Таблица18[[#This Row],[Wholesale Max. Price in China, CNY]])</f>
        <v>134800</v>
      </c>
      <c r="N10" s="4">
        <f>Таблица18[[#This Row],[ Wholesale Average price in China, CNY]]*$Z$2</f>
        <v>18872</v>
      </c>
      <c r="O10" s="59">
        <v>0.2</v>
      </c>
      <c r="P10" s="4">
        <f>Таблица18[[#This Row],[Wholesale Price in China, USD]]*(1-Таблица18[[#This Row],[Скидка для дистрибьютора от производителя]])</f>
        <v>15097.6</v>
      </c>
      <c r="Q10" s="4">
        <f>Таблица18[[#This Row],[Стоимость авто в Китае с учетом скидки, USD]]*Sales_by_models!$BI$2</f>
        <v>6642944</v>
      </c>
      <c r="R10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12953667.952384003</v>
      </c>
      <c r="S10" s="4">
        <f>Таблица18[[#This Row],[Стоимость авто в Казахстане для дистрибьютора, KZT]]*1.08</f>
        <v>13989961.388574723</v>
      </c>
      <c r="T10" s="4">
        <f>Таблица18[[#This Row],[Стоимость авто в Казахстане для дилера, KZT]]/Sales_by_models!$BI$2</f>
        <v>31795.366792215278</v>
      </c>
      <c r="U10" s="4">
        <f>Таблица18[[#This Row],[Стоимость авто в Казахстане для дилера, KZT]]*1.08</f>
        <v>15109158.299660701</v>
      </c>
      <c r="V10" s="4">
        <f>Таблица18[[#This Row],[Стоимость авто в Казахстане для потребителя, KZT]]/Sales_by_models!$BI$2</f>
        <v>34338.996135592504</v>
      </c>
      <c r="W10" s="4"/>
      <c r="X10" s="4">
        <f>Таблица18[[#This Row],[Стоимость авто в России для потребителя, руб.]]/92</f>
        <v>0</v>
      </c>
      <c r="AA10" s="39"/>
    </row>
    <row r="11" spans="1:27">
      <c r="A11" s="61" t="s">
        <v>243</v>
      </c>
      <c r="B11" s="5" t="s">
        <v>198</v>
      </c>
      <c r="C11" s="5" t="s">
        <v>206</v>
      </c>
      <c r="D11" s="5" t="s">
        <v>209</v>
      </c>
      <c r="E11" s="5" t="s">
        <v>212</v>
      </c>
      <c r="F11" s="5" t="s">
        <v>215</v>
      </c>
      <c r="G11" s="5">
        <v>163</v>
      </c>
      <c r="H11" s="60">
        <v>8.1999999999999993</v>
      </c>
      <c r="I11" s="5">
        <v>2022</v>
      </c>
      <c r="J11" s="5" t="s">
        <v>369</v>
      </c>
      <c r="K11" s="4">
        <v>150000</v>
      </c>
      <c r="L11" s="4">
        <v>210000</v>
      </c>
      <c r="M11" s="165">
        <f>AVERAGE(Таблица18[[#This Row],[Wholesale Min. Price in China, CNY]],Таблица18[[#This Row],[Wholesale Max. Price in China, CNY]])</f>
        <v>180000</v>
      </c>
      <c r="N11" s="4">
        <f>Таблица18[[#This Row],[ Wholesale Average price in China, CNY]]*$Z$2</f>
        <v>25200.000000000004</v>
      </c>
      <c r="O11" s="59">
        <v>0.2</v>
      </c>
      <c r="P11" s="4">
        <f>Таблица18[[#This Row],[Wholesale Price in China, USD]]*(1-Таблица18[[#This Row],[Скидка для дистрибьютора от производителя]])</f>
        <v>20160.000000000004</v>
      </c>
      <c r="Q11" s="4">
        <f>Таблица18[[#This Row],[Стоимость авто в Китае с учетом скидки, USD]]*Sales_by_models!$BI$2</f>
        <v>8870400.0000000019</v>
      </c>
      <c r="R11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16351955.014400005</v>
      </c>
      <c r="S11" s="4">
        <f>Таблица18[[#This Row],[Стоимость авто в Казахстане для дистрибьютора, KZT]]*1.08</f>
        <v>17660111.415552005</v>
      </c>
      <c r="T11" s="4">
        <f>Таблица18[[#This Row],[Стоимость авто в Казахстане для дилера, KZT]]/Sales_by_models!$BI$2</f>
        <v>40136.616853527281</v>
      </c>
      <c r="U11" s="221">
        <f>Таблица18[[#This Row],[Стоимость авто в Казахстане для дилера, KZT]]*1.08</f>
        <v>19072920.328796167</v>
      </c>
      <c r="V11" s="4">
        <f>Таблица18[[#This Row],[Стоимость авто в Казахстане для потребителя, KZT]]/Sales_by_models!$BI$2</f>
        <v>43347.546201809469</v>
      </c>
      <c r="W11" s="4"/>
      <c r="X11" s="4">
        <f>Таблица18[[#This Row],[Стоимость авто в России для потребителя, руб.]]/92</f>
        <v>0</v>
      </c>
      <c r="AA11" s="39"/>
    </row>
    <row r="12" spans="1:27">
      <c r="A12" s="61" t="s">
        <v>253</v>
      </c>
      <c r="B12" s="5" t="s">
        <v>197</v>
      </c>
      <c r="C12" s="5" t="s">
        <v>206</v>
      </c>
      <c r="D12" s="5" t="s">
        <v>643</v>
      </c>
      <c r="E12" s="5" t="s">
        <v>213</v>
      </c>
      <c r="F12" s="5" t="s">
        <v>216</v>
      </c>
      <c r="G12" s="5">
        <v>120</v>
      </c>
      <c r="H12" s="5">
        <v>14</v>
      </c>
      <c r="I12" s="5">
        <v>2014</v>
      </c>
      <c r="J12" s="5" t="s">
        <v>164</v>
      </c>
      <c r="K12" s="4">
        <v>120000</v>
      </c>
      <c r="L12" s="4">
        <v>180000</v>
      </c>
      <c r="M12" s="165">
        <f>AVERAGE(Таблица18[[#This Row],[Wholesale Min. Price in China, CNY]],Таблица18[[#This Row],[Wholesale Max. Price in China, CNY]])</f>
        <v>150000</v>
      </c>
      <c r="N12" s="4">
        <f>Таблица18[[#This Row],[ Wholesale Average price in China, CNY]]*$Z$2</f>
        <v>21000.000000000004</v>
      </c>
      <c r="O12" s="59">
        <v>0.2</v>
      </c>
      <c r="P12" s="4">
        <f>Таблица18[[#This Row],[Wholesale Price in China, USD]]*(1-Таблица18[[#This Row],[Скидка для дистрибьютора от производителя]])</f>
        <v>16800.000000000004</v>
      </c>
      <c r="Q12" s="4">
        <f>Таблица18[[#This Row],[Стоимость авто в Китае с учетом скидки, USD]]*Sales_by_models!$BI$2</f>
        <v>7392000.0000000019</v>
      </c>
      <c r="R12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14096454.752000004</v>
      </c>
      <c r="S12" s="4">
        <f>Таблица18[[#This Row],[Стоимость авто в Казахстане для дистрибьютора, KZT]]*1.08</f>
        <v>15224171.132160006</v>
      </c>
      <c r="T12" s="4">
        <f>Таблица18[[#This Row],[Стоимость авто в Казахстане для дилера, KZT]]/Sales_by_models!$BI$2</f>
        <v>34600.388936727286</v>
      </c>
      <c r="U12" s="4">
        <f>Таблица18[[#This Row],[Стоимость авто в Казахстане для дилера, KZT]]*1.08</f>
        <v>16442104.822732808</v>
      </c>
      <c r="V12" s="4">
        <f>Таблица18[[#This Row],[Стоимость авто в Казахстане для потребителя, KZT]]/Sales_by_models!$BI$2</f>
        <v>37368.420051665475</v>
      </c>
      <c r="W12" s="4"/>
      <c r="X12" s="4">
        <f>Таблица18[[#This Row],[Стоимость авто в России для потребителя, руб.]]/92</f>
        <v>0</v>
      </c>
      <c r="AA12" s="39"/>
    </row>
    <row r="13" spans="1:27">
      <c r="A13" s="61" t="s">
        <v>244</v>
      </c>
      <c r="B13" s="5" t="s">
        <v>202</v>
      </c>
      <c r="C13" s="5" t="s">
        <v>204</v>
      </c>
      <c r="D13" s="5" t="s">
        <v>211</v>
      </c>
      <c r="E13" s="5" t="s">
        <v>212</v>
      </c>
      <c r="F13" s="5" t="s">
        <v>217</v>
      </c>
      <c r="G13" s="5">
        <v>140</v>
      </c>
      <c r="H13" s="60">
        <v>6.1</v>
      </c>
      <c r="I13" s="5">
        <v>2023</v>
      </c>
      <c r="J13" s="5" t="s">
        <v>368</v>
      </c>
      <c r="K13" s="4">
        <v>100000</v>
      </c>
      <c r="L13" s="4">
        <v>160000</v>
      </c>
      <c r="M13" s="165">
        <f>AVERAGE(Таблица18[[#This Row],[Wholesale Min. Price in China, CNY]],Таблица18[[#This Row],[Wholesale Max. Price in China, CNY]])</f>
        <v>130000</v>
      </c>
      <c r="N13" s="4">
        <f>Таблица18[[#This Row],[ Wholesale Average price in China, CNY]]*$Z$2</f>
        <v>18200</v>
      </c>
      <c r="O13" s="59">
        <v>0.2</v>
      </c>
      <c r="P13" s="4">
        <f>Таблица18[[#This Row],[Wholesale Price in China, USD]]*(1-Таблица18[[#This Row],[Скидка для дистрибьютора от производителя]])</f>
        <v>14560</v>
      </c>
      <c r="Q13" s="4">
        <f>Таблица18[[#This Row],[Стоимость авто в Китае с учетом скидки, USD]]*Sales_by_models!$BI$2</f>
        <v>6406400</v>
      </c>
      <c r="R13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12592787.910400001</v>
      </c>
      <c r="S13" s="4">
        <f>Таблица18[[#This Row],[Стоимость авто в Казахстане для дистрибьютора, KZT]]*1.08</f>
        <v>13600210.943232002</v>
      </c>
      <c r="T13" s="4">
        <f>Таблица18[[#This Row],[Стоимость авто в Казахстане для дилера, KZT]]/Sales_by_models!$BI$2</f>
        <v>30909.570325527278</v>
      </c>
      <c r="U13" s="4">
        <f>Таблица18[[#This Row],[Стоимость авто в Казахстане для дилера, KZT]]*1.08</f>
        <v>14688227.818690563</v>
      </c>
      <c r="V13" s="4">
        <f>Таблица18[[#This Row],[Стоимость авто в Казахстане для потребителя, KZT]]/Sales_by_models!$BI$2</f>
        <v>33382.335951569461</v>
      </c>
      <c r="W13" s="4"/>
      <c r="X13" s="4">
        <f>Таблица18[[#This Row],[Стоимость авто в России для потребителя, руб.]]/92</f>
        <v>0</v>
      </c>
      <c r="AA13" s="39"/>
    </row>
    <row r="14" spans="1:27">
      <c r="A14" s="61" t="s">
        <v>249</v>
      </c>
      <c r="B14" s="5" t="s">
        <v>256</v>
      </c>
      <c r="C14" s="5" t="s">
        <v>204</v>
      </c>
      <c r="D14" s="5" t="s">
        <v>208</v>
      </c>
      <c r="E14" s="5" t="s">
        <v>214</v>
      </c>
      <c r="F14" s="5" t="s">
        <v>217</v>
      </c>
      <c r="G14" s="5">
        <v>180</v>
      </c>
      <c r="H14" s="5">
        <v>10</v>
      </c>
      <c r="I14" s="5">
        <v>2017</v>
      </c>
      <c r="J14" s="5" t="s">
        <v>164</v>
      </c>
      <c r="K14" s="4">
        <v>120000</v>
      </c>
      <c r="L14" s="4">
        <v>180000</v>
      </c>
      <c r="M14" s="165">
        <f>AVERAGE(Таблица18[[#This Row],[Wholesale Min. Price in China, CNY]],Таблица18[[#This Row],[Wholesale Max. Price in China, CNY]])</f>
        <v>150000</v>
      </c>
      <c r="N14" s="4">
        <f>Таблица18[[#This Row],[ Wholesale Average price in China, CNY]]*$Z$2</f>
        <v>21000.000000000004</v>
      </c>
      <c r="O14" s="59">
        <v>0.2</v>
      </c>
      <c r="P14" s="4">
        <f>Таблица18[[#This Row],[Wholesale Price in China, USD]]*(1-Таблица18[[#This Row],[Скидка для дистрибьютора от производителя]])</f>
        <v>16800.000000000004</v>
      </c>
      <c r="Q14" s="4">
        <f>Таблица18[[#This Row],[Стоимость авто в Китае с учетом скидки, USD]]*Sales_by_models!$BI$2</f>
        <v>7392000.0000000019</v>
      </c>
      <c r="R14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14096454.752000004</v>
      </c>
      <c r="S14" s="4">
        <f>Таблица18[[#This Row],[Стоимость авто в Казахстане для дистрибьютора, KZT]]*1.08</f>
        <v>15224171.132160006</v>
      </c>
      <c r="T14" s="4">
        <f>Таблица18[[#This Row],[Стоимость авто в Казахстане для дилера, KZT]]/Sales_by_models!$BI$2</f>
        <v>34600.388936727286</v>
      </c>
      <c r="U14" s="4">
        <f>Таблица18[[#This Row],[Стоимость авто в Казахстане для дилера, KZT]]*1.08</f>
        <v>16442104.822732808</v>
      </c>
      <c r="V14" s="4">
        <f>Таблица18[[#This Row],[Стоимость авто в Казахстане для потребителя, KZT]]/Sales_by_models!$BI$2</f>
        <v>37368.420051665475</v>
      </c>
      <c r="W14" s="4"/>
      <c r="X14" s="4">
        <f>Таблица18[[#This Row],[Стоимость авто в России для потребителя, руб.]]/92</f>
        <v>0</v>
      </c>
      <c r="AA14" s="39"/>
    </row>
    <row r="15" spans="1:27">
      <c r="A15" s="61" t="s">
        <v>253</v>
      </c>
      <c r="B15" s="5" t="s">
        <v>197</v>
      </c>
      <c r="C15" s="5" t="s">
        <v>204</v>
      </c>
      <c r="D15" s="5" t="s">
        <v>643</v>
      </c>
      <c r="E15" s="5" t="s">
        <v>212</v>
      </c>
      <c r="F15" s="5" t="s">
        <v>216</v>
      </c>
      <c r="G15" s="5">
        <v>168</v>
      </c>
      <c r="H15" s="60">
        <v>5.3</v>
      </c>
      <c r="I15" s="5">
        <v>2022</v>
      </c>
      <c r="J15" s="5" t="s">
        <v>164</v>
      </c>
      <c r="K15" s="4">
        <v>109800</v>
      </c>
      <c r="L15" s="4">
        <v>179800</v>
      </c>
      <c r="M15" s="165">
        <f>AVERAGE(Таблица18[[#This Row],[Wholesale Min. Price in China, CNY]],Таблица18[[#This Row],[Wholesale Max. Price in China, CNY]])</f>
        <v>144800</v>
      </c>
      <c r="N15" s="4">
        <f>Таблица18[[#This Row],[ Wholesale Average price in China, CNY]]*$Z$2</f>
        <v>20272.000000000004</v>
      </c>
      <c r="O15" s="59">
        <v>0.2</v>
      </c>
      <c r="P15" s="4">
        <f>Таблица18[[#This Row],[Wholesale Price in China, USD]]*(1-Таблица18[[#This Row],[Скидка для дистрибьютора от производителя]])</f>
        <v>16217.600000000004</v>
      </c>
      <c r="Q15" s="4">
        <f>Таблица18[[#This Row],[Стоимость авто в Китае с учетом скидки, USD]]*Sales_by_models!$BI$2</f>
        <v>7135744.0000000019</v>
      </c>
      <c r="R15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13705501.373184003</v>
      </c>
      <c r="S15" s="4">
        <f>Таблица18[[#This Row],[Стоимость авто в Казахстане для дистрибьютора, KZT]]*1.08</f>
        <v>14801941.483038723</v>
      </c>
      <c r="T15" s="4">
        <f>Таблица18[[#This Row],[Стоимость авто в Казахстане для дилера, KZT]]/Sales_by_models!$BI$2</f>
        <v>33640.77609781528</v>
      </c>
      <c r="U15" s="4">
        <f>Таблица18[[#This Row],[Стоимость авто в Казахстане для дилера, KZT]]*1.08</f>
        <v>15986096.801681822</v>
      </c>
      <c r="V15" s="4">
        <f>Таблица18[[#This Row],[Стоимость авто в Казахстане для потребителя, KZT]]/Sales_by_models!$BI$2</f>
        <v>36332.038185640507</v>
      </c>
      <c r="W15" s="4"/>
      <c r="X15" s="4">
        <f>Таблица18[[#This Row],[Стоимость авто в России для потребителя, руб.]]/92</f>
        <v>0</v>
      </c>
      <c r="AA15" s="39"/>
    </row>
    <row r="16" spans="1:27">
      <c r="A16" s="61" t="s">
        <v>365</v>
      </c>
      <c r="B16" s="5" t="s">
        <v>199</v>
      </c>
      <c r="C16" s="5" t="s">
        <v>204</v>
      </c>
      <c r="D16" s="5" t="s">
        <v>209</v>
      </c>
      <c r="E16" s="5" t="s">
        <v>214</v>
      </c>
      <c r="F16" s="5" t="s">
        <v>217</v>
      </c>
      <c r="G16" s="5">
        <v>200</v>
      </c>
      <c r="H16" s="5">
        <v>8</v>
      </c>
      <c r="I16" s="5">
        <v>2022</v>
      </c>
      <c r="J16" s="5" t="s">
        <v>164</v>
      </c>
      <c r="K16" s="4">
        <v>113800</v>
      </c>
      <c r="L16" s="4">
        <v>163800</v>
      </c>
      <c r="M16" s="165">
        <f>AVERAGE(Таблица18[[#This Row],[Wholesale Min. Price in China, CNY]],Таблица18[[#This Row],[Wholesale Max. Price in China, CNY]])</f>
        <v>138800</v>
      </c>
      <c r="N16" s="4">
        <f>Таблица18[[#This Row],[ Wholesale Average price in China, CNY]]*$Z$2</f>
        <v>19432.000000000004</v>
      </c>
      <c r="O16" s="59">
        <v>0.2</v>
      </c>
      <c r="P16" s="4">
        <f>Таблица18[[#This Row],[Wholesale Price in China, USD]]*(1-Таблица18[[#This Row],[Скидка для дистрибьютора от производителя]])</f>
        <v>15545.600000000004</v>
      </c>
      <c r="Q16" s="4">
        <f>Таблица18[[#This Row],[Стоимость авто в Китае с учетом скидки, USD]]*Sales_by_models!$BI$2</f>
        <v>6840064.0000000019</v>
      </c>
      <c r="R16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13254401.320704004</v>
      </c>
      <c r="S16" s="4">
        <f>Таблица18[[#This Row],[Стоимость авто в Казахстане для дистрибьютора, KZT]]*1.08</f>
        <v>14314753.426360326</v>
      </c>
      <c r="T16" s="4">
        <f>Таблица18[[#This Row],[Стоимость авто в Казахстане для дилера, KZT]]/Sales_by_models!$BI$2</f>
        <v>32533.530514455288</v>
      </c>
      <c r="U16" s="4">
        <f>Таблица18[[#This Row],[Стоимость авто в Казахстане для дилера, KZT]]*1.08</f>
        <v>15459933.700469153</v>
      </c>
      <c r="V16" s="4">
        <f>Таблица18[[#This Row],[Стоимость авто в Казахстане для потребителя, KZT]]/Sales_by_models!$BI$2</f>
        <v>35136.212955611714</v>
      </c>
      <c r="W16" s="4">
        <v>4548000</v>
      </c>
      <c r="X16" s="4">
        <f>Таблица18[[#This Row],[Стоимость авто в России для потребителя, руб.]]/92</f>
        <v>49434.782608695656</v>
      </c>
      <c r="AA16" s="39"/>
    </row>
    <row r="17" spans="1:27">
      <c r="A17" s="61" t="s">
        <v>13</v>
      </c>
      <c r="B17" s="5" t="s">
        <v>202</v>
      </c>
      <c r="C17" s="5" t="s">
        <v>206</v>
      </c>
      <c r="D17" s="5" t="s">
        <v>208</v>
      </c>
      <c r="E17" s="5" t="s">
        <v>212</v>
      </c>
      <c r="F17" s="5" t="s">
        <v>217</v>
      </c>
      <c r="G17" s="5">
        <v>120</v>
      </c>
      <c r="H17" s="60">
        <v>6.2</v>
      </c>
      <c r="I17" s="5">
        <v>2017</v>
      </c>
      <c r="J17" s="5" t="s">
        <v>164</v>
      </c>
      <c r="K17" s="4">
        <v>70800</v>
      </c>
      <c r="L17" s="4">
        <v>84800</v>
      </c>
      <c r="M17" s="165">
        <f>AVERAGE(Таблица18[[#This Row],[Wholesale Min. Price in China, CNY]],Таблица18[[#This Row],[Wholesale Max. Price in China, CNY]])</f>
        <v>77800</v>
      </c>
      <c r="N17" s="4">
        <f>Таблица18[[#This Row],[ Wholesale Average price in China, CNY]]*$Z$2</f>
        <v>10892.000000000002</v>
      </c>
      <c r="O17" s="59">
        <v>0.2</v>
      </c>
      <c r="P17" s="4">
        <f>Таблица18[[#This Row],[Wholesale Price in China, USD]]*(1-Таблица18[[#This Row],[Скидка для дистрибьютора от производителя]])</f>
        <v>8713.6000000000022</v>
      </c>
      <c r="Q17" s="4">
        <f>Таблица18[[#This Row],[Стоимость авто в Китае с учетом скидки, USD]]*Sales_by_models!$BI$2</f>
        <v>3833984.0000000009</v>
      </c>
      <c r="R17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8668217.4538240023</v>
      </c>
      <c r="S17" s="4">
        <f>Таблица18[[#This Row],[Стоимость авто в Казахстане для дистрибьютора, KZT]]*1.08</f>
        <v>9361674.8501299229</v>
      </c>
      <c r="T17" s="4">
        <f>Таблица18[[#This Row],[Стоимость авто в Казахстане для дилера, KZT]]/Sales_by_models!$BI$2</f>
        <v>21276.533750295279</v>
      </c>
      <c r="U17" s="4">
        <f>Таблица18[[#This Row],[Стоимость авто в Казахстане для дилера, KZT]]*1.08</f>
        <v>10110608.838140318</v>
      </c>
      <c r="V17" s="4">
        <f>Таблица18[[#This Row],[Стоимость авто в Казахстане для потребителя, KZT]]/Sales_by_models!$BI$2</f>
        <v>22978.656450318904</v>
      </c>
      <c r="W17" s="4">
        <v>2580000</v>
      </c>
      <c r="X17" s="4">
        <f>Таблица18[[#This Row],[Стоимость авто в России для потребителя, руб.]]/92</f>
        <v>28043.478260869564</v>
      </c>
      <c r="AA17" s="39"/>
    </row>
    <row r="18" spans="1:27">
      <c r="A18" s="61" t="s">
        <v>247</v>
      </c>
      <c r="B18" s="5" t="s">
        <v>202</v>
      </c>
      <c r="C18" s="5" t="s">
        <v>204</v>
      </c>
      <c r="D18" s="5" t="s">
        <v>207</v>
      </c>
      <c r="E18" s="5" t="s">
        <v>214</v>
      </c>
      <c r="F18" s="5" t="s">
        <v>215</v>
      </c>
      <c r="G18" s="5">
        <v>190</v>
      </c>
      <c r="H18" s="5">
        <v>10</v>
      </c>
      <c r="I18" s="5">
        <v>2020</v>
      </c>
      <c r="J18" s="5" t="s">
        <v>368</v>
      </c>
      <c r="K18" s="4">
        <v>380000</v>
      </c>
      <c r="L18" s="4">
        <v>440000</v>
      </c>
      <c r="M18" s="165">
        <f>AVERAGE(Таблица18[[#This Row],[Wholesale Min. Price in China, CNY]],Таблица18[[#This Row],[Wholesale Max. Price in China, CNY]])</f>
        <v>410000</v>
      </c>
      <c r="N18" s="4">
        <f>Таблица18[[#This Row],[ Wholesale Average price in China, CNY]]*$Z$2</f>
        <v>57400.000000000007</v>
      </c>
      <c r="O18" s="59">
        <v>0.2</v>
      </c>
      <c r="P18" s="4">
        <f>Таблица18[[#This Row],[Wholesale Price in China, USD]]*(1-Таблица18[[#This Row],[Скидка для дистрибьютора от производителя]])</f>
        <v>45920.000000000007</v>
      </c>
      <c r="Q18" s="4">
        <f>Таблица18[[#This Row],[Стоимость авто в Китае с учетом скидки, USD]]*Sales_by_models!$BI$2</f>
        <v>20204800.000000004</v>
      </c>
      <c r="R18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33644123.692800008</v>
      </c>
      <c r="S18" s="4">
        <f>Таблица18[[#This Row],[Стоимость авто в Казахстане для дистрибьютора, KZT]]*1.08</f>
        <v>36335653.588224009</v>
      </c>
      <c r="T18" s="4">
        <f>Таблица18[[#This Row],[Стоимость авто в Казахстане для дилера, KZT]]/Sales_by_models!$BI$2</f>
        <v>82581.030882327294</v>
      </c>
      <c r="U18" s="4">
        <f>Таблица18[[#This Row],[Стоимость авто в Казахстане для дилера, KZT]]*1.08</f>
        <v>39242505.87528193</v>
      </c>
      <c r="V18" s="4">
        <f>Таблица18[[#This Row],[Стоимость авто в Казахстане для потребителя, KZT]]/Sales_by_models!$BI$2</f>
        <v>89187.513352913476</v>
      </c>
      <c r="W18" s="4"/>
      <c r="X18" s="4">
        <f>Таблица18[[#This Row],[Стоимость авто в России для потребителя, руб.]]/92</f>
        <v>0</v>
      </c>
      <c r="AA18" s="39"/>
    </row>
    <row r="19" spans="1:27">
      <c r="A19" s="61" t="s">
        <v>12</v>
      </c>
      <c r="B19" s="5" t="s">
        <v>203</v>
      </c>
      <c r="C19" s="5" t="s">
        <v>204</v>
      </c>
      <c r="D19" s="5" t="s">
        <v>211</v>
      </c>
      <c r="E19" s="5" t="s">
        <v>212</v>
      </c>
      <c r="F19" s="5" t="s">
        <v>216</v>
      </c>
      <c r="G19" s="5">
        <v>130</v>
      </c>
      <c r="H19" s="60">
        <v>5.8</v>
      </c>
      <c r="I19" s="5">
        <v>2023</v>
      </c>
      <c r="J19" s="5" t="s">
        <v>164</v>
      </c>
      <c r="K19" s="4">
        <v>87800</v>
      </c>
      <c r="L19" s="4">
        <v>138800</v>
      </c>
      <c r="M19" s="165">
        <f>AVERAGE(Таблица18[[#This Row],[Wholesale Min. Price in China, CNY]],Таблица18[[#This Row],[Wholesale Max. Price in China, CNY]])</f>
        <v>113300</v>
      </c>
      <c r="N19" s="4">
        <f>Таблица18[[#This Row],[ Wholesale Average price in China, CNY]]*$Z$2</f>
        <v>15862.000000000002</v>
      </c>
      <c r="O19" s="59">
        <v>0.2</v>
      </c>
      <c r="P19" s="4">
        <f>Таблица18[[#This Row],[Wholesale Price in China, USD]]*(1-Таблица18[[#This Row],[Скидка для дистрибьютора от производителя]])</f>
        <v>12689.600000000002</v>
      </c>
      <c r="Q19" s="4">
        <f>Таблица18[[#This Row],[Стоимость авто в Китае с учетом скидки, USD]]*Sales_by_models!$BI$2</f>
        <v>5583424.0000000009</v>
      </c>
      <c r="R19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11337226.097664</v>
      </c>
      <c r="S19" s="4">
        <f>Таблица18[[#This Row],[Стоимость авто в Казахстане для дистрибьютора, KZT]]*1.08</f>
        <v>12244204.185477121</v>
      </c>
      <c r="T19" s="4">
        <f>Таблица18[[#This Row],[Стоимость авто в Казахстане для дилера, KZT]]/Sales_by_models!$BI$2</f>
        <v>27827.736785175275</v>
      </c>
      <c r="U19" s="221">
        <f>Таблица18[[#This Row],[Стоимость авто в Казахстане для дилера, KZT]]*1.08</f>
        <v>13223740.520315291</v>
      </c>
      <c r="V19" s="4">
        <f>Таблица18[[#This Row],[Стоимость авто в Казахстане для потребителя, KZT]]/Sales_by_models!$BI$2</f>
        <v>30053.955727989298</v>
      </c>
      <c r="W19" s="4">
        <v>3440000</v>
      </c>
      <c r="X19" s="4">
        <f>Таблица18[[#This Row],[Стоимость авто в России для потребителя, руб.]]/92</f>
        <v>37391.304347826088</v>
      </c>
      <c r="AA19" s="39"/>
    </row>
    <row r="20" spans="1:27">
      <c r="A20" s="61" t="s">
        <v>10</v>
      </c>
      <c r="B20" s="5" t="s">
        <v>761</v>
      </c>
      <c r="C20" s="5" t="s">
        <v>206</v>
      </c>
      <c r="D20" s="5" t="s">
        <v>208</v>
      </c>
      <c r="E20" s="5" t="s">
        <v>212</v>
      </c>
      <c r="F20" s="5" t="s">
        <v>217</v>
      </c>
      <c r="G20" s="5">
        <v>170</v>
      </c>
      <c r="H20" s="5">
        <v>9</v>
      </c>
      <c r="I20" s="5">
        <v>2018</v>
      </c>
      <c r="J20" s="5" t="s">
        <v>164</v>
      </c>
      <c r="K20" s="4">
        <v>95800</v>
      </c>
      <c r="L20" s="4">
        <v>119800</v>
      </c>
      <c r="M20" s="165">
        <f>AVERAGE(Таблица18[[#This Row],[Wholesale Min. Price in China, CNY]],Таблица18[[#This Row],[Wholesale Max. Price in China, CNY]])</f>
        <v>107800</v>
      </c>
      <c r="N20" s="4">
        <f>Таблица18[[#This Row],[ Wholesale Average price in China, CNY]]*$Z$2</f>
        <v>15092.000000000002</v>
      </c>
      <c r="O20" s="59">
        <v>0.2</v>
      </c>
      <c r="P20" s="4">
        <f>Таблица18[[#This Row],[Wholesale Price in China, USD]]*(1-Таблица18[[#This Row],[Скидка для дистрибьютора от производителя]])</f>
        <v>12073.600000000002</v>
      </c>
      <c r="Q20" s="4">
        <f>Таблица18[[#This Row],[Стоимость авто в Китае с учетом скидки, USD]]*Sales_by_models!$BI$2</f>
        <v>5312384.0000000009</v>
      </c>
      <c r="R20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10923717.716224002</v>
      </c>
      <c r="S20" s="4">
        <f>Таблица18[[#This Row],[Стоимость авто в Казахстане для дистрибьютора, KZT]]*1.08</f>
        <v>11797615.133521922</v>
      </c>
      <c r="T20" s="4">
        <f>Таблица18[[#This Row],[Стоимость авто в Казахстане для дилера, KZT]]/Sales_by_models!$BI$2</f>
        <v>26812.761667095278</v>
      </c>
      <c r="U20" s="4">
        <f>Таблица18[[#This Row],[Стоимость авто в Казахстане для дилера, KZT]]*1.08</f>
        <v>12741424.344203677</v>
      </c>
      <c r="V20" s="4">
        <f>Таблица18[[#This Row],[Стоимость авто в Казахстане для потребителя, KZT]]/Sales_by_models!$BI$2</f>
        <v>28957.782600462902</v>
      </c>
      <c r="W20" s="4"/>
      <c r="X20" s="4">
        <f>Таблица18[[#This Row],[Стоимость авто в России для потребителя, руб.]]/92</f>
        <v>0</v>
      </c>
      <c r="AA20" s="39"/>
    </row>
    <row r="21" spans="1:27">
      <c r="A21" s="61" t="s">
        <v>252</v>
      </c>
      <c r="B21" s="5" t="s">
        <v>197</v>
      </c>
      <c r="C21" s="5" t="s">
        <v>206</v>
      </c>
      <c r="D21" s="5" t="s">
        <v>211</v>
      </c>
      <c r="E21" s="5" t="s">
        <v>213</v>
      </c>
      <c r="F21" s="5" t="s">
        <v>216</v>
      </c>
      <c r="G21" s="5">
        <v>100</v>
      </c>
      <c r="H21" s="60">
        <v>5.5</v>
      </c>
      <c r="I21" s="5">
        <v>2011</v>
      </c>
      <c r="J21" s="5" t="s">
        <v>164</v>
      </c>
      <c r="K21" s="4">
        <v>59800</v>
      </c>
      <c r="L21" s="4">
        <v>103700</v>
      </c>
      <c r="M21" s="165">
        <f>AVERAGE(Таблица18[[#This Row],[Wholesale Min. Price in China, CNY]],Таблица18[[#This Row],[Wholesale Max. Price in China, CNY]])</f>
        <v>81750</v>
      </c>
      <c r="N21" s="4">
        <f>Таблица18[[#This Row],[ Wholesale Average price in China, CNY]]*$Z$2</f>
        <v>11445.000000000002</v>
      </c>
      <c r="O21" s="59">
        <v>0.2</v>
      </c>
      <c r="P21" s="4">
        <f>Таблица18[[#This Row],[Wholesale Price in China, USD]]*(1-Таблица18[[#This Row],[Скидка для дистрибьютора от производителя]])</f>
        <v>9156.0000000000018</v>
      </c>
      <c r="Q21" s="4">
        <f>Таблица18[[#This Row],[Стоимость авто в Китае с учетом скидки, USD]]*Sales_by_models!$BI$2</f>
        <v>4028640.0000000009</v>
      </c>
      <c r="R21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8965191.6550399996</v>
      </c>
      <c r="S21" s="4">
        <f>Таблица18[[#This Row],[Стоимость авто в Казахстане для дистрибьютора, KZT]]*1.08</f>
        <v>9682406.9874431994</v>
      </c>
      <c r="T21" s="4">
        <f>Таблица18[[#This Row],[Стоимость авто в Казахстане для дилера, KZT]]/Sales_by_models!$BI$2</f>
        <v>22005.470426007272</v>
      </c>
      <c r="U21" s="4">
        <f>Таблица18[[#This Row],[Стоимость авто в Казахстане для дилера, KZT]]*1.08</f>
        <v>10456999.546438657</v>
      </c>
      <c r="V21" s="4">
        <f>Таблица18[[#This Row],[Стоимость авто в Казахстане для потребителя, KZT]]/Sales_by_models!$BI$2</f>
        <v>23765.908060087855</v>
      </c>
      <c r="W21" s="4"/>
      <c r="X21" s="4">
        <f>Таблица18[[#This Row],[Стоимость авто в России для потребителя, руб.]]/92</f>
        <v>0</v>
      </c>
      <c r="AA21" s="39"/>
    </row>
    <row r="22" spans="1:27">
      <c r="A22" s="61" t="s">
        <v>366</v>
      </c>
      <c r="B22" s="5" t="s">
        <v>761</v>
      </c>
      <c r="C22" s="5" t="s">
        <v>206</v>
      </c>
      <c r="D22" s="5" t="s">
        <v>208</v>
      </c>
      <c r="E22" s="5" t="s">
        <v>212</v>
      </c>
      <c r="F22" s="5" t="s">
        <v>216</v>
      </c>
      <c r="G22" s="5">
        <v>130</v>
      </c>
      <c r="H22" s="5">
        <v>12</v>
      </c>
      <c r="I22" s="5">
        <v>2021</v>
      </c>
      <c r="J22" s="5" t="s">
        <v>164</v>
      </c>
      <c r="K22" s="4">
        <v>55900</v>
      </c>
      <c r="L22" s="4">
        <v>99900</v>
      </c>
      <c r="M22" s="165">
        <f>AVERAGE(Таблица18[[#This Row],[Wholesale Min. Price in China, CNY]],Таблица18[[#This Row],[Wholesale Max. Price in China, CNY]])</f>
        <v>77900</v>
      </c>
      <c r="N22" s="4">
        <f>Таблица18[[#This Row],[ Wholesale Average price in China, CNY]]*$Z$2</f>
        <v>10906.000000000002</v>
      </c>
      <c r="O22" s="59">
        <v>0.2</v>
      </c>
      <c r="P22" s="4">
        <f>Таблица18[[#This Row],[Wholesale Price in China, USD]]*(1-Таблица18[[#This Row],[Скидка для дистрибьютора от производителя]])</f>
        <v>8724.8000000000011</v>
      </c>
      <c r="Q22" s="4">
        <f>Таблица18[[#This Row],[Стоимость авто в Китае с учетом скидки, USD]]*Sales_by_models!$BI$2</f>
        <v>3838912.0000000005</v>
      </c>
      <c r="R22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8675735.7880320009</v>
      </c>
      <c r="S22" s="4">
        <f>Таблица18[[#This Row],[Стоимость авто в Казахстане для дистрибьютора, KZT]]*1.08</f>
        <v>9369794.6510745622</v>
      </c>
      <c r="T22" s="4">
        <f>Таблица18[[#This Row],[Стоимость авто в Казахстане для дилера, KZT]]/Sales_by_models!$BI$2</f>
        <v>21294.987843351279</v>
      </c>
      <c r="U22" s="4">
        <f>Таблица18[[#This Row],[Стоимость авто в Казахстане для дилера, KZT]]*1.08</f>
        <v>10119378.223160528</v>
      </c>
      <c r="V22" s="4">
        <f>Таблица18[[#This Row],[Стоимость авто в Казахстане для потребителя, KZT]]/Sales_by_models!$BI$2</f>
        <v>22998.586870819381</v>
      </c>
      <c r="W22" s="4">
        <v>2477000</v>
      </c>
      <c r="X22" s="4">
        <f>Таблица18[[#This Row],[Стоимость авто в России для потребителя, руб.]]/92</f>
        <v>26923.91304347826</v>
      </c>
      <c r="AA22" s="39"/>
    </row>
    <row r="23" spans="1:27">
      <c r="A23" s="61" t="s">
        <v>251</v>
      </c>
      <c r="B23" s="5" t="s">
        <v>202</v>
      </c>
      <c r="C23" s="5" t="s">
        <v>204</v>
      </c>
      <c r="D23" s="5" t="s">
        <v>208</v>
      </c>
      <c r="E23" s="5" t="s">
        <v>214</v>
      </c>
      <c r="F23" s="5" t="s">
        <v>215</v>
      </c>
      <c r="G23" s="5">
        <v>200</v>
      </c>
      <c r="H23" s="5">
        <v>8</v>
      </c>
      <c r="I23" s="5">
        <v>2015</v>
      </c>
      <c r="J23" s="5" t="s">
        <v>164</v>
      </c>
      <c r="K23" s="4">
        <v>180000</v>
      </c>
      <c r="L23" s="4">
        <v>240000</v>
      </c>
      <c r="M23" s="165">
        <f>AVERAGE(Таблица18[[#This Row],[Wholesale Min. Price in China, CNY]],Таблица18[[#This Row],[Wholesale Max. Price in China, CNY]])</f>
        <v>210000</v>
      </c>
      <c r="N23" s="4">
        <f>Таблица18[[#This Row],[ Wholesale Average price in China, CNY]]*$Z$2</f>
        <v>29400.000000000004</v>
      </c>
      <c r="O23" s="59">
        <v>0.2</v>
      </c>
      <c r="P23" s="4">
        <f>Таблица18[[#This Row],[Wholesale Price in China, USD]]*(1-Таблица18[[#This Row],[Скидка для дистрибьютора от производителя]])</f>
        <v>23520.000000000004</v>
      </c>
      <c r="Q23" s="4">
        <f>Таблица18[[#This Row],[Стоимость авто в Китае с учетом скидки, USD]]*Sales_by_models!$BI$2</f>
        <v>10348800.000000002</v>
      </c>
      <c r="R23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18607455.276800003</v>
      </c>
      <c r="S23" s="4">
        <f>Таблица18[[#This Row],[Стоимость авто в Казахстане для дистрибьютора, KZT]]*1.08</f>
        <v>20096051.698944006</v>
      </c>
      <c r="T23" s="4">
        <f>Таблица18[[#This Row],[Стоимость авто в Казахстане для дилера, KZT]]/Sales_by_models!$BI$2</f>
        <v>45672.844770327283</v>
      </c>
      <c r="U23" s="4">
        <f>Таблица18[[#This Row],[Стоимость авто в Казахстане для дилера, KZT]]*1.08</f>
        <v>21703735.834859528</v>
      </c>
      <c r="V23" s="4">
        <f>Таблица18[[#This Row],[Стоимость авто в Казахстане для потребителя, KZT]]/Sales_by_models!$BI$2</f>
        <v>49326.672351953472</v>
      </c>
      <c r="W23" s="4"/>
      <c r="X23" s="4">
        <f>Таблица18[[#This Row],[Стоимость авто в России для потребителя, руб.]]/92</f>
        <v>0</v>
      </c>
      <c r="AA23" s="39"/>
    </row>
    <row r="24" spans="1:27">
      <c r="A24" s="61" t="s">
        <v>246</v>
      </c>
      <c r="B24" s="5" t="s">
        <v>257</v>
      </c>
      <c r="C24" s="5" t="s">
        <v>204</v>
      </c>
      <c r="D24" s="5" t="s">
        <v>643</v>
      </c>
      <c r="E24" s="5" t="s">
        <v>214</v>
      </c>
      <c r="F24" s="5" t="s">
        <v>217</v>
      </c>
      <c r="G24" s="5">
        <v>200</v>
      </c>
      <c r="I24" s="5">
        <v>2022</v>
      </c>
      <c r="J24" s="5" t="s">
        <v>164</v>
      </c>
      <c r="K24" s="4">
        <v>60000</v>
      </c>
      <c r="L24" s="4">
        <v>90000</v>
      </c>
      <c r="M24" s="165">
        <f>AVERAGE(Таблица18[[#This Row],[Wholesale Min. Price in China, CNY]],Таблица18[[#This Row],[Wholesale Max. Price in China, CNY]])</f>
        <v>75000</v>
      </c>
      <c r="N24" s="4">
        <f>Таблица18[[#This Row],[ Wholesale Average price in China, CNY]]*$Z$2</f>
        <v>10500.000000000002</v>
      </c>
      <c r="O24" s="59">
        <v>0.2</v>
      </c>
      <c r="P24" s="4">
        <f>Таблица18[[#This Row],[Wholesale Price in China, USD]]*(1-Таблица18[[#This Row],[Скидка для дистрибьютора от производителя]])</f>
        <v>8400.0000000000018</v>
      </c>
      <c r="Q24" s="4">
        <f>Таблица18[[#This Row],[Стоимость авто в Китае с учетом скидки, USD]]*Sales_by_models!$BI$2</f>
        <v>3696000.0000000009</v>
      </c>
      <c r="R24" s="4">
        <f>((Таблица18[[#This Row],[Стоимость авто в Китае с учетом скидки, KZT]]+Таблица18[[#This Row],[Стоимость авто в Китае с учетом скидки, KZT]]*0.15+1320000+30000)*1.15*1.12+733125+923+264000)*1.03</f>
        <v>8457704.0960000027</v>
      </c>
      <c r="S24" s="4">
        <f>Таблица18[[#This Row],[Стоимость авто в Казахстане для дистрибьютора, KZT]]*1.08</f>
        <v>9134320.4236800037</v>
      </c>
      <c r="T24" s="4">
        <f>Таблица18[[#This Row],[Стоимость авто в Казахстане для дилера, KZT]]/Sales_by_models!$BI$2</f>
        <v>20759.81914472728</v>
      </c>
      <c r="U24" s="4">
        <f>Таблица18[[#This Row],[Стоимость авто в Казахстане для дилера, KZT]]*1.08</f>
        <v>9865066.0575744044</v>
      </c>
      <c r="V24" s="4">
        <f>Таблица18[[#This Row],[Стоимость авто в Казахстане для потребителя, KZT]]/Sales_by_models!$BI$2</f>
        <v>22420.604676305466</v>
      </c>
      <c r="W24" s="4"/>
      <c r="X24" s="4">
        <f>Таблица18[[#This Row],[Стоимость авто в России для потребителя, руб.]]/92</f>
        <v>0</v>
      </c>
      <c r="AA24" s="39"/>
    </row>
    <row r="31" spans="1:27">
      <c r="U31" s="39"/>
    </row>
    <row r="32" spans="1:27">
      <c r="U32" s="39"/>
    </row>
    <row r="33" spans="21:21">
      <c r="U33" s="39"/>
    </row>
    <row r="34" spans="21:21">
      <c r="U34" s="39"/>
    </row>
    <row r="35" spans="21:21">
      <c r="U35" s="39"/>
    </row>
    <row r="36" spans="21:21">
      <c r="U36" s="39"/>
    </row>
    <row r="37" spans="21:21">
      <c r="U37" s="39"/>
    </row>
    <row r="38" spans="21:21">
      <c r="U38" s="39"/>
    </row>
    <row r="39" spans="21:21">
      <c r="U39" s="39"/>
    </row>
    <row r="40" spans="21:21">
      <c r="U40" s="39"/>
    </row>
    <row r="41" spans="21:21">
      <c r="U41" s="39"/>
    </row>
    <row r="42" spans="21:21">
      <c r="U42" s="39"/>
    </row>
    <row r="43" spans="21:21">
      <c r="U43" s="39"/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E840B-5245-4DF6-B6DB-D9C351DC8F42}">
  <dimension ref="B1:G32"/>
  <sheetViews>
    <sheetView showGridLines="0" workbookViewId="0">
      <selection activeCell="E9" sqref="E9"/>
    </sheetView>
  </sheetViews>
  <sheetFormatPr defaultColWidth="8.77734375" defaultRowHeight="14.4"/>
  <cols>
    <col min="1" max="1" width="8.77734375" style="9"/>
    <col min="2" max="2" width="28.77734375" style="8" customWidth="1"/>
    <col min="3" max="7" width="14" style="160" bestFit="1" customWidth="1"/>
    <col min="8" max="16384" width="8.77734375" style="9"/>
  </cols>
  <sheetData>
    <row r="1" spans="2:7" ht="38.549999999999997" customHeight="1"/>
    <row r="2" spans="2:7">
      <c r="B2" s="47" t="s">
        <v>151</v>
      </c>
      <c r="C2" s="163">
        <v>2023</v>
      </c>
      <c r="D2" s="163">
        <v>2022</v>
      </c>
      <c r="E2" s="163">
        <v>2021</v>
      </c>
      <c r="F2" s="163">
        <v>2020</v>
      </c>
      <c r="G2" s="163">
        <v>2019</v>
      </c>
    </row>
    <row r="3" spans="2:7">
      <c r="B3" s="47" t="s">
        <v>665</v>
      </c>
      <c r="C3" s="159">
        <f>SUM(C5:C9)</f>
        <v>4628.3399999999992</v>
      </c>
      <c r="D3" s="159">
        <f>SUM(D5:D9)</f>
        <v>4474.6400000000003</v>
      </c>
      <c r="E3" s="159">
        <f>SUM(E5:E9)</f>
        <v>3140.92</v>
      </c>
      <c r="F3" s="159">
        <f>SUM(F5:F9)</f>
        <v>2272.1299999999997</v>
      </c>
      <c r="G3" s="159">
        <f>SUM(G5:G9)</f>
        <v>2130.375</v>
      </c>
    </row>
    <row r="4" spans="2:7">
      <c r="B4" s="47" t="s">
        <v>691</v>
      </c>
      <c r="C4" s="161">
        <v>3.434913199721068E-2</v>
      </c>
      <c r="D4" s="161">
        <v>0.42462717929778537</v>
      </c>
      <c r="E4" s="161">
        <v>0.3823680863330885</v>
      </c>
      <c r="F4" s="161">
        <v>6.6539928416358363E-2</v>
      </c>
      <c r="G4" s="161">
        <v>-0.20240845223342485</v>
      </c>
    </row>
    <row r="5" spans="2:7" ht="43.2">
      <c r="B5" s="47" t="s">
        <v>645</v>
      </c>
      <c r="C5" s="159">
        <v>266.10000000000002</v>
      </c>
      <c r="D5" s="159">
        <v>242.2</v>
      </c>
      <c r="E5" s="159">
        <v>299.2</v>
      </c>
      <c r="F5" s="159">
        <v>234</v>
      </c>
      <c r="G5" s="159">
        <v>225.6</v>
      </c>
    </row>
    <row r="6" spans="2:7" ht="28.8">
      <c r="B6" s="47" t="s">
        <v>646</v>
      </c>
      <c r="C6" s="159">
        <v>951.8</v>
      </c>
      <c r="D6" s="159">
        <v>889.4</v>
      </c>
      <c r="E6" s="159">
        <v>834.5</v>
      </c>
      <c r="F6" s="159">
        <v>574.5</v>
      </c>
      <c r="G6" s="159">
        <v>1.2350000000000001</v>
      </c>
    </row>
    <row r="7" spans="2:7" ht="43.2">
      <c r="B7" s="47" t="s">
        <v>647</v>
      </c>
      <c r="C7" s="159">
        <v>129.5</v>
      </c>
      <c r="D7" s="159">
        <v>107.4</v>
      </c>
      <c r="E7" s="159">
        <v>125.2</v>
      </c>
      <c r="F7" s="159">
        <v>95.2</v>
      </c>
      <c r="G7" s="159">
        <v>123.7</v>
      </c>
    </row>
    <row r="8" spans="2:7" ht="28.8">
      <c r="B8" s="47" t="s">
        <v>648</v>
      </c>
      <c r="C8" s="159">
        <v>3263</v>
      </c>
      <c r="D8" s="159">
        <v>3215</v>
      </c>
      <c r="E8" s="159">
        <v>1863</v>
      </c>
      <c r="F8" s="159">
        <v>1353</v>
      </c>
      <c r="G8" s="159">
        <v>1762</v>
      </c>
    </row>
    <row r="9" spans="2:7" ht="28.8">
      <c r="B9" s="47" t="s">
        <v>649</v>
      </c>
      <c r="C9" s="159">
        <v>17.940000000000001</v>
      </c>
      <c r="D9" s="159">
        <v>20.64</v>
      </c>
      <c r="E9" s="159">
        <v>19.02</v>
      </c>
      <c r="F9" s="159">
        <v>15.43</v>
      </c>
      <c r="G9" s="159">
        <v>17.84</v>
      </c>
    </row>
    <row r="10" spans="2:7" ht="28.8">
      <c r="B10" s="47" t="s">
        <v>650</v>
      </c>
      <c r="C10" s="161">
        <f t="shared" ref="C10:G14" si="0">C5/C$3</f>
        <v>5.749361542151183E-2</v>
      </c>
      <c r="D10" s="161">
        <f t="shared" si="0"/>
        <v>5.4127259399638847E-2</v>
      </c>
      <c r="E10" s="161">
        <f t="shared" si="0"/>
        <v>9.5258714007360898E-2</v>
      </c>
      <c r="F10" s="161">
        <f t="shared" si="0"/>
        <v>0.10298706500068219</v>
      </c>
      <c r="G10" s="161">
        <f t="shared" si="0"/>
        <v>0.10589684914627706</v>
      </c>
    </row>
    <row r="11" spans="2:7" ht="28.8">
      <c r="B11" s="47" t="s">
        <v>651</v>
      </c>
      <c r="C11" s="161">
        <f t="shared" si="0"/>
        <v>0.20564608477337448</v>
      </c>
      <c r="D11" s="161">
        <f t="shared" si="0"/>
        <v>0.19876459335276131</v>
      </c>
      <c r="E11" s="161">
        <f t="shared" si="0"/>
        <v>0.26568648676184048</v>
      </c>
      <c r="F11" s="161">
        <f t="shared" si="0"/>
        <v>0.25284644804654666</v>
      </c>
      <c r="G11" s="161">
        <f t="shared" si="0"/>
        <v>5.7971014492753633E-4</v>
      </c>
    </row>
    <row r="12" spans="2:7" ht="28.8">
      <c r="B12" s="47" t="s">
        <v>652</v>
      </c>
      <c r="C12" s="161">
        <f t="shared" si="0"/>
        <v>2.7979794051430973E-2</v>
      </c>
      <c r="D12" s="161">
        <f t="shared" si="0"/>
        <v>2.4001930881590475E-2</v>
      </c>
      <c r="E12" s="161">
        <f t="shared" si="0"/>
        <v>3.9860932465647009E-2</v>
      </c>
      <c r="F12" s="161">
        <f t="shared" si="0"/>
        <v>4.1899011060106607E-2</v>
      </c>
      <c r="G12" s="161">
        <f t="shared" si="0"/>
        <v>5.8064894678166994E-2</v>
      </c>
    </row>
    <row r="13" spans="2:7" ht="28.8">
      <c r="B13" s="47" t="s">
        <v>653</v>
      </c>
      <c r="C13" s="161">
        <f t="shared" si="0"/>
        <v>0.70500438602177029</v>
      </c>
      <c r="D13" s="161">
        <f t="shared" si="0"/>
        <v>0.71849355478876509</v>
      </c>
      <c r="E13" s="161">
        <f t="shared" si="0"/>
        <v>0.59313831616214352</v>
      </c>
      <c r="F13" s="161">
        <f t="shared" si="0"/>
        <v>0.59547649122189317</v>
      </c>
      <c r="G13" s="161">
        <f t="shared" si="0"/>
        <v>0.8270844334917562</v>
      </c>
    </row>
    <row r="14" spans="2:7" ht="28.8">
      <c r="B14" s="47" t="s">
        <v>654</v>
      </c>
      <c r="C14" s="161">
        <f t="shared" si="0"/>
        <v>3.8761197319125223E-3</v>
      </c>
      <c r="D14" s="161">
        <f t="shared" si="0"/>
        <v>4.6126615772442026E-3</v>
      </c>
      <c r="E14" s="161">
        <f t="shared" si="0"/>
        <v>6.0555506030080357E-3</v>
      </c>
      <c r="F14" s="161">
        <f t="shared" si="0"/>
        <v>6.7909846707714799E-3</v>
      </c>
      <c r="G14" s="161">
        <f t="shared" si="0"/>
        <v>8.374112538872264E-3</v>
      </c>
    </row>
    <row r="15" spans="2:7">
      <c r="B15" s="47" t="s">
        <v>666</v>
      </c>
      <c r="C15" s="159">
        <f>SUM(C17:C21)</f>
        <v>314.41000000000003</v>
      </c>
      <c r="D15" s="159">
        <f>SUM(D17:D21)</f>
        <v>305.78000000000003</v>
      </c>
      <c r="E15" s="159">
        <f>SUM(E17:E21)</f>
        <v>231.16</v>
      </c>
      <c r="F15" s="159">
        <f>SUM(F17:F21)</f>
        <v>181.6</v>
      </c>
      <c r="G15" s="159">
        <f>SUM(G17:G21)</f>
        <v>254.54</v>
      </c>
    </row>
    <row r="16" spans="2:7">
      <c r="B16" s="47" t="s">
        <v>692</v>
      </c>
      <c r="C16" s="161">
        <v>2.8222905356792394E-2</v>
      </c>
      <c r="D16" s="161">
        <v>0.32280671396435379</v>
      </c>
      <c r="E16" s="161">
        <v>0.27290748898678419</v>
      </c>
      <c r="F16" s="161">
        <v>-0.2865561404887248</v>
      </c>
      <c r="G16" s="161">
        <v>-0.17036602457547023</v>
      </c>
    </row>
    <row r="17" spans="2:7" ht="43.2">
      <c r="B17" s="47" t="s">
        <v>655</v>
      </c>
      <c r="C17" s="159">
        <v>22.08</v>
      </c>
      <c r="D17" s="159">
        <v>20.77</v>
      </c>
      <c r="E17" s="159">
        <v>24.43</v>
      </c>
      <c r="F17" s="159">
        <v>21.1</v>
      </c>
      <c r="G17" s="159">
        <v>21.53</v>
      </c>
    </row>
    <row r="18" spans="2:7" ht="28.8">
      <c r="B18" s="47" t="s">
        <v>656</v>
      </c>
      <c r="C18" s="159">
        <v>52.83</v>
      </c>
      <c r="D18" s="159">
        <v>50.82</v>
      </c>
      <c r="E18" s="159">
        <v>45.06</v>
      </c>
      <c r="F18" s="159">
        <v>33.11</v>
      </c>
      <c r="G18" s="159">
        <v>73.87</v>
      </c>
    </row>
    <row r="19" spans="2:7" ht="43.2">
      <c r="B19" s="47" t="s">
        <v>657</v>
      </c>
      <c r="C19" s="159">
        <v>7.53</v>
      </c>
      <c r="D19" s="159">
        <v>6.72</v>
      </c>
      <c r="E19" s="159">
        <v>7.62</v>
      </c>
      <c r="F19" s="159">
        <v>6.32</v>
      </c>
      <c r="G19" s="159">
        <v>8.64</v>
      </c>
    </row>
    <row r="20" spans="2:7" ht="28.8">
      <c r="B20" s="47" t="s">
        <v>658</v>
      </c>
      <c r="C20" s="159">
        <v>231</v>
      </c>
      <c r="D20" s="159">
        <v>226.4</v>
      </c>
      <c r="E20" s="159">
        <v>153.1</v>
      </c>
      <c r="F20" s="159">
        <v>120.3</v>
      </c>
      <c r="G20" s="159">
        <v>149.6</v>
      </c>
    </row>
    <row r="21" spans="2:7" ht="28.8">
      <c r="B21" s="47" t="s">
        <v>659</v>
      </c>
      <c r="C21" s="159">
        <v>0.97</v>
      </c>
      <c r="D21" s="159">
        <v>1.07</v>
      </c>
      <c r="E21" s="159">
        <v>0.95</v>
      </c>
      <c r="F21" s="159">
        <v>0.77</v>
      </c>
      <c r="G21" s="159">
        <v>0.9</v>
      </c>
    </row>
    <row r="22" spans="2:7" ht="28.8">
      <c r="B22" s="47" t="s">
        <v>660</v>
      </c>
      <c r="C22" s="53">
        <f t="shared" ref="C22:G26" si="1">C17/C$15</f>
        <v>7.0226773957571306E-2</v>
      </c>
      <c r="D22" s="53">
        <f t="shared" si="1"/>
        <v>6.7924651710380007E-2</v>
      </c>
      <c r="E22" s="53">
        <f t="shared" si="1"/>
        <v>0.10568437445924901</v>
      </c>
      <c r="F22" s="53">
        <f t="shared" si="1"/>
        <v>0.11618942731277535</v>
      </c>
      <c r="G22" s="53">
        <f t="shared" si="1"/>
        <v>8.4583955370472225E-2</v>
      </c>
    </row>
    <row r="23" spans="2:7" ht="28.8">
      <c r="B23" s="47" t="s">
        <v>661</v>
      </c>
      <c r="C23" s="53">
        <f t="shared" si="1"/>
        <v>0.16802900671098245</v>
      </c>
      <c r="D23" s="53">
        <f t="shared" si="1"/>
        <v>0.16619792007325526</v>
      </c>
      <c r="E23" s="53">
        <f t="shared" si="1"/>
        <v>0.19492991867105036</v>
      </c>
      <c r="F23" s="53">
        <f t="shared" si="1"/>
        <v>0.1823237885462555</v>
      </c>
      <c r="G23" s="53">
        <f t="shared" si="1"/>
        <v>0.29020979020979026</v>
      </c>
    </row>
    <row r="24" spans="2:7" ht="28.8">
      <c r="B24" s="47" t="s">
        <v>662</v>
      </c>
      <c r="C24" s="53">
        <f t="shared" si="1"/>
        <v>2.3949619923030435E-2</v>
      </c>
      <c r="D24" s="53">
        <f t="shared" si="1"/>
        <v>2.1976584472496563E-2</v>
      </c>
      <c r="E24" s="53">
        <f t="shared" si="1"/>
        <v>3.2964180654092408E-2</v>
      </c>
      <c r="F24" s="53">
        <f t="shared" si="1"/>
        <v>3.4801762114537449E-2</v>
      </c>
      <c r="G24" s="53">
        <f t="shared" si="1"/>
        <v>3.3943584505382263E-2</v>
      </c>
    </row>
    <row r="25" spans="2:7" ht="28.8">
      <c r="B25" s="47" t="s">
        <v>663</v>
      </c>
      <c r="C25" s="53">
        <f t="shared" si="1"/>
        <v>0.73470945580611302</v>
      </c>
      <c r="D25" s="53">
        <f t="shared" si="1"/>
        <v>0.7404015959186343</v>
      </c>
      <c r="E25" s="53">
        <f t="shared" si="1"/>
        <v>0.66231181865374633</v>
      </c>
      <c r="F25" s="53">
        <f t="shared" si="1"/>
        <v>0.6624449339207048</v>
      </c>
      <c r="G25" s="53">
        <f t="shared" si="1"/>
        <v>0.58772687986171135</v>
      </c>
    </row>
    <row r="26" spans="2:7" ht="28.8">
      <c r="B26" s="47" t="s">
        <v>664</v>
      </c>
      <c r="C26" s="53">
        <f t="shared" si="1"/>
        <v>3.0851436023027253E-3</v>
      </c>
      <c r="D26" s="53">
        <f t="shared" si="1"/>
        <v>3.4992478252338279E-3</v>
      </c>
      <c r="E26" s="53">
        <f t="shared" si="1"/>
        <v>4.1097075618619135E-3</v>
      </c>
      <c r="F26" s="53">
        <f t="shared" si="1"/>
        <v>4.2400881057268721E-3</v>
      </c>
      <c r="G26" s="53">
        <f t="shared" si="1"/>
        <v>3.5357900526439856E-3</v>
      </c>
    </row>
    <row r="27" spans="2:7" ht="28.8">
      <c r="B27" s="47" t="s">
        <v>644</v>
      </c>
      <c r="C27" s="42" t="s">
        <v>686</v>
      </c>
      <c r="D27" s="42" t="s">
        <v>687</v>
      </c>
      <c r="E27" s="42" t="s">
        <v>688</v>
      </c>
      <c r="F27" s="42" t="s">
        <v>689</v>
      </c>
      <c r="G27" s="162" t="s">
        <v>690</v>
      </c>
    </row>
    <row r="28" spans="2:7" ht="43.2">
      <c r="B28" s="47" t="s">
        <v>667</v>
      </c>
      <c r="C28" s="42" t="s">
        <v>676</v>
      </c>
      <c r="D28" s="42" t="s">
        <v>677</v>
      </c>
      <c r="E28" s="42" t="s">
        <v>676</v>
      </c>
      <c r="F28" s="42" t="s">
        <v>678</v>
      </c>
      <c r="G28" s="162" t="s">
        <v>678</v>
      </c>
    </row>
    <row r="29" spans="2:7" ht="43.2">
      <c r="B29" s="47" t="s">
        <v>668</v>
      </c>
      <c r="C29" s="42" t="s">
        <v>672</v>
      </c>
      <c r="D29" s="42" t="s">
        <v>673</v>
      </c>
      <c r="E29" s="42" t="s">
        <v>674</v>
      </c>
      <c r="F29" s="42" t="s">
        <v>674</v>
      </c>
      <c r="G29" s="162" t="s">
        <v>675</v>
      </c>
    </row>
    <row r="30" spans="2:7" ht="43.2">
      <c r="B30" s="47" t="s">
        <v>669</v>
      </c>
      <c r="C30" s="42" t="s">
        <v>679</v>
      </c>
      <c r="D30" s="42" t="s">
        <v>679</v>
      </c>
      <c r="E30" s="42" t="s">
        <v>679</v>
      </c>
      <c r="F30" s="42" t="s">
        <v>679</v>
      </c>
      <c r="G30" s="162" t="s">
        <v>680</v>
      </c>
    </row>
    <row r="31" spans="2:7" ht="43.2">
      <c r="B31" s="47" t="s">
        <v>670</v>
      </c>
      <c r="C31" s="42" t="s">
        <v>681</v>
      </c>
      <c r="D31" s="42" t="s">
        <v>681</v>
      </c>
      <c r="E31" s="42" t="s">
        <v>682</v>
      </c>
      <c r="F31" s="42" t="s">
        <v>683</v>
      </c>
      <c r="G31" s="162" t="s">
        <v>684</v>
      </c>
    </row>
    <row r="32" spans="2:7" ht="28.8">
      <c r="B32" s="47" t="s">
        <v>671</v>
      </c>
      <c r="C32" s="42" t="s">
        <v>685</v>
      </c>
      <c r="D32" s="42" t="s">
        <v>685</v>
      </c>
      <c r="E32" s="42" t="s">
        <v>685</v>
      </c>
      <c r="F32" s="42" t="s">
        <v>685</v>
      </c>
      <c r="G32" s="42" t="s">
        <v>685</v>
      </c>
    </row>
  </sheetData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0762B-4430-406C-B8DD-90F990B335F3}">
  <dimension ref="A1:AA34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8.77734375" defaultRowHeight="14.4"/>
  <cols>
    <col min="1" max="1" width="63.33203125" customWidth="1"/>
    <col min="2" max="2" width="11.109375" customWidth="1"/>
    <col min="3" max="5" width="11.33203125" bestFit="1" customWidth="1"/>
    <col min="6" max="6" width="11.77734375" bestFit="1" customWidth="1"/>
    <col min="7" max="7" width="12.77734375" customWidth="1"/>
    <col min="8" max="8" width="10.109375" bestFit="1" customWidth="1"/>
    <col min="9" max="13" width="9.6640625" bestFit="1" customWidth="1"/>
    <col min="14" max="20" width="10.6640625" bestFit="1" customWidth="1"/>
    <col min="21" max="21" width="9.6640625" bestFit="1" customWidth="1"/>
    <col min="22" max="27" width="10.6640625" bestFit="1" customWidth="1"/>
  </cols>
  <sheetData>
    <row r="1" spans="1:27">
      <c r="A1" s="40" t="s">
        <v>151</v>
      </c>
      <c r="B1" s="125">
        <v>44562</v>
      </c>
      <c r="C1" s="125">
        <v>44593</v>
      </c>
      <c r="D1" s="125">
        <v>44621</v>
      </c>
      <c r="E1" s="125">
        <v>44652</v>
      </c>
      <c r="F1" s="125">
        <v>44682</v>
      </c>
      <c r="G1" s="125">
        <v>44713</v>
      </c>
      <c r="H1" s="125">
        <v>44743</v>
      </c>
      <c r="I1" s="125">
        <v>44774</v>
      </c>
      <c r="J1" s="125">
        <v>44805</v>
      </c>
      <c r="K1" s="125">
        <v>44835</v>
      </c>
      <c r="L1" s="125">
        <v>44866</v>
      </c>
      <c r="M1" s="125">
        <v>44896</v>
      </c>
      <c r="N1" s="125">
        <v>44927</v>
      </c>
      <c r="O1" s="125">
        <v>44958</v>
      </c>
      <c r="P1" s="125">
        <v>44986</v>
      </c>
      <c r="Q1" s="125">
        <v>45017</v>
      </c>
      <c r="R1" s="125">
        <v>45047</v>
      </c>
      <c r="S1" s="125">
        <v>45078</v>
      </c>
      <c r="T1" s="125">
        <v>45108</v>
      </c>
      <c r="U1" s="128">
        <v>45139</v>
      </c>
      <c r="V1" s="125">
        <v>45170</v>
      </c>
      <c r="W1" s="125">
        <v>45200</v>
      </c>
      <c r="X1" s="125">
        <v>45231</v>
      </c>
      <c r="Y1" s="125">
        <v>45261</v>
      </c>
      <c r="Z1" s="125">
        <v>45292</v>
      </c>
      <c r="AA1" s="125">
        <v>45323</v>
      </c>
    </row>
    <row r="2" spans="1:27">
      <c r="A2" s="47" t="s">
        <v>538</v>
      </c>
      <c r="B2" s="118">
        <v>92589</v>
      </c>
      <c r="C2" s="118">
        <v>84325</v>
      </c>
      <c r="D2" s="118">
        <v>65053</v>
      </c>
      <c r="E2" s="118">
        <v>77625</v>
      </c>
      <c r="F2" s="118">
        <v>98090</v>
      </c>
      <c r="G2" s="118">
        <v>95801</v>
      </c>
      <c r="H2" s="118">
        <v>86539</v>
      </c>
      <c r="I2" s="118">
        <v>90519</v>
      </c>
      <c r="J2" s="118">
        <v>95293</v>
      </c>
      <c r="K2" s="118">
        <v>106319</v>
      </c>
      <c r="L2" s="118">
        <v>100342</v>
      </c>
      <c r="M2" s="118">
        <v>114257</v>
      </c>
      <c r="N2" s="118">
        <v>116611</v>
      </c>
      <c r="O2" s="118">
        <v>145256</v>
      </c>
      <c r="P2" s="118">
        <v>148905</v>
      </c>
      <c r="Q2" s="118">
        <v>156630</v>
      </c>
      <c r="R2" s="118">
        <v>148104</v>
      </c>
      <c r="S2" s="118">
        <v>167568</v>
      </c>
      <c r="T2" s="118">
        <v>157469</v>
      </c>
      <c r="U2" s="129">
        <v>84775</v>
      </c>
      <c r="V2" s="118">
        <v>156769</v>
      </c>
      <c r="W2" s="118">
        <v>154886</v>
      </c>
      <c r="X2" s="118">
        <v>146305</v>
      </c>
      <c r="Y2" s="118">
        <v>165953</v>
      </c>
      <c r="Z2" s="118">
        <v>134500</v>
      </c>
      <c r="AA2" s="118">
        <v>125063</v>
      </c>
    </row>
    <row r="3" spans="1:27">
      <c r="A3" s="47" t="s">
        <v>537</v>
      </c>
      <c r="B3" s="118">
        <v>5209</v>
      </c>
      <c r="C3" s="118">
        <v>2785</v>
      </c>
      <c r="D3" s="118">
        <v>2066</v>
      </c>
      <c r="E3" s="124">
        <v>2288</v>
      </c>
      <c r="F3" s="124">
        <v>3182</v>
      </c>
      <c r="G3" s="124">
        <v>2878</v>
      </c>
      <c r="H3" s="118">
        <v>2477</v>
      </c>
      <c r="I3" s="118">
        <v>2648</v>
      </c>
      <c r="J3" s="118">
        <v>3165</v>
      </c>
      <c r="K3" s="124">
        <v>4260</v>
      </c>
      <c r="L3" s="124">
        <v>4353</v>
      </c>
      <c r="M3" s="118">
        <v>4715</v>
      </c>
      <c r="N3" s="118">
        <v>3189</v>
      </c>
      <c r="O3" s="118">
        <v>3261</v>
      </c>
      <c r="P3" s="118">
        <v>3321</v>
      </c>
      <c r="Q3" s="118">
        <v>3883</v>
      </c>
      <c r="R3" s="118">
        <v>3200</v>
      </c>
      <c r="S3" s="118">
        <v>3321</v>
      </c>
      <c r="T3" s="118">
        <v>3444</v>
      </c>
      <c r="U3" s="129">
        <v>2266</v>
      </c>
      <c r="V3" s="118">
        <v>4350</v>
      </c>
      <c r="W3" s="118">
        <v>3461</v>
      </c>
      <c r="X3" s="118">
        <v>4755</v>
      </c>
      <c r="Y3" s="118">
        <v>6093</v>
      </c>
      <c r="Z3" s="118">
        <v>3767</v>
      </c>
      <c r="AA3" s="118">
        <v>3571</v>
      </c>
    </row>
    <row r="4" spans="1:27">
      <c r="A4" s="47" t="s">
        <v>543</v>
      </c>
      <c r="B4" s="46">
        <v>12776</v>
      </c>
      <c r="C4" s="46">
        <v>10070</v>
      </c>
      <c r="D4" s="46">
        <v>7693</v>
      </c>
      <c r="E4" s="46">
        <v>11167</v>
      </c>
      <c r="F4" s="46">
        <v>13193</v>
      </c>
      <c r="G4" s="46">
        <v>17085</v>
      </c>
      <c r="H4" s="46">
        <v>12560</v>
      </c>
      <c r="I4" s="46">
        <v>13122</v>
      </c>
      <c r="J4" s="46">
        <v>12930</v>
      </c>
      <c r="K4" s="11">
        <v>13376</v>
      </c>
      <c r="L4" s="46">
        <v>14952</v>
      </c>
      <c r="M4" s="46">
        <v>16657</v>
      </c>
      <c r="N4" s="46">
        <v>17517</v>
      </c>
      <c r="O4" s="46">
        <v>23237</v>
      </c>
      <c r="P4" s="46">
        <v>23133</v>
      </c>
      <c r="Q4" s="46">
        <v>25841</v>
      </c>
      <c r="R4" s="46">
        <v>25340</v>
      </c>
      <c r="S4" s="46">
        <v>30010</v>
      </c>
      <c r="T4" s="46">
        <v>28269</v>
      </c>
      <c r="U4" s="130">
        <v>16222</v>
      </c>
      <c r="V4" s="46">
        <v>29285</v>
      </c>
      <c r="W4" s="46">
        <v>27925</v>
      </c>
      <c r="X4" s="46">
        <v>26283</v>
      </c>
      <c r="Y4" s="46">
        <v>32279</v>
      </c>
      <c r="Z4" s="46">
        <v>22113</v>
      </c>
      <c r="AA4" s="46">
        <v>21216</v>
      </c>
    </row>
    <row r="5" spans="1:27" ht="28.8">
      <c r="A5" s="47" t="s">
        <v>544</v>
      </c>
      <c r="B5" s="46">
        <v>42627</v>
      </c>
      <c r="C5" s="46">
        <v>39116</v>
      </c>
      <c r="D5" s="46">
        <v>30607</v>
      </c>
      <c r="E5" s="46">
        <v>35272</v>
      </c>
      <c r="F5" s="46">
        <v>45401</v>
      </c>
      <c r="G5" s="46">
        <v>41792</v>
      </c>
      <c r="H5" s="46">
        <v>39527</v>
      </c>
      <c r="I5" s="46">
        <v>41292</v>
      </c>
      <c r="J5" s="46">
        <v>44768</v>
      </c>
      <c r="K5" s="46">
        <v>50093</v>
      </c>
      <c r="L5" s="46">
        <v>45900</v>
      </c>
      <c r="M5" s="46">
        <v>52664</v>
      </c>
      <c r="N5" s="46">
        <v>52991</v>
      </c>
      <c r="O5" s="46">
        <v>63068</v>
      </c>
      <c r="P5" s="46">
        <v>64584</v>
      </c>
      <c r="Q5" s="46">
        <v>67698</v>
      </c>
      <c r="R5" s="46">
        <v>63554</v>
      </c>
      <c r="S5" s="46">
        <v>67678</v>
      </c>
      <c r="T5" s="46">
        <v>66815</v>
      </c>
      <c r="U5" s="130">
        <v>36979</v>
      </c>
      <c r="V5" s="46">
        <v>67079</v>
      </c>
      <c r="W5" s="46">
        <v>67374</v>
      </c>
      <c r="X5" s="46">
        <v>62339</v>
      </c>
      <c r="Y5" s="46">
        <v>65716</v>
      </c>
      <c r="Z5" s="46">
        <v>57112</v>
      </c>
      <c r="AA5" s="46">
        <v>53166</v>
      </c>
    </row>
    <row r="6" spans="1:27" ht="28.8">
      <c r="A6" s="47" t="s">
        <v>546</v>
      </c>
      <c r="B6" s="46">
        <v>17402</v>
      </c>
      <c r="C6" s="46">
        <v>16310</v>
      </c>
      <c r="D6" s="46">
        <v>12208</v>
      </c>
      <c r="E6" s="46">
        <v>14092</v>
      </c>
      <c r="F6" s="46">
        <v>17777</v>
      </c>
      <c r="G6" s="46">
        <v>16092</v>
      </c>
      <c r="H6" s="46">
        <v>15668</v>
      </c>
      <c r="I6" s="46">
        <v>16388</v>
      </c>
      <c r="J6" s="46">
        <v>17515</v>
      </c>
      <c r="K6" s="46">
        <v>19229</v>
      </c>
      <c r="L6" s="46">
        <v>18113</v>
      </c>
      <c r="M6" s="46">
        <v>20572</v>
      </c>
      <c r="N6" s="46">
        <v>21145</v>
      </c>
      <c r="O6" s="46">
        <v>28814</v>
      </c>
      <c r="P6" s="46">
        <v>30110</v>
      </c>
      <c r="Q6" s="46">
        <v>30677</v>
      </c>
      <c r="R6" s="46">
        <v>28865</v>
      </c>
      <c r="S6" s="46">
        <v>34432</v>
      </c>
      <c r="T6" s="46">
        <v>30507</v>
      </c>
      <c r="U6" s="130">
        <v>15246</v>
      </c>
      <c r="V6" s="46">
        <v>28875</v>
      </c>
      <c r="W6" s="46">
        <v>28785</v>
      </c>
      <c r="X6" s="46">
        <v>27877</v>
      </c>
      <c r="Y6" s="46">
        <v>33815</v>
      </c>
      <c r="Z6" s="46">
        <v>26719</v>
      </c>
      <c r="AA6" s="46">
        <v>23938</v>
      </c>
    </row>
    <row r="7" spans="1:27" ht="28.8">
      <c r="A7" s="47" t="s">
        <v>545</v>
      </c>
      <c r="B7" s="46">
        <v>15713</v>
      </c>
      <c r="C7" s="46">
        <v>15195</v>
      </c>
      <c r="D7" s="46">
        <v>11431</v>
      </c>
      <c r="E7" s="46">
        <v>13028</v>
      </c>
      <c r="F7" s="46">
        <v>16982</v>
      </c>
      <c r="G7" s="46">
        <v>16163</v>
      </c>
      <c r="H7" s="46">
        <v>14479</v>
      </c>
      <c r="I7" s="46">
        <v>15210</v>
      </c>
      <c r="J7" s="46">
        <v>16205</v>
      </c>
      <c r="K7" s="46">
        <v>18879</v>
      </c>
      <c r="L7" s="46">
        <v>17333</v>
      </c>
      <c r="M7" s="46">
        <v>19663</v>
      </c>
      <c r="N7" s="46">
        <v>20687</v>
      </c>
      <c r="O7" s="46">
        <v>25285</v>
      </c>
      <c r="P7" s="46">
        <v>25796</v>
      </c>
      <c r="Q7" s="46">
        <v>26660</v>
      </c>
      <c r="R7" s="46">
        <v>24447</v>
      </c>
      <c r="S7" s="46">
        <v>29271</v>
      </c>
      <c r="T7" s="46">
        <v>25611</v>
      </c>
      <c r="U7" s="130">
        <v>13092</v>
      </c>
      <c r="V7" s="46">
        <v>24790</v>
      </c>
      <c r="W7" s="46">
        <v>24552</v>
      </c>
      <c r="X7" s="46">
        <v>23800</v>
      </c>
      <c r="Y7" s="46">
        <v>27691</v>
      </c>
      <c r="Z7" s="46">
        <v>23164</v>
      </c>
      <c r="AA7" s="46">
        <v>21413</v>
      </c>
    </row>
    <row r="8" spans="1:27" ht="28.8">
      <c r="A8" s="47" t="s">
        <v>548</v>
      </c>
      <c r="B8" s="46">
        <v>2370</v>
      </c>
      <c r="C8" s="46">
        <v>2620</v>
      </c>
      <c r="D8" s="46">
        <v>1948</v>
      </c>
      <c r="E8" s="46">
        <v>2625</v>
      </c>
      <c r="F8" s="46">
        <v>3158</v>
      </c>
      <c r="G8" s="46">
        <v>3300</v>
      </c>
      <c r="H8" s="46">
        <v>2860</v>
      </c>
      <c r="I8" s="46">
        <v>2988</v>
      </c>
      <c r="J8" s="46">
        <v>2419</v>
      </c>
      <c r="K8" s="46">
        <v>1511</v>
      </c>
      <c r="L8" s="46">
        <v>3680</v>
      </c>
      <c r="M8" s="46">
        <v>3434</v>
      </c>
      <c r="N8" s="46">
        <v>3264</v>
      </c>
      <c r="O8" s="46">
        <v>3488</v>
      </c>
      <c r="P8" s="46">
        <v>3662</v>
      </c>
      <c r="Q8" s="46">
        <v>3915</v>
      </c>
      <c r="R8" s="46">
        <v>3444</v>
      </c>
      <c r="S8" s="46">
        <v>3762</v>
      </c>
      <c r="T8" s="46">
        <v>3642</v>
      </c>
      <c r="U8" s="130">
        <v>1880</v>
      </c>
      <c r="V8" s="46">
        <v>3820</v>
      </c>
      <c r="W8" s="46">
        <v>3715</v>
      </c>
      <c r="X8" s="46">
        <v>3582</v>
      </c>
      <c r="Y8" s="46">
        <v>4172</v>
      </c>
      <c r="Z8" s="46">
        <v>3417</v>
      </c>
      <c r="AA8" s="46">
        <v>3435</v>
      </c>
    </row>
    <row r="9" spans="1:27" ht="28.8">
      <c r="A9" s="47" t="s">
        <v>554</v>
      </c>
      <c r="B9" s="46">
        <v>77366</v>
      </c>
      <c r="C9" s="46">
        <v>71246</v>
      </c>
      <c r="D9" s="46">
        <v>55263</v>
      </c>
      <c r="E9" s="46">
        <v>66313</v>
      </c>
      <c r="F9" s="46">
        <v>83330</v>
      </c>
      <c r="G9" s="46">
        <v>83856</v>
      </c>
      <c r="H9" s="46">
        <v>74089</v>
      </c>
      <c r="I9" s="46">
        <v>77445</v>
      </c>
      <c r="J9" s="46">
        <v>81894</v>
      </c>
      <c r="K9" s="46">
        <v>88184</v>
      </c>
      <c r="L9" s="46">
        <v>83220</v>
      </c>
      <c r="M9" s="46">
        <v>97271</v>
      </c>
      <c r="N9" s="46">
        <v>100477</v>
      </c>
      <c r="O9" s="46">
        <v>126193</v>
      </c>
      <c r="P9" s="46">
        <v>129454</v>
      </c>
      <c r="Q9" s="46">
        <v>135352</v>
      </c>
      <c r="R9" s="46">
        <v>128518</v>
      </c>
      <c r="S9" s="46">
        <v>147587</v>
      </c>
      <c r="T9" s="46">
        <v>137810</v>
      </c>
      <c r="U9" s="130">
        <v>74800</v>
      </c>
      <c r="V9" s="46">
        <v>136082</v>
      </c>
      <c r="W9" s="46">
        <v>135424</v>
      </c>
      <c r="X9" s="46">
        <v>128833</v>
      </c>
      <c r="Y9" s="46">
        <v>148196</v>
      </c>
      <c r="Z9" s="46">
        <v>117793</v>
      </c>
      <c r="AA9" s="46">
        <v>109448</v>
      </c>
    </row>
    <row r="10" spans="1:27" ht="28.8">
      <c r="A10" s="47" t="s">
        <v>555</v>
      </c>
      <c r="B10" s="46">
        <v>1998</v>
      </c>
      <c r="C10" s="46">
        <v>1613</v>
      </c>
      <c r="D10" s="46">
        <v>1296</v>
      </c>
      <c r="E10" s="46">
        <v>1436</v>
      </c>
      <c r="F10" s="46">
        <v>1897</v>
      </c>
      <c r="G10" s="46">
        <v>1559</v>
      </c>
      <c r="H10" s="46">
        <v>1629</v>
      </c>
      <c r="I10" s="46">
        <v>1713</v>
      </c>
      <c r="J10" s="46">
        <v>1696</v>
      </c>
      <c r="K10" s="46">
        <v>2451</v>
      </c>
      <c r="L10" s="46">
        <v>2218</v>
      </c>
      <c r="M10" s="46">
        <v>2027</v>
      </c>
      <c r="N10" s="46">
        <v>1908</v>
      </c>
      <c r="O10" s="46">
        <v>2376</v>
      </c>
      <c r="P10" s="46">
        <v>2659</v>
      </c>
      <c r="Q10" s="46">
        <v>2577</v>
      </c>
      <c r="R10" s="46">
        <v>2444</v>
      </c>
      <c r="S10" s="46">
        <v>2739</v>
      </c>
      <c r="T10" s="46">
        <v>2391</v>
      </c>
      <c r="U10" s="130">
        <v>1258</v>
      </c>
      <c r="V10" s="46">
        <v>2384</v>
      </c>
      <c r="W10" s="46">
        <v>2435</v>
      </c>
      <c r="X10" s="46">
        <v>2400</v>
      </c>
      <c r="Y10" s="46">
        <v>2453</v>
      </c>
      <c r="Z10" s="46">
        <v>1948</v>
      </c>
      <c r="AA10" s="46">
        <v>1984</v>
      </c>
    </row>
    <row r="11" spans="1:27" ht="28.8">
      <c r="A11" s="47" t="s">
        <v>556</v>
      </c>
      <c r="B11" s="46">
        <v>122</v>
      </c>
      <c r="C11" s="46">
        <v>90</v>
      </c>
      <c r="D11" s="46">
        <v>63</v>
      </c>
      <c r="E11" s="46">
        <v>82</v>
      </c>
      <c r="F11" s="46">
        <v>99</v>
      </c>
      <c r="G11" s="46">
        <v>81</v>
      </c>
      <c r="H11" s="46">
        <v>87</v>
      </c>
      <c r="I11" s="46">
        <v>92</v>
      </c>
      <c r="J11" s="46">
        <v>140</v>
      </c>
      <c r="K11" s="46">
        <v>116</v>
      </c>
      <c r="L11" s="46">
        <v>150</v>
      </c>
      <c r="M11" s="46">
        <v>213</v>
      </c>
      <c r="N11" s="46">
        <v>186</v>
      </c>
      <c r="O11" s="46">
        <v>276</v>
      </c>
      <c r="P11" s="46">
        <v>305</v>
      </c>
      <c r="Q11" s="46">
        <v>279</v>
      </c>
      <c r="R11" s="46">
        <v>267</v>
      </c>
      <c r="S11" s="46">
        <v>369</v>
      </c>
      <c r="T11" s="46">
        <v>350</v>
      </c>
      <c r="U11" s="130">
        <v>196</v>
      </c>
      <c r="V11" s="46">
        <v>359</v>
      </c>
      <c r="W11" s="46">
        <v>424</v>
      </c>
      <c r="X11" s="46">
        <v>433</v>
      </c>
      <c r="Y11" s="46">
        <v>680</v>
      </c>
      <c r="Z11" s="46">
        <v>371</v>
      </c>
      <c r="AA11" s="46">
        <v>357</v>
      </c>
    </row>
    <row r="12" spans="1:27" ht="28.8">
      <c r="A12" s="47" t="s">
        <v>557</v>
      </c>
      <c r="B12" s="46">
        <v>11420</v>
      </c>
      <c r="C12" s="46">
        <v>10393</v>
      </c>
      <c r="D12" s="46">
        <v>7289</v>
      </c>
      <c r="E12" s="46">
        <v>8377</v>
      </c>
      <c r="F12" s="46">
        <v>11206</v>
      </c>
      <c r="G12" s="46">
        <v>9197</v>
      </c>
      <c r="H12" s="46">
        <v>9312</v>
      </c>
      <c r="I12" s="46">
        <v>9774</v>
      </c>
      <c r="J12" s="46">
        <v>10150</v>
      </c>
      <c r="K12" s="46">
        <v>14097</v>
      </c>
      <c r="L12" s="46">
        <v>12606</v>
      </c>
      <c r="M12" s="46">
        <v>13242</v>
      </c>
      <c r="N12" s="46">
        <v>13077</v>
      </c>
      <c r="O12" s="46">
        <v>15075</v>
      </c>
      <c r="P12" s="46">
        <v>14884</v>
      </c>
      <c r="Q12" s="46">
        <v>16121</v>
      </c>
      <c r="R12" s="46">
        <v>14455</v>
      </c>
      <c r="S12" s="46">
        <v>14504</v>
      </c>
      <c r="T12" s="46">
        <v>14348</v>
      </c>
      <c r="U12" s="130">
        <v>7197</v>
      </c>
      <c r="V12" s="46">
        <v>15078</v>
      </c>
      <c r="W12" s="46">
        <v>14094</v>
      </c>
      <c r="X12" s="46">
        <v>12271</v>
      </c>
      <c r="Y12" s="46">
        <v>12383</v>
      </c>
      <c r="Z12" s="46">
        <v>12453</v>
      </c>
      <c r="AA12" s="46">
        <v>11411</v>
      </c>
    </row>
    <row r="13" spans="1:27">
      <c r="A13" s="47" t="s">
        <v>547</v>
      </c>
      <c r="B13" s="46">
        <v>0</v>
      </c>
      <c r="C13" s="46">
        <v>0</v>
      </c>
      <c r="D13" s="46">
        <v>0</v>
      </c>
      <c r="E13" s="46">
        <v>0</v>
      </c>
      <c r="F13" s="46">
        <v>0</v>
      </c>
      <c r="G13" s="46">
        <v>0</v>
      </c>
      <c r="H13" s="46">
        <v>0</v>
      </c>
      <c r="I13" s="46">
        <v>0</v>
      </c>
      <c r="J13" s="46">
        <v>0</v>
      </c>
      <c r="K13" s="46">
        <v>0</v>
      </c>
      <c r="L13" s="46">
        <v>0</v>
      </c>
      <c r="M13" s="46">
        <v>258</v>
      </c>
      <c r="N13" s="46">
        <v>232</v>
      </c>
      <c r="O13" s="46">
        <v>354</v>
      </c>
      <c r="P13" s="46">
        <v>431</v>
      </c>
      <c r="Q13" s="46">
        <v>841</v>
      </c>
      <c r="R13" s="46">
        <v>857</v>
      </c>
      <c r="S13" s="46">
        <v>994</v>
      </c>
      <c r="T13" s="46">
        <v>946</v>
      </c>
      <c r="U13" s="130">
        <v>582</v>
      </c>
      <c r="V13" s="46">
        <v>1292</v>
      </c>
      <c r="W13" s="46">
        <v>1041</v>
      </c>
      <c r="X13" s="46">
        <v>1006</v>
      </c>
      <c r="Y13" s="46">
        <v>1010</v>
      </c>
      <c r="Z13" s="46">
        <v>754</v>
      </c>
      <c r="AA13" s="46">
        <v>613</v>
      </c>
    </row>
    <row r="14" spans="1:27">
      <c r="A14" s="132" t="s">
        <v>549</v>
      </c>
      <c r="B14" s="133">
        <v>16709</v>
      </c>
      <c r="C14" s="133">
        <v>11910</v>
      </c>
      <c r="D14" s="133">
        <v>11859</v>
      </c>
      <c r="E14" s="133">
        <v>14224</v>
      </c>
      <c r="F14" s="133">
        <v>16477</v>
      </c>
      <c r="G14" s="133">
        <v>15834</v>
      </c>
      <c r="H14" s="133">
        <v>15560</v>
      </c>
      <c r="I14" s="133">
        <v>16371</v>
      </c>
      <c r="J14" s="133">
        <v>17291</v>
      </c>
      <c r="K14" s="133">
        <v>14993</v>
      </c>
      <c r="L14" s="133">
        <v>17239</v>
      </c>
      <c r="M14" s="133">
        <v>20320</v>
      </c>
      <c r="N14" s="134">
        <v>16562</v>
      </c>
      <c r="O14" s="133">
        <v>7827</v>
      </c>
      <c r="P14" s="133">
        <v>8306</v>
      </c>
      <c r="Q14" s="133">
        <v>9091</v>
      </c>
      <c r="R14" s="133">
        <v>7954</v>
      </c>
      <c r="S14" s="133">
        <v>8382</v>
      </c>
      <c r="T14" s="133">
        <v>8889</v>
      </c>
      <c r="U14" s="133">
        <v>5225</v>
      </c>
      <c r="V14" s="133">
        <v>9404</v>
      </c>
      <c r="W14" s="133">
        <v>9057</v>
      </c>
      <c r="X14" s="133">
        <v>8618</v>
      </c>
      <c r="Y14" s="133">
        <v>12048</v>
      </c>
      <c r="Z14" s="133">
        <v>9746</v>
      </c>
      <c r="AA14" s="133">
        <v>9287</v>
      </c>
    </row>
    <row r="15" spans="1:27" ht="28.8">
      <c r="A15" s="47" t="s">
        <v>550</v>
      </c>
      <c r="B15" s="46">
        <v>9021</v>
      </c>
      <c r="C15" s="46">
        <v>4848</v>
      </c>
      <c r="D15" s="46">
        <v>4077</v>
      </c>
      <c r="E15" s="46">
        <v>4654</v>
      </c>
      <c r="F15" s="46">
        <v>5992</v>
      </c>
      <c r="G15" s="46">
        <v>6314</v>
      </c>
      <c r="H15" s="46">
        <v>5111</v>
      </c>
      <c r="I15" s="46">
        <v>5383</v>
      </c>
      <c r="J15" s="46">
        <v>6554</v>
      </c>
      <c r="K15" s="46">
        <v>6495</v>
      </c>
      <c r="L15" s="46">
        <v>7273</v>
      </c>
      <c r="M15" s="46">
        <v>7060</v>
      </c>
      <c r="N15" s="46">
        <v>6896</v>
      </c>
      <c r="O15" s="46">
        <v>19509</v>
      </c>
      <c r="P15" s="46">
        <v>21386</v>
      </c>
      <c r="Q15" s="46">
        <v>24825</v>
      </c>
      <c r="R15" s="46">
        <v>24638</v>
      </c>
      <c r="S15" s="46">
        <v>25325</v>
      </c>
      <c r="T15" s="46">
        <v>29560</v>
      </c>
      <c r="U15" s="130">
        <v>16690</v>
      </c>
      <c r="V15" s="46">
        <v>32038</v>
      </c>
      <c r="W15" s="46">
        <v>30663</v>
      </c>
      <c r="X15" s="46">
        <v>31171</v>
      </c>
      <c r="Y15" s="46">
        <v>38572</v>
      </c>
      <c r="Z15" s="46">
        <v>24643</v>
      </c>
      <c r="AA15" s="46">
        <v>23897</v>
      </c>
    </row>
    <row r="16" spans="1:27" ht="28.8">
      <c r="A16" s="47" t="s">
        <v>551</v>
      </c>
      <c r="B16" s="46">
        <v>10084</v>
      </c>
      <c r="C16" s="46">
        <v>13429</v>
      </c>
      <c r="D16" s="46">
        <v>9949</v>
      </c>
      <c r="E16" s="46">
        <v>11493</v>
      </c>
      <c r="F16" s="46">
        <v>14873</v>
      </c>
      <c r="G16" s="46">
        <v>14764</v>
      </c>
      <c r="H16" s="46">
        <v>12793</v>
      </c>
      <c r="I16" s="46">
        <v>13389</v>
      </c>
      <c r="J16" s="46">
        <v>15949</v>
      </c>
      <c r="K16" s="46">
        <v>17167</v>
      </c>
      <c r="L16" s="46">
        <v>16733</v>
      </c>
      <c r="M16" s="46">
        <v>15942</v>
      </c>
      <c r="N16" s="46">
        <v>15825</v>
      </c>
      <c r="O16" s="46">
        <v>17485</v>
      </c>
      <c r="P16" s="46">
        <v>17801</v>
      </c>
      <c r="Q16" s="46">
        <v>18621</v>
      </c>
      <c r="R16" s="46">
        <v>16937</v>
      </c>
      <c r="S16" s="46">
        <v>17816</v>
      </c>
      <c r="T16" s="46">
        <v>18853</v>
      </c>
      <c r="U16" s="130">
        <v>10129</v>
      </c>
      <c r="V16" s="46">
        <v>18781</v>
      </c>
      <c r="W16" s="46">
        <v>18903</v>
      </c>
      <c r="X16" s="46">
        <v>17759</v>
      </c>
      <c r="Y16" s="46">
        <v>13017</v>
      </c>
      <c r="Z16" s="46">
        <v>11104</v>
      </c>
      <c r="AA16" s="46">
        <v>10551</v>
      </c>
    </row>
    <row r="17" spans="1:27" ht="28.8">
      <c r="A17" s="47" t="s">
        <v>552</v>
      </c>
      <c r="B17" s="46">
        <v>26709</v>
      </c>
      <c r="C17" s="46">
        <v>19411</v>
      </c>
      <c r="D17" s="46">
        <v>13917</v>
      </c>
      <c r="E17" s="46">
        <v>16407</v>
      </c>
      <c r="F17" s="46">
        <v>21258</v>
      </c>
      <c r="G17" s="46">
        <v>19602</v>
      </c>
      <c r="H17" s="46">
        <v>18276</v>
      </c>
      <c r="I17" s="46">
        <v>19102</v>
      </c>
      <c r="J17" s="46">
        <v>21363</v>
      </c>
      <c r="K17" s="46">
        <v>24807</v>
      </c>
      <c r="L17" s="46">
        <v>21698</v>
      </c>
      <c r="M17" s="46">
        <v>25541</v>
      </c>
      <c r="N17" s="46">
        <v>31427</v>
      </c>
      <c r="O17" s="46">
        <v>49716</v>
      </c>
      <c r="P17" s="46">
        <v>48598</v>
      </c>
      <c r="Q17" s="46">
        <v>49065</v>
      </c>
      <c r="R17" s="46">
        <v>48591</v>
      </c>
      <c r="S17" s="46">
        <v>65405</v>
      </c>
      <c r="T17" s="46">
        <v>48787</v>
      </c>
      <c r="U17" s="130">
        <v>26744</v>
      </c>
      <c r="V17" s="46">
        <v>45460</v>
      </c>
      <c r="W17" s="46">
        <v>43183</v>
      </c>
      <c r="X17" s="46">
        <v>38679</v>
      </c>
      <c r="Y17" s="46">
        <v>50034</v>
      </c>
      <c r="Z17" s="46">
        <v>39268</v>
      </c>
      <c r="AA17" s="46">
        <v>36761</v>
      </c>
    </row>
    <row r="18" spans="1:27" ht="28.8">
      <c r="A18" s="47" t="s">
        <v>553</v>
      </c>
      <c r="B18" s="46">
        <v>30066</v>
      </c>
      <c r="C18" s="46">
        <v>34727</v>
      </c>
      <c r="D18" s="46">
        <v>25251</v>
      </c>
      <c r="E18" s="46">
        <v>30847</v>
      </c>
      <c r="F18" s="46">
        <v>39490</v>
      </c>
      <c r="G18" s="46">
        <v>39287</v>
      </c>
      <c r="H18" s="46">
        <v>34799</v>
      </c>
      <c r="I18" s="46">
        <v>36274</v>
      </c>
      <c r="J18" s="46">
        <v>34136</v>
      </c>
      <c r="K18" s="46">
        <v>42857</v>
      </c>
      <c r="L18" s="46">
        <v>37399</v>
      </c>
      <c r="M18" s="46">
        <v>45394</v>
      </c>
      <c r="N18" s="46">
        <v>45901</v>
      </c>
      <c r="O18" s="46">
        <v>50719</v>
      </c>
      <c r="P18" s="46">
        <v>52814</v>
      </c>
      <c r="Q18" s="46">
        <v>55028</v>
      </c>
      <c r="R18" s="46">
        <v>49984</v>
      </c>
      <c r="S18" s="46">
        <v>50640</v>
      </c>
      <c r="T18" s="46">
        <v>51380</v>
      </c>
      <c r="U18" s="130">
        <v>25987</v>
      </c>
      <c r="V18" s="46">
        <v>51086</v>
      </c>
      <c r="W18" s="46">
        <v>53080</v>
      </c>
      <c r="X18" s="46">
        <v>50078</v>
      </c>
      <c r="Y18" s="46">
        <v>52282</v>
      </c>
      <c r="Z18" s="46">
        <v>49739</v>
      </c>
      <c r="AA18" s="46">
        <v>44567</v>
      </c>
    </row>
    <row r="19" spans="1:27">
      <c r="A19" s="47" t="s">
        <v>532</v>
      </c>
      <c r="B19" s="123">
        <f>B3/$K$2</f>
        <v>4.8994065030709466E-2</v>
      </c>
      <c r="C19" s="123">
        <f t="shared" ref="C19:AA19" si="0">C3/$K$2</f>
        <v>2.6194753524769798E-2</v>
      </c>
      <c r="D19" s="123">
        <f t="shared" si="0"/>
        <v>1.9432086456795117E-2</v>
      </c>
      <c r="E19" s="123">
        <f t="shared" si="0"/>
        <v>2.1520142213527216E-2</v>
      </c>
      <c r="F19" s="123">
        <f t="shared" si="0"/>
        <v>2.9928799179826746E-2</v>
      </c>
      <c r="G19" s="123">
        <f t="shared" si="0"/>
        <v>2.7069479585022434E-2</v>
      </c>
      <c r="H19" s="123">
        <f t="shared" si="0"/>
        <v>2.3297811303718056E-2</v>
      </c>
      <c r="I19" s="123">
        <f t="shared" si="0"/>
        <v>2.4906178575795482E-2</v>
      </c>
      <c r="J19" s="123">
        <f t="shared" si="0"/>
        <v>2.976890301827519E-2</v>
      </c>
      <c r="K19" s="123">
        <f t="shared" si="0"/>
        <v>4.006809695350784E-2</v>
      </c>
      <c r="L19" s="123">
        <f t="shared" si="0"/>
        <v>4.0942823013760475E-2</v>
      </c>
      <c r="M19" s="123">
        <f t="shared" si="0"/>
        <v>4.4347670689152456E-2</v>
      </c>
      <c r="N19" s="123">
        <f t="shared" si="0"/>
        <v>2.9994638775759742E-2</v>
      </c>
      <c r="O19" s="123">
        <f t="shared" si="0"/>
        <v>3.0671846048213394E-2</v>
      </c>
      <c r="P19" s="123">
        <f t="shared" si="0"/>
        <v>3.1236185441924774E-2</v>
      </c>
      <c r="Q19" s="123">
        <f t="shared" si="0"/>
        <v>3.6522164429688017E-2</v>
      </c>
      <c r="R19" s="123">
        <f t="shared" si="0"/>
        <v>3.009810099794016E-2</v>
      </c>
      <c r="S19" s="123">
        <f t="shared" si="0"/>
        <v>3.1236185441924774E-2</v>
      </c>
      <c r="T19" s="123">
        <f t="shared" si="0"/>
        <v>3.23930811990331E-2</v>
      </c>
      <c r="U19" s="131">
        <f t="shared" si="0"/>
        <v>2.1313217769166375E-2</v>
      </c>
      <c r="V19" s="123">
        <f t="shared" si="0"/>
        <v>4.091460604407491E-2</v>
      </c>
      <c r="W19" s="123">
        <f t="shared" si="0"/>
        <v>3.2552977360584656E-2</v>
      </c>
      <c r="X19" s="123">
        <f t="shared" si="0"/>
        <v>4.4723896951626707E-2</v>
      </c>
      <c r="Y19" s="123">
        <f t="shared" si="0"/>
        <v>5.7308665431390439E-2</v>
      </c>
      <c r="Z19" s="123">
        <f t="shared" si="0"/>
        <v>3.543110826851268E-2</v>
      </c>
      <c r="AA19" s="123">
        <f t="shared" si="0"/>
        <v>3.3587599582388848E-2</v>
      </c>
    </row>
    <row r="20" spans="1:27">
      <c r="A20" s="47" t="s">
        <v>586</v>
      </c>
      <c r="B20" s="123">
        <f t="shared" ref="B20:AA29" si="1">B4/$K$2</f>
        <v>0.12016666823427609</v>
      </c>
      <c r="C20" s="123">
        <f t="shared" si="1"/>
        <v>9.4714961577892942E-2</v>
      </c>
      <c r="D20" s="123">
        <f t="shared" si="1"/>
        <v>7.2357715930360514E-2</v>
      </c>
      <c r="E20" s="123">
        <f t="shared" si="1"/>
        <v>0.10503296682624931</v>
      </c>
      <c r="F20" s="123">
        <f t="shared" si="1"/>
        <v>0.12408882702057017</v>
      </c>
      <c r="G20" s="123">
        <f t="shared" si="1"/>
        <v>0.16069564235931488</v>
      </c>
      <c r="H20" s="123">
        <f t="shared" si="1"/>
        <v>0.11813504641691513</v>
      </c>
      <c r="I20" s="123">
        <f t="shared" si="1"/>
        <v>0.12342102540467838</v>
      </c>
      <c r="J20" s="123">
        <f t="shared" si="1"/>
        <v>0.12161513934480196</v>
      </c>
      <c r="K20" s="123">
        <f t="shared" si="1"/>
        <v>0.12581006217138987</v>
      </c>
      <c r="L20" s="123">
        <f t="shared" si="1"/>
        <v>0.14063337691287539</v>
      </c>
      <c r="M20" s="123">
        <f t="shared" si="1"/>
        <v>0.1566700213508404</v>
      </c>
      <c r="N20" s="123">
        <f t="shared" si="1"/>
        <v>0.16475888599403682</v>
      </c>
      <c r="O20" s="123">
        <f t="shared" si="1"/>
        <v>0.21855924152785486</v>
      </c>
      <c r="P20" s="123">
        <f t="shared" si="1"/>
        <v>0.21758105324542179</v>
      </c>
      <c r="Q20" s="123">
        <f t="shared" si="1"/>
        <v>0.24305157121492865</v>
      </c>
      <c r="R20" s="123">
        <f t="shared" si="1"/>
        <v>0.23833933727743864</v>
      </c>
      <c r="S20" s="123">
        <f t="shared" si="1"/>
        <v>0.28226375342130755</v>
      </c>
      <c r="T20" s="123">
        <f t="shared" si="1"/>
        <v>0.26588850534711578</v>
      </c>
      <c r="U20" s="131">
        <f t="shared" si="1"/>
        <v>0.15257856074643292</v>
      </c>
      <c r="V20" s="123">
        <f t="shared" si="1"/>
        <v>0.27544465241396177</v>
      </c>
      <c r="W20" s="123">
        <f t="shared" si="1"/>
        <v>0.26265295948983719</v>
      </c>
      <c r="X20" s="123">
        <f t="shared" si="1"/>
        <v>0.24720887141526915</v>
      </c>
      <c r="Y20" s="123">
        <f t="shared" si="1"/>
        <v>0.30360518816015952</v>
      </c>
      <c r="Z20" s="123">
        <f t="shared" si="1"/>
        <v>0.20798728355232837</v>
      </c>
      <c r="AA20" s="123">
        <f t="shared" si="1"/>
        <v>0.19955040961634327</v>
      </c>
    </row>
    <row r="21" spans="1:27">
      <c r="A21" s="47" t="s">
        <v>572</v>
      </c>
      <c r="B21" s="123">
        <f t="shared" si="1"/>
        <v>0.40093492226224853</v>
      </c>
      <c r="C21" s="123">
        <f t="shared" si="1"/>
        <v>0.36791166207357107</v>
      </c>
      <c r="D21" s="123">
        <f t="shared" si="1"/>
        <v>0.2878789303887358</v>
      </c>
      <c r="E21" s="123">
        <f t="shared" si="1"/>
        <v>0.3317563182497954</v>
      </c>
      <c r="F21" s="123">
        <f t="shared" si="1"/>
        <v>0.42702621356483789</v>
      </c>
      <c r="G21" s="123">
        <f t="shared" si="1"/>
        <v>0.39308119903309852</v>
      </c>
      <c r="H21" s="123">
        <f t="shared" si="1"/>
        <v>0.371777386920494</v>
      </c>
      <c r="I21" s="123">
        <f t="shared" si="1"/>
        <v>0.38837837075217035</v>
      </c>
      <c r="J21" s="123">
        <f t="shared" si="1"/>
        <v>0.42107243296118285</v>
      </c>
      <c r="K21" s="123">
        <f t="shared" si="1"/>
        <v>0.47115755415306765</v>
      </c>
      <c r="L21" s="123">
        <f t="shared" si="1"/>
        <v>0.43171963618920417</v>
      </c>
      <c r="M21" s="123">
        <f t="shared" si="1"/>
        <v>0.49533949717360021</v>
      </c>
      <c r="N21" s="123">
        <f t="shared" si="1"/>
        <v>0.4984151468693272</v>
      </c>
      <c r="O21" s="123">
        <f t="shared" si="1"/>
        <v>0.59319594804315312</v>
      </c>
      <c r="P21" s="123">
        <f t="shared" si="1"/>
        <v>0.60745492339092733</v>
      </c>
      <c r="Q21" s="123">
        <f t="shared" si="1"/>
        <v>0.63674413792454787</v>
      </c>
      <c r="R21" s="123">
        <f t="shared" si="1"/>
        <v>0.59776709713221532</v>
      </c>
      <c r="S21" s="123">
        <f t="shared" si="1"/>
        <v>0.63655602479331075</v>
      </c>
      <c r="T21" s="123">
        <f t="shared" si="1"/>
        <v>0.6284389431804287</v>
      </c>
      <c r="U21" s="131">
        <f t="shared" si="1"/>
        <v>0.34781177400088414</v>
      </c>
      <c r="V21" s="123">
        <f t="shared" si="1"/>
        <v>0.6309220365127588</v>
      </c>
      <c r="W21" s="123">
        <f t="shared" si="1"/>
        <v>0.6336967051985064</v>
      </c>
      <c r="X21" s="123">
        <f t="shared" si="1"/>
        <v>0.58633922440955988</v>
      </c>
      <c r="Y21" s="123">
        <f t="shared" si="1"/>
        <v>0.61810212661894859</v>
      </c>
      <c r="Z21" s="123">
        <f t="shared" si="1"/>
        <v>0.53717585756073705</v>
      </c>
      <c r="AA21" s="123">
        <f t="shared" si="1"/>
        <v>0.50006113676765207</v>
      </c>
    </row>
    <row r="22" spans="1:27">
      <c r="A22" s="47" t="s">
        <v>573</v>
      </c>
      <c r="B22" s="123">
        <f t="shared" si="1"/>
        <v>0.16367723548942334</v>
      </c>
      <c r="C22" s="123">
        <f t="shared" si="1"/>
        <v>0.15340625852387627</v>
      </c>
      <c r="D22" s="123">
        <f t="shared" si="1"/>
        <v>0.11482425530714171</v>
      </c>
      <c r="E22" s="123">
        <f t="shared" si="1"/>
        <v>0.13254451226967898</v>
      </c>
      <c r="F22" s="123">
        <f t="shared" si="1"/>
        <v>0.16720435670011946</v>
      </c>
      <c r="G22" s="123">
        <f t="shared" si="1"/>
        <v>0.1513558253933916</v>
      </c>
      <c r="H22" s="123">
        <f t="shared" si="1"/>
        <v>0.14736782701116452</v>
      </c>
      <c r="I22" s="123">
        <f t="shared" si="1"/>
        <v>0.15413989973570105</v>
      </c>
      <c r="J22" s="123">
        <f t="shared" si="1"/>
        <v>0.16474007468091309</v>
      </c>
      <c r="K22" s="123">
        <f t="shared" si="1"/>
        <v>0.18086137002793479</v>
      </c>
      <c r="L22" s="123">
        <f t="shared" si="1"/>
        <v>0.17036465730490316</v>
      </c>
      <c r="M22" s="123">
        <f t="shared" si="1"/>
        <v>0.19349316679050782</v>
      </c>
      <c r="N22" s="123">
        <f t="shared" si="1"/>
        <v>0.19888260800045146</v>
      </c>
      <c r="O22" s="123">
        <f t="shared" si="1"/>
        <v>0.27101458817332746</v>
      </c>
      <c r="P22" s="123">
        <f t="shared" si="1"/>
        <v>0.28320431907749322</v>
      </c>
      <c r="Q22" s="123">
        <f t="shared" si="1"/>
        <v>0.28853732634806573</v>
      </c>
      <c r="R22" s="123">
        <f t="shared" si="1"/>
        <v>0.27149427665798209</v>
      </c>
      <c r="S22" s="123">
        <f t="shared" si="1"/>
        <v>0.32385556673783611</v>
      </c>
      <c r="T22" s="123">
        <f t="shared" si="1"/>
        <v>0.28693836473255013</v>
      </c>
      <c r="U22" s="131">
        <f t="shared" si="1"/>
        <v>0.14339863994206115</v>
      </c>
      <c r="V22" s="123">
        <f t="shared" si="1"/>
        <v>0.27158833322360065</v>
      </c>
      <c r="W22" s="123">
        <f t="shared" si="1"/>
        <v>0.2707418241330336</v>
      </c>
      <c r="X22" s="123">
        <f t="shared" si="1"/>
        <v>0.26220148797486809</v>
      </c>
      <c r="Y22" s="123">
        <f t="shared" si="1"/>
        <v>0.31805227663917079</v>
      </c>
      <c r="Z22" s="123">
        <f t="shared" si="1"/>
        <v>0.25130973767623849</v>
      </c>
      <c r="AA22" s="123">
        <f t="shared" si="1"/>
        <v>0.22515260677771612</v>
      </c>
    </row>
    <row r="23" spans="1:27">
      <c r="A23" s="47" t="s">
        <v>574</v>
      </c>
      <c r="B23" s="123">
        <f t="shared" si="1"/>
        <v>0.14779108155644805</v>
      </c>
      <c r="C23" s="123">
        <f t="shared" si="1"/>
        <v>0.14291895145740649</v>
      </c>
      <c r="D23" s="123">
        <f t="shared" si="1"/>
        <v>0.10751606015857937</v>
      </c>
      <c r="E23" s="123">
        <f t="shared" si="1"/>
        <v>0.12253689368786388</v>
      </c>
      <c r="F23" s="123">
        <f t="shared" si="1"/>
        <v>0.15972685973344369</v>
      </c>
      <c r="G23" s="123">
        <f t="shared" si="1"/>
        <v>0.15202362700928337</v>
      </c>
      <c r="H23" s="123">
        <f t="shared" si="1"/>
        <v>0.13618450135911736</v>
      </c>
      <c r="I23" s="123">
        <f t="shared" si="1"/>
        <v>0.14306003630583433</v>
      </c>
      <c r="J23" s="123">
        <f t="shared" si="1"/>
        <v>0.15241866458488135</v>
      </c>
      <c r="K23" s="123">
        <f t="shared" si="1"/>
        <v>0.1775693902312851</v>
      </c>
      <c r="L23" s="123">
        <f t="shared" si="1"/>
        <v>0.16302824518665526</v>
      </c>
      <c r="M23" s="123">
        <f t="shared" si="1"/>
        <v>0.18494342497578042</v>
      </c>
      <c r="N23" s="123">
        <f t="shared" si="1"/>
        <v>0.1945748172951213</v>
      </c>
      <c r="O23" s="123">
        <f t="shared" si="1"/>
        <v>0.23782202616653655</v>
      </c>
      <c r="P23" s="123">
        <f t="shared" si="1"/>
        <v>0.24262831666964513</v>
      </c>
      <c r="Q23" s="123">
        <f t="shared" si="1"/>
        <v>0.25075480393908894</v>
      </c>
      <c r="R23" s="123">
        <f t="shared" si="1"/>
        <v>0.22994008596770096</v>
      </c>
      <c r="S23" s="123">
        <f t="shared" si="1"/>
        <v>0.27531297322209575</v>
      </c>
      <c r="T23" s="123">
        <f t="shared" si="1"/>
        <v>0.24088827020570172</v>
      </c>
      <c r="U23" s="131">
        <f t="shared" si="1"/>
        <v>0.12313885570782268</v>
      </c>
      <c r="V23" s="123">
        <f t="shared" si="1"/>
        <v>0.23316622616841767</v>
      </c>
      <c r="W23" s="123">
        <f t="shared" si="1"/>
        <v>0.23092767990669588</v>
      </c>
      <c r="X23" s="123">
        <f t="shared" si="1"/>
        <v>0.22385462617217994</v>
      </c>
      <c r="Y23" s="123">
        <f t="shared" si="1"/>
        <v>0.26045203585436283</v>
      </c>
      <c r="Z23" s="123">
        <f t="shared" si="1"/>
        <v>0.21787262859883935</v>
      </c>
      <c r="AA23" s="123">
        <f t="shared" si="1"/>
        <v>0.20140332395902896</v>
      </c>
    </row>
    <row r="24" spans="1:27" ht="28.8">
      <c r="A24" s="47" t="s">
        <v>575</v>
      </c>
      <c r="B24" s="123">
        <f t="shared" si="1"/>
        <v>2.2291406051599433E-2</v>
      </c>
      <c r="C24" s="123">
        <f t="shared" si="1"/>
        <v>2.4642820192063507E-2</v>
      </c>
      <c r="D24" s="123">
        <f t="shared" si="1"/>
        <v>1.8322218982496072E-2</v>
      </c>
      <c r="E24" s="123">
        <f t="shared" si="1"/>
        <v>2.4689848474872787E-2</v>
      </c>
      <c r="F24" s="123">
        <f t="shared" si="1"/>
        <v>2.9703063422342198E-2</v>
      </c>
      <c r="G24" s="123">
        <f t="shared" si="1"/>
        <v>3.1038666654125791E-2</v>
      </c>
      <c r="H24" s="123">
        <f t="shared" si="1"/>
        <v>2.690017776690902E-2</v>
      </c>
      <c r="I24" s="123">
        <f t="shared" si="1"/>
        <v>2.8104101806826626E-2</v>
      </c>
      <c r="J24" s="123">
        <f t="shared" si="1"/>
        <v>2.2752283223130391E-2</v>
      </c>
      <c r="K24" s="123">
        <f t="shared" si="1"/>
        <v>1.4211947064964869E-2</v>
      </c>
      <c r="L24" s="123">
        <f t="shared" si="1"/>
        <v>3.4612816147631183E-2</v>
      </c>
      <c r="M24" s="123">
        <f t="shared" si="1"/>
        <v>3.2299024633414539E-2</v>
      </c>
      <c r="N24" s="123">
        <f t="shared" si="1"/>
        <v>3.0700063017898963E-2</v>
      </c>
      <c r="O24" s="123">
        <f t="shared" si="1"/>
        <v>3.2806930087754774E-2</v>
      </c>
      <c r="P24" s="123">
        <f t="shared" si="1"/>
        <v>3.4443514329517769E-2</v>
      </c>
      <c r="Q24" s="123">
        <f t="shared" si="1"/>
        <v>3.6823145439667415E-2</v>
      </c>
      <c r="R24" s="123">
        <f t="shared" si="1"/>
        <v>3.23930811990331E-2</v>
      </c>
      <c r="S24" s="123">
        <f t="shared" si="1"/>
        <v>3.53840799857034E-2</v>
      </c>
      <c r="T24" s="123">
        <f t="shared" si="1"/>
        <v>3.4255401198280647E-2</v>
      </c>
      <c r="U24" s="131">
        <f t="shared" si="1"/>
        <v>1.7682634336289846E-2</v>
      </c>
      <c r="V24" s="123">
        <f t="shared" si="1"/>
        <v>3.5929608066291065E-2</v>
      </c>
      <c r="W24" s="123">
        <f t="shared" si="1"/>
        <v>3.4942014127296153E-2</v>
      </c>
      <c r="X24" s="123">
        <f t="shared" si="1"/>
        <v>3.3691061804569267E-2</v>
      </c>
      <c r="Y24" s="123">
        <f t="shared" si="1"/>
        <v>3.9240399176064485E-2</v>
      </c>
      <c r="Z24" s="123">
        <f t="shared" si="1"/>
        <v>3.2139128471862975E-2</v>
      </c>
      <c r="AA24" s="123">
        <f t="shared" si="1"/>
        <v>3.2308430289976389E-2</v>
      </c>
    </row>
    <row r="25" spans="1:27">
      <c r="A25" s="47" t="s">
        <v>576</v>
      </c>
      <c r="B25" s="123">
        <f t="shared" si="1"/>
        <v>0.7276780255645745</v>
      </c>
      <c r="C25" s="123">
        <f t="shared" si="1"/>
        <v>0.67011540740601394</v>
      </c>
      <c r="D25" s="123">
        <f t="shared" si="1"/>
        <v>0.51978479857786475</v>
      </c>
      <c r="E25" s="123">
        <f t="shared" si="1"/>
        <v>0.62371730358637689</v>
      </c>
      <c r="F25" s="123">
        <f t="shared" si="1"/>
        <v>0.78377336129948549</v>
      </c>
      <c r="G25" s="123">
        <f t="shared" si="1"/>
        <v>0.78872073665102194</v>
      </c>
      <c r="H25" s="123">
        <f t="shared" si="1"/>
        <v>0.6968556890113714</v>
      </c>
      <c r="I25" s="123">
        <f t="shared" si="1"/>
        <v>0.72842107243296117</v>
      </c>
      <c r="J25" s="123">
        <f t="shared" si="1"/>
        <v>0.77026683847665989</v>
      </c>
      <c r="K25" s="123">
        <f t="shared" si="1"/>
        <v>0.82942841825073599</v>
      </c>
      <c r="L25" s="123">
        <f t="shared" si="1"/>
        <v>0.78273873907768132</v>
      </c>
      <c r="M25" s="123">
        <f t="shared" si="1"/>
        <v>0.91489761942832415</v>
      </c>
      <c r="N25" s="123">
        <f t="shared" si="1"/>
        <v>0.9450521543656355</v>
      </c>
      <c r="O25" s="123">
        <f t="shared" si="1"/>
        <v>1.1869280185103321</v>
      </c>
      <c r="P25" s="123">
        <f t="shared" si="1"/>
        <v>1.2175998645585455</v>
      </c>
      <c r="Q25" s="123">
        <f t="shared" si="1"/>
        <v>1.273074426960374</v>
      </c>
      <c r="R25" s="123">
        <f t="shared" si="1"/>
        <v>1.2087961700166481</v>
      </c>
      <c r="S25" s="123">
        <f t="shared" si="1"/>
        <v>1.3881526349946858</v>
      </c>
      <c r="T25" s="123">
        <f t="shared" si="1"/>
        <v>1.2961935307894168</v>
      </c>
      <c r="U25" s="131">
        <f t="shared" si="1"/>
        <v>0.70354311082685128</v>
      </c>
      <c r="V25" s="123">
        <f t="shared" si="1"/>
        <v>1.279940556250529</v>
      </c>
      <c r="W25" s="123">
        <f t="shared" si="1"/>
        <v>1.2737516342328277</v>
      </c>
      <c r="X25" s="123">
        <f t="shared" si="1"/>
        <v>1.2117589518336327</v>
      </c>
      <c r="Y25" s="123">
        <f t="shared" si="1"/>
        <v>1.3938806798408563</v>
      </c>
      <c r="Z25" s="123">
        <f t="shared" si="1"/>
        <v>1.1079205033907391</v>
      </c>
      <c r="AA25" s="123">
        <f t="shared" si="1"/>
        <v>1.0294302993820483</v>
      </c>
    </row>
    <row r="26" spans="1:27">
      <c r="A26" s="47" t="s">
        <v>577</v>
      </c>
      <c r="B26" s="123">
        <f t="shared" si="1"/>
        <v>1.8792501810588887E-2</v>
      </c>
      <c r="C26" s="123">
        <f t="shared" si="1"/>
        <v>1.5171324034274212E-2</v>
      </c>
      <c r="D26" s="123">
        <f t="shared" si="1"/>
        <v>1.2189730904165766E-2</v>
      </c>
      <c r="E26" s="123">
        <f t="shared" si="1"/>
        <v>1.3506522822825648E-2</v>
      </c>
      <c r="F26" s="123">
        <f t="shared" si="1"/>
        <v>1.7842530497841402E-2</v>
      </c>
      <c r="G26" s="123">
        <f t="shared" si="1"/>
        <v>1.4663418579933972E-2</v>
      </c>
      <c r="H26" s="123">
        <f t="shared" si="1"/>
        <v>1.5321814539263913E-2</v>
      </c>
      <c r="I26" s="123">
        <f t="shared" si="1"/>
        <v>1.6111889690459843E-2</v>
      </c>
      <c r="J26" s="123">
        <f t="shared" si="1"/>
        <v>1.5951993528908286E-2</v>
      </c>
      <c r="K26" s="123">
        <f t="shared" si="1"/>
        <v>2.3053264233109792E-2</v>
      </c>
      <c r="L26" s="123">
        <f t="shared" si="1"/>
        <v>2.0861746254197275E-2</v>
      </c>
      <c r="M26" s="123">
        <f t="shared" si="1"/>
        <v>1.906526585088272E-2</v>
      </c>
      <c r="N26" s="123">
        <f t="shared" si="1"/>
        <v>1.7945992720021821E-2</v>
      </c>
      <c r="O26" s="123">
        <f t="shared" si="1"/>
        <v>2.2347839990970571E-2</v>
      </c>
      <c r="P26" s="123">
        <f t="shared" si="1"/>
        <v>2.5009640797975904E-2</v>
      </c>
      <c r="Q26" s="123">
        <f t="shared" si="1"/>
        <v>2.4238376959903687E-2</v>
      </c>
      <c r="R26" s="123">
        <f t="shared" si="1"/>
        <v>2.2987424637176797E-2</v>
      </c>
      <c r="S26" s="123">
        <f t="shared" si="1"/>
        <v>2.5762093322924406E-2</v>
      </c>
      <c r="T26" s="123">
        <f t="shared" si="1"/>
        <v>2.2488924839398416E-2</v>
      </c>
      <c r="U26" s="131">
        <f t="shared" si="1"/>
        <v>1.1832315954815226E-2</v>
      </c>
      <c r="V26" s="123">
        <f t="shared" si="1"/>
        <v>2.242308524346542E-2</v>
      </c>
      <c r="W26" s="123">
        <f t="shared" si="1"/>
        <v>2.290277372812009E-2</v>
      </c>
      <c r="X26" s="123">
        <f t="shared" si="1"/>
        <v>2.2573575748455119E-2</v>
      </c>
      <c r="Y26" s="123">
        <f t="shared" si="1"/>
        <v>2.3072075546233504E-2</v>
      </c>
      <c r="Z26" s="123">
        <f t="shared" si="1"/>
        <v>1.8322218982496072E-2</v>
      </c>
      <c r="AA26" s="123">
        <f t="shared" si="1"/>
        <v>1.86608226187229E-2</v>
      </c>
    </row>
    <row r="27" spans="1:27">
      <c r="A27" s="47" t="s">
        <v>578</v>
      </c>
      <c r="B27" s="123">
        <f t="shared" si="1"/>
        <v>1.1474901005464686E-3</v>
      </c>
      <c r="C27" s="123">
        <f t="shared" si="1"/>
        <v>8.4650909056706704E-4</v>
      </c>
      <c r="D27" s="123">
        <f t="shared" si="1"/>
        <v>5.9255636339694692E-4</v>
      </c>
      <c r="E27" s="123">
        <f t="shared" si="1"/>
        <v>7.7126383807221666E-4</v>
      </c>
      <c r="F27" s="123">
        <f t="shared" si="1"/>
        <v>9.3115999962377371E-4</v>
      </c>
      <c r="G27" s="123">
        <f t="shared" si="1"/>
        <v>7.6185818151036037E-4</v>
      </c>
      <c r="H27" s="123">
        <f t="shared" si="1"/>
        <v>8.1829212088149815E-4</v>
      </c>
      <c r="I27" s="123">
        <f t="shared" si="1"/>
        <v>8.6532040369077963E-4</v>
      </c>
      <c r="J27" s="123">
        <f t="shared" si="1"/>
        <v>1.316791918659882E-3</v>
      </c>
      <c r="K27" s="123">
        <f t="shared" si="1"/>
        <v>1.0910561611753309E-3</v>
      </c>
      <c r="L27" s="123">
        <f t="shared" si="1"/>
        <v>1.410848484278445E-3</v>
      </c>
      <c r="M27" s="123">
        <f t="shared" si="1"/>
        <v>2.003404847675392E-3</v>
      </c>
      <c r="N27" s="123">
        <f t="shared" si="1"/>
        <v>1.7494521205052719E-3</v>
      </c>
      <c r="O27" s="123">
        <f t="shared" si="1"/>
        <v>2.5959612110723388E-3</v>
      </c>
      <c r="P27" s="123">
        <f t="shared" si="1"/>
        <v>2.8687252513661717E-3</v>
      </c>
      <c r="Q27" s="123">
        <f t="shared" si="1"/>
        <v>2.6241781807579078E-3</v>
      </c>
      <c r="R27" s="123">
        <f t="shared" si="1"/>
        <v>2.5113103020156322E-3</v>
      </c>
      <c r="S27" s="123">
        <f t="shared" si="1"/>
        <v>3.4706872713249747E-3</v>
      </c>
      <c r="T27" s="123">
        <f t="shared" si="1"/>
        <v>3.291979796649705E-3</v>
      </c>
      <c r="U27" s="131">
        <f t="shared" si="1"/>
        <v>1.8435086861238348E-3</v>
      </c>
      <c r="V27" s="123">
        <f t="shared" si="1"/>
        <v>3.376630705706412E-3</v>
      </c>
      <c r="W27" s="123">
        <f t="shared" si="1"/>
        <v>3.9879983822270716E-3</v>
      </c>
      <c r="X27" s="123">
        <f t="shared" si="1"/>
        <v>4.0726492912837777E-3</v>
      </c>
      <c r="Y27" s="123">
        <f t="shared" si="1"/>
        <v>6.3958464620622844E-3</v>
      </c>
      <c r="Z27" s="123">
        <f t="shared" si="1"/>
        <v>3.4894985844486875E-3</v>
      </c>
      <c r="AA27" s="123">
        <f t="shared" si="1"/>
        <v>3.3578193925826992E-3</v>
      </c>
    </row>
    <row r="28" spans="1:27">
      <c r="A28" s="47" t="s">
        <v>579</v>
      </c>
      <c r="B28" s="123">
        <f t="shared" si="1"/>
        <v>0.10741259793639896</v>
      </c>
      <c r="C28" s="123">
        <f t="shared" si="1"/>
        <v>9.775298864737253E-2</v>
      </c>
      <c r="D28" s="123">
        <f t="shared" si="1"/>
        <v>6.8557830679370574E-2</v>
      </c>
      <c r="E28" s="123">
        <f t="shared" si="1"/>
        <v>7.8791185018670232E-2</v>
      </c>
      <c r="F28" s="123">
        <f t="shared" si="1"/>
        <v>0.1053997874321617</v>
      </c>
      <c r="G28" s="123">
        <f t="shared" si="1"/>
        <v>8.6503823399392388E-2</v>
      </c>
      <c r="H28" s="123">
        <f t="shared" si="1"/>
        <v>8.7585473904005867E-2</v>
      </c>
      <c r="I28" s="123">
        <f t="shared" si="1"/>
        <v>9.1930887235583486E-2</v>
      </c>
      <c r="J28" s="123">
        <f t="shared" si="1"/>
        <v>9.5467414102841444E-2</v>
      </c>
      <c r="K28" s="123">
        <f t="shared" si="1"/>
        <v>0.13259154055248826</v>
      </c>
      <c r="L28" s="123">
        <f t="shared" si="1"/>
        <v>0.11856770661876052</v>
      </c>
      <c r="M28" s="123">
        <f t="shared" si="1"/>
        <v>0.12454970419210112</v>
      </c>
      <c r="N28" s="123">
        <f t="shared" si="1"/>
        <v>0.12299777085939484</v>
      </c>
      <c r="O28" s="123">
        <f t="shared" si="1"/>
        <v>0.14179027266998373</v>
      </c>
      <c r="P28" s="123">
        <f t="shared" si="1"/>
        <v>0.13999379226666916</v>
      </c>
      <c r="Q28" s="123">
        <f t="shared" si="1"/>
        <v>0.15162858943368543</v>
      </c>
      <c r="R28" s="123">
        <f t="shared" si="1"/>
        <v>0.13595876560163281</v>
      </c>
      <c r="S28" s="123">
        <f t="shared" si="1"/>
        <v>0.13641964277316379</v>
      </c>
      <c r="T28" s="123">
        <f t="shared" si="1"/>
        <v>0.13495236034951419</v>
      </c>
      <c r="U28" s="131">
        <f t="shared" si="1"/>
        <v>6.7692510275679796E-2</v>
      </c>
      <c r="V28" s="123">
        <f t="shared" si="1"/>
        <v>0.14181848963966931</v>
      </c>
      <c r="W28" s="123">
        <f t="shared" si="1"/>
        <v>0.13256332358280271</v>
      </c>
      <c r="X28" s="123">
        <f t="shared" si="1"/>
        <v>0.11541681167053866</v>
      </c>
      <c r="Y28" s="123">
        <f t="shared" si="1"/>
        <v>0.11647024520546657</v>
      </c>
      <c r="Z28" s="123">
        <f t="shared" si="1"/>
        <v>0.11712864116479652</v>
      </c>
      <c r="AA28" s="123">
        <f t="shared" si="1"/>
        <v>0.10732794702734225</v>
      </c>
    </row>
    <row r="29" spans="1:27">
      <c r="A29" s="47" t="s">
        <v>580</v>
      </c>
      <c r="B29" s="123">
        <f t="shared" si="1"/>
        <v>0</v>
      </c>
      <c r="C29" s="123">
        <f t="shared" si="1"/>
        <v>0</v>
      </c>
      <c r="D29" s="123">
        <f t="shared" si="1"/>
        <v>0</v>
      </c>
      <c r="E29" s="123">
        <f t="shared" si="1"/>
        <v>0</v>
      </c>
      <c r="F29" s="123">
        <f t="shared" si="1"/>
        <v>0</v>
      </c>
      <c r="G29" s="123">
        <f t="shared" si="1"/>
        <v>0</v>
      </c>
      <c r="H29" s="123">
        <f t="shared" si="1"/>
        <v>0</v>
      </c>
      <c r="I29" s="123">
        <f t="shared" si="1"/>
        <v>0</v>
      </c>
      <c r="J29" s="123">
        <f t="shared" si="1"/>
        <v>0</v>
      </c>
      <c r="K29" s="123">
        <f t="shared" si="1"/>
        <v>0</v>
      </c>
      <c r="L29" s="123">
        <f t="shared" si="1"/>
        <v>0</v>
      </c>
      <c r="M29" s="123">
        <f t="shared" si="1"/>
        <v>2.4266593929589257E-3</v>
      </c>
      <c r="N29" s="123">
        <f t="shared" si="1"/>
        <v>2.1821123223506617E-3</v>
      </c>
      <c r="O29" s="123">
        <f t="shared" si="1"/>
        <v>3.3296024228971302E-3</v>
      </c>
      <c r="P29" s="123">
        <f t="shared" si="1"/>
        <v>4.0538379781600653E-3</v>
      </c>
      <c r="Q29" s="123">
        <f t="shared" si="1"/>
        <v>7.9101571685211494E-3</v>
      </c>
      <c r="R29" s="123">
        <f t="shared" si="1"/>
        <v>8.0606476735108502E-3</v>
      </c>
      <c r="S29" s="123">
        <f t="shared" si="1"/>
        <v>9.3492226224851632E-3</v>
      </c>
      <c r="T29" s="123">
        <f t="shared" si="1"/>
        <v>8.8977511075160609E-3</v>
      </c>
      <c r="U29" s="131">
        <f t="shared" si="1"/>
        <v>5.4740921190003667E-3</v>
      </c>
      <c r="V29" s="123">
        <f t="shared" si="1"/>
        <v>1.2152108277918339E-2</v>
      </c>
      <c r="W29" s="123">
        <f t="shared" ref="W29:AA29" si="2">W13/$K$2</f>
        <v>9.7912884808924079E-3</v>
      </c>
      <c r="X29" s="123">
        <f t="shared" si="2"/>
        <v>9.4620905012274374E-3</v>
      </c>
      <c r="Y29" s="123">
        <f t="shared" si="2"/>
        <v>9.4997131274748639E-3</v>
      </c>
      <c r="Z29" s="123">
        <f t="shared" si="2"/>
        <v>7.0918650476396502E-3</v>
      </c>
      <c r="AA29" s="123">
        <f t="shared" si="2"/>
        <v>5.7656674724179124E-3</v>
      </c>
    </row>
    <row r="30" spans="1:27">
      <c r="A30" s="47" t="s">
        <v>581</v>
      </c>
      <c r="B30" s="123">
        <f t="shared" ref="B30:AA34" si="3">B14/$K$2</f>
        <v>0.15715911549205691</v>
      </c>
      <c r="C30" s="123">
        <f t="shared" si="3"/>
        <v>0.11202136965170854</v>
      </c>
      <c r="D30" s="123">
        <f t="shared" si="3"/>
        <v>0.11154168116705386</v>
      </c>
      <c r="E30" s="123">
        <f t="shared" si="3"/>
        <v>0.13378605893584403</v>
      </c>
      <c r="F30" s="123">
        <f t="shared" si="3"/>
        <v>0.15497700316970625</v>
      </c>
      <c r="G30" s="123">
        <f t="shared" si="3"/>
        <v>0.14892916600043266</v>
      </c>
      <c r="H30" s="123">
        <f t="shared" si="3"/>
        <v>0.14635201610248402</v>
      </c>
      <c r="I30" s="123">
        <f t="shared" si="3"/>
        <v>0.15398000357414948</v>
      </c>
      <c r="J30" s="123">
        <f t="shared" si="3"/>
        <v>0.16263320761105729</v>
      </c>
      <c r="K30" s="123">
        <f t="shared" si="3"/>
        <v>0.14101900883191151</v>
      </c>
      <c r="L30" s="123">
        <f t="shared" si="3"/>
        <v>0.16214411346984076</v>
      </c>
      <c r="M30" s="123">
        <f t="shared" si="3"/>
        <v>0.19112294133692001</v>
      </c>
      <c r="N30" s="123">
        <f t="shared" si="3"/>
        <v>0.15577648397746405</v>
      </c>
      <c r="O30" s="123">
        <f t="shared" si="3"/>
        <v>7.3618073909649265E-2</v>
      </c>
      <c r="P30" s="123">
        <f t="shared" si="3"/>
        <v>7.8123383402778426E-2</v>
      </c>
      <c r="Q30" s="123">
        <f t="shared" si="3"/>
        <v>8.5506823803835633E-2</v>
      </c>
      <c r="R30" s="123">
        <f t="shared" si="3"/>
        <v>7.4812592293005006E-2</v>
      </c>
      <c r="S30" s="123">
        <f t="shared" si="3"/>
        <v>7.8838213301479512E-2</v>
      </c>
      <c r="T30" s="123">
        <f t="shared" si="3"/>
        <v>8.3606881178340656E-2</v>
      </c>
      <c r="U30" s="131">
        <f t="shared" si="3"/>
        <v>4.9144555535699172E-2</v>
      </c>
      <c r="V30" s="123">
        <f t="shared" si="3"/>
        <v>8.8450794307696645E-2</v>
      </c>
      <c r="W30" s="123">
        <f t="shared" si="3"/>
        <v>8.5187031480732506E-2</v>
      </c>
      <c r="X30" s="123">
        <f t="shared" si="3"/>
        <v>8.1057948250077602E-2</v>
      </c>
      <c r="Y30" s="123">
        <f t="shared" si="3"/>
        <v>0.11331935025724471</v>
      </c>
      <c r="Z30" s="123">
        <f t="shared" si="3"/>
        <v>9.1667528851851504E-2</v>
      </c>
      <c r="AA30" s="123">
        <f t="shared" si="3"/>
        <v>8.7350332489959465E-2</v>
      </c>
    </row>
    <row r="31" spans="1:27" ht="28.8">
      <c r="A31" s="47" t="s">
        <v>582</v>
      </c>
      <c r="B31" s="123">
        <f t="shared" si="3"/>
        <v>8.4848427844505692E-2</v>
      </c>
      <c r="C31" s="123">
        <f t="shared" si="3"/>
        <v>4.5598623011879343E-2</v>
      </c>
      <c r="D31" s="123">
        <f t="shared" si="3"/>
        <v>3.8346861802688134E-2</v>
      </c>
      <c r="E31" s="123">
        <f t="shared" si="3"/>
        <v>4.3773925638879219E-2</v>
      </c>
      <c r="F31" s="123">
        <f t="shared" si="3"/>
        <v>5.635869411864295E-2</v>
      </c>
      <c r="G31" s="123">
        <f t="shared" si="3"/>
        <v>5.938731553156068E-2</v>
      </c>
      <c r="H31" s="123">
        <f t="shared" si="3"/>
        <v>4.807231068764755E-2</v>
      </c>
      <c r="I31" s="123">
        <f t="shared" si="3"/>
        <v>5.0630649272472468E-2</v>
      </c>
      <c r="J31" s="123">
        <f t="shared" si="3"/>
        <v>6.1644673106406193E-2</v>
      </c>
      <c r="K31" s="123">
        <f t="shared" si="3"/>
        <v>6.1089739369256671E-2</v>
      </c>
      <c r="L31" s="123">
        <f t="shared" si="3"/>
        <v>6.8407340174380868E-2</v>
      </c>
      <c r="M31" s="123">
        <f t="shared" si="3"/>
        <v>6.6403935326705479E-2</v>
      </c>
      <c r="N31" s="123">
        <f t="shared" si="3"/>
        <v>6.4861407650561045E-2</v>
      </c>
      <c r="O31" s="123">
        <f t="shared" si="3"/>
        <v>0.18349495386525455</v>
      </c>
      <c r="P31" s="123">
        <f t="shared" si="3"/>
        <v>0.20114937123185883</v>
      </c>
      <c r="Q31" s="123">
        <f t="shared" si="3"/>
        <v>0.23349542414808266</v>
      </c>
      <c r="R31" s="123">
        <f t="shared" si="3"/>
        <v>0.23173656637101553</v>
      </c>
      <c r="S31" s="123">
        <f t="shared" si="3"/>
        <v>0.2381982524290108</v>
      </c>
      <c r="T31" s="123">
        <f t="shared" si="3"/>
        <v>0.27803120796847225</v>
      </c>
      <c r="U31" s="131">
        <f t="shared" si="3"/>
        <v>0.15698040801738164</v>
      </c>
      <c r="V31" s="123">
        <f t="shared" si="3"/>
        <v>0.30133842492875212</v>
      </c>
      <c r="W31" s="123">
        <f t="shared" si="3"/>
        <v>0.28840564715619976</v>
      </c>
      <c r="X31" s="123">
        <f t="shared" si="3"/>
        <v>0.29318372068962273</v>
      </c>
      <c r="Y31" s="123">
        <f t="shared" si="3"/>
        <v>0.3627949849039212</v>
      </c>
      <c r="Z31" s="123">
        <f t="shared" si="3"/>
        <v>0.23178359465382481</v>
      </c>
      <c r="AA31" s="123">
        <f t="shared" si="3"/>
        <v>0.22476697485868</v>
      </c>
    </row>
    <row r="32" spans="1:27" ht="28.8">
      <c r="A32" s="47" t="s">
        <v>583</v>
      </c>
      <c r="B32" s="123">
        <f t="shared" si="3"/>
        <v>9.4846640769758933E-2</v>
      </c>
      <c r="C32" s="123">
        <f t="shared" si="3"/>
        <v>0.12630856196916826</v>
      </c>
      <c r="D32" s="123">
        <f t="shared" si="3"/>
        <v>9.3576877133908332E-2</v>
      </c>
      <c r="E32" s="123">
        <f t="shared" si="3"/>
        <v>0.10809921086541446</v>
      </c>
      <c r="F32" s="123">
        <f t="shared" si="3"/>
        <v>0.13989033004448875</v>
      </c>
      <c r="G32" s="123">
        <f t="shared" si="3"/>
        <v>0.13886511347924643</v>
      </c>
      <c r="H32" s="123">
        <f t="shared" si="3"/>
        <v>0.12032656439582765</v>
      </c>
      <c r="I32" s="123">
        <f t="shared" si="3"/>
        <v>0.12593233570669402</v>
      </c>
      <c r="J32" s="123">
        <f t="shared" si="3"/>
        <v>0.15001081650504614</v>
      </c>
      <c r="K32" s="123">
        <f t="shared" si="3"/>
        <v>0.1614669061973871</v>
      </c>
      <c r="L32" s="123">
        <f t="shared" si="3"/>
        <v>0.15738485124954146</v>
      </c>
      <c r="M32" s="123">
        <f t="shared" si="3"/>
        <v>0.14994497690911315</v>
      </c>
      <c r="N32" s="123">
        <f t="shared" si="3"/>
        <v>0.14884451509137595</v>
      </c>
      <c r="O32" s="123">
        <f t="shared" si="3"/>
        <v>0.16445790498405741</v>
      </c>
      <c r="P32" s="123">
        <f t="shared" si="3"/>
        <v>0.16743009245760401</v>
      </c>
      <c r="Q32" s="123">
        <f t="shared" si="3"/>
        <v>0.17514273083832618</v>
      </c>
      <c r="R32" s="123">
        <f t="shared" si="3"/>
        <v>0.15930360518816017</v>
      </c>
      <c r="S32" s="123">
        <f t="shared" si="3"/>
        <v>0.16757117730603185</v>
      </c>
      <c r="T32" s="123">
        <f t="shared" si="3"/>
        <v>0.17732484316067684</v>
      </c>
      <c r="U32" s="131">
        <f t="shared" si="3"/>
        <v>9.5269895315042472E-2</v>
      </c>
      <c r="V32" s="123">
        <f t="shared" si="3"/>
        <v>0.17664763588822319</v>
      </c>
      <c r="W32" s="123">
        <f t="shared" si="3"/>
        <v>0.17779512598876965</v>
      </c>
      <c r="X32" s="123">
        <f t="shared" si="3"/>
        <v>0.16703505488200604</v>
      </c>
      <c r="Y32" s="123">
        <f t="shared" si="3"/>
        <v>0.12243343146568346</v>
      </c>
      <c r="Z32" s="123">
        <f t="shared" si="3"/>
        <v>0.10444041046285236</v>
      </c>
      <c r="AA32" s="123">
        <f t="shared" si="3"/>
        <v>9.9239082384145819E-2</v>
      </c>
    </row>
    <row r="33" spans="1:27">
      <c r="A33" s="47" t="s">
        <v>584</v>
      </c>
      <c r="B33" s="123">
        <f t="shared" si="3"/>
        <v>0.25121568111061993</v>
      </c>
      <c r="C33" s="123">
        <f t="shared" si="3"/>
        <v>0.18257319952219264</v>
      </c>
      <c r="D33" s="123">
        <f t="shared" si="3"/>
        <v>0.13089852237135413</v>
      </c>
      <c r="E33" s="123">
        <f t="shared" si="3"/>
        <v>0.15431860721037632</v>
      </c>
      <c r="F33" s="123">
        <f t="shared" si="3"/>
        <v>0.19994544719194124</v>
      </c>
      <c r="G33" s="123">
        <f t="shared" si="3"/>
        <v>0.18436967992550721</v>
      </c>
      <c r="H33" s="123">
        <f t="shared" si="3"/>
        <v>0.17189777932448574</v>
      </c>
      <c r="I33" s="123">
        <f t="shared" si="3"/>
        <v>0.17966685164457905</v>
      </c>
      <c r="J33" s="123">
        <f t="shared" si="3"/>
        <v>0.20093304113093616</v>
      </c>
      <c r="K33" s="123">
        <f t="shared" si="3"/>
        <v>0.23332612232996924</v>
      </c>
      <c r="L33" s="123">
        <f t="shared" si="3"/>
        <v>0.20408393607915801</v>
      </c>
      <c r="M33" s="123">
        <f t="shared" si="3"/>
        <v>0.24022987424637177</v>
      </c>
      <c r="N33" s="123">
        <f t="shared" si="3"/>
        <v>0.29559156876945797</v>
      </c>
      <c r="O33" s="123">
        <f t="shared" si="3"/>
        <v>0.46761162162924785</v>
      </c>
      <c r="P33" s="123">
        <f t="shared" si="3"/>
        <v>0.4570960975930925</v>
      </c>
      <c r="Q33" s="123">
        <f t="shared" si="3"/>
        <v>0.4614885392074794</v>
      </c>
      <c r="R33" s="123">
        <f t="shared" si="3"/>
        <v>0.45703025799715952</v>
      </c>
      <c r="S33" s="123">
        <f t="shared" si="3"/>
        <v>0.61517696742821137</v>
      </c>
      <c r="T33" s="123">
        <f t="shared" si="3"/>
        <v>0.45887376668328334</v>
      </c>
      <c r="U33" s="131">
        <f t="shared" si="3"/>
        <v>0.25154487909028489</v>
      </c>
      <c r="V33" s="123">
        <f t="shared" si="3"/>
        <v>0.42758114730198743</v>
      </c>
      <c r="W33" s="123">
        <f t="shared" si="3"/>
        <v>0.4061644673106406</v>
      </c>
      <c r="X33" s="123">
        <f t="shared" si="3"/>
        <v>0.36380139015603985</v>
      </c>
      <c r="Y33" s="123">
        <f t="shared" si="3"/>
        <v>0.47060262041591816</v>
      </c>
      <c r="Z33" s="123">
        <f t="shared" si="3"/>
        <v>0.36934132187097318</v>
      </c>
      <c r="AA33" s="123">
        <f t="shared" si="3"/>
        <v>0.34576134087039945</v>
      </c>
    </row>
    <row r="34" spans="1:27">
      <c r="A34" s="47" t="s">
        <v>585</v>
      </c>
      <c r="B34" s="123">
        <f t="shared" si="3"/>
        <v>0.28279047018877151</v>
      </c>
      <c r="C34" s="123">
        <f t="shared" si="3"/>
        <v>0.32663023542358377</v>
      </c>
      <c r="D34" s="123">
        <f t="shared" si="3"/>
        <v>0.23750223384343344</v>
      </c>
      <c r="E34" s="123">
        <f t="shared" si="3"/>
        <v>0.29013628796358132</v>
      </c>
      <c r="F34" s="123">
        <f t="shared" si="3"/>
        <v>0.37142937762770528</v>
      </c>
      <c r="G34" s="123">
        <f t="shared" si="3"/>
        <v>0.36952002934564848</v>
      </c>
      <c r="H34" s="123">
        <f t="shared" si="3"/>
        <v>0.3273074426960374</v>
      </c>
      <c r="I34" s="123">
        <f t="shared" si="3"/>
        <v>0.34118078612477543</v>
      </c>
      <c r="J34" s="123">
        <f t="shared" si="3"/>
        <v>0.32107149239552668</v>
      </c>
      <c r="K34" s="123">
        <f t="shared" si="3"/>
        <v>0.40309822327147549</v>
      </c>
      <c r="L34" s="123">
        <f t="shared" si="3"/>
        <v>0.35176214975686376</v>
      </c>
      <c r="M34" s="123">
        <f t="shared" si="3"/>
        <v>0.4269603739689049</v>
      </c>
      <c r="N34" s="123">
        <f t="shared" si="3"/>
        <v>0.43172904184576605</v>
      </c>
      <c r="O34" s="123">
        <f t="shared" si="3"/>
        <v>0.4770454951607897</v>
      </c>
      <c r="P34" s="123">
        <f t="shared" si="3"/>
        <v>0.49675034565787862</v>
      </c>
      <c r="Q34" s="123">
        <f t="shared" si="3"/>
        <v>0.51757446928582851</v>
      </c>
      <c r="R34" s="123">
        <f t="shared" si="3"/>
        <v>0.4701323375878253</v>
      </c>
      <c r="S34" s="123">
        <f t="shared" si="3"/>
        <v>0.47630244829240304</v>
      </c>
      <c r="T34" s="123">
        <f t="shared" si="3"/>
        <v>0.48326263414817672</v>
      </c>
      <c r="U34" s="131">
        <f t="shared" si="3"/>
        <v>0.24442479707295967</v>
      </c>
      <c r="V34" s="123">
        <f t="shared" si="3"/>
        <v>0.48049737111899093</v>
      </c>
      <c r="W34" s="123">
        <f t="shared" si="3"/>
        <v>0.49925225030333242</v>
      </c>
      <c r="X34" s="123">
        <f t="shared" si="3"/>
        <v>0.47101646930463981</v>
      </c>
      <c r="Y34" s="123">
        <f t="shared" si="3"/>
        <v>0.49174653636697108</v>
      </c>
      <c r="Z34" s="123">
        <f t="shared" si="3"/>
        <v>0.4678279517301705</v>
      </c>
      <c r="AA34" s="123">
        <f t="shared" si="3"/>
        <v>0.41918189599224975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0E08A-2A3A-4105-BEA1-5BA2BFF26A81}">
  <dimension ref="B1:CB16"/>
  <sheetViews>
    <sheetView showGridLines="0" zoomScale="70" zoomScaleNormal="70" workbookViewId="0">
      <selection activeCell="J31" sqref="J31"/>
    </sheetView>
  </sheetViews>
  <sheetFormatPr defaultColWidth="8.77734375" defaultRowHeight="14.4"/>
  <cols>
    <col min="1" max="1" width="8.77734375" style="61"/>
    <col min="2" max="2" width="25.33203125" style="61" customWidth="1"/>
    <col min="3" max="3" width="2.77734375" style="61" customWidth="1"/>
    <col min="4" max="4" width="26" style="61" customWidth="1"/>
    <col min="5" max="5" width="3.6640625" style="61" customWidth="1"/>
    <col min="6" max="6" width="20.44140625" style="61" customWidth="1"/>
    <col min="7" max="7" width="1.77734375" style="61" customWidth="1"/>
    <col min="8" max="8" width="20.44140625" style="61" customWidth="1"/>
    <col min="9" max="9" width="3.44140625" style="61" customWidth="1"/>
    <col min="10" max="10" width="20.44140625" style="61" customWidth="1"/>
    <col min="11" max="11" width="3.109375" style="61" customWidth="1"/>
    <col min="12" max="12" width="20.44140625" style="61" customWidth="1"/>
    <col min="13" max="13" width="3.44140625" style="61" customWidth="1"/>
    <col min="14" max="14" width="20.44140625" style="61" customWidth="1"/>
    <col min="15" max="15" width="3.33203125" style="61" customWidth="1"/>
    <col min="16" max="16" width="20.44140625" style="61" customWidth="1"/>
    <col min="17" max="17" width="3.44140625" style="61" customWidth="1"/>
    <col min="18" max="18" width="20.44140625" style="61" customWidth="1"/>
    <col min="19" max="19" width="3.44140625" style="61" customWidth="1"/>
    <col min="20" max="20" width="20.44140625" style="61" customWidth="1"/>
    <col min="21" max="21" width="2.44140625" style="61" customWidth="1"/>
    <col min="22" max="22" width="20.44140625" style="61" customWidth="1"/>
    <col min="23" max="23" width="3.44140625" style="61" customWidth="1"/>
    <col min="24" max="24" width="22.109375" style="61" customWidth="1"/>
    <col min="25" max="25" width="3.33203125" style="61" customWidth="1"/>
    <col min="26" max="26" width="20.44140625" style="61" customWidth="1"/>
    <col min="27" max="27" width="3.33203125" style="61" customWidth="1"/>
    <col min="28" max="28" width="20.44140625" style="61" customWidth="1"/>
    <col min="29" max="29" width="2.109375" style="61" customWidth="1"/>
    <col min="30" max="30" width="24.44140625" style="61" customWidth="1"/>
    <col min="31" max="31" width="3" style="61" customWidth="1"/>
    <col min="32" max="32" width="24.44140625" style="61" customWidth="1"/>
    <col min="33" max="33" width="3" style="61" customWidth="1"/>
    <col min="34" max="34" width="24.44140625" style="61" customWidth="1"/>
    <col min="35" max="35" width="3.109375" style="61" customWidth="1"/>
    <col min="36" max="36" width="24.44140625" style="61" customWidth="1"/>
    <col min="37" max="37" width="3" style="61" customWidth="1"/>
    <col min="38" max="38" width="24.44140625" style="61" customWidth="1"/>
    <col min="39" max="39" width="3.33203125" style="61" customWidth="1"/>
    <col min="40" max="40" width="28" style="61" customWidth="1"/>
    <col min="41" max="41" width="3" style="61" customWidth="1"/>
    <col min="42" max="42" width="27.44140625" style="61" customWidth="1"/>
    <col min="43" max="43" width="4.6640625" style="61" customWidth="1"/>
    <col min="44" max="44" width="26.109375" style="61" customWidth="1"/>
    <col min="45" max="45" width="2.109375" style="61" customWidth="1"/>
    <col min="46" max="46" width="26.33203125" style="61" customWidth="1"/>
    <col min="47" max="47" width="2.44140625" style="61" customWidth="1"/>
    <col min="48" max="48" width="23.6640625" style="61" customWidth="1"/>
    <col min="49" max="49" width="1.77734375" style="61" customWidth="1"/>
    <col min="50" max="50" width="24.44140625" style="61" customWidth="1"/>
    <col min="51" max="51" width="3.44140625" style="61" customWidth="1"/>
    <col min="52" max="52" width="23.44140625" style="61" customWidth="1"/>
    <col min="53" max="53" width="1.77734375" style="61" customWidth="1"/>
    <col min="54" max="54" width="23.44140625" style="61" customWidth="1"/>
    <col min="55" max="55" width="1.77734375" style="61" customWidth="1"/>
    <col min="56" max="56" width="23.44140625" style="61" customWidth="1"/>
    <col min="57" max="57" width="1.77734375" style="61" customWidth="1"/>
    <col min="58" max="58" width="23.44140625" style="61" customWidth="1"/>
    <col min="59" max="59" width="2.109375" style="61" customWidth="1"/>
    <col min="60" max="60" width="22.77734375" style="61" customWidth="1"/>
    <col min="61" max="61" width="3.44140625" style="61" customWidth="1"/>
    <col min="62" max="62" width="26.6640625" style="61" customWidth="1"/>
    <col min="63" max="63" width="2.77734375" style="61" customWidth="1"/>
    <col min="64" max="64" width="26.6640625" style="61" customWidth="1"/>
    <col min="65" max="65" width="2.77734375" style="61" customWidth="1"/>
    <col min="66" max="66" width="26.6640625" style="61" customWidth="1"/>
    <col min="67" max="67" width="2.77734375" style="61" customWidth="1"/>
    <col min="68" max="68" width="26.6640625" style="61" customWidth="1"/>
    <col min="69" max="69" width="2.77734375" style="61" customWidth="1"/>
    <col min="70" max="70" width="27.109375" style="61" customWidth="1"/>
    <col min="71" max="71" width="4.33203125" style="61" customWidth="1"/>
    <col min="72" max="72" width="27.109375" style="61" customWidth="1"/>
    <col min="73" max="73" width="3.44140625" style="61" customWidth="1"/>
    <col min="74" max="74" width="24.6640625" style="61" customWidth="1"/>
    <col min="75" max="75" width="3.44140625" style="61" customWidth="1"/>
    <col min="76" max="76" width="24.6640625" style="61" customWidth="1"/>
    <col min="77" max="77" width="3.44140625" style="61" customWidth="1"/>
    <col min="78" max="78" width="24.6640625" style="61" customWidth="1"/>
    <col min="79" max="79" width="2.44140625" style="61" customWidth="1"/>
    <col min="80" max="80" width="24.77734375" style="61" customWidth="1"/>
    <col min="81" max="16384" width="8.77734375" style="61"/>
  </cols>
  <sheetData>
    <row r="1" spans="2:80" ht="37.799999999999997" customHeight="1"/>
    <row r="2" spans="2:80" ht="42" customHeight="1">
      <c r="B2" s="287" t="s">
        <v>408</v>
      </c>
      <c r="C2" s="287"/>
      <c r="D2" s="287"/>
      <c r="E2" s="287"/>
      <c r="F2" s="287"/>
      <c r="G2" s="287"/>
      <c r="H2" s="287"/>
      <c r="I2" s="287"/>
      <c r="J2" s="287"/>
      <c r="K2" s="287"/>
      <c r="L2" s="287"/>
      <c r="M2" s="287"/>
      <c r="N2" s="287"/>
      <c r="O2" s="287"/>
      <c r="P2" s="287"/>
      <c r="Q2" s="287"/>
      <c r="R2" s="287"/>
      <c r="S2" s="287"/>
      <c r="T2" s="287"/>
      <c r="U2" s="287"/>
      <c r="V2" s="287"/>
      <c r="W2" s="287"/>
      <c r="X2" s="287"/>
      <c r="Y2" s="287"/>
      <c r="Z2" s="287"/>
      <c r="AA2" s="287"/>
      <c r="AB2" s="287"/>
      <c r="AC2" s="287"/>
      <c r="AD2" s="287"/>
      <c r="AE2" s="287"/>
      <c r="AF2" s="287"/>
      <c r="AG2" s="287"/>
      <c r="AH2" s="287"/>
      <c r="AI2" s="287"/>
      <c r="AJ2" s="287"/>
      <c r="AK2" s="287"/>
      <c r="AL2" s="287"/>
      <c r="AM2" s="287"/>
      <c r="AN2" s="287"/>
      <c r="AO2" s="287"/>
      <c r="AP2" s="287"/>
      <c r="AQ2" s="287"/>
      <c r="AR2" s="287"/>
      <c r="AS2" s="287"/>
      <c r="AT2" s="287"/>
      <c r="AU2" s="287"/>
      <c r="AV2" s="287"/>
      <c r="AW2" s="287"/>
      <c r="AX2" s="287"/>
      <c r="AY2" s="287"/>
      <c r="AZ2" s="287"/>
      <c r="BA2" s="287"/>
      <c r="BB2" s="287"/>
      <c r="BC2" s="287"/>
      <c r="BD2" s="287"/>
      <c r="BE2" s="287"/>
      <c r="BF2" s="287"/>
      <c r="BG2" s="287"/>
      <c r="BH2" s="287"/>
      <c r="BI2" s="287"/>
      <c r="BJ2" s="287"/>
      <c r="BK2" s="287"/>
      <c r="BL2" s="287"/>
      <c r="BM2" s="287"/>
      <c r="BN2" s="287"/>
      <c r="BO2" s="287"/>
      <c r="BP2" s="287"/>
      <c r="BQ2" s="287"/>
      <c r="BR2" s="287"/>
      <c r="BS2" s="287"/>
      <c r="BT2" s="287"/>
      <c r="BU2" s="287"/>
      <c r="BV2" s="287"/>
      <c r="BW2" s="287"/>
      <c r="BX2" s="287"/>
      <c r="BY2" s="287"/>
      <c r="BZ2" s="287"/>
      <c r="CA2" s="287"/>
      <c r="CB2" s="287"/>
    </row>
    <row r="4" spans="2:80" ht="33.450000000000003" customHeight="1">
      <c r="B4" s="288" t="s">
        <v>406</v>
      </c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/>
      <c r="AA4" s="288"/>
      <c r="AB4" s="288"/>
      <c r="AC4" s="288"/>
      <c r="AD4" s="288"/>
      <c r="AE4" s="288"/>
      <c r="AF4" s="288"/>
      <c r="AG4" s="288"/>
      <c r="AH4" s="288"/>
      <c r="AI4" s="288"/>
      <c r="AJ4" s="288"/>
      <c r="AK4" s="288"/>
      <c r="AL4" s="288"/>
      <c r="AM4" s="288"/>
      <c r="AN4" s="288"/>
      <c r="AO4" s="288"/>
      <c r="AP4" s="288"/>
      <c r="AQ4" s="62" t="s">
        <v>51</v>
      </c>
      <c r="AR4" s="289" t="s">
        <v>407</v>
      </c>
      <c r="AS4" s="289"/>
      <c r="AT4" s="289"/>
      <c r="AU4" s="289"/>
      <c r="AV4" s="289"/>
      <c r="AW4" s="289"/>
      <c r="AX4" s="289"/>
      <c r="AY4" s="289"/>
      <c r="AZ4" s="289"/>
      <c r="BA4" s="289"/>
      <c r="BB4" s="289"/>
      <c r="BC4" s="289"/>
      <c r="BD4" s="289"/>
      <c r="BE4" s="289"/>
      <c r="BF4" s="289"/>
      <c r="BG4" s="289"/>
      <c r="BH4" s="289"/>
      <c r="BI4" s="289"/>
      <c r="BJ4" s="289"/>
      <c r="BK4" s="289"/>
      <c r="BL4" s="289"/>
      <c r="BM4" s="289"/>
      <c r="BN4" s="289"/>
      <c r="BO4" s="289"/>
      <c r="BP4" s="289"/>
      <c r="BQ4" s="289"/>
      <c r="BR4" s="289"/>
      <c r="BS4" s="289"/>
      <c r="BT4" s="289"/>
      <c r="BU4" s="289"/>
      <c r="BV4" s="289"/>
      <c r="BW4" s="289"/>
      <c r="BX4" s="289"/>
      <c r="BY4" s="289"/>
      <c r="BZ4" s="289"/>
      <c r="CA4" s="289"/>
      <c r="CB4" s="289"/>
    </row>
    <row r="6" spans="2:80" ht="46.2" customHeight="1">
      <c r="B6" s="286" t="s">
        <v>400</v>
      </c>
      <c r="C6" s="286"/>
      <c r="D6" s="286"/>
      <c r="E6" s="286"/>
      <c r="F6" s="286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63" t="s">
        <v>373</v>
      </c>
      <c r="AD6" s="286" t="s">
        <v>390</v>
      </c>
      <c r="AE6" s="286"/>
      <c r="AF6" s="286"/>
      <c r="AG6" s="63" t="s">
        <v>373</v>
      </c>
      <c r="AH6" s="286" t="s">
        <v>381</v>
      </c>
      <c r="AI6" s="286"/>
      <c r="AJ6" s="286"/>
      <c r="AK6" s="63" t="s">
        <v>373</v>
      </c>
      <c r="AL6" s="286" t="s">
        <v>391</v>
      </c>
      <c r="AM6" s="286"/>
      <c r="AN6" s="286"/>
      <c r="AO6" s="286"/>
      <c r="AP6" s="286"/>
      <c r="AR6" s="289" t="s">
        <v>401</v>
      </c>
      <c r="AS6" s="289"/>
      <c r="AT6" s="289"/>
      <c r="AU6" s="289"/>
      <c r="AV6" s="289"/>
      <c r="AW6" s="289"/>
      <c r="AX6" s="289"/>
      <c r="AY6" s="61" t="s">
        <v>373</v>
      </c>
      <c r="AZ6" s="289" t="s">
        <v>402</v>
      </c>
      <c r="BA6" s="289"/>
      <c r="BB6" s="289"/>
      <c r="BC6" s="289"/>
      <c r="BD6" s="289"/>
      <c r="BE6" s="289"/>
      <c r="BF6" s="289"/>
      <c r="BG6" s="289"/>
      <c r="BH6" s="289"/>
      <c r="BI6" s="61" t="s">
        <v>373</v>
      </c>
      <c r="BJ6" s="289" t="s">
        <v>403</v>
      </c>
      <c r="BK6" s="289"/>
      <c r="BL6" s="289"/>
      <c r="BM6" s="289"/>
      <c r="BN6" s="289"/>
      <c r="BO6" s="289"/>
      <c r="BP6" s="289"/>
      <c r="BQ6" s="289"/>
      <c r="BR6" s="289"/>
      <c r="BS6" s="289"/>
      <c r="BT6" s="289"/>
      <c r="BU6" s="61" t="s">
        <v>373</v>
      </c>
      <c r="BV6" s="289" t="s">
        <v>772</v>
      </c>
      <c r="BW6" s="289"/>
      <c r="BX6" s="289"/>
      <c r="BY6" s="289"/>
      <c r="BZ6" s="289"/>
      <c r="CA6" s="289"/>
      <c r="CB6" s="289"/>
    </row>
    <row r="8" spans="2:80" ht="48.45" customHeight="1">
      <c r="B8" s="286" t="s">
        <v>372</v>
      </c>
      <c r="C8" s="286"/>
      <c r="D8" s="286"/>
      <c r="E8" s="61" t="s">
        <v>371</v>
      </c>
      <c r="F8" s="286" t="s">
        <v>376</v>
      </c>
      <c r="G8" s="286"/>
      <c r="H8" s="286"/>
      <c r="I8" s="286"/>
      <c r="J8" s="286"/>
      <c r="K8" s="286"/>
      <c r="L8" s="286"/>
      <c r="M8" s="286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D8" s="65" t="s">
        <v>392</v>
      </c>
      <c r="AE8" s="61" t="s">
        <v>371</v>
      </c>
      <c r="AF8" s="65" t="s">
        <v>393</v>
      </c>
      <c r="AH8" s="65" t="s">
        <v>394</v>
      </c>
      <c r="AI8" s="61" t="s">
        <v>371</v>
      </c>
      <c r="AJ8" s="65" t="s">
        <v>395</v>
      </c>
      <c r="AL8" s="65" t="s">
        <v>396</v>
      </c>
      <c r="AM8" s="61" t="s">
        <v>371</v>
      </c>
      <c r="AN8" s="286" t="s">
        <v>397</v>
      </c>
      <c r="AO8" s="286"/>
      <c r="AP8" s="286"/>
      <c r="AR8" s="167" t="s">
        <v>762</v>
      </c>
      <c r="AS8" s="61" t="s">
        <v>373</v>
      </c>
      <c r="AT8" s="167" t="s">
        <v>763</v>
      </c>
      <c r="AU8" s="61" t="s">
        <v>373</v>
      </c>
      <c r="AV8" s="167" t="s">
        <v>764</v>
      </c>
      <c r="AW8" s="61" t="s">
        <v>373</v>
      </c>
      <c r="AX8" s="167" t="s">
        <v>765</v>
      </c>
      <c r="AZ8" s="167" t="s">
        <v>766</v>
      </c>
      <c r="BA8" s="61" t="s">
        <v>373</v>
      </c>
      <c r="BB8" s="167" t="s">
        <v>767</v>
      </c>
      <c r="BC8" s="61" t="s">
        <v>373</v>
      </c>
      <c r="BD8" s="167" t="s">
        <v>764</v>
      </c>
      <c r="BE8" s="61" t="s">
        <v>373</v>
      </c>
      <c r="BF8" s="167" t="s">
        <v>769</v>
      </c>
      <c r="BG8" s="61" t="s">
        <v>373</v>
      </c>
      <c r="BH8" s="167" t="s">
        <v>768</v>
      </c>
      <c r="BJ8" s="167" t="s">
        <v>770</v>
      </c>
      <c r="BK8" s="61" t="s">
        <v>373</v>
      </c>
      <c r="BL8" s="167" t="s">
        <v>771</v>
      </c>
      <c r="BM8" s="61" t="s">
        <v>373</v>
      </c>
      <c r="BN8" s="167" t="s">
        <v>767</v>
      </c>
      <c r="BO8" s="61" t="s">
        <v>373</v>
      </c>
      <c r="BP8" s="167" t="s">
        <v>764</v>
      </c>
      <c r="BQ8" s="61" t="s">
        <v>373</v>
      </c>
      <c r="BR8" s="167" t="s">
        <v>769</v>
      </c>
      <c r="BS8" s="61" t="s">
        <v>373</v>
      </c>
      <c r="BT8" s="167" t="s">
        <v>768</v>
      </c>
      <c r="BV8" s="167" t="s">
        <v>773</v>
      </c>
      <c r="BW8" s="61" t="s">
        <v>373</v>
      </c>
      <c r="BX8" s="167" t="s">
        <v>774</v>
      </c>
      <c r="BY8" s="61" t="s">
        <v>373</v>
      </c>
      <c r="BZ8" s="167" t="s">
        <v>775</v>
      </c>
      <c r="CA8" s="61" t="s">
        <v>373</v>
      </c>
      <c r="CB8" s="167" t="s">
        <v>776</v>
      </c>
    </row>
    <row r="10" spans="2:80" ht="47.55" customHeight="1">
      <c r="B10" s="65" t="s">
        <v>375</v>
      </c>
      <c r="C10" s="61" t="s">
        <v>373</v>
      </c>
      <c r="D10" s="65" t="s">
        <v>374</v>
      </c>
      <c r="F10" s="286" t="s">
        <v>377</v>
      </c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61" t="s">
        <v>373</v>
      </c>
      <c r="V10" s="286" t="s">
        <v>378</v>
      </c>
      <c r="W10" s="286"/>
      <c r="X10" s="286"/>
      <c r="Y10" s="286"/>
      <c r="Z10" s="286"/>
      <c r="AA10" s="286"/>
      <c r="AB10" s="286"/>
      <c r="AC10" s="63"/>
      <c r="AE10" s="63"/>
      <c r="AG10" s="63"/>
      <c r="AH10" s="63"/>
      <c r="AI10" s="63"/>
      <c r="AK10" s="63"/>
      <c r="AM10" s="63"/>
      <c r="AN10" s="65" t="s">
        <v>404</v>
      </c>
      <c r="AO10" s="63" t="s">
        <v>51</v>
      </c>
      <c r="AP10" s="64" t="s">
        <v>405</v>
      </c>
    </row>
    <row r="12" spans="2:80" ht="72.45" customHeight="1">
      <c r="F12" s="286" t="s">
        <v>382</v>
      </c>
      <c r="G12" s="286"/>
      <c r="H12" s="286"/>
      <c r="I12" s="61" t="s">
        <v>373</v>
      </c>
      <c r="J12" s="286" t="s">
        <v>380</v>
      </c>
      <c r="K12" s="286"/>
      <c r="L12" s="286"/>
      <c r="M12" s="63" t="s">
        <v>373</v>
      </c>
      <c r="N12" s="286" t="s">
        <v>412</v>
      </c>
      <c r="O12" s="286"/>
      <c r="P12" s="286"/>
      <c r="Q12" s="63" t="s">
        <v>373</v>
      </c>
      <c r="R12" s="286" t="s">
        <v>379</v>
      </c>
      <c r="S12" s="286"/>
      <c r="T12" s="286"/>
      <c r="U12" s="63"/>
      <c r="V12" s="286" t="s">
        <v>387</v>
      </c>
      <c r="W12" s="286"/>
      <c r="X12" s="286"/>
      <c r="Y12" s="61" t="s">
        <v>373</v>
      </c>
      <c r="Z12" s="286" t="s">
        <v>410</v>
      </c>
      <c r="AA12" s="286"/>
      <c r="AB12" s="286"/>
    </row>
    <row r="14" spans="2:80" ht="79.8" customHeight="1">
      <c r="F14" s="65" t="s">
        <v>385</v>
      </c>
      <c r="G14" s="61" t="s">
        <v>371</v>
      </c>
      <c r="H14" s="65" t="s">
        <v>386</v>
      </c>
      <c r="J14" s="65" t="s">
        <v>383</v>
      </c>
      <c r="K14" s="61" t="s">
        <v>371</v>
      </c>
      <c r="L14" s="65" t="s">
        <v>384</v>
      </c>
      <c r="N14" s="65" t="s">
        <v>413</v>
      </c>
      <c r="O14" s="61" t="s">
        <v>371</v>
      </c>
      <c r="P14" s="65" t="s">
        <v>414</v>
      </c>
      <c r="R14" s="65" t="s">
        <v>388</v>
      </c>
      <c r="S14" s="61" t="s">
        <v>371</v>
      </c>
      <c r="T14" s="65" t="s">
        <v>389</v>
      </c>
      <c r="V14" s="65" t="s">
        <v>398</v>
      </c>
      <c r="W14" s="61" t="s">
        <v>371</v>
      </c>
      <c r="X14" s="65" t="s">
        <v>399</v>
      </c>
      <c r="Z14" s="65" t="s">
        <v>409</v>
      </c>
      <c r="AA14" s="61" t="s">
        <v>371</v>
      </c>
      <c r="AB14" s="65" t="s">
        <v>411</v>
      </c>
    </row>
    <row r="16" spans="2:80" ht="43.8" customHeight="1"/>
  </sheetData>
  <mergeCells count="22">
    <mergeCell ref="AN8:AP8"/>
    <mergeCell ref="B2:CB2"/>
    <mergeCell ref="B4:AP4"/>
    <mergeCell ref="BV6:CB6"/>
    <mergeCell ref="B6:AB6"/>
    <mergeCell ref="AR4:CB4"/>
    <mergeCell ref="B8:D8"/>
    <mergeCell ref="F8:AB8"/>
    <mergeCell ref="AZ6:BH6"/>
    <mergeCell ref="AR6:AX6"/>
    <mergeCell ref="AD6:AF6"/>
    <mergeCell ref="AH6:AJ6"/>
    <mergeCell ref="AL6:AP6"/>
    <mergeCell ref="BJ6:BT6"/>
    <mergeCell ref="V10:AB10"/>
    <mergeCell ref="N12:P12"/>
    <mergeCell ref="R12:T12"/>
    <mergeCell ref="F12:H12"/>
    <mergeCell ref="V12:X12"/>
    <mergeCell ref="Z12:AB12"/>
    <mergeCell ref="J12:L12"/>
    <mergeCell ref="F10:T1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2B99A-2536-416E-ACC1-293193DFAA9B}">
  <dimension ref="B2:D206"/>
  <sheetViews>
    <sheetView showGridLines="0" workbookViewId="0">
      <selection activeCell="D5" sqref="D5:D6"/>
    </sheetView>
  </sheetViews>
  <sheetFormatPr defaultColWidth="8.77734375" defaultRowHeight="14.4"/>
  <cols>
    <col min="2" max="2" width="47.77734375" bestFit="1" customWidth="1"/>
    <col min="3" max="3" width="11.109375" bestFit="1" customWidth="1"/>
  </cols>
  <sheetData>
    <row r="2" spans="2:4">
      <c r="B2" s="56"/>
      <c r="C2" s="290" t="s">
        <v>454</v>
      </c>
      <c r="D2" s="290"/>
    </row>
    <row r="3" spans="2:4">
      <c r="B3" s="56"/>
      <c r="C3" s="56" t="s">
        <v>466</v>
      </c>
      <c r="D3" s="56" t="s">
        <v>467</v>
      </c>
    </row>
    <row r="4" spans="2:4">
      <c r="B4" s="56" t="s">
        <v>455</v>
      </c>
      <c r="C4" s="46">
        <v>190819</v>
      </c>
      <c r="D4" s="71">
        <f>C4/$C$4</f>
        <v>1</v>
      </c>
    </row>
    <row r="5" spans="2:4">
      <c r="B5" s="56" t="s">
        <v>456</v>
      </c>
      <c r="C5" s="46">
        <v>7720</v>
      </c>
      <c r="D5" s="71">
        <f>C5/$C$4</f>
        <v>4.0457187177377514E-2</v>
      </c>
    </row>
    <row r="6" spans="2:4">
      <c r="B6" s="56" t="s">
        <v>457</v>
      </c>
      <c r="C6" s="46">
        <v>3693</v>
      </c>
      <c r="D6" s="71">
        <f t="shared" ref="D6:D44" si="0">C6/$C$4</f>
        <v>1.9353418684722172E-2</v>
      </c>
    </row>
    <row r="7" spans="2:4">
      <c r="B7" s="56" t="s">
        <v>458</v>
      </c>
      <c r="C7" s="46">
        <v>8804</v>
      </c>
      <c r="D7" s="71">
        <f t="shared" si="0"/>
        <v>4.6137963200729486E-2</v>
      </c>
    </row>
    <row r="8" spans="2:4">
      <c r="B8" s="56" t="s">
        <v>459</v>
      </c>
      <c r="C8" s="46">
        <v>7293</v>
      </c>
      <c r="D8" s="71">
        <f t="shared" si="0"/>
        <v>3.8219464518732413E-2</v>
      </c>
    </row>
    <row r="9" spans="2:4">
      <c r="B9" s="56" t="s">
        <v>460</v>
      </c>
      <c r="C9" s="46">
        <v>8162</v>
      </c>
      <c r="D9" s="71">
        <f t="shared" si="0"/>
        <v>4.2773518360330998E-2</v>
      </c>
    </row>
    <row r="10" spans="2:4">
      <c r="B10" s="56" t="s">
        <v>484</v>
      </c>
      <c r="C10" s="46">
        <f>SUM(C6:C9)</f>
        <v>27952</v>
      </c>
      <c r="D10" s="71">
        <f t="shared" si="0"/>
        <v>0.14648436476451507</v>
      </c>
    </row>
    <row r="11" spans="2:4">
      <c r="B11" s="56" t="s">
        <v>461</v>
      </c>
      <c r="C11" s="46">
        <v>23520</v>
      </c>
      <c r="D11" s="71">
        <f t="shared" si="0"/>
        <v>0.12325816611553357</v>
      </c>
    </row>
    <row r="12" spans="2:4">
      <c r="B12" s="56" t="s">
        <v>462</v>
      </c>
      <c r="C12" s="46">
        <v>40235</v>
      </c>
      <c r="D12" s="71">
        <f t="shared" si="0"/>
        <v>0.21085426503650057</v>
      </c>
    </row>
    <row r="13" spans="2:4">
      <c r="B13" s="56" t="s">
        <v>463</v>
      </c>
      <c r="C13" s="46">
        <v>26619</v>
      </c>
      <c r="D13" s="71">
        <f t="shared" si="0"/>
        <v>0.13949868723764405</v>
      </c>
    </row>
    <row r="14" spans="2:4">
      <c r="B14" s="56" t="s">
        <v>464</v>
      </c>
      <c r="C14" s="46">
        <v>22551</v>
      </c>
      <c r="D14" s="71">
        <f t="shared" si="0"/>
        <v>0.11818005544521248</v>
      </c>
    </row>
    <row r="15" spans="2:4">
      <c r="B15" s="56" t="s">
        <v>465</v>
      </c>
      <c r="C15" s="46">
        <v>49942</v>
      </c>
      <c r="D15" s="71">
        <f t="shared" si="0"/>
        <v>0.2617244614005943</v>
      </c>
    </row>
    <row r="16" spans="2:4">
      <c r="B16" s="56" t="s">
        <v>468</v>
      </c>
      <c r="C16" s="73">
        <v>65945</v>
      </c>
      <c r="D16" s="71">
        <f t="shared" si="0"/>
        <v>0.34558927570105702</v>
      </c>
    </row>
    <row r="17" spans="2:4">
      <c r="B17" s="56" t="s">
        <v>469</v>
      </c>
      <c r="C17" s="73">
        <v>124861</v>
      </c>
      <c r="D17" s="71">
        <f t="shared" si="0"/>
        <v>0.65434259691120911</v>
      </c>
    </row>
    <row r="18" spans="2:4">
      <c r="B18" s="56" t="s">
        <v>208</v>
      </c>
      <c r="C18" s="73">
        <v>173589</v>
      </c>
      <c r="D18" s="71">
        <f t="shared" si="0"/>
        <v>0.90970500841111213</v>
      </c>
    </row>
    <row r="19" spans="2:4">
      <c r="B19" s="56" t="s">
        <v>207</v>
      </c>
      <c r="C19" s="73">
        <v>7553</v>
      </c>
      <c r="D19" s="71">
        <f t="shared" si="0"/>
        <v>3.9582012273410926E-2</v>
      </c>
    </row>
    <row r="20" spans="2:4">
      <c r="B20" s="56" t="s">
        <v>470</v>
      </c>
      <c r="C20" s="73">
        <v>5238</v>
      </c>
      <c r="D20" s="71">
        <f t="shared" si="0"/>
        <v>2.7450096688484898E-2</v>
      </c>
    </row>
    <row r="21" spans="2:4">
      <c r="B21" s="56" t="s">
        <v>471</v>
      </c>
      <c r="C21" s="73">
        <v>1582</v>
      </c>
      <c r="D21" s="71">
        <f t="shared" si="0"/>
        <v>8.2905790303900561E-3</v>
      </c>
    </row>
    <row r="22" spans="2:4">
      <c r="B22" s="56" t="s">
        <v>472</v>
      </c>
      <c r="C22" s="73">
        <v>1885</v>
      </c>
      <c r="D22" s="71">
        <f t="shared" si="0"/>
        <v>9.8784712214192508E-3</v>
      </c>
    </row>
    <row r="23" spans="2:4">
      <c r="B23" s="56" t="s">
        <v>199</v>
      </c>
      <c r="C23" s="73">
        <v>92340</v>
      </c>
      <c r="D23" s="71">
        <f t="shared" si="0"/>
        <v>0.48391407564236266</v>
      </c>
    </row>
    <row r="24" spans="2:4">
      <c r="B24" s="56" t="s">
        <v>201</v>
      </c>
      <c r="C24" s="73">
        <v>9242</v>
      </c>
      <c r="D24" s="71">
        <f t="shared" si="0"/>
        <v>4.8433332110534064E-2</v>
      </c>
    </row>
    <row r="25" spans="2:4">
      <c r="B25" s="56" t="s">
        <v>197</v>
      </c>
      <c r="C25" s="73">
        <v>14788</v>
      </c>
      <c r="D25" s="71">
        <f t="shared" si="0"/>
        <v>7.7497523831484283E-2</v>
      </c>
    </row>
    <row r="26" spans="2:4">
      <c r="B26" s="56" t="s">
        <v>473</v>
      </c>
      <c r="C26" s="73">
        <v>91</v>
      </c>
      <c r="D26" s="71">
        <f t="shared" si="0"/>
        <v>4.7689171413748104E-4</v>
      </c>
    </row>
    <row r="27" spans="2:4">
      <c r="B27" s="56" t="s">
        <v>202</v>
      </c>
      <c r="C27" s="73">
        <v>19553</v>
      </c>
      <c r="D27" s="71">
        <f t="shared" si="0"/>
        <v>0.10246883172011173</v>
      </c>
    </row>
    <row r="28" spans="2:4">
      <c r="B28" s="56" t="s">
        <v>203</v>
      </c>
      <c r="C28" s="73">
        <v>32069</v>
      </c>
      <c r="D28" s="71">
        <f t="shared" si="0"/>
        <v>0.16805978440302066</v>
      </c>
    </row>
    <row r="29" spans="2:4">
      <c r="B29" s="56" t="s">
        <v>256</v>
      </c>
      <c r="C29" s="73">
        <v>3895</v>
      </c>
      <c r="D29" s="71">
        <f t="shared" si="0"/>
        <v>2.0412013478741636E-2</v>
      </c>
    </row>
    <row r="30" spans="2:4">
      <c r="B30" s="56" t="s">
        <v>474</v>
      </c>
      <c r="C30" s="73">
        <v>110271</v>
      </c>
      <c r="D30" s="71">
        <f t="shared" si="0"/>
        <v>0.57788270560059529</v>
      </c>
    </row>
    <row r="31" spans="2:4">
      <c r="B31" s="56" t="s">
        <v>475</v>
      </c>
      <c r="C31" s="73">
        <v>54056</v>
      </c>
      <c r="D31" s="71">
        <f t="shared" si="0"/>
        <v>0.28328415933423823</v>
      </c>
    </row>
    <row r="32" spans="2:4">
      <c r="B32" s="56" t="s">
        <v>476</v>
      </c>
      <c r="C32" s="73">
        <v>26476</v>
      </c>
      <c r="D32" s="71">
        <f t="shared" si="0"/>
        <v>0.13874928597257086</v>
      </c>
    </row>
    <row r="33" spans="2:4">
      <c r="B33" s="56" t="s">
        <v>477</v>
      </c>
      <c r="C33" s="73">
        <v>14570</v>
      </c>
      <c r="D33" s="71">
        <f t="shared" si="0"/>
        <v>7.6355079944869217E-2</v>
      </c>
    </row>
    <row r="34" spans="2:4">
      <c r="B34" s="56" t="s">
        <v>478</v>
      </c>
      <c r="C34" s="73">
        <v>5261</v>
      </c>
      <c r="D34" s="71">
        <f t="shared" si="0"/>
        <v>2.7570629759091077E-2</v>
      </c>
    </row>
    <row r="35" spans="2:4">
      <c r="B35" s="56" t="s">
        <v>479</v>
      </c>
      <c r="C35" s="73">
        <v>23611</v>
      </c>
      <c r="D35" s="71">
        <f t="shared" si="0"/>
        <v>0.12373505782967105</v>
      </c>
    </row>
    <row r="36" spans="2:4">
      <c r="B36" s="56" t="s">
        <v>480</v>
      </c>
      <c r="C36" s="73">
        <v>118028</v>
      </c>
      <c r="D36" s="71">
        <f t="shared" si="0"/>
        <v>0.61853379380460016</v>
      </c>
    </row>
    <row r="37" spans="2:4">
      <c r="B37" s="56" t="s">
        <v>481</v>
      </c>
      <c r="C37" s="46">
        <v>39414</v>
      </c>
      <c r="D37" s="71">
        <f t="shared" si="0"/>
        <v>0.20655175847268878</v>
      </c>
    </row>
    <row r="38" spans="2:4">
      <c r="B38" s="56" t="s">
        <v>482</v>
      </c>
      <c r="C38" s="46">
        <v>9718</v>
      </c>
      <c r="D38" s="74">
        <f t="shared" si="0"/>
        <v>5.0927842615253197E-2</v>
      </c>
    </row>
    <row r="39" spans="2:4">
      <c r="B39" s="56" t="s">
        <v>167</v>
      </c>
      <c r="C39" s="46">
        <v>41579</v>
      </c>
      <c r="D39" s="74">
        <f t="shared" si="0"/>
        <v>0.21789758881453106</v>
      </c>
    </row>
    <row r="40" spans="2:4">
      <c r="B40" s="56" t="s">
        <v>164</v>
      </c>
      <c r="C40" s="46">
        <v>6260</v>
      </c>
      <c r="D40" s="74">
        <f t="shared" si="0"/>
        <v>3.2805957478028919E-2</v>
      </c>
    </row>
    <row r="41" spans="2:4">
      <c r="B41" s="56" t="s">
        <v>169</v>
      </c>
      <c r="C41" s="46">
        <v>29907</v>
      </c>
      <c r="D41" s="74">
        <f t="shared" si="0"/>
        <v>0.15672967576604008</v>
      </c>
    </row>
    <row r="42" spans="2:4">
      <c r="B42" s="56" t="s">
        <v>483</v>
      </c>
      <c r="C42" s="46">
        <v>25094</v>
      </c>
      <c r="D42" s="74">
        <f t="shared" si="0"/>
        <v>0.13150682059962582</v>
      </c>
    </row>
    <row r="43" spans="2:4">
      <c r="B43" s="56" t="s">
        <v>173</v>
      </c>
      <c r="C43" s="46">
        <v>9429</v>
      </c>
      <c r="D43" s="74">
        <f t="shared" si="0"/>
        <v>4.9413318380245153E-2</v>
      </c>
    </row>
    <row r="44" spans="2:4">
      <c r="B44" s="56" t="s">
        <v>168</v>
      </c>
      <c r="C44" s="46">
        <v>72285</v>
      </c>
      <c r="D44" s="74">
        <f t="shared" si="0"/>
        <v>0.37881447864206397</v>
      </c>
    </row>
    <row r="45" spans="2:4">
      <c r="C45" s="4"/>
    </row>
    <row r="46" spans="2:4">
      <c r="C46" s="4"/>
    </row>
    <row r="47" spans="2:4">
      <c r="C47" s="4"/>
    </row>
    <row r="48" spans="2:4">
      <c r="C48" s="4"/>
    </row>
    <row r="49" spans="3:3">
      <c r="C49" s="4"/>
    </row>
    <row r="50" spans="3:3">
      <c r="C50" s="4"/>
    </row>
    <row r="51" spans="3:3">
      <c r="C51" s="4"/>
    </row>
    <row r="52" spans="3:3">
      <c r="C52" s="4"/>
    </row>
    <row r="53" spans="3:3">
      <c r="C53" s="4"/>
    </row>
    <row r="54" spans="3:3">
      <c r="C54" s="4"/>
    </row>
    <row r="55" spans="3:3">
      <c r="C55" s="4"/>
    </row>
    <row r="56" spans="3:3">
      <c r="C56" s="4"/>
    </row>
    <row r="57" spans="3:3">
      <c r="C57" s="4"/>
    </row>
    <row r="58" spans="3:3">
      <c r="C58" s="4"/>
    </row>
    <row r="59" spans="3:3">
      <c r="C59" s="4"/>
    </row>
    <row r="60" spans="3:3">
      <c r="C60" s="4"/>
    </row>
    <row r="61" spans="3:3">
      <c r="C61" s="4"/>
    </row>
    <row r="62" spans="3:3">
      <c r="C62" s="4"/>
    </row>
    <row r="63" spans="3:3">
      <c r="C63" s="4"/>
    </row>
    <row r="64" spans="3:3">
      <c r="C64" s="4"/>
    </row>
    <row r="65" spans="3:3">
      <c r="C65" s="4"/>
    </row>
    <row r="66" spans="3:3">
      <c r="C66" s="4"/>
    </row>
    <row r="67" spans="3:3">
      <c r="C67" s="4"/>
    </row>
    <row r="68" spans="3:3">
      <c r="C68" s="4"/>
    </row>
    <row r="69" spans="3:3">
      <c r="C69" s="4"/>
    </row>
    <row r="70" spans="3:3">
      <c r="C70" s="4"/>
    </row>
    <row r="71" spans="3:3">
      <c r="C71" s="4"/>
    </row>
    <row r="72" spans="3:3">
      <c r="C72" s="4"/>
    </row>
    <row r="73" spans="3:3">
      <c r="C73" s="4"/>
    </row>
    <row r="74" spans="3:3">
      <c r="C74" s="4"/>
    </row>
    <row r="75" spans="3:3">
      <c r="C75" s="4"/>
    </row>
    <row r="76" spans="3:3">
      <c r="C76" s="4"/>
    </row>
    <row r="77" spans="3:3">
      <c r="C77" s="4"/>
    </row>
    <row r="78" spans="3:3">
      <c r="C78" s="4"/>
    </row>
    <row r="79" spans="3:3">
      <c r="C79" s="4"/>
    </row>
    <row r="80" spans="3:3">
      <c r="C80" s="4"/>
    </row>
    <row r="81" spans="3:3">
      <c r="C81" s="4"/>
    </row>
    <row r="82" spans="3:3">
      <c r="C82" s="4"/>
    </row>
    <row r="83" spans="3:3">
      <c r="C83" s="4"/>
    </row>
    <row r="84" spans="3:3">
      <c r="C84" s="4"/>
    </row>
    <row r="85" spans="3:3">
      <c r="C85" s="4"/>
    </row>
    <row r="86" spans="3:3">
      <c r="C86" s="4"/>
    </row>
    <row r="87" spans="3:3">
      <c r="C87" s="4"/>
    </row>
    <row r="88" spans="3:3">
      <c r="C88" s="4"/>
    </row>
    <row r="89" spans="3:3">
      <c r="C89" s="4"/>
    </row>
    <row r="90" spans="3:3">
      <c r="C90" s="4"/>
    </row>
    <row r="91" spans="3:3">
      <c r="C91" s="4"/>
    </row>
    <row r="92" spans="3:3">
      <c r="C92" s="4"/>
    </row>
    <row r="93" spans="3:3">
      <c r="C93" s="4"/>
    </row>
    <row r="94" spans="3:3">
      <c r="C94" s="4"/>
    </row>
    <row r="95" spans="3:3">
      <c r="C95" s="4"/>
    </row>
    <row r="96" spans="3:3">
      <c r="C96" s="4"/>
    </row>
    <row r="97" spans="3:3">
      <c r="C97" s="4"/>
    </row>
    <row r="98" spans="3:3">
      <c r="C98" s="4"/>
    </row>
    <row r="99" spans="3:3">
      <c r="C99" s="4"/>
    </row>
    <row r="100" spans="3:3">
      <c r="C100" s="4"/>
    </row>
    <row r="101" spans="3:3">
      <c r="C101" s="4"/>
    </row>
    <row r="102" spans="3:3">
      <c r="C102" s="4"/>
    </row>
    <row r="103" spans="3:3">
      <c r="C103" s="4"/>
    </row>
    <row r="104" spans="3:3">
      <c r="C104" s="4"/>
    </row>
    <row r="105" spans="3:3">
      <c r="C105" s="4"/>
    </row>
    <row r="106" spans="3:3">
      <c r="C106" s="4"/>
    </row>
    <row r="107" spans="3:3">
      <c r="C107" s="4"/>
    </row>
    <row r="108" spans="3:3">
      <c r="C108" s="4"/>
    </row>
    <row r="109" spans="3:3">
      <c r="C109" s="4"/>
    </row>
    <row r="110" spans="3:3">
      <c r="C110" s="4"/>
    </row>
    <row r="111" spans="3:3">
      <c r="C111" s="4"/>
    </row>
    <row r="112" spans="3:3">
      <c r="C112" s="4"/>
    </row>
    <row r="113" spans="3:3">
      <c r="C113" s="4"/>
    </row>
    <row r="114" spans="3:3">
      <c r="C114" s="4"/>
    </row>
    <row r="115" spans="3:3">
      <c r="C115" s="4"/>
    </row>
    <row r="116" spans="3:3">
      <c r="C116" s="4"/>
    </row>
    <row r="117" spans="3:3">
      <c r="C117" s="4"/>
    </row>
    <row r="118" spans="3:3">
      <c r="C118" s="4"/>
    </row>
    <row r="119" spans="3:3">
      <c r="C119" s="4"/>
    </row>
    <row r="120" spans="3:3">
      <c r="C120" s="4"/>
    </row>
    <row r="121" spans="3:3">
      <c r="C121" s="4"/>
    </row>
    <row r="122" spans="3:3">
      <c r="C122" s="4"/>
    </row>
    <row r="123" spans="3:3">
      <c r="C123" s="4"/>
    </row>
    <row r="124" spans="3:3">
      <c r="C124" s="4"/>
    </row>
    <row r="125" spans="3:3">
      <c r="C125" s="4"/>
    </row>
    <row r="126" spans="3:3">
      <c r="C126" s="4"/>
    </row>
    <row r="127" spans="3:3">
      <c r="C127" s="4"/>
    </row>
    <row r="128" spans="3:3">
      <c r="C128" s="4"/>
    </row>
    <row r="129" spans="3:3">
      <c r="C129" s="4"/>
    </row>
    <row r="130" spans="3:3">
      <c r="C130" s="4"/>
    </row>
    <row r="131" spans="3:3">
      <c r="C131" s="4"/>
    </row>
    <row r="132" spans="3:3">
      <c r="C132" s="4"/>
    </row>
    <row r="133" spans="3:3">
      <c r="C133" s="4"/>
    </row>
    <row r="134" spans="3:3">
      <c r="C134" s="4"/>
    </row>
    <row r="135" spans="3:3">
      <c r="C135" s="4"/>
    </row>
    <row r="136" spans="3:3">
      <c r="C136" s="4"/>
    </row>
    <row r="137" spans="3:3">
      <c r="C137" s="4"/>
    </row>
    <row r="138" spans="3:3">
      <c r="C138" s="4"/>
    </row>
    <row r="139" spans="3:3">
      <c r="C139" s="4"/>
    </row>
    <row r="140" spans="3:3">
      <c r="C140" s="4"/>
    </row>
    <row r="141" spans="3:3">
      <c r="C141" s="4"/>
    </row>
    <row r="142" spans="3:3">
      <c r="C142" s="4"/>
    </row>
    <row r="143" spans="3:3">
      <c r="C143" s="4"/>
    </row>
    <row r="144" spans="3:3">
      <c r="C144" s="4"/>
    </row>
    <row r="145" spans="3:3">
      <c r="C145" s="4"/>
    </row>
    <row r="146" spans="3:3">
      <c r="C146" s="4"/>
    </row>
    <row r="147" spans="3:3">
      <c r="C147" s="4"/>
    </row>
    <row r="148" spans="3:3">
      <c r="C148" s="4"/>
    </row>
    <row r="149" spans="3:3">
      <c r="C149" s="4"/>
    </row>
    <row r="150" spans="3:3">
      <c r="C150" s="4"/>
    </row>
    <row r="151" spans="3:3">
      <c r="C151" s="4"/>
    </row>
    <row r="152" spans="3:3">
      <c r="C152" s="4"/>
    </row>
    <row r="153" spans="3:3">
      <c r="C153" s="4"/>
    </row>
    <row r="154" spans="3:3">
      <c r="C154" s="4"/>
    </row>
    <row r="155" spans="3:3">
      <c r="C155" s="4"/>
    </row>
    <row r="156" spans="3:3">
      <c r="C156" s="4"/>
    </row>
    <row r="157" spans="3:3">
      <c r="C157" s="4"/>
    </row>
    <row r="158" spans="3:3">
      <c r="C158" s="4"/>
    </row>
    <row r="159" spans="3:3">
      <c r="C159" s="4"/>
    </row>
    <row r="160" spans="3:3">
      <c r="C160" s="4"/>
    </row>
    <row r="161" spans="3:3">
      <c r="C161" s="4"/>
    </row>
    <row r="162" spans="3:3">
      <c r="C162" s="4"/>
    </row>
    <row r="163" spans="3:3">
      <c r="C163" s="4"/>
    </row>
    <row r="164" spans="3:3">
      <c r="C164" s="4"/>
    </row>
    <row r="165" spans="3:3">
      <c r="C165" s="4"/>
    </row>
    <row r="166" spans="3:3">
      <c r="C166" s="4"/>
    </row>
    <row r="167" spans="3:3">
      <c r="C167" s="4"/>
    </row>
    <row r="168" spans="3:3">
      <c r="C168" s="4"/>
    </row>
    <row r="169" spans="3:3">
      <c r="C169" s="4"/>
    </row>
    <row r="170" spans="3:3">
      <c r="C170" s="4"/>
    </row>
    <row r="171" spans="3:3">
      <c r="C171" s="4"/>
    </row>
    <row r="172" spans="3:3">
      <c r="C172" s="4"/>
    </row>
    <row r="173" spans="3:3">
      <c r="C173" s="4"/>
    </row>
    <row r="174" spans="3:3">
      <c r="C174" s="4"/>
    </row>
    <row r="175" spans="3:3">
      <c r="C175" s="4"/>
    </row>
    <row r="176" spans="3:3">
      <c r="C176" s="4"/>
    </row>
    <row r="177" spans="3:3">
      <c r="C177" s="4"/>
    </row>
    <row r="178" spans="3:3">
      <c r="C178" s="4"/>
    </row>
    <row r="179" spans="3:3">
      <c r="C179" s="4"/>
    </row>
    <row r="180" spans="3:3">
      <c r="C180" s="4"/>
    </row>
    <row r="181" spans="3:3">
      <c r="C181" s="4"/>
    </row>
    <row r="182" spans="3:3">
      <c r="C182" s="4"/>
    </row>
    <row r="183" spans="3:3">
      <c r="C183" s="4"/>
    </row>
    <row r="184" spans="3:3">
      <c r="C184" s="4"/>
    </row>
    <row r="185" spans="3:3">
      <c r="C185" s="4"/>
    </row>
    <row r="186" spans="3:3">
      <c r="C186" s="4"/>
    </row>
    <row r="187" spans="3:3">
      <c r="C187" s="4"/>
    </row>
    <row r="188" spans="3:3">
      <c r="C188" s="4"/>
    </row>
    <row r="189" spans="3:3">
      <c r="C189" s="4"/>
    </row>
    <row r="190" spans="3:3">
      <c r="C190" s="4"/>
    </row>
    <row r="191" spans="3:3">
      <c r="C191" s="4"/>
    </row>
    <row r="192" spans="3:3">
      <c r="C192" s="4"/>
    </row>
    <row r="193" spans="3:3">
      <c r="C193" s="4"/>
    </row>
    <row r="194" spans="3:3">
      <c r="C194" s="4"/>
    </row>
    <row r="195" spans="3:3">
      <c r="C195" s="4"/>
    </row>
    <row r="196" spans="3:3">
      <c r="C196" s="4"/>
    </row>
    <row r="197" spans="3:3">
      <c r="C197" s="4"/>
    </row>
    <row r="198" spans="3:3">
      <c r="C198" s="4"/>
    </row>
    <row r="199" spans="3:3">
      <c r="C199" s="4"/>
    </row>
    <row r="200" spans="3:3">
      <c r="C200" s="4"/>
    </row>
    <row r="201" spans="3:3">
      <c r="C201" s="4"/>
    </row>
    <row r="202" spans="3:3">
      <c r="C202" s="4"/>
    </row>
    <row r="203" spans="3:3">
      <c r="C203" s="4"/>
    </row>
    <row r="204" spans="3:3">
      <c r="C204" s="4"/>
    </row>
    <row r="205" spans="3:3">
      <c r="C205" s="4"/>
    </row>
    <row r="206" spans="3:3">
      <c r="C206" s="4"/>
    </row>
  </sheetData>
  <mergeCells count="1">
    <mergeCell ref="C2:D2"/>
  </mergeCells>
  <phoneticPr fontId="4" type="noConversion"/>
  <pageMargins left="0.7" right="0.7" top="0.75" bottom="0.75" header="0.3" footer="0.3"/>
  <ignoredErrors>
    <ignoredError sqref="C10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64CB1-286C-4AAC-A63C-68865DF5D5A9}">
  <dimension ref="B3:H21"/>
  <sheetViews>
    <sheetView showGridLines="0" workbookViewId="0">
      <selection activeCell="D16" sqref="D16"/>
    </sheetView>
  </sheetViews>
  <sheetFormatPr defaultColWidth="8.77734375" defaultRowHeight="14.4"/>
  <cols>
    <col min="2" max="2" width="64.44140625" customWidth="1"/>
    <col min="3" max="3" width="14.44140625" customWidth="1"/>
    <col min="4" max="4" width="14.44140625" bestFit="1" customWidth="1"/>
  </cols>
  <sheetData>
    <row r="3" spans="2:8" ht="104.55" customHeight="1">
      <c r="B3" s="294" t="s">
        <v>485</v>
      </c>
      <c r="C3" s="294"/>
      <c r="D3" s="294"/>
      <c r="E3" s="75"/>
      <c r="F3" s="75"/>
      <c r="G3" s="75"/>
      <c r="H3" s="75"/>
    </row>
    <row r="4" spans="2:8">
      <c r="B4" s="56"/>
      <c r="C4" s="41" t="s">
        <v>502</v>
      </c>
      <c r="D4" s="56" t="s">
        <v>486</v>
      </c>
    </row>
    <row r="5" spans="2:8">
      <c r="B5" s="79" t="s">
        <v>489</v>
      </c>
      <c r="C5" s="40" t="s">
        <v>491</v>
      </c>
      <c r="D5" s="48">
        <f>D6+D7</f>
        <v>6000</v>
      </c>
    </row>
    <row r="6" spans="2:8">
      <c r="B6" s="80" t="s">
        <v>487</v>
      </c>
      <c r="C6" s="40" t="s">
        <v>493</v>
      </c>
      <c r="D6" s="48">
        <v>4500</v>
      </c>
    </row>
    <row r="7" spans="2:8">
      <c r="B7" s="80" t="s">
        <v>488</v>
      </c>
      <c r="C7" s="40" t="s">
        <v>493</v>
      </c>
      <c r="D7" s="48">
        <v>1500</v>
      </c>
    </row>
    <row r="8" spans="2:8">
      <c r="B8" s="79" t="s">
        <v>490</v>
      </c>
      <c r="C8" s="40" t="s">
        <v>492</v>
      </c>
      <c r="D8" s="48">
        <f>SUM(D9:D14)</f>
        <v>3100</v>
      </c>
    </row>
    <row r="9" spans="2:8">
      <c r="B9" s="80" t="s">
        <v>503</v>
      </c>
      <c r="C9" s="40" t="s">
        <v>494</v>
      </c>
      <c r="D9" s="48">
        <v>100</v>
      </c>
    </row>
    <row r="10" spans="2:8">
      <c r="B10" s="80" t="s">
        <v>495</v>
      </c>
      <c r="C10" s="40" t="s">
        <v>496</v>
      </c>
      <c r="D10" s="48">
        <v>0</v>
      </c>
    </row>
    <row r="11" spans="2:8">
      <c r="B11" s="80" t="s">
        <v>497</v>
      </c>
      <c r="C11" s="40" t="s">
        <v>494</v>
      </c>
      <c r="D11" s="291">
        <v>3000</v>
      </c>
    </row>
    <row r="12" spans="2:8">
      <c r="B12" s="80" t="s">
        <v>498</v>
      </c>
      <c r="C12" s="40" t="s">
        <v>499</v>
      </c>
      <c r="D12" s="292"/>
    </row>
    <row r="13" spans="2:8" ht="28.8">
      <c r="B13" s="80" t="s">
        <v>500</v>
      </c>
      <c r="C13" s="40" t="s">
        <v>501</v>
      </c>
      <c r="D13" s="292"/>
    </row>
    <row r="14" spans="2:8">
      <c r="B14" s="80" t="s">
        <v>505</v>
      </c>
      <c r="C14" s="40" t="s">
        <v>501</v>
      </c>
      <c r="D14" s="293"/>
    </row>
    <row r="15" spans="2:8">
      <c r="B15" s="79" t="s">
        <v>506</v>
      </c>
      <c r="C15" s="40" t="s">
        <v>51</v>
      </c>
      <c r="D15" s="81">
        <v>5000</v>
      </c>
    </row>
    <row r="16" spans="2:8">
      <c r="B16" s="79" t="s">
        <v>123</v>
      </c>
      <c r="C16" s="40" t="s">
        <v>504</v>
      </c>
      <c r="D16" s="48">
        <f>SUM(D8+D5+D15)</f>
        <v>14100</v>
      </c>
    </row>
    <row r="17" spans="2:4">
      <c r="B17" s="77"/>
      <c r="C17" s="8"/>
      <c r="D17" s="78"/>
    </row>
    <row r="18" spans="2:4">
      <c r="B18" s="77"/>
      <c r="C18" s="8"/>
      <c r="D18" s="78"/>
    </row>
    <row r="19" spans="2:4">
      <c r="B19" s="77"/>
      <c r="C19" s="8"/>
      <c r="D19" s="78"/>
    </row>
    <row r="20" spans="2:4">
      <c r="B20" s="76"/>
      <c r="D20" s="21"/>
    </row>
    <row r="21" spans="2:4">
      <c r="D21" s="21"/>
    </row>
  </sheetData>
  <mergeCells count="2">
    <mergeCell ref="D11:D14"/>
    <mergeCell ref="B3:D3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A346A-876D-420B-AF4B-4F6A9B7CAEDE}">
  <dimension ref="A1:L110"/>
  <sheetViews>
    <sheetView showGridLines="0" workbookViewId="0">
      <selection activeCell="A55" sqref="A55:E56"/>
    </sheetView>
  </sheetViews>
  <sheetFormatPr defaultColWidth="8.77734375" defaultRowHeight="13.8"/>
  <cols>
    <col min="1" max="1" width="22.6640625" style="82" customWidth="1"/>
    <col min="2" max="2" width="14.33203125" style="82" customWidth="1"/>
    <col min="3" max="5" width="12.109375" style="82" customWidth="1"/>
    <col min="6" max="8" width="8.77734375" style="82"/>
    <col min="9" max="9" width="21" style="116" customWidth="1"/>
    <col min="10" max="10" width="12.33203125" style="116" customWidth="1"/>
    <col min="11" max="11" width="11.33203125" style="116" customWidth="1"/>
    <col min="12" max="12" width="17.6640625" style="116" customWidth="1"/>
    <col min="13" max="236" width="8.77734375" style="82"/>
    <col min="237" max="237" width="22.33203125" style="82" customWidth="1"/>
    <col min="238" max="254" width="9.44140625" style="82" customWidth="1"/>
    <col min="255" max="256" width="10.33203125" style="82" bestFit="1" customWidth="1"/>
    <col min="257" max="492" width="8.77734375" style="82"/>
    <col min="493" max="493" width="22.33203125" style="82" customWidth="1"/>
    <col min="494" max="510" width="9.44140625" style="82" customWidth="1"/>
    <col min="511" max="512" width="10.33203125" style="82" bestFit="1" customWidth="1"/>
    <col min="513" max="748" width="8.77734375" style="82"/>
    <col min="749" max="749" width="22.33203125" style="82" customWidth="1"/>
    <col min="750" max="766" width="9.44140625" style="82" customWidth="1"/>
    <col min="767" max="768" width="10.33203125" style="82" bestFit="1" customWidth="1"/>
    <col min="769" max="1004" width="8.77734375" style="82"/>
    <col min="1005" max="1005" width="22.33203125" style="82" customWidth="1"/>
    <col min="1006" max="1022" width="9.44140625" style="82" customWidth="1"/>
    <col min="1023" max="1024" width="10.33203125" style="82" bestFit="1" customWidth="1"/>
    <col min="1025" max="1260" width="8.77734375" style="82"/>
    <col min="1261" max="1261" width="22.33203125" style="82" customWidth="1"/>
    <col min="1262" max="1278" width="9.44140625" style="82" customWidth="1"/>
    <col min="1279" max="1280" width="10.33203125" style="82" bestFit="1" customWidth="1"/>
    <col min="1281" max="1516" width="8.77734375" style="82"/>
    <col min="1517" max="1517" width="22.33203125" style="82" customWidth="1"/>
    <col min="1518" max="1534" width="9.44140625" style="82" customWidth="1"/>
    <col min="1535" max="1536" width="10.33203125" style="82" bestFit="1" customWidth="1"/>
    <col min="1537" max="1772" width="8.77734375" style="82"/>
    <col min="1773" max="1773" width="22.33203125" style="82" customWidth="1"/>
    <col min="1774" max="1790" width="9.44140625" style="82" customWidth="1"/>
    <col min="1791" max="1792" width="10.33203125" style="82" bestFit="1" customWidth="1"/>
    <col min="1793" max="2028" width="8.77734375" style="82"/>
    <col min="2029" max="2029" width="22.33203125" style="82" customWidth="1"/>
    <col min="2030" max="2046" width="9.44140625" style="82" customWidth="1"/>
    <col min="2047" max="2048" width="10.33203125" style="82" bestFit="1" customWidth="1"/>
    <col min="2049" max="2284" width="8.77734375" style="82"/>
    <col min="2285" max="2285" width="22.33203125" style="82" customWidth="1"/>
    <col min="2286" max="2302" width="9.44140625" style="82" customWidth="1"/>
    <col min="2303" max="2304" width="10.33203125" style="82" bestFit="1" customWidth="1"/>
    <col min="2305" max="2540" width="8.77734375" style="82"/>
    <col min="2541" max="2541" width="22.33203125" style="82" customWidth="1"/>
    <col min="2542" max="2558" width="9.44140625" style="82" customWidth="1"/>
    <col min="2559" max="2560" width="10.33203125" style="82" bestFit="1" customWidth="1"/>
    <col min="2561" max="2796" width="8.77734375" style="82"/>
    <col min="2797" max="2797" width="22.33203125" style="82" customWidth="1"/>
    <col min="2798" max="2814" width="9.44140625" style="82" customWidth="1"/>
    <col min="2815" max="2816" width="10.33203125" style="82" bestFit="1" customWidth="1"/>
    <col min="2817" max="3052" width="8.77734375" style="82"/>
    <col min="3053" max="3053" width="22.33203125" style="82" customWidth="1"/>
    <col min="3054" max="3070" width="9.44140625" style="82" customWidth="1"/>
    <col min="3071" max="3072" width="10.33203125" style="82" bestFit="1" customWidth="1"/>
    <col min="3073" max="3308" width="8.77734375" style="82"/>
    <col min="3309" max="3309" width="22.33203125" style="82" customWidth="1"/>
    <col min="3310" max="3326" width="9.44140625" style="82" customWidth="1"/>
    <col min="3327" max="3328" width="10.33203125" style="82" bestFit="1" customWidth="1"/>
    <col min="3329" max="3564" width="8.77734375" style="82"/>
    <col min="3565" max="3565" width="22.33203125" style="82" customWidth="1"/>
    <col min="3566" max="3582" width="9.44140625" style="82" customWidth="1"/>
    <col min="3583" max="3584" width="10.33203125" style="82" bestFit="1" customWidth="1"/>
    <col min="3585" max="3820" width="8.77734375" style="82"/>
    <col min="3821" max="3821" width="22.33203125" style="82" customWidth="1"/>
    <col min="3822" max="3838" width="9.44140625" style="82" customWidth="1"/>
    <col min="3839" max="3840" width="10.33203125" style="82" bestFit="1" customWidth="1"/>
    <col min="3841" max="4076" width="8.77734375" style="82"/>
    <col min="4077" max="4077" width="22.33203125" style="82" customWidth="1"/>
    <col min="4078" max="4094" width="9.44140625" style="82" customWidth="1"/>
    <col min="4095" max="4096" width="10.33203125" style="82" bestFit="1" customWidth="1"/>
    <col min="4097" max="4332" width="8.77734375" style="82"/>
    <col min="4333" max="4333" width="22.33203125" style="82" customWidth="1"/>
    <col min="4334" max="4350" width="9.44140625" style="82" customWidth="1"/>
    <col min="4351" max="4352" width="10.33203125" style="82" bestFit="1" customWidth="1"/>
    <col min="4353" max="4588" width="8.77734375" style="82"/>
    <col min="4589" max="4589" width="22.33203125" style="82" customWidth="1"/>
    <col min="4590" max="4606" width="9.44140625" style="82" customWidth="1"/>
    <col min="4607" max="4608" width="10.33203125" style="82" bestFit="1" customWidth="1"/>
    <col min="4609" max="4844" width="8.77734375" style="82"/>
    <col min="4845" max="4845" width="22.33203125" style="82" customWidth="1"/>
    <col min="4846" max="4862" width="9.44140625" style="82" customWidth="1"/>
    <col min="4863" max="4864" width="10.33203125" style="82" bestFit="1" customWidth="1"/>
    <col min="4865" max="5100" width="8.77734375" style="82"/>
    <col min="5101" max="5101" width="22.33203125" style="82" customWidth="1"/>
    <col min="5102" max="5118" width="9.44140625" style="82" customWidth="1"/>
    <col min="5119" max="5120" width="10.33203125" style="82" bestFit="1" customWidth="1"/>
    <col min="5121" max="5356" width="8.77734375" style="82"/>
    <col min="5357" max="5357" width="22.33203125" style="82" customWidth="1"/>
    <col min="5358" max="5374" width="9.44140625" style="82" customWidth="1"/>
    <col min="5375" max="5376" width="10.33203125" style="82" bestFit="1" customWidth="1"/>
    <col min="5377" max="5612" width="8.77734375" style="82"/>
    <col min="5613" max="5613" width="22.33203125" style="82" customWidth="1"/>
    <col min="5614" max="5630" width="9.44140625" style="82" customWidth="1"/>
    <col min="5631" max="5632" width="10.33203125" style="82" bestFit="1" customWidth="1"/>
    <col min="5633" max="5868" width="8.77734375" style="82"/>
    <col min="5869" max="5869" width="22.33203125" style="82" customWidth="1"/>
    <col min="5870" max="5886" width="9.44140625" style="82" customWidth="1"/>
    <col min="5887" max="5888" width="10.33203125" style="82" bestFit="1" customWidth="1"/>
    <col min="5889" max="6124" width="8.77734375" style="82"/>
    <col min="6125" max="6125" width="22.33203125" style="82" customWidth="1"/>
    <col min="6126" max="6142" width="9.44140625" style="82" customWidth="1"/>
    <col min="6143" max="6144" width="10.33203125" style="82" bestFit="1" customWidth="1"/>
    <col min="6145" max="6380" width="8.77734375" style="82"/>
    <col min="6381" max="6381" width="22.33203125" style="82" customWidth="1"/>
    <col min="6382" max="6398" width="9.44140625" style="82" customWidth="1"/>
    <col min="6399" max="6400" width="10.33203125" style="82" bestFit="1" customWidth="1"/>
    <col min="6401" max="6636" width="8.77734375" style="82"/>
    <col min="6637" max="6637" width="22.33203125" style="82" customWidth="1"/>
    <col min="6638" max="6654" width="9.44140625" style="82" customWidth="1"/>
    <col min="6655" max="6656" width="10.33203125" style="82" bestFit="1" customWidth="1"/>
    <col min="6657" max="6892" width="8.77734375" style="82"/>
    <col min="6893" max="6893" width="22.33203125" style="82" customWidth="1"/>
    <col min="6894" max="6910" width="9.44140625" style="82" customWidth="1"/>
    <col min="6911" max="6912" width="10.33203125" style="82" bestFit="1" customWidth="1"/>
    <col min="6913" max="7148" width="8.77734375" style="82"/>
    <col min="7149" max="7149" width="22.33203125" style="82" customWidth="1"/>
    <col min="7150" max="7166" width="9.44140625" style="82" customWidth="1"/>
    <col min="7167" max="7168" width="10.33203125" style="82" bestFit="1" customWidth="1"/>
    <col min="7169" max="7404" width="8.77734375" style="82"/>
    <col min="7405" max="7405" width="22.33203125" style="82" customWidth="1"/>
    <col min="7406" max="7422" width="9.44140625" style="82" customWidth="1"/>
    <col min="7423" max="7424" width="10.33203125" style="82" bestFit="1" customWidth="1"/>
    <col min="7425" max="7660" width="8.77734375" style="82"/>
    <col min="7661" max="7661" width="22.33203125" style="82" customWidth="1"/>
    <col min="7662" max="7678" width="9.44140625" style="82" customWidth="1"/>
    <col min="7679" max="7680" width="10.33203125" style="82" bestFit="1" customWidth="1"/>
    <col min="7681" max="7916" width="8.77734375" style="82"/>
    <col min="7917" max="7917" width="22.33203125" style="82" customWidth="1"/>
    <col min="7918" max="7934" width="9.44140625" style="82" customWidth="1"/>
    <col min="7935" max="7936" width="10.33203125" style="82" bestFit="1" customWidth="1"/>
    <col min="7937" max="8172" width="8.77734375" style="82"/>
    <col min="8173" max="8173" width="22.33203125" style="82" customWidth="1"/>
    <col min="8174" max="8190" width="9.44140625" style="82" customWidth="1"/>
    <col min="8191" max="8192" width="10.33203125" style="82" bestFit="1" customWidth="1"/>
    <col min="8193" max="8428" width="8.77734375" style="82"/>
    <col min="8429" max="8429" width="22.33203125" style="82" customWidth="1"/>
    <col min="8430" max="8446" width="9.44140625" style="82" customWidth="1"/>
    <col min="8447" max="8448" width="10.33203125" style="82" bestFit="1" customWidth="1"/>
    <col min="8449" max="8684" width="8.77734375" style="82"/>
    <col min="8685" max="8685" width="22.33203125" style="82" customWidth="1"/>
    <col min="8686" max="8702" width="9.44140625" style="82" customWidth="1"/>
    <col min="8703" max="8704" width="10.33203125" style="82" bestFit="1" customWidth="1"/>
    <col min="8705" max="8940" width="8.77734375" style="82"/>
    <col min="8941" max="8941" width="22.33203125" style="82" customWidth="1"/>
    <col min="8942" max="8958" width="9.44140625" style="82" customWidth="1"/>
    <col min="8959" max="8960" width="10.33203125" style="82" bestFit="1" customWidth="1"/>
    <col min="8961" max="9196" width="8.77734375" style="82"/>
    <col min="9197" max="9197" width="22.33203125" style="82" customWidth="1"/>
    <col min="9198" max="9214" width="9.44140625" style="82" customWidth="1"/>
    <col min="9215" max="9216" width="10.33203125" style="82" bestFit="1" customWidth="1"/>
    <col min="9217" max="9452" width="8.77734375" style="82"/>
    <col min="9453" max="9453" width="22.33203125" style="82" customWidth="1"/>
    <col min="9454" max="9470" width="9.44140625" style="82" customWidth="1"/>
    <col min="9471" max="9472" width="10.33203125" style="82" bestFit="1" customWidth="1"/>
    <col min="9473" max="9708" width="8.77734375" style="82"/>
    <col min="9709" max="9709" width="22.33203125" style="82" customWidth="1"/>
    <col min="9710" max="9726" width="9.44140625" style="82" customWidth="1"/>
    <col min="9727" max="9728" width="10.33203125" style="82" bestFit="1" customWidth="1"/>
    <col min="9729" max="9964" width="8.77734375" style="82"/>
    <col min="9965" max="9965" width="22.33203125" style="82" customWidth="1"/>
    <col min="9966" max="9982" width="9.44140625" style="82" customWidth="1"/>
    <col min="9983" max="9984" width="10.33203125" style="82" bestFit="1" customWidth="1"/>
    <col min="9985" max="10220" width="8.77734375" style="82"/>
    <col min="10221" max="10221" width="22.33203125" style="82" customWidth="1"/>
    <col min="10222" max="10238" width="9.44140625" style="82" customWidth="1"/>
    <col min="10239" max="10240" width="10.33203125" style="82" bestFit="1" customWidth="1"/>
    <col min="10241" max="10476" width="8.77734375" style="82"/>
    <col min="10477" max="10477" width="22.33203125" style="82" customWidth="1"/>
    <col min="10478" max="10494" width="9.44140625" style="82" customWidth="1"/>
    <col min="10495" max="10496" width="10.33203125" style="82" bestFit="1" customWidth="1"/>
    <col min="10497" max="10732" width="8.77734375" style="82"/>
    <col min="10733" max="10733" width="22.33203125" style="82" customWidth="1"/>
    <col min="10734" max="10750" width="9.44140625" style="82" customWidth="1"/>
    <col min="10751" max="10752" width="10.33203125" style="82" bestFit="1" customWidth="1"/>
    <col min="10753" max="10988" width="8.77734375" style="82"/>
    <col min="10989" max="10989" width="22.33203125" style="82" customWidth="1"/>
    <col min="10990" max="11006" width="9.44140625" style="82" customWidth="1"/>
    <col min="11007" max="11008" width="10.33203125" style="82" bestFit="1" customWidth="1"/>
    <col min="11009" max="11244" width="8.77734375" style="82"/>
    <col min="11245" max="11245" width="22.33203125" style="82" customWidth="1"/>
    <col min="11246" max="11262" width="9.44140625" style="82" customWidth="1"/>
    <col min="11263" max="11264" width="10.33203125" style="82" bestFit="1" customWidth="1"/>
    <col min="11265" max="11500" width="8.77734375" style="82"/>
    <col min="11501" max="11501" width="22.33203125" style="82" customWidth="1"/>
    <col min="11502" max="11518" width="9.44140625" style="82" customWidth="1"/>
    <col min="11519" max="11520" width="10.33203125" style="82" bestFit="1" customWidth="1"/>
    <col min="11521" max="11756" width="8.77734375" style="82"/>
    <col min="11757" max="11757" width="22.33203125" style="82" customWidth="1"/>
    <col min="11758" max="11774" width="9.44140625" style="82" customWidth="1"/>
    <col min="11775" max="11776" width="10.33203125" style="82" bestFit="1" customWidth="1"/>
    <col min="11777" max="12012" width="8.77734375" style="82"/>
    <col min="12013" max="12013" width="22.33203125" style="82" customWidth="1"/>
    <col min="12014" max="12030" width="9.44140625" style="82" customWidth="1"/>
    <col min="12031" max="12032" width="10.33203125" style="82" bestFit="1" customWidth="1"/>
    <col min="12033" max="12268" width="8.77734375" style="82"/>
    <col min="12269" max="12269" width="22.33203125" style="82" customWidth="1"/>
    <col min="12270" max="12286" width="9.44140625" style="82" customWidth="1"/>
    <col min="12287" max="12288" width="10.33203125" style="82" bestFit="1" customWidth="1"/>
    <col min="12289" max="12524" width="8.77734375" style="82"/>
    <col min="12525" max="12525" width="22.33203125" style="82" customWidth="1"/>
    <col min="12526" max="12542" width="9.44140625" style="82" customWidth="1"/>
    <col min="12543" max="12544" width="10.33203125" style="82" bestFit="1" customWidth="1"/>
    <col min="12545" max="12780" width="8.77734375" style="82"/>
    <col min="12781" max="12781" width="22.33203125" style="82" customWidth="1"/>
    <col min="12782" max="12798" width="9.44140625" style="82" customWidth="1"/>
    <col min="12799" max="12800" width="10.33203125" style="82" bestFit="1" customWidth="1"/>
    <col min="12801" max="13036" width="8.77734375" style="82"/>
    <col min="13037" max="13037" width="22.33203125" style="82" customWidth="1"/>
    <col min="13038" max="13054" width="9.44140625" style="82" customWidth="1"/>
    <col min="13055" max="13056" width="10.33203125" style="82" bestFit="1" customWidth="1"/>
    <col min="13057" max="13292" width="8.77734375" style="82"/>
    <col min="13293" max="13293" width="22.33203125" style="82" customWidth="1"/>
    <col min="13294" max="13310" width="9.44140625" style="82" customWidth="1"/>
    <col min="13311" max="13312" width="10.33203125" style="82" bestFit="1" customWidth="1"/>
    <col min="13313" max="13548" width="8.77734375" style="82"/>
    <col min="13549" max="13549" width="22.33203125" style="82" customWidth="1"/>
    <col min="13550" max="13566" width="9.44140625" style="82" customWidth="1"/>
    <col min="13567" max="13568" width="10.33203125" style="82" bestFit="1" customWidth="1"/>
    <col min="13569" max="13804" width="8.77734375" style="82"/>
    <col min="13805" max="13805" width="22.33203125" style="82" customWidth="1"/>
    <col min="13806" max="13822" width="9.44140625" style="82" customWidth="1"/>
    <col min="13823" max="13824" width="10.33203125" style="82" bestFit="1" customWidth="1"/>
    <col min="13825" max="14060" width="8.77734375" style="82"/>
    <col min="14061" max="14061" width="22.33203125" style="82" customWidth="1"/>
    <col min="14062" max="14078" width="9.44140625" style="82" customWidth="1"/>
    <col min="14079" max="14080" width="10.33203125" style="82" bestFit="1" customWidth="1"/>
    <col min="14081" max="14316" width="8.77734375" style="82"/>
    <col min="14317" max="14317" width="22.33203125" style="82" customWidth="1"/>
    <col min="14318" max="14334" width="9.44140625" style="82" customWidth="1"/>
    <col min="14335" max="14336" width="10.33203125" style="82" bestFit="1" customWidth="1"/>
    <col min="14337" max="14572" width="8.77734375" style="82"/>
    <col min="14573" max="14573" width="22.33203125" style="82" customWidth="1"/>
    <col min="14574" max="14590" width="9.44140625" style="82" customWidth="1"/>
    <col min="14591" max="14592" width="10.33203125" style="82" bestFit="1" customWidth="1"/>
    <col min="14593" max="14828" width="8.77734375" style="82"/>
    <col min="14829" max="14829" width="22.33203125" style="82" customWidth="1"/>
    <col min="14830" max="14846" width="9.44140625" style="82" customWidth="1"/>
    <col min="14847" max="14848" width="10.33203125" style="82" bestFit="1" customWidth="1"/>
    <col min="14849" max="15084" width="8.77734375" style="82"/>
    <col min="15085" max="15085" width="22.33203125" style="82" customWidth="1"/>
    <col min="15086" max="15102" width="9.44140625" style="82" customWidth="1"/>
    <col min="15103" max="15104" width="10.33203125" style="82" bestFit="1" customWidth="1"/>
    <col min="15105" max="15340" width="8.77734375" style="82"/>
    <col min="15341" max="15341" width="22.33203125" style="82" customWidth="1"/>
    <col min="15342" max="15358" width="9.44140625" style="82" customWidth="1"/>
    <col min="15359" max="15360" width="10.33203125" style="82" bestFit="1" customWidth="1"/>
    <col min="15361" max="15596" width="8.77734375" style="82"/>
    <col min="15597" max="15597" width="22.33203125" style="82" customWidth="1"/>
    <col min="15598" max="15614" width="9.44140625" style="82" customWidth="1"/>
    <col min="15615" max="15616" width="10.33203125" style="82" bestFit="1" customWidth="1"/>
    <col min="15617" max="15852" width="8.77734375" style="82"/>
    <col min="15853" max="15853" width="22.33203125" style="82" customWidth="1"/>
    <col min="15854" max="15870" width="9.44140625" style="82" customWidth="1"/>
    <col min="15871" max="15872" width="10.33203125" style="82" bestFit="1" customWidth="1"/>
    <col min="15873" max="16108" width="8.77734375" style="82"/>
    <col min="16109" max="16109" width="22.33203125" style="82" customWidth="1"/>
    <col min="16110" max="16126" width="9.44140625" style="82" customWidth="1"/>
    <col min="16127" max="16128" width="10.33203125" style="82" bestFit="1" customWidth="1"/>
    <col min="16129" max="16384" width="8.77734375" style="82"/>
  </cols>
  <sheetData>
    <row r="1" spans="1:12" ht="13.2">
      <c r="A1" s="108"/>
      <c r="B1" s="109">
        <v>45352</v>
      </c>
      <c r="C1" s="108"/>
      <c r="I1" s="83"/>
      <c r="J1" s="83"/>
      <c r="K1" s="83"/>
      <c r="L1" s="114"/>
    </row>
    <row r="2" spans="1:12" ht="13.2">
      <c r="A2" s="110" t="s">
        <v>453</v>
      </c>
      <c r="B2" s="111">
        <v>4740013</v>
      </c>
      <c r="C2" s="108"/>
      <c r="I2" s="296"/>
      <c r="J2" s="296" t="s">
        <v>521</v>
      </c>
      <c r="K2" s="296"/>
      <c r="L2" s="296" t="s">
        <v>522</v>
      </c>
    </row>
    <row r="3" spans="1:12" ht="20.399999999999999">
      <c r="A3" s="112" t="s">
        <v>507</v>
      </c>
      <c r="B3" s="111">
        <v>43638</v>
      </c>
      <c r="C3" s="108"/>
      <c r="I3" s="296"/>
      <c r="J3" s="115" t="s">
        <v>523</v>
      </c>
      <c r="K3" s="115" t="s">
        <v>524</v>
      </c>
      <c r="L3" s="296"/>
    </row>
    <row r="4" spans="1:12" ht="20.399999999999999">
      <c r="A4" s="112" t="s">
        <v>422</v>
      </c>
      <c r="B4" s="111">
        <v>196888</v>
      </c>
      <c r="C4" s="108"/>
      <c r="I4" s="296"/>
      <c r="J4" s="115" t="s">
        <v>525</v>
      </c>
      <c r="K4" s="115" t="s">
        <v>525</v>
      </c>
      <c r="L4" s="296"/>
    </row>
    <row r="5" spans="1:12" ht="13.2">
      <c r="A5" s="112" t="s">
        <v>423</v>
      </c>
      <c r="B5" s="111">
        <v>184029</v>
      </c>
      <c r="C5" s="108"/>
      <c r="I5" s="202" t="s">
        <v>453</v>
      </c>
      <c r="J5" s="203">
        <v>4460186</v>
      </c>
      <c r="K5" s="203">
        <v>230712</v>
      </c>
      <c r="L5" s="204">
        <v>22.263587285046789</v>
      </c>
    </row>
    <row r="6" spans="1:12" ht="13.2">
      <c r="A6" s="112" t="s">
        <v>424</v>
      </c>
      <c r="B6" s="111">
        <v>527389</v>
      </c>
      <c r="C6" s="108"/>
      <c r="I6" s="205" t="s">
        <v>507</v>
      </c>
      <c r="J6" s="203">
        <v>39127</v>
      </c>
      <c r="K6" s="203">
        <v>1423</v>
      </c>
      <c r="L6" s="204">
        <v>6.440064784151585</v>
      </c>
    </row>
    <row r="7" spans="1:12" ht="13.2">
      <c r="A7" s="112" t="s">
        <v>425</v>
      </c>
      <c r="B7" s="111">
        <v>129996</v>
      </c>
      <c r="C7" s="108"/>
      <c r="I7" s="205" t="s">
        <v>422</v>
      </c>
      <c r="J7" s="203">
        <v>183631</v>
      </c>
      <c r="K7" s="203">
        <v>11590</v>
      </c>
      <c r="L7" s="204">
        <v>23.303071526829541</v>
      </c>
    </row>
    <row r="8" spans="1:12" ht="13.2">
      <c r="A8" s="112" t="s">
        <v>426</v>
      </c>
      <c r="B8" s="111">
        <v>146768</v>
      </c>
      <c r="C8" s="108"/>
      <c r="I8" s="205" t="s">
        <v>423</v>
      </c>
      <c r="J8" s="203">
        <v>174355</v>
      </c>
      <c r="K8" s="203">
        <v>8082</v>
      </c>
      <c r="L8" s="204">
        <v>18.560251224185649</v>
      </c>
    </row>
    <row r="9" spans="1:12" ht="13.2">
      <c r="A9" s="112" t="s">
        <v>427</v>
      </c>
      <c r="B9" s="111">
        <v>250213</v>
      </c>
      <c r="C9" s="108"/>
      <c r="I9" s="205" t="s">
        <v>424</v>
      </c>
      <c r="J9" s="203">
        <v>514064</v>
      </c>
      <c r="K9" s="203">
        <v>10696</v>
      </c>
      <c r="L9" s="204">
        <v>33.576043536305946</v>
      </c>
    </row>
    <row r="10" spans="1:12" ht="13.2">
      <c r="A10" s="113" t="s">
        <v>508</v>
      </c>
      <c r="B10" s="111">
        <v>46970</v>
      </c>
      <c r="C10" s="108"/>
      <c r="I10" s="205" t="s">
        <v>425</v>
      </c>
      <c r="J10" s="203">
        <v>121891</v>
      </c>
      <c r="K10" s="203">
        <v>7152</v>
      </c>
      <c r="L10" s="204">
        <v>17.312144393092808</v>
      </c>
    </row>
    <row r="11" spans="1:12" ht="13.2">
      <c r="A11" s="112" t="s">
        <v>429</v>
      </c>
      <c r="B11" s="111">
        <v>313100</v>
      </c>
      <c r="C11" s="108"/>
      <c r="I11" s="205" t="s">
        <v>426</v>
      </c>
      <c r="J11" s="203">
        <v>138615</v>
      </c>
      <c r="K11" s="203">
        <v>6774</v>
      </c>
      <c r="L11" s="204">
        <v>19.994980158644296</v>
      </c>
    </row>
    <row r="12" spans="1:12" ht="13.2">
      <c r="A12" s="112" t="s">
        <v>430</v>
      </c>
      <c r="B12" s="111">
        <v>199321</v>
      </c>
      <c r="C12" s="108"/>
      <c r="I12" s="205" t="s">
        <v>427</v>
      </c>
      <c r="J12" s="203">
        <v>241324</v>
      </c>
      <c r="K12" s="203">
        <v>6069</v>
      </c>
      <c r="L12" s="204">
        <v>19.738638324811856</v>
      </c>
    </row>
    <row r="13" spans="1:12" ht="13.2">
      <c r="A13" s="112" t="s">
        <v>431</v>
      </c>
      <c r="B13" s="111">
        <v>141094</v>
      </c>
      <c r="C13" s="108"/>
      <c r="I13" s="206" t="s">
        <v>508</v>
      </c>
      <c r="J13" s="203">
        <v>41596</v>
      </c>
      <c r="K13" s="203">
        <v>1280</v>
      </c>
      <c r="L13" s="204">
        <v>5.9593293963593013</v>
      </c>
    </row>
    <row r="14" spans="1:12" ht="13.2">
      <c r="A14" s="112" t="s">
        <v>432</v>
      </c>
      <c r="B14" s="111">
        <v>162875</v>
      </c>
      <c r="C14" s="108"/>
      <c r="I14" s="205" t="s">
        <v>429</v>
      </c>
      <c r="J14" s="203">
        <v>299634</v>
      </c>
      <c r="K14" s="203">
        <v>12073</v>
      </c>
      <c r="L14" s="204">
        <v>26.389915193705189</v>
      </c>
    </row>
    <row r="15" spans="1:12" ht="13.2">
      <c r="A15" s="112" t="s">
        <v>509</v>
      </c>
      <c r="B15" s="111">
        <v>137916</v>
      </c>
      <c r="C15" s="108"/>
      <c r="I15" s="205" t="s">
        <v>430</v>
      </c>
      <c r="J15" s="203">
        <v>187152</v>
      </c>
      <c r="K15" s="203">
        <v>10556</v>
      </c>
      <c r="L15" s="204">
        <v>22.548488068645948</v>
      </c>
    </row>
    <row r="16" spans="1:12" ht="13.2">
      <c r="A16" s="112" t="s">
        <v>433</v>
      </c>
      <c r="B16" s="111">
        <v>176488</v>
      </c>
      <c r="C16" s="108"/>
      <c r="I16" s="205" t="s">
        <v>431</v>
      </c>
      <c r="J16" s="203">
        <v>133489</v>
      </c>
      <c r="K16" s="203">
        <v>5980</v>
      </c>
      <c r="L16" s="204">
        <v>15.856983171206574</v>
      </c>
    </row>
    <row r="17" spans="1:12" ht="13.2">
      <c r="A17" s="112" t="s">
        <v>434</v>
      </c>
      <c r="B17" s="111">
        <v>145445</v>
      </c>
      <c r="C17" s="108"/>
      <c r="I17" s="205" t="s">
        <v>432</v>
      </c>
      <c r="J17" s="203">
        <v>154726</v>
      </c>
      <c r="K17" s="203">
        <v>6784</v>
      </c>
      <c r="L17" s="204">
        <v>19.662302377506141</v>
      </c>
    </row>
    <row r="18" spans="1:12" ht="13.2">
      <c r="A18" s="112" t="s">
        <v>435</v>
      </c>
      <c r="B18" s="111">
        <v>261268</v>
      </c>
      <c r="C18" s="108"/>
      <c r="I18" s="205" t="s">
        <v>509</v>
      </c>
      <c r="J18" s="203">
        <v>135922</v>
      </c>
      <c r="K18" s="203">
        <v>4715</v>
      </c>
      <c r="L18" s="204" t="s">
        <v>51</v>
      </c>
    </row>
    <row r="19" spans="1:12" ht="13.2">
      <c r="A19" s="113" t="s">
        <v>510</v>
      </c>
      <c r="B19" s="111">
        <v>18144</v>
      </c>
      <c r="C19" s="108"/>
      <c r="I19" s="205" t="s">
        <v>433</v>
      </c>
      <c r="J19" s="203">
        <v>167030</v>
      </c>
      <c r="K19" s="203">
        <v>7910</v>
      </c>
      <c r="L19" s="204">
        <v>22.153783305944501</v>
      </c>
    </row>
    <row r="20" spans="1:12" ht="13.2">
      <c r="A20" s="112" t="s">
        <v>437</v>
      </c>
      <c r="B20" s="111">
        <v>296598</v>
      </c>
      <c r="C20" s="108"/>
      <c r="I20" s="205" t="s">
        <v>434</v>
      </c>
      <c r="J20" s="203">
        <v>136072</v>
      </c>
      <c r="K20" s="203">
        <v>8449</v>
      </c>
      <c r="L20" s="204">
        <v>25.667956930831277</v>
      </c>
    </row>
    <row r="21" spans="1:12" ht="13.2">
      <c r="A21" s="112" t="s">
        <v>416</v>
      </c>
      <c r="B21" s="111">
        <v>356542</v>
      </c>
      <c r="C21" s="108"/>
      <c r="I21" s="205" t="s">
        <v>435</v>
      </c>
      <c r="J21" s="203">
        <v>250922</v>
      </c>
      <c r="K21" s="203">
        <v>2873</v>
      </c>
      <c r="L21" s="204">
        <v>11.714351740542156</v>
      </c>
    </row>
    <row r="22" spans="1:12" ht="13.2">
      <c r="A22" s="112" t="s">
        <v>16</v>
      </c>
      <c r="B22" s="111">
        <v>571106</v>
      </c>
      <c r="C22" s="108"/>
      <c r="I22" s="206" t="s">
        <v>510</v>
      </c>
      <c r="J22" s="203">
        <v>16500</v>
      </c>
      <c r="K22" s="203">
        <v>579</v>
      </c>
      <c r="L22" s="204">
        <v>7.4461171883461494</v>
      </c>
    </row>
    <row r="23" spans="1:12" ht="13.2">
      <c r="A23" s="112" t="s">
        <v>417</v>
      </c>
      <c r="B23" s="111">
        <v>195760</v>
      </c>
      <c r="C23" s="108"/>
      <c r="I23" s="205" t="s">
        <v>437</v>
      </c>
      <c r="J23" s="203">
        <v>284784</v>
      </c>
      <c r="K23" s="203">
        <v>12364</v>
      </c>
      <c r="L23" s="204">
        <v>39.168664408290248</v>
      </c>
    </row>
    <row r="24" spans="1:12" ht="26.4">
      <c r="A24" s="112" t="s">
        <v>511</v>
      </c>
      <c r="B24" s="111">
        <v>36382</v>
      </c>
      <c r="C24" s="108"/>
      <c r="I24" s="205" t="s">
        <v>416</v>
      </c>
      <c r="J24" s="203">
        <v>330681</v>
      </c>
      <c r="K24" s="203">
        <v>20683</v>
      </c>
      <c r="L24" s="204">
        <v>23.122346406215915</v>
      </c>
    </row>
    <row r="25" spans="1:12" ht="13.2">
      <c r="A25" s="112" t="s">
        <v>512</v>
      </c>
      <c r="B25" s="111">
        <v>202083</v>
      </c>
      <c r="C25" s="108"/>
      <c r="I25" s="205" t="s">
        <v>16</v>
      </c>
      <c r="J25" s="203">
        <v>524364</v>
      </c>
      <c r="K25" s="203">
        <v>40084</v>
      </c>
      <c r="L25" s="204">
        <v>23.529749631481053</v>
      </c>
    </row>
    <row r="26" spans="1:12" ht="13.2">
      <c r="I26" s="205" t="s">
        <v>417</v>
      </c>
      <c r="J26" s="203">
        <v>187231</v>
      </c>
      <c r="K26" s="203">
        <v>4025</v>
      </c>
      <c r="L26" s="204">
        <v>15.320996190842473</v>
      </c>
    </row>
    <row r="27" spans="1:12" ht="13.2">
      <c r="I27" s="205" t="s">
        <v>511</v>
      </c>
      <c r="J27" s="203">
        <v>18887</v>
      </c>
      <c r="K27" s="203">
        <v>16892</v>
      </c>
      <c r="L27" s="204" t="s">
        <v>51</v>
      </c>
    </row>
    <row r="28" spans="1:12" ht="13.2">
      <c r="I28" s="205" t="s">
        <v>512</v>
      </c>
      <c r="J28" s="203">
        <v>178189</v>
      </c>
      <c r="K28" s="203">
        <v>23679</v>
      </c>
      <c r="L28" s="204" t="s">
        <v>51</v>
      </c>
    </row>
    <row r="30" spans="1:12">
      <c r="A30" s="297" t="s">
        <v>513</v>
      </c>
      <c r="B30" s="297"/>
      <c r="C30" s="297"/>
      <c r="D30" s="297"/>
      <c r="E30" s="297"/>
      <c r="J30" s="117"/>
    </row>
    <row r="31" spans="1:12">
      <c r="B31" s="84"/>
      <c r="C31" s="84"/>
      <c r="D31" s="85"/>
      <c r="E31" s="85" t="s">
        <v>514</v>
      </c>
    </row>
    <row r="32" spans="1:12">
      <c r="A32" s="86"/>
      <c r="B32" s="87">
        <v>2019</v>
      </c>
      <c r="C32" s="87">
        <v>2020</v>
      </c>
      <c r="D32" s="87">
        <v>2021</v>
      </c>
      <c r="E32" s="87">
        <v>2022</v>
      </c>
    </row>
    <row r="33" spans="1:7">
      <c r="A33" s="88" t="s">
        <v>453</v>
      </c>
      <c r="B33" s="89">
        <v>3776.9</v>
      </c>
      <c r="C33" s="90">
        <v>3870.3</v>
      </c>
      <c r="D33" s="90">
        <v>3798.1</v>
      </c>
      <c r="E33" s="90">
        <v>3909.6</v>
      </c>
      <c r="F33" s="91"/>
      <c r="G33" s="91"/>
    </row>
    <row r="34" spans="1:7">
      <c r="A34" s="92" t="s">
        <v>421</v>
      </c>
      <c r="B34" s="90" t="s">
        <v>51</v>
      </c>
      <c r="C34" s="90" t="s">
        <v>51</v>
      </c>
      <c r="D34" s="90" t="s">
        <v>51</v>
      </c>
      <c r="E34" s="90">
        <v>7.1070000000000002</v>
      </c>
      <c r="F34" s="91"/>
      <c r="G34" s="91"/>
    </row>
    <row r="35" spans="1:7">
      <c r="A35" s="92" t="s">
        <v>422</v>
      </c>
      <c r="B35" s="89">
        <v>174.48699999999999</v>
      </c>
      <c r="C35" s="93">
        <v>169.93600000000001</v>
      </c>
      <c r="D35" s="93">
        <v>163.434</v>
      </c>
      <c r="E35" s="90">
        <v>168.398</v>
      </c>
      <c r="F35" s="91"/>
      <c r="G35" s="91"/>
    </row>
    <row r="36" spans="1:7">
      <c r="A36" s="92" t="s">
        <v>423</v>
      </c>
      <c r="B36" s="89">
        <v>142.85</v>
      </c>
      <c r="C36" s="93">
        <v>135.69999999999999</v>
      </c>
      <c r="D36" s="93">
        <v>128.50399999999999</v>
      </c>
      <c r="E36" s="90">
        <v>132.833</v>
      </c>
      <c r="F36" s="91"/>
      <c r="G36" s="91"/>
    </row>
    <row r="37" spans="1:7">
      <c r="A37" s="92" t="s">
        <v>424</v>
      </c>
      <c r="B37" s="89">
        <v>493.48899999999998</v>
      </c>
      <c r="C37" s="93">
        <v>486.00599999999997</v>
      </c>
      <c r="D37" s="93">
        <v>476.41399999999999</v>
      </c>
      <c r="E37" s="90">
        <v>483.233</v>
      </c>
      <c r="F37" s="91"/>
      <c r="G37" s="91"/>
    </row>
    <row r="38" spans="1:7">
      <c r="A38" s="92" t="s">
        <v>425</v>
      </c>
      <c r="B38" s="89">
        <v>110.43899999999999</v>
      </c>
      <c r="C38" s="93">
        <v>104.819</v>
      </c>
      <c r="D38" s="93">
        <v>97.36</v>
      </c>
      <c r="E38" s="90">
        <v>98.227000000000004</v>
      </c>
      <c r="F38" s="91"/>
      <c r="G38" s="91"/>
    </row>
    <row r="39" spans="1:7">
      <c r="A39" s="92" t="s">
        <v>426</v>
      </c>
      <c r="B39" s="89">
        <v>114.092</v>
      </c>
      <c r="C39" s="93">
        <v>111.77</v>
      </c>
      <c r="D39" s="93">
        <v>107.461</v>
      </c>
      <c r="E39" s="90">
        <v>111.3</v>
      </c>
      <c r="F39" s="91"/>
      <c r="G39" s="91"/>
    </row>
    <row r="40" spans="1:7">
      <c r="A40" s="92" t="s">
        <v>427</v>
      </c>
      <c r="B40" s="89">
        <v>198.529</v>
      </c>
      <c r="C40" s="93">
        <v>199.64</v>
      </c>
      <c r="D40" s="93">
        <v>195.62100000000001</v>
      </c>
      <c r="E40" s="90">
        <v>203.72499999999999</v>
      </c>
      <c r="F40" s="91"/>
      <c r="G40" s="91"/>
    </row>
    <row r="41" spans="1:7">
      <c r="A41" s="92" t="s">
        <v>428</v>
      </c>
      <c r="B41" s="94" t="s">
        <v>51</v>
      </c>
      <c r="C41" s="94" t="s">
        <v>51</v>
      </c>
      <c r="D41" s="94" t="s">
        <v>51</v>
      </c>
      <c r="E41" s="90">
        <v>9.9740000000000002</v>
      </c>
      <c r="F41" s="91"/>
      <c r="G41" s="91"/>
    </row>
    <row r="42" spans="1:7">
      <c r="A42" s="92" t="s">
        <v>429</v>
      </c>
      <c r="B42" s="89">
        <v>282.38499999999999</v>
      </c>
      <c r="C42" s="93">
        <v>279.84300000000002</v>
      </c>
      <c r="D42" s="93">
        <v>274.01499999999999</v>
      </c>
      <c r="E42" s="90">
        <v>281.40199999999999</v>
      </c>
      <c r="F42" s="91"/>
      <c r="G42" s="91"/>
    </row>
    <row r="43" spans="1:7">
      <c r="A43" s="92" t="s">
        <v>430</v>
      </c>
      <c r="B43" s="89">
        <v>166.16900000000001</v>
      </c>
      <c r="C43" s="93">
        <v>163.774</v>
      </c>
      <c r="D43" s="93">
        <v>159.209</v>
      </c>
      <c r="E43" s="90">
        <v>164.38399999999999</v>
      </c>
      <c r="F43" s="91"/>
      <c r="G43" s="91"/>
    </row>
    <row r="44" spans="1:7">
      <c r="A44" s="92" t="s">
        <v>431</v>
      </c>
      <c r="B44" s="89">
        <v>112.42700000000001</v>
      </c>
      <c r="C44" s="93">
        <v>108.60599999999999</v>
      </c>
      <c r="D44" s="93">
        <v>102.136</v>
      </c>
      <c r="E44" s="90">
        <v>105.598</v>
      </c>
      <c r="F44" s="91"/>
      <c r="G44" s="91"/>
    </row>
    <row r="45" spans="1:7">
      <c r="A45" s="92" t="s">
        <v>432</v>
      </c>
      <c r="B45" s="89">
        <v>136.482</v>
      </c>
      <c r="C45" s="93">
        <v>131.03800000000001</v>
      </c>
      <c r="D45" s="93">
        <v>125.649</v>
      </c>
      <c r="E45" s="90">
        <v>127.83199999999999</v>
      </c>
      <c r="F45" s="91"/>
      <c r="G45" s="91"/>
    </row>
    <row r="46" spans="1:7">
      <c r="A46" s="92" t="s">
        <v>509</v>
      </c>
      <c r="B46" s="89">
        <v>226.809</v>
      </c>
      <c r="C46" s="93">
        <v>197.071</v>
      </c>
      <c r="D46" s="93">
        <v>167.898</v>
      </c>
      <c r="E46" s="90">
        <v>155.11500000000001</v>
      </c>
      <c r="F46" s="91"/>
      <c r="G46" s="91"/>
    </row>
    <row r="47" spans="1:7">
      <c r="A47" s="92" t="s">
        <v>433</v>
      </c>
      <c r="B47" s="89">
        <v>152.16900000000001</v>
      </c>
      <c r="C47" s="93">
        <v>149.667</v>
      </c>
      <c r="D47" s="93">
        <v>145.29900000000001</v>
      </c>
      <c r="E47" s="90">
        <v>150.09700000000001</v>
      </c>
      <c r="F47" s="91"/>
      <c r="G47" s="91"/>
    </row>
    <row r="48" spans="1:7">
      <c r="A48" s="92" t="s">
        <v>434</v>
      </c>
      <c r="B48" s="89">
        <v>130.89099999999999</v>
      </c>
      <c r="C48" s="93">
        <v>126.46</v>
      </c>
      <c r="D48" s="93">
        <v>121.077</v>
      </c>
      <c r="E48" s="90">
        <v>123.52</v>
      </c>
      <c r="F48" s="91"/>
      <c r="G48" s="91"/>
    </row>
    <row r="49" spans="1:7">
      <c r="A49" s="92" t="s">
        <v>435</v>
      </c>
      <c r="B49" s="89">
        <v>60.183999999999997</v>
      </c>
      <c r="C49" s="93">
        <v>111.06399999999999</v>
      </c>
      <c r="D49" s="93">
        <v>146.62</v>
      </c>
      <c r="E49" s="90">
        <v>174.98400000000001</v>
      </c>
      <c r="F49" s="91"/>
      <c r="G49" s="91"/>
    </row>
    <row r="50" spans="1:7">
      <c r="A50" s="92" t="s">
        <v>436</v>
      </c>
      <c r="B50" s="94" t="s">
        <v>51</v>
      </c>
      <c r="C50" s="94" t="s">
        <v>51</v>
      </c>
      <c r="D50" s="94" t="s">
        <v>51</v>
      </c>
      <c r="E50" s="90">
        <v>3.4950000000000001</v>
      </c>
      <c r="F50" s="91"/>
      <c r="G50" s="91"/>
    </row>
    <row r="51" spans="1:7" ht="14.25" customHeight="1">
      <c r="A51" s="92" t="s">
        <v>437</v>
      </c>
      <c r="B51" s="89">
        <v>294.589</v>
      </c>
      <c r="C51" s="93">
        <v>292.11599999999999</v>
      </c>
      <c r="D51" s="93">
        <v>284.31700000000001</v>
      </c>
      <c r="E51" s="90">
        <v>285.39699999999999</v>
      </c>
      <c r="F51" s="91"/>
      <c r="G51" s="91"/>
    </row>
    <row r="52" spans="1:7">
      <c r="A52" s="92" t="s">
        <v>515</v>
      </c>
      <c r="B52" s="89">
        <v>270.68700000000001</v>
      </c>
      <c r="C52" s="93">
        <v>273.05700000000002</v>
      </c>
      <c r="D52" s="93">
        <v>273.68200000000002</v>
      </c>
      <c r="E52" s="90">
        <v>287.53800000000001</v>
      </c>
      <c r="F52" s="91"/>
      <c r="G52" s="91"/>
    </row>
    <row r="53" spans="1:7">
      <c r="A53" s="92" t="s">
        <v>516</v>
      </c>
      <c r="B53" s="89">
        <v>469.983</v>
      </c>
      <c r="C53" s="95">
        <v>466.96800000000002</v>
      </c>
      <c r="D53" s="93">
        <v>463.04199999999997</v>
      </c>
      <c r="E53" s="90">
        <v>484.041</v>
      </c>
      <c r="F53" s="91"/>
      <c r="G53" s="91"/>
    </row>
    <row r="54" spans="1:7">
      <c r="A54" s="92" t="s">
        <v>517</v>
      </c>
      <c r="B54" s="89">
        <v>72.436999999999998</v>
      </c>
      <c r="C54" s="95">
        <v>100.15900000000001</v>
      </c>
      <c r="D54" s="93">
        <v>118.462</v>
      </c>
      <c r="E54" s="90">
        <v>137.54400000000001</v>
      </c>
      <c r="F54" s="91"/>
      <c r="G54" s="91"/>
    </row>
    <row r="55" spans="1:7" ht="24.75" customHeight="1">
      <c r="A55" s="298"/>
      <c r="B55" s="298"/>
      <c r="C55" s="298"/>
      <c r="D55" s="298"/>
      <c r="E55" s="298"/>
    </row>
    <row r="56" spans="1:7" ht="15">
      <c r="A56" s="96"/>
      <c r="B56" s="97"/>
    </row>
    <row r="57" spans="1:7" ht="15">
      <c r="A57" s="96"/>
      <c r="B57" s="97"/>
    </row>
    <row r="58" spans="1:7">
      <c r="A58" s="297" t="s">
        <v>518</v>
      </c>
      <c r="B58" s="297"/>
      <c r="C58" s="297"/>
      <c r="D58" s="297"/>
      <c r="E58" s="297"/>
    </row>
    <row r="59" spans="1:7" ht="15" customHeight="1">
      <c r="B59" s="84"/>
      <c r="C59" s="84"/>
      <c r="D59" s="295" t="s">
        <v>514</v>
      </c>
      <c r="E59" s="295"/>
    </row>
    <row r="60" spans="1:7">
      <c r="A60" s="86"/>
      <c r="B60" s="98">
        <v>2019</v>
      </c>
      <c r="C60" s="87">
        <v>2020</v>
      </c>
      <c r="D60" s="87">
        <v>2021</v>
      </c>
      <c r="E60" s="87">
        <v>2022</v>
      </c>
    </row>
    <row r="61" spans="1:7">
      <c r="A61" s="88" t="s">
        <v>453</v>
      </c>
      <c r="B61" s="99">
        <v>3568.2</v>
      </c>
      <c r="C61" s="90">
        <v>3659.5</v>
      </c>
      <c r="D61" s="90">
        <v>3590</v>
      </c>
      <c r="E61" s="89">
        <v>3696.6</v>
      </c>
      <c r="F61" s="100"/>
    </row>
    <row r="62" spans="1:7">
      <c r="A62" s="92" t="s">
        <v>421</v>
      </c>
      <c r="B62" s="90" t="s">
        <v>51</v>
      </c>
      <c r="C62" s="90" t="s">
        <v>51</v>
      </c>
      <c r="D62" s="90" t="s">
        <v>51</v>
      </c>
      <c r="E62" s="89">
        <v>6.8639999999999999</v>
      </c>
      <c r="F62" s="100"/>
    </row>
    <row r="63" spans="1:7" ht="12.75" customHeight="1">
      <c r="A63" s="92" t="s">
        <v>422</v>
      </c>
      <c r="B63" s="101">
        <v>163.386</v>
      </c>
      <c r="C63" s="93">
        <v>158.74600000000001</v>
      </c>
      <c r="D63" s="93">
        <v>152.31</v>
      </c>
      <c r="E63" s="89">
        <v>157.15199999999999</v>
      </c>
      <c r="F63" s="100"/>
    </row>
    <row r="64" spans="1:7" ht="12.75" customHeight="1">
      <c r="A64" s="92" t="s">
        <v>423</v>
      </c>
      <c r="B64" s="101">
        <v>134.53899999999999</v>
      </c>
      <c r="C64" s="93">
        <v>127.76600000000001</v>
      </c>
      <c r="D64" s="93">
        <v>120.913</v>
      </c>
      <c r="E64" s="89">
        <v>125.247</v>
      </c>
      <c r="F64" s="100"/>
    </row>
    <row r="65" spans="1:6" ht="12.75" customHeight="1">
      <c r="A65" s="92" t="s">
        <v>424</v>
      </c>
      <c r="B65" s="101">
        <v>481.87900000000002</v>
      </c>
      <c r="C65" s="93">
        <v>474.46499999999997</v>
      </c>
      <c r="D65" s="93">
        <v>465.32799999999997</v>
      </c>
      <c r="E65" s="89">
        <v>472.47300000000001</v>
      </c>
      <c r="F65" s="100"/>
    </row>
    <row r="66" spans="1:6" ht="12.75" customHeight="1">
      <c r="A66" s="92" t="s">
        <v>425</v>
      </c>
      <c r="B66" s="101">
        <v>103.13</v>
      </c>
      <c r="C66" s="93">
        <v>97.694999999999993</v>
      </c>
      <c r="D66" s="93">
        <v>90.572999999999993</v>
      </c>
      <c r="E66" s="89">
        <v>91.352999999999994</v>
      </c>
      <c r="F66" s="100"/>
    </row>
    <row r="67" spans="1:6" ht="12.75" customHeight="1">
      <c r="A67" s="92" t="s">
        <v>426</v>
      </c>
      <c r="B67" s="101">
        <v>107.622</v>
      </c>
      <c r="C67" s="93">
        <v>105.45699999999999</v>
      </c>
      <c r="D67" s="93">
        <v>101.303</v>
      </c>
      <c r="E67" s="89">
        <v>104.992</v>
      </c>
      <c r="F67" s="100"/>
    </row>
    <row r="68" spans="1:6" ht="12.75" customHeight="1">
      <c r="A68" s="92" t="s">
        <v>427</v>
      </c>
      <c r="B68" s="101">
        <v>192.703</v>
      </c>
      <c r="C68" s="93">
        <v>193.749</v>
      </c>
      <c r="D68" s="93">
        <v>189.852</v>
      </c>
      <c r="E68" s="89">
        <v>197.851</v>
      </c>
      <c r="F68" s="100"/>
    </row>
    <row r="69" spans="1:6" ht="12.75" customHeight="1">
      <c r="A69" s="92" t="s">
        <v>428</v>
      </c>
      <c r="B69" s="94" t="s">
        <v>51</v>
      </c>
      <c r="C69" s="94" t="s">
        <v>51</v>
      </c>
      <c r="D69" s="94" t="s">
        <v>51</v>
      </c>
      <c r="E69" s="89">
        <v>9.6280000000000001</v>
      </c>
      <c r="F69" s="100"/>
    </row>
    <row r="70" spans="1:6" ht="12.75" customHeight="1">
      <c r="A70" s="92" t="s">
        <v>429</v>
      </c>
      <c r="B70" s="101">
        <v>271.09699999999998</v>
      </c>
      <c r="C70" s="93">
        <v>268.43200000000002</v>
      </c>
      <c r="D70" s="93">
        <v>262.67200000000003</v>
      </c>
      <c r="E70" s="89">
        <v>269.80399999999997</v>
      </c>
      <c r="F70" s="100"/>
    </row>
    <row r="71" spans="1:6" ht="12.75" customHeight="1">
      <c r="A71" s="92" t="s">
        <v>430</v>
      </c>
      <c r="B71" s="101">
        <v>155.30799999999999</v>
      </c>
      <c r="C71" s="93">
        <v>153.07400000000001</v>
      </c>
      <c r="D71" s="93">
        <v>148.79599999999999</v>
      </c>
      <c r="E71" s="89">
        <v>154.05500000000001</v>
      </c>
      <c r="F71" s="100"/>
    </row>
    <row r="72" spans="1:6" ht="12.75" customHeight="1">
      <c r="A72" s="92" t="s">
        <v>431</v>
      </c>
      <c r="B72" s="101">
        <v>106.512</v>
      </c>
      <c r="C72" s="93">
        <v>102.779</v>
      </c>
      <c r="D72" s="93">
        <v>96.495999999999995</v>
      </c>
      <c r="E72" s="89">
        <v>99.849000000000004</v>
      </c>
      <c r="F72" s="100"/>
    </row>
    <row r="73" spans="1:6" ht="12.75" customHeight="1">
      <c r="A73" s="92" t="s">
        <v>432</v>
      </c>
      <c r="B73" s="101">
        <v>129.56800000000001</v>
      </c>
      <c r="C73" s="93">
        <v>124.31100000000001</v>
      </c>
      <c r="D73" s="93">
        <v>119.126</v>
      </c>
      <c r="E73" s="89">
        <v>121.31699999999999</v>
      </c>
      <c r="F73" s="100"/>
    </row>
    <row r="74" spans="1:6" ht="12.75" customHeight="1">
      <c r="A74" s="92" t="s">
        <v>509</v>
      </c>
      <c r="B74" s="101">
        <v>219.79300000000001</v>
      </c>
      <c r="C74" s="93">
        <v>190.81800000000001</v>
      </c>
      <c r="D74" s="93">
        <v>162.37799999999999</v>
      </c>
      <c r="E74" s="89">
        <v>150.11199999999999</v>
      </c>
      <c r="F74" s="100"/>
    </row>
    <row r="75" spans="1:6" ht="12.75" customHeight="1">
      <c r="A75" s="92" t="s">
        <v>433</v>
      </c>
      <c r="B75" s="101">
        <v>144.27799999999999</v>
      </c>
      <c r="C75" s="93">
        <v>141.86000000000001</v>
      </c>
      <c r="D75" s="93">
        <v>137.899</v>
      </c>
      <c r="E75" s="89">
        <v>142.66800000000001</v>
      </c>
      <c r="F75" s="100"/>
    </row>
    <row r="76" spans="1:6" ht="12.75" customHeight="1">
      <c r="A76" s="92" t="s">
        <v>434</v>
      </c>
      <c r="B76" s="101">
        <v>123.107</v>
      </c>
      <c r="C76" s="93">
        <v>118.6</v>
      </c>
      <c r="D76" s="93">
        <v>113.155</v>
      </c>
      <c r="E76" s="89">
        <v>115.383</v>
      </c>
      <c r="F76" s="100"/>
    </row>
    <row r="77" spans="1:6" ht="13.5" customHeight="1">
      <c r="A77" s="92" t="s">
        <v>435</v>
      </c>
      <c r="B77" s="101">
        <v>59.177</v>
      </c>
      <c r="C77" s="93">
        <v>109.44</v>
      </c>
      <c r="D77" s="93">
        <v>144.69200000000001</v>
      </c>
      <c r="E77" s="89">
        <v>172.62799999999999</v>
      </c>
      <c r="F77" s="100"/>
    </row>
    <row r="78" spans="1:6" ht="13.5" customHeight="1">
      <c r="A78" s="92" t="s">
        <v>436</v>
      </c>
      <c r="B78" s="94" t="s">
        <v>51</v>
      </c>
      <c r="C78" s="94" t="s">
        <v>51</v>
      </c>
      <c r="D78" s="94" t="s">
        <v>51</v>
      </c>
      <c r="E78" s="89">
        <v>3.165</v>
      </c>
      <c r="F78" s="100"/>
    </row>
    <row r="79" spans="1:6" ht="12.75" customHeight="1">
      <c r="A79" s="92" t="s">
        <v>437</v>
      </c>
      <c r="B79" s="101">
        <v>281.85300000000001</v>
      </c>
      <c r="C79" s="93">
        <v>279.37400000000002</v>
      </c>
      <c r="D79" s="93">
        <v>271.92099999999999</v>
      </c>
      <c r="E79" s="89">
        <v>272.91000000000003</v>
      </c>
      <c r="F79" s="100"/>
    </row>
    <row r="80" spans="1:6" ht="12.75" customHeight="1">
      <c r="A80" s="92" t="s">
        <v>515</v>
      </c>
      <c r="B80" s="101">
        <v>251.19900000000001</v>
      </c>
      <c r="C80" s="93">
        <v>254.39</v>
      </c>
      <c r="D80" s="93">
        <v>255.84200000000001</v>
      </c>
      <c r="E80" s="89">
        <v>268.99200000000002</v>
      </c>
      <c r="F80" s="100"/>
    </row>
    <row r="81" spans="1:6" ht="12.75" customHeight="1">
      <c r="A81" s="92" t="s">
        <v>516</v>
      </c>
      <c r="B81" s="101">
        <v>436.52</v>
      </c>
      <c r="C81" s="95">
        <v>433.39600000000002</v>
      </c>
      <c r="D81" s="93">
        <v>428.84800000000001</v>
      </c>
      <c r="E81" s="89">
        <v>448.238</v>
      </c>
      <c r="F81" s="100"/>
    </row>
    <row r="82" spans="1:6" ht="12.75" customHeight="1">
      <c r="A82" s="92" t="s">
        <v>517</v>
      </c>
      <c r="B82" s="101">
        <v>70.603999999999999</v>
      </c>
      <c r="C82" s="95">
        <v>97.655000000000001</v>
      </c>
      <c r="D82" s="93">
        <v>115.575</v>
      </c>
      <c r="E82" s="89">
        <v>134.191</v>
      </c>
      <c r="F82" s="100"/>
    </row>
    <row r="83" spans="1:6" ht="26.25" customHeight="1">
      <c r="A83" s="298"/>
      <c r="B83" s="298"/>
      <c r="C83" s="298"/>
      <c r="D83" s="298"/>
      <c r="E83" s="298"/>
      <c r="F83" s="100"/>
    </row>
    <row r="84" spans="1:6" ht="13.5" customHeight="1">
      <c r="A84" s="96"/>
      <c r="F84" s="100"/>
    </row>
    <row r="85" spans="1:6" ht="13.5" customHeight="1">
      <c r="A85" s="96"/>
    </row>
    <row r="86" spans="1:6" ht="13.5" customHeight="1">
      <c r="A86" s="299" t="s">
        <v>519</v>
      </c>
      <c r="B86" s="299"/>
      <c r="C86" s="299"/>
      <c r="D86" s="299"/>
      <c r="E86" s="299"/>
    </row>
    <row r="87" spans="1:6" ht="13.5" customHeight="1">
      <c r="A87" s="295" t="s">
        <v>520</v>
      </c>
      <c r="B87" s="295"/>
      <c r="C87" s="295"/>
      <c r="D87" s="295"/>
      <c r="E87" s="295"/>
    </row>
    <row r="88" spans="1:6">
      <c r="A88" s="86"/>
      <c r="B88" s="102">
        <v>2019</v>
      </c>
      <c r="C88" s="87">
        <v>2020</v>
      </c>
      <c r="D88" s="87">
        <v>2021</v>
      </c>
      <c r="E88" s="87">
        <v>2022</v>
      </c>
    </row>
    <row r="89" spans="1:6">
      <c r="A89" s="88" t="s">
        <v>453</v>
      </c>
      <c r="B89" s="103">
        <v>19.273290610674607</v>
      </c>
      <c r="C89" s="104">
        <v>19.511223968266442</v>
      </c>
      <c r="D89" s="104">
        <v>18.893875910396762</v>
      </c>
      <c r="E89" s="105">
        <v>18.600000000000001</v>
      </c>
    </row>
    <row r="90" spans="1:6">
      <c r="A90" s="92" t="s">
        <v>421</v>
      </c>
      <c r="B90" s="106" t="s">
        <v>51</v>
      </c>
      <c r="C90" s="106" t="s">
        <v>51</v>
      </c>
      <c r="D90" s="106" t="s">
        <v>51</v>
      </c>
      <c r="E90" s="105">
        <v>0.4</v>
      </c>
    </row>
    <row r="91" spans="1:6">
      <c r="A91" s="92" t="s">
        <v>422</v>
      </c>
      <c r="B91" s="103">
        <v>22.14919861562425</v>
      </c>
      <c r="C91" s="105">
        <v>21.564355090674457</v>
      </c>
      <c r="D91" s="105">
        <v>20.729979461926987</v>
      </c>
      <c r="E91" s="105">
        <v>19.8</v>
      </c>
    </row>
    <row r="92" spans="1:6">
      <c r="A92" s="92" t="s">
        <v>423</v>
      </c>
      <c r="B92" s="103">
        <v>15.364577385330112</v>
      </c>
      <c r="C92" s="105">
        <v>14.388192686420599</v>
      </c>
      <c r="D92" s="105">
        <v>13.430793309096078</v>
      </c>
      <c r="E92" s="105">
        <v>13.9</v>
      </c>
    </row>
    <row r="93" spans="1:6">
      <c r="A93" s="92" t="s">
        <v>424</v>
      </c>
      <c r="B93" s="103">
        <v>23.536948122676851</v>
      </c>
      <c r="C93" s="105">
        <v>22.956002990064565</v>
      </c>
      <c r="D93" s="105">
        <v>22.237190550455622</v>
      </c>
      <c r="E93" s="105">
        <v>31.5</v>
      </c>
    </row>
    <row r="94" spans="1:6">
      <c r="A94" s="92" t="s">
        <v>425</v>
      </c>
      <c r="B94" s="103">
        <v>16.125753671411776</v>
      </c>
      <c r="C94" s="105">
        <v>15.002418630364176</v>
      </c>
      <c r="D94" s="105">
        <v>13.669332930878358</v>
      </c>
      <c r="E94" s="105">
        <v>13.2</v>
      </c>
    </row>
    <row r="95" spans="1:6">
      <c r="A95" s="92" t="s">
        <v>426</v>
      </c>
      <c r="B95" s="103">
        <v>16.441281791183407</v>
      </c>
      <c r="C95" s="105">
        <v>16.000637251926928</v>
      </c>
      <c r="D95" s="105">
        <v>15.266017164342172</v>
      </c>
      <c r="E95" s="105">
        <v>15.1</v>
      </c>
    </row>
    <row r="96" spans="1:6">
      <c r="A96" s="92" t="s">
        <v>427</v>
      </c>
      <c r="B96" s="103">
        <v>17.087083359195582</v>
      </c>
      <c r="C96" s="105">
        <v>17.075722295764496</v>
      </c>
      <c r="D96" s="105">
        <v>16.587436317933726</v>
      </c>
      <c r="E96" s="105">
        <v>16</v>
      </c>
    </row>
    <row r="97" spans="1:5">
      <c r="A97" s="92" t="s">
        <v>428</v>
      </c>
      <c r="B97" s="94" t="s">
        <v>51</v>
      </c>
      <c r="C97" s="94" t="s">
        <v>51</v>
      </c>
      <c r="D97" s="94" t="s">
        <v>51</v>
      </c>
      <c r="E97" s="105">
        <v>0.3</v>
      </c>
    </row>
    <row r="98" spans="1:5">
      <c r="A98" s="92" t="s">
        <v>429</v>
      </c>
      <c r="B98" s="103">
        <v>19.67740600867964</v>
      </c>
      <c r="C98" s="105">
        <v>19.502328521298161</v>
      </c>
      <c r="D98" s="105">
        <v>19.118351352256234</v>
      </c>
      <c r="E98" s="105">
        <v>23.6</v>
      </c>
    </row>
    <row r="99" spans="1:5">
      <c r="A99" s="92" t="s">
        <v>430</v>
      </c>
      <c r="B99" s="103">
        <v>17.837716154878073</v>
      </c>
      <c r="C99" s="105">
        <v>17.664762564191332</v>
      </c>
      <c r="D99" s="105">
        <v>17.277671724701698</v>
      </c>
      <c r="E99" s="105">
        <v>18.3</v>
      </c>
    </row>
    <row r="100" spans="1:5">
      <c r="A100" s="92" t="s">
        <v>431</v>
      </c>
      <c r="B100" s="103">
        <v>13.331781263259874</v>
      </c>
      <c r="C100" s="105">
        <v>12.703507774454307</v>
      </c>
      <c r="D100" s="105">
        <v>11.749814765319684</v>
      </c>
      <c r="E100" s="105">
        <v>11.9</v>
      </c>
    </row>
    <row r="101" spans="1:5">
      <c r="A101" s="92" t="s">
        <v>432</v>
      </c>
      <c r="B101" s="103">
        <v>18.818963626566273</v>
      </c>
      <c r="C101" s="105">
        <v>17.528761969759568</v>
      </c>
      <c r="D101" s="105">
        <v>16.313445589894719</v>
      </c>
      <c r="E101" s="105">
        <v>15.8</v>
      </c>
    </row>
    <row r="102" spans="1:5">
      <c r="A102" s="92" t="s">
        <v>509</v>
      </c>
      <c r="B102" s="107" t="s">
        <v>51</v>
      </c>
      <c r="C102" s="107" t="s">
        <v>51</v>
      </c>
      <c r="D102" s="107" t="s">
        <v>51</v>
      </c>
      <c r="E102" s="105" t="s">
        <v>51</v>
      </c>
    </row>
    <row r="103" spans="1:5">
      <c r="A103" s="92" t="s">
        <v>433</v>
      </c>
      <c r="B103" s="103">
        <v>19.160145070921939</v>
      </c>
      <c r="C103" s="105">
        <v>18.874627290640788</v>
      </c>
      <c r="D103" s="105">
        <v>18.410233440515757</v>
      </c>
      <c r="E103" s="105">
        <v>18.7</v>
      </c>
    </row>
    <row r="104" spans="1:5">
      <c r="A104" s="92" t="s">
        <v>434</v>
      </c>
      <c r="B104" s="103">
        <v>22.316708844237869</v>
      </c>
      <c r="C104" s="105">
        <v>21.711869216194199</v>
      </c>
      <c r="D104" s="105">
        <v>20.93944852944578</v>
      </c>
      <c r="E104" s="105">
        <v>21.3</v>
      </c>
    </row>
    <row r="105" spans="1:5">
      <c r="A105" s="92" t="s">
        <v>435</v>
      </c>
      <c r="B105" s="103">
        <v>2.9588455617316574</v>
      </c>
      <c r="C105" s="105">
        <v>5.3901001236708828</v>
      </c>
      <c r="D105" s="105">
        <v>7.024098309802679</v>
      </c>
      <c r="E105" s="105">
        <v>7.9</v>
      </c>
    </row>
    <row r="106" spans="1:5">
      <c r="A106" s="92" t="s">
        <v>436</v>
      </c>
      <c r="B106" s="94" t="s">
        <v>51</v>
      </c>
      <c r="C106" s="94" t="s">
        <v>51</v>
      </c>
      <c r="D106" s="94" t="s">
        <v>51</v>
      </c>
      <c r="E106" s="105">
        <v>0.9</v>
      </c>
    </row>
    <row r="107" spans="1:5" ht="12.75" customHeight="1">
      <c r="A107" s="92" t="s">
        <v>437</v>
      </c>
      <c r="B107" s="103">
        <v>20.512393181675936</v>
      </c>
      <c r="C107" s="105">
        <v>20.44154629738706</v>
      </c>
      <c r="D107" s="105">
        <v>19.992750522388828</v>
      </c>
      <c r="E107" s="105">
        <v>37.299999999999997</v>
      </c>
    </row>
    <row r="108" spans="1:5">
      <c r="A108" s="92" t="s">
        <v>515</v>
      </c>
      <c r="B108" s="103">
        <v>22.686336665853858</v>
      </c>
      <c r="C108" s="105">
        <v>21.924804616800714</v>
      </c>
      <c r="D108" s="105">
        <v>21.107726197375992</v>
      </c>
      <c r="E108" s="105">
        <v>20</v>
      </c>
    </row>
    <row r="109" spans="1:5">
      <c r="A109" s="92" t="s">
        <v>516</v>
      </c>
      <c r="B109" s="103">
        <v>23.148484493347173</v>
      </c>
      <c r="C109" s="105">
        <v>22.25922425836141</v>
      </c>
      <c r="D109" s="105">
        <v>21.431046902903187</v>
      </c>
      <c r="E109" s="105">
        <v>20.7</v>
      </c>
    </row>
    <row r="110" spans="1:5">
      <c r="A110" s="92" t="s">
        <v>517</v>
      </c>
      <c r="B110" s="103">
        <v>6.8974949639416261</v>
      </c>
      <c r="C110" s="105">
        <v>9.2449273839378439</v>
      </c>
      <c r="D110" s="105">
        <v>10.569587116215159</v>
      </c>
      <c r="E110" s="105">
        <v>11</v>
      </c>
    </row>
  </sheetData>
  <mergeCells count="10">
    <mergeCell ref="A87:E87"/>
    <mergeCell ref="I2:I4"/>
    <mergeCell ref="J2:K2"/>
    <mergeCell ref="L2:L4"/>
    <mergeCell ref="A30:E30"/>
    <mergeCell ref="A55:E55"/>
    <mergeCell ref="A58:E58"/>
    <mergeCell ref="D59:E59"/>
    <mergeCell ref="A83:E83"/>
    <mergeCell ref="A86:E86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C95CB-91C1-4858-B24E-924649DFC3B8}">
  <dimension ref="A2:H21"/>
  <sheetViews>
    <sheetView showGridLines="0" workbookViewId="0">
      <selection activeCell="G14" sqref="G14"/>
    </sheetView>
  </sheetViews>
  <sheetFormatPr defaultColWidth="8.77734375" defaultRowHeight="14.4"/>
  <cols>
    <col min="1" max="1" width="20.77734375" style="66" customWidth="1"/>
    <col min="2" max="6" width="11" style="66" customWidth="1"/>
    <col min="7" max="7" width="22.44140625" style="66" bestFit="1" customWidth="1"/>
    <col min="8" max="16384" width="8.77734375" style="66"/>
  </cols>
  <sheetData>
    <row r="2" spans="1:8" ht="41.4">
      <c r="A2" s="190"/>
      <c r="B2" s="191" t="s">
        <v>452</v>
      </c>
      <c r="C2" s="191" t="s">
        <v>451</v>
      </c>
      <c r="D2" s="191" t="s">
        <v>450</v>
      </c>
      <c r="E2" s="191" t="s">
        <v>418</v>
      </c>
      <c r="F2" s="191" t="s">
        <v>419</v>
      </c>
    </row>
    <row r="3" spans="1:8">
      <c r="A3" s="192" t="s">
        <v>420</v>
      </c>
      <c r="B3" s="193">
        <v>18395567</v>
      </c>
      <c r="C3" s="193">
        <v>18631779</v>
      </c>
      <c r="D3" s="193">
        <v>18879552</v>
      </c>
      <c r="E3" s="194">
        <v>19503159</v>
      </c>
      <c r="F3" s="194">
        <v>19766807</v>
      </c>
      <c r="G3" s="67"/>
    </row>
    <row r="4" spans="1:8">
      <c r="A4" s="195" t="s">
        <v>422</v>
      </c>
      <c r="B4" s="193">
        <v>738587</v>
      </c>
      <c r="C4" s="193">
        <v>736735</v>
      </c>
      <c r="D4" s="193">
        <v>735566</v>
      </c>
      <c r="E4" s="194">
        <v>785708</v>
      </c>
      <c r="F4" s="194">
        <v>788013</v>
      </c>
      <c r="H4" s="68"/>
    </row>
    <row r="5" spans="1:8">
      <c r="A5" s="195" t="s">
        <v>423</v>
      </c>
      <c r="B5" s="193">
        <v>869637</v>
      </c>
      <c r="C5" s="193">
        <v>881651</v>
      </c>
      <c r="D5" s="193">
        <v>894333</v>
      </c>
      <c r="E5" s="194">
        <v>916750</v>
      </c>
      <c r="F5" s="194">
        <v>928159</v>
      </c>
      <c r="H5" s="68"/>
    </row>
    <row r="6" spans="1:8">
      <c r="A6" s="195" t="s">
        <v>424</v>
      </c>
      <c r="B6" s="193">
        <v>2038935</v>
      </c>
      <c r="C6" s="193">
        <v>2055724</v>
      </c>
      <c r="D6" s="193">
        <v>2077967</v>
      </c>
      <c r="E6" s="194">
        <v>1478496</v>
      </c>
      <c r="F6" s="194">
        <v>1505896</v>
      </c>
    </row>
    <row r="7" spans="1:8">
      <c r="A7" s="195" t="s">
        <v>425</v>
      </c>
      <c r="B7" s="193">
        <v>633791</v>
      </c>
      <c r="C7" s="193">
        <v>645280</v>
      </c>
      <c r="D7" s="193">
        <v>657110</v>
      </c>
      <c r="E7" s="194">
        <v>681241</v>
      </c>
      <c r="F7" s="194">
        <v>693079</v>
      </c>
    </row>
    <row r="8" spans="1:8">
      <c r="A8" s="195" t="s">
        <v>426</v>
      </c>
      <c r="B8" s="193">
        <v>652325</v>
      </c>
      <c r="C8" s="193">
        <v>656844</v>
      </c>
      <c r="D8" s="193">
        <v>661316</v>
      </c>
      <c r="E8" s="194">
        <v>683327</v>
      </c>
      <c r="F8" s="194">
        <v>688127</v>
      </c>
    </row>
    <row r="9" spans="1:8">
      <c r="A9" s="195" t="s">
        <v>427</v>
      </c>
      <c r="B9" s="193">
        <v>1125440</v>
      </c>
      <c r="C9" s="193">
        <v>1130099</v>
      </c>
      <c r="D9" s="193">
        <v>1139192</v>
      </c>
      <c r="E9" s="194">
        <v>1209665</v>
      </c>
      <c r="F9" s="194">
        <v>1218158</v>
      </c>
    </row>
    <row r="10" spans="1:8">
      <c r="A10" s="195" t="s">
        <v>429</v>
      </c>
      <c r="B10" s="193">
        <v>1378532</v>
      </c>
      <c r="C10" s="193">
        <v>1376882</v>
      </c>
      <c r="D10" s="193">
        <v>1375938</v>
      </c>
      <c r="E10" s="194">
        <v>1134966</v>
      </c>
      <c r="F10" s="194">
        <v>1134855</v>
      </c>
    </row>
    <row r="11" spans="1:8">
      <c r="A11" s="195" t="s">
        <v>430</v>
      </c>
      <c r="B11" s="193">
        <v>872795</v>
      </c>
      <c r="C11" s="193">
        <v>868549</v>
      </c>
      <c r="D11" s="193">
        <v>864550</v>
      </c>
      <c r="E11" s="194">
        <v>835686</v>
      </c>
      <c r="F11" s="194">
        <v>832234</v>
      </c>
    </row>
    <row r="12" spans="1:8">
      <c r="A12" s="195" t="s">
        <v>431</v>
      </c>
      <c r="B12" s="193">
        <v>794335</v>
      </c>
      <c r="C12" s="193">
        <v>803531</v>
      </c>
      <c r="D12" s="193">
        <v>814588</v>
      </c>
      <c r="E12" s="194">
        <v>823251</v>
      </c>
      <c r="F12" s="194">
        <v>833666</v>
      </c>
    </row>
    <row r="13" spans="1:8">
      <c r="A13" s="195" t="s">
        <v>432</v>
      </c>
      <c r="B13" s="193">
        <v>678199</v>
      </c>
      <c r="C13" s="193">
        <v>698796</v>
      </c>
      <c r="D13" s="193">
        <v>719571</v>
      </c>
      <c r="E13" s="194">
        <v>745909</v>
      </c>
      <c r="F13" s="194">
        <v>767106</v>
      </c>
    </row>
    <row r="14" spans="1:8">
      <c r="A14" s="195" t="s">
        <v>433</v>
      </c>
      <c r="B14" s="193">
        <v>753853</v>
      </c>
      <c r="C14" s="193">
        <v>752169</v>
      </c>
      <c r="D14" s="193">
        <v>751012</v>
      </c>
      <c r="E14" s="194">
        <v>756511</v>
      </c>
      <c r="F14" s="194">
        <v>754944</v>
      </c>
    </row>
    <row r="15" spans="1:8">
      <c r="A15" s="195" t="s">
        <v>434</v>
      </c>
      <c r="B15" s="193">
        <v>554517</v>
      </c>
      <c r="C15" s="193">
        <v>548755</v>
      </c>
      <c r="D15" s="193">
        <v>543735</v>
      </c>
      <c r="E15" s="194">
        <v>539111</v>
      </c>
      <c r="F15" s="194">
        <v>534104</v>
      </c>
    </row>
    <row r="16" spans="1:8">
      <c r="A16" s="195" t="s">
        <v>435</v>
      </c>
      <c r="B16" s="193">
        <v>1983969</v>
      </c>
      <c r="C16" s="193">
        <v>2016037</v>
      </c>
      <c r="D16" s="193">
        <v>2044742</v>
      </c>
      <c r="E16" s="194">
        <v>2088510</v>
      </c>
      <c r="F16" s="194">
        <v>2119226</v>
      </c>
    </row>
    <row r="17" spans="1:6">
      <c r="A17" s="195" t="s">
        <v>437</v>
      </c>
      <c r="B17" s="193">
        <v>1378527</v>
      </c>
      <c r="C17" s="193">
        <v>1369597</v>
      </c>
      <c r="D17" s="193">
        <v>1363797</v>
      </c>
      <c r="E17" s="194">
        <v>732966</v>
      </c>
      <c r="F17" s="194">
        <v>730238</v>
      </c>
    </row>
    <row r="18" spans="1:6">
      <c r="A18" s="195" t="s">
        <v>416</v>
      </c>
      <c r="B18" s="193">
        <v>1078384</v>
      </c>
      <c r="C18" s="193">
        <v>1136156</v>
      </c>
      <c r="D18" s="193">
        <v>1184411</v>
      </c>
      <c r="E18" s="194">
        <v>1295711</v>
      </c>
      <c r="F18" s="194">
        <v>1354556</v>
      </c>
    </row>
    <row r="19" spans="1:6">
      <c r="A19" s="195" t="s">
        <v>16</v>
      </c>
      <c r="B19" s="193">
        <v>1854656</v>
      </c>
      <c r="C19" s="193">
        <v>1916822</v>
      </c>
      <c r="D19" s="193">
        <v>1977258</v>
      </c>
      <c r="E19" s="194">
        <v>2101485</v>
      </c>
      <c r="F19" s="194">
        <v>2161902</v>
      </c>
    </row>
    <row r="20" spans="1:6">
      <c r="A20" s="195" t="s">
        <v>417</v>
      </c>
      <c r="B20" s="193">
        <v>1009085</v>
      </c>
      <c r="C20" s="193">
        <v>1038152</v>
      </c>
      <c r="D20" s="193">
        <v>1074466</v>
      </c>
      <c r="E20" s="194">
        <v>1162308</v>
      </c>
      <c r="F20" s="194">
        <v>1192199</v>
      </c>
    </row>
    <row r="21" spans="1:6">
      <c r="A21" s="72"/>
      <c r="B21" s="72"/>
      <c r="C21" s="72"/>
      <c r="D21" s="72"/>
      <c r="E21" s="72"/>
      <c r="F21" s="72"/>
    </row>
  </sheetData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0069B-781B-4A75-8316-3EFF50389DF9}">
  <dimension ref="B2:T8"/>
  <sheetViews>
    <sheetView showGridLines="0" workbookViewId="0">
      <selection activeCell="R8" sqref="R8"/>
    </sheetView>
  </sheetViews>
  <sheetFormatPr defaultColWidth="8.77734375" defaultRowHeight="14.4"/>
  <cols>
    <col min="2" max="2" width="6.77734375" customWidth="1"/>
    <col min="3" max="3" width="12.6640625" customWidth="1"/>
    <col min="4" max="4" width="15.33203125" customWidth="1"/>
    <col min="5" max="5" width="10.44140625" customWidth="1"/>
    <col min="6" max="9" width="14" customWidth="1"/>
    <col min="10" max="12" width="13" customWidth="1"/>
    <col min="13" max="13" width="12.44140625" bestFit="1" customWidth="1"/>
    <col min="14" max="14" width="17.44140625" customWidth="1"/>
    <col min="15" max="15" width="18.44140625" customWidth="1"/>
    <col min="16" max="16" width="13" customWidth="1"/>
    <col min="17" max="17" width="13.44140625" customWidth="1"/>
    <col min="18" max="20" width="14.109375" customWidth="1"/>
  </cols>
  <sheetData>
    <row r="2" spans="2:20" s="1" customFormat="1" ht="57.6">
      <c r="B2" s="40" t="s">
        <v>151</v>
      </c>
      <c r="C2" s="40" t="s">
        <v>443</v>
      </c>
      <c r="D2" s="40" t="s">
        <v>444</v>
      </c>
      <c r="E2" s="40" t="s">
        <v>446</v>
      </c>
      <c r="F2" s="40" t="s">
        <v>445</v>
      </c>
      <c r="G2" s="40" t="s">
        <v>541</v>
      </c>
      <c r="H2" s="40" t="s">
        <v>540</v>
      </c>
      <c r="I2" s="40" t="s">
        <v>542</v>
      </c>
      <c r="J2" s="40" t="s">
        <v>438</v>
      </c>
      <c r="K2" s="40" t="s">
        <v>854</v>
      </c>
      <c r="L2" s="40" t="s">
        <v>603</v>
      </c>
      <c r="M2" s="40" t="s">
        <v>439</v>
      </c>
      <c r="N2" s="40" t="s">
        <v>442</v>
      </c>
      <c r="O2" s="40" t="s">
        <v>447</v>
      </c>
      <c r="P2" s="40" t="s">
        <v>441</v>
      </c>
      <c r="Q2" s="40" t="s">
        <v>449</v>
      </c>
      <c r="R2" s="40" t="s">
        <v>539</v>
      </c>
      <c r="S2" s="40" t="s">
        <v>448</v>
      </c>
      <c r="T2" s="40" t="s">
        <v>604</v>
      </c>
    </row>
    <row r="3" spans="2:20">
      <c r="B3" s="41">
        <v>2019</v>
      </c>
      <c r="C3" s="41">
        <v>181.67</v>
      </c>
      <c r="D3" s="70">
        <v>9812.5</v>
      </c>
      <c r="E3" s="70">
        <v>507.4</v>
      </c>
      <c r="F3" s="70">
        <v>29.120999999999999</v>
      </c>
      <c r="G3" s="70">
        <v>39709.300000000003</v>
      </c>
      <c r="H3" s="70">
        <v>58065.599999999999</v>
      </c>
      <c r="I3" s="53">
        <f>G3/H3</f>
        <v>0.68386962332258694</v>
      </c>
      <c r="J3" s="58">
        <v>7.4999999999999997E-2</v>
      </c>
      <c r="K3" s="58">
        <v>8.5999999999999993E-2</v>
      </c>
      <c r="L3" s="136">
        <v>9.2499999999999999E-2</v>
      </c>
      <c r="M3" s="58">
        <v>0.05</v>
      </c>
      <c r="N3" s="69">
        <v>160.33129182238</v>
      </c>
      <c r="O3" s="53">
        <v>0.8825413762447295</v>
      </c>
      <c r="P3" s="69">
        <v>18.510000000000002</v>
      </c>
      <c r="Q3" s="69">
        <v>-1444</v>
      </c>
      <c r="R3" s="69">
        <v>382.75</v>
      </c>
      <c r="S3" s="127">
        <v>488</v>
      </c>
      <c r="T3" s="127">
        <v>9301733</v>
      </c>
    </row>
    <row r="4" spans="2:20">
      <c r="B4" s="41">
        <v>2020</v>
      </c>
      <c r="C4" s="41">
        <v>163.63</v>
      </c>
      <c r="D4" s="70">
        <v>9121.7000000000007</v>
      </c>
      <c r="E4" s="70">
        <v>501.2</v>
      </c>
      <c r="F4" s="70">
        <v>26.699000000000002</v>
      </c>
      <c r="G4" s="70">
        <v>38929.1</v>
      </c>
      <c r="H4" s="70">
        <v>47540.800000000003</v>
      </c>
      <c r="I4" s="53">
        <f t="shared" ref="I4:I7" si="0">G4/H4</f>
        <v>0.81885664523945745</v>
      </c>
      <c r="J4" s="58">
        <v>0.1</v>
      </c>
      <c r="K4" s="58">
        <v>8.4000000000000005E-2</v>
      </c>
      <c r="L4" s="136">
        <v>0.09</v>
      </c>
      <c r="M4" s="58">
        <v>0.05</v>
      </c>
      <c r="N4" s="69">
        <v>159.544217230192</v>
      </c>
      <c r="O4" s="53">
        <v>0.97503035647614744</v>
      </c>
      <c r="P4" s="69">
        <v>18.760000000000002</v>
      </c>
      <c r="Q4" s="69">
        <v>-248</v>
      </c>
      <c r="R4" s="69">
        <v>412.95</v>
      </c>
      <c r="S4" s="127">
        <v>498</v>
      </c>
      <c r="T4" s="127">
        <v>10921376</v>
      </c>
    </row>
    <row r="5" spans="2:20">
      <c r="B5" s="41">
        <v>2021</v>
      </c>
      <c r="C5" s="41">
        <v>197.1</v>
      </c>
      <c r="D5" s="70">
        <v>10370.799999999999</v>
      </c>
      <c r="E5" s="70">
        <v>545.20000000000005</v>
      </c>
      <c r="F5" s="70">
        <v>28.693000000000001</v>
      </c>
      <c r="G5" s="70">
        <v>41415.4</v>
      </c>
      <c r="H5" s="70">
        <v>60321</v>
      </c>
      <c r="I5" s="53">
        <f t="shared" si="0"/>
        <v>0.6865834452346613</v>
      </c>
      <c r="J5" s="58">
        <v>0.13</v>
      </c>
      <c r="K5" s="58">
        <v>0.106</v>
      </c>
      <c r="L5" s="136">
        <v>9.7500000000000003E-2</v>
      </c>
      <c r="M5" s="58">
        <v>4.9000000000000002E-2</v>
      </c>
      <c r="N5" s="69">
        <v>163.98007482544099</v>
      </c>
      <c r="O5" s="53">
        <v>0.83196384995150174</v>
      </c>
      <c r="P5" s="69">
        <v>19</v>
      </c>
      <c r="Q5" s="69">
        <v>-3147</v>
      </c>
      <c r="R5" s="69">
        <v>426.03</v>
      </c>
      <c r="S5" s="127">
        <v>588</v>
      </c>
      <c r="T5" s="127">
        <v>13404792</v>
      </c>
    </row>
    <row r="6" spans="2:20">
      <c r="B6" s="41">
        <v>2022</v>
      </c>
      <c r="C6" s="41">
        <v>225.5</v>
      </c>
      <c r="D6" s="70">
        <v>11476.6</v>
      </c>
      <c r="E6" s="70">
        <v>602.79999999999995</v>
      </c>
      <c r="F6" s="70">
        <v>30.702000000000002</v>
      </c>
      <c r="G6" s="70">
        <v>50934.400000000001</v>
      </c>
      <c r="H6" s="70">
        <v>84593.1</v>
      </c>
      <c r="I6" s="53">
        <f t="shared" si="0"/>
        <v>0.60211057403026957</v>
      </c>
      <c r="J6" s="58">
        <v>0.17699999999999999</v>
      </c>
      <c r="K6" s="58">
        <v>0.14699999999999999</v>
      </c>
      <c r="L6" s="136">
        <v>0.16750000000000001</v>
      </c>
      <c r="M6" s="58">
        <v>4.9000000000000002E-2</v>
      </c>
      <c r="N6" s="69">
        <v>164.13107450321402</v>
      </c>
      <c r="O6" s="53">
        <v>0.72785398892777842</v>
      </c>
      <c r="P6" s="69">
        <v>19.62</v>
      </c>
      <c r="Q6" s="69">
        <v>-1594</v>
      </c>
      <c r="R6" s="69">
        <v>460.48</v>
      </c>
      <c r="S6" s="127">
        <v>672</v>
      </c>
      <c r="T6" s="127">
        <v>16902790</v>
      </c>
    </row>
    <row r="7" spans="2:20">
      <c r="B7" s="41">
        <v>2023</v>
      </c>
      <c r="C7" s="41">
        <v>259.7</v>
      </c>
      <c r="D7" s="70">
        <v>13276.7</v>
      </c>
      <c r="E7" s="70">
        <v>656.7</v>
      </c>
      <c r="F7" s="70">
        <v>33.064</v>
      </c>
      <c r="G7" s="70">
        <v>61158.9</v>
      </c>
      <c r="H7" s="70">
        <v>78674.5</v>
      </c>
      <c r="I7" s="53">
        <f t="shared" si="0"/>
        <v>0.77736623683658623</v>
      </c>
      <c r="J7" s="58">
        <v>8.3000000000000004E-2</v>
      </c>
      <c r="K7" s="58">
        <v>3.3000000000000002E-2</v>
      </c>
      <c r="L7" s="136">
        <v>0.16750000000000001</v>
      </c>
      <c r="M7" s="58">
        <v>5.3999999999999999E-2</v>
      </c>
      <c r="N7" s="69">
        <v>160.68277187249899</v>
      </c>
      <c r="O7" s="53">
        <v>0.61872457401809389</v>
      </c>
      <c r="P7" s="69">
        <v>20</v>
      </c>
      <c r="Q7" s="69">
        <v>-172</v>
      </c>
      <c r="R7" s="69">
        <v>456.31</v>
      </c>
      <c r="S7" s="127">
        <v>770</v>
      </c>
      <c r="T7" s="127">
        <v>20387546</v>
      </c>
    </row>
    <row r="8" spans="2:20">
      <c r="B8" s="41" t="s">
        <v>440</v>
      </c>
      <c r="C8" s="58">
        <f>(C7/C3)^(1/5)-1</f>
        <v>7.4082762145600611E-2</v>
      </c>
      <c r="D8" s="58">
        <f t="shared" ref="D8:R8" si="1">(D7/D3)^(1/5)-1</f>
        <v>6.2336478322421618E-2</v>
      </c>
      <c r="E8" s="58">
        <f t="shared" si="1"/>
        <v>5.2939239498476898E-2</v>
      </c>
      <c r="F8" s="58">
        <f t="shared" si="1"/>
        <v>2.5722356842944105E-2</v>
      </c>
      <c r="G8" s="58">
        <f t="shared" si="1"/>
        <v>9.0218348190127307E-2</v>
      </c>
      <c r="H8" s="58">
        <f t="shared" si="1"/>
        <v>6.2632304935006378E-2</v>
      </c>
      <c r="I8" s="58">
        <f t="shared" si="1"/>
        <v>2.5960102216926462E-2</v>
      </c>
      <c r="J8" s="58">
        <f>AVERAGE(J3:J7)</f>
        <v>0.11299999999999999</v>
      </c>
      <c r="K8" s="58">
        <f>AVERAGE(K3:K7)</f>
        <v>9.1199999999999989E-2</v>
      </c>
      <c r="L8" s="58">
        <f t="shared" si="1"/>
        <v>0.12609392541464426</v>
      </c>
      <c r="M8" s="58">
        <f t="shared" si="1"/>
        <v>1.5511278397481565E-2</v>
      </c>
      <c r="N8" s="58">
        <f t="shared" si="1"/>
        <v>4.3805827733556235E-4</v>
      </c>
      <c r="O8" s="58">
        <f t="shared" si="1"/>
        <v>-6.8565204157221116E-2</v>
      </c>
      <c r="P8" s="58">
        <f t="shared" si="1"/>
        <v>1.5604731229658109E-2</v>
      </c>
      <c r="Q8" s="58">
        <f t="shared" si="1"/>
        <v>-0.34658025964668659</v>
      </c>
      <c r="R8" s="58">
        <f t="shared" si="1"/>
        <v>3.5783425990969731E-2</v>
      </c>
      <c r="S8" s="58">
        <f t="shared" ref="S8:T8" si="2">(S7/S3)^(1/5)-1</f>
        <v>9.5504537291626779E-2</v>
      </c>
      <c r="T8" s="58">
        <f t="shared" si="2"/>
        <v>0.16993091431088114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1C6DA-82C1-49DB-960E-65B1EA703ADD}">
  <dimension ref="B4:J53"/>
  <sheetViews>
    <sheetView showGridLines="0" topLeftCell="A37" workbookViewId="0">
      <selection activeCell="J40" sqref="J40"/>
    </sheetView>
  </sheetViews>
  <sheetFormatPr defaultColWidth="8.77734375" defaultRowHeight="14.4"/>
  <cols>
    <col min="2" max="2" width="22.44140625" bestFit="1" customWidth="1"/>
    <col min="3" max="4" width="18.109375" customWidth="1"/>
    <col min="5" max="5" width="13.6640625" customWidth="1"/>
    <col min="6" max="6" width="14.44140625" customWidth="1"/>
    <col min="9" max="9" width="39.33203125" customWidth="1"/>
    <col min="10" max="10" width="19.77734375" customWidth="1"/>
  </cols>
  <sheetData>
    <row r="4" spans="2:10" ht="57.6">
      <c r="B4" s="40" t="s">
        <v>282</v>
      </c>
      <c r="C4" s="40" t="s">
        <v>283</v>
      </c>
      <c r="D4" s="40" t="s">
        <v>284</v>
      </c>
      <c r="E4" s="40" t="s">
        <v>285</v>
      </c>
      <c r="F4" s="40" t="s">
        <v>311</v>
      </c>
      <c r="G4" s="1"/>
      <c r="H4" s="1"/>
      <c r="I4" s="41" t="s">
        <v>324</v>
      </c>
      <c r="J4" s="41" t="s">
        <v>325</v>
      </c>
    </row>
    <row r="5" spans="2:10">
      <c r="B5" s="41" t="s">
        <v>286</v>
      </c>
      <c r="C5" s="41" t="s">
        <v>287</v>
      </c>
      <c r="D5" s="42" t="s">
        <v>289</v>
      </c>
      <c r="E5" s="45">
        <v>646100</v>
      </c>
      <c r="F5" s="45">
        <f>3450*50*3.5</f>
        <v>603750</v>
      </c>
      <c r="I5" s="47" t="s">
        <v>335</v>
      </c>
      <c r="J5" s="48">
        <v>15000</v>
      </c>
    </row>
    <row r="6" spans="2:10">
      <c r="B6" s="41" t="s">
        <v>288</v>
      </c>
      <c r="C6" s="41" t="s">
        <v>287</v>
      </c>
      <c r="D6" s="42">
        <v>5</v>
      </c>
      <c r="E6" s="45">
        <v>923000</v>
      </c>
      <c r="F6" s="45">
        <f>3450*50*5</f>
        <v>862500</v>
      </c>
      <c r="I6" s="49" t="s">
        <v>330</v>
      </c>
      <c r="J6" s="50">
        <v>440</v>
      </c>
    </row>
    <row r="7" spans="2:10">
      <c r="E7" s="46">
        <f>AVERAGE(E5:E6)</f>
        <v>784550</v>
      </c>
      <c r="F7" s="46">
        <f>AVERAGE(F5:F6)</f>
        <v>733125</v>
      </c>
      <c r="I7" s="47" t="s">
        <v>334</v>
      </c>
      <c r="J7" s="50">
        <f>J5*J6</f>
        <v>6600000</v>
      </c>
    </row>
    <row r="8" spans="2:10">
      <c r="B8" t="s">
        <v>300</v>
      </c>
      <c r="I8" s="47" t="s">
        <v>323</v>
      </c>
      <c r="J8" s="55">
        <v>0.15</v>
      </c>
    </row>
    <row r="9" spans="2:10">
      <c r="B9" t="s">
        <v>299</v>
      </c>
      <c r="I9" s="47" t="s">
        <v>327</v>
      </c>
      <c r="J9" s="50">
        <f>J7*J8</f>
        <v>990000</v>
      </c>
    </row>
    <row r="10" spans="2:10">
      <c r="B10" t="s">
        <v>301</v>
      </c>
      <c r="I10" s="47" t="s">
        <v>350</v>
      </c>
      <c r="J10" s="50">
        <f>J7+J9</f>
        <v>7590000</v>
      </c>
    </row>
    <row r="11" spans="2:10">
      <c r="B11" t="s">
        <v>303</v>
      </c>
      <c r="I11" s="49" t="s">
        <v>312</v>
      </c>
      <c r="J11" s="50">
        <v>3000</v>
      </c>
    </row>
    <row r="12" spans="2:10">
      <c r="I12" s="49" t="s">
        <v>329</v>
      </c>
      <c r="J12" s="50">
        <f>J11*J6</f>
        <v>1320000</v>
      </c>
    </row>
    <row r="13" spans="2:10" ht="28.8">
      <c r="B13" s="40" t="s">
        <v>304</v>
      </c>
      <c r="C13" s="40" t="s">
        <v>305</v>
      </c>
      <c r="D13" s="40" t="s">
        <v>306</v>
      </c>
      <c r="I13" s="49" t="s">
        <v>328</v>
      </c>
      <c r="J13" s="50">
        <f>J12+J10</f>
        <v>8910000</v>
      </c>
    </row>
    <row r="14" spans="2:10">
      <c r="B14" s="300" t="s">
        <v>307</v>
      </c>
      <c r="C14" s="301"/>
      <c r="D14" s="302"/>
      <c r="I14" s="49" t="s">
        <v>331</v>
      </c>
      <c r="J14" s="50">
        <v>30000</v>
      </c>
    </row>
    <row r="15" spans="2:10" ht="28.8">
      <c r="B15" s="40" t="s">
        <v>309</v>
      </c>
      <c r="C15" s="40" t="s">
        <v>308</v>
      </c>
      <c r="D15" s="40">
        <v>923</v>
      </c>
      <c r="I15" s="49" t="s">
        <v>332</v>
      </c>
      <c r="J15" s="50">
        <f>J13+J14</f>
        <v>8940000</v>
      </c>
    </row>
    <row r="16" spans="2:10">
      <c r="B16" s="303" t="s">
        <v>310</v>
      </c>
      <c r="C16" s="304"/>
      <c r="D16" s="305"/>
      <c r="I16" s="49" t="s">
        <v>313</v>
      </c>
      <c r="J16" s="51">
        <v>0.15</v>
      </c>
    </row>
    <row r="17" spans="2:10" ht="28.8">
      <c r="B17" s="44" t="s">
        <v>309</v>
      </c>
      <c r="C17" s="40" t="s">
        <v>308</v>
      </c>
      <c r="D17" s="40">
        <v>923</v>
      </c>
      <c r="I17" s="49" t="s">
        <v>333</v>
      </c>
      <c r="J17" s="50">
        <f>J15*J16</f>
        <v>1341000</v>
      </c>
    </row>
    <row r="18" spans="2:10">
      <c r="I18" s="49" t="s">
        <v>349</v>
      </c>
      <c r="J18" s="50">
        <f>J15+J17</f>
        <v>10281000</v>
      </c>
    </row>
    <row r="19" spans="2:10">
      <c r="I19" s="49" t="s">
        <v>314</v>
      </c>
      <c r="J19" s="51">
        <v>0.12</v>
      </c>
    </row>
    <row r="20" spans="2:10">
      <c r="I20" s="49" t="s">
        <v>336</v>
      </c>
      <c r="J20" s="50">
        <f>J18*J19</f>
        <v>1233720</v>
      </c>
    </row>
    <row r="21" spans="2:10">
      <c r="I21" s="49" t="s">
        <v>337</v>
      </c>
      <c r="J21" s="50">
        <f>J18+J20</f>
        <v>11514720</v>
      </c>
    </row>
    <row r="22" spans="2:10">
      <c r="I22" s="49" t="s">
        <v>338</v>
      </c>
      <c r="J22" s="50">
        <f>F7</f>
        <v>733125</v>
      </c>
    </row>
    <row r="23" spans="2:10">
      <c r="I23" s="49" t="s">
        <v>339</v>
      </c>
      <c r="J23" s="50">
        <f>J21+J22</f>
        <v>12247845</v>
      </c>
    </row>
    <row r="24" spans="2:10">
      <c r="I24" s="49" t="s">
        <v>340</v>
      </c>
      <c r="J24" s="50">
        <f>D17</f>
        <v>923</v>
      </c>
    </row>
    <row r="25" spans="2:10">
      <c r="I25" s="49" t="s">
        <v>341</v>
      </c>
      <c r="J25" s="50">
        <f>J23+J24</f>
        <v>12248768</v>
      </c>
    </row>
    <row r="26" spans="2:10">
      <c r="I26" s="49" t="s">
        <v>342</v>
      </c>
      <c r="J26" s="50">
        <f>600*J6</f>
        <v>264000</v>
      </c>
    </row>
    <row r="27" spans="2:10">
      <c r="I27" s="49" t="s">
        <v>343</v>
      </c>
      <c r="J27" s="50">
        <f>J25+J26</f>
        <v>12512768</v>
      </c>
    </row>
    <row r="28" spans="2:10">
      <c r="I28" s="49" t="s">
        <v>315</v>
      </c>
      <c r="J28" s="52">
        <v>0.03</v>
      </c>
    </row>
    <row r="29" spans="2:10">
      <c r="I29" s="49" t="s">
        <v>344</v>
      </c>
      <c r="J29" s="50">
        <f>J27*J28</f>
        <v>375383.03999999998</v>
      </c>
    </row>
    <row r="30" spans="2:10">
      <c r="I30" s="49" t="s">
        <v>326</v>
      </c>
      <c r="J30" s="50">
        <f>J29/J6</f>
        <v>853.14327272727269</v>
      </c>
    </row>
    <row r="31" spans="2:10">
      <c r="I31" s="49" t="s">
        <v>316</v>
      </c>
      <c r="J31" s="52">
        <v>0.08</v>
      </c>
    </row>
    <row r="32" spans="2:10">
      <c r="I32" s="49" t="s">
        <v>345</v>
      </c>
      <c r="J32" s="50">
        <f>J27*J31</f>
        <v>1001021.4400000001</v>
      </c>
    </row>
    <row r="33" spans="2:10">
      <c r="I33" s="49" t="s">
        <v>322</v>
      </c>
      <c r="J33" s="50">
        <f>J32/J6</f>
        <v>2275.0487272727273</v>
      </c>
    </row>
    <row r="34" spans="2:10">
      <c r="I34" s="49" t="s">
        <v>346</v>
      </c>
      <c r="J34" s="50">
        <f>J27+J27*J28+J27*J31</f>
        <v>13889172.479999999</v>
      </c>
    </row>
    <row r="35" spans="2:10">
      <c r="I35" s="49" t="s">
        <v>320</v>
      </c>
      <c r="J35" s="52">
        <v>0.08</v>
      </c>
    </row>
    <row r="36" spans="2:10">
      <c r="I36" s="49" t="s">
        <v>347</v>
      </c>
      <c r="J36" s="50">
        <f>J34*J35</f>
        <v>1111133.7984</v>
      </c>
    </row>
    <row r="37" spans="2:10">
      <c r="I37" s="49" t="s">
        <v>321</v>
      </c>
      <c r="J37" s="50">
        <f>J36/J6</f>
        <v>2525.3040872727274</v>
      </c>
    </row>
    <row r="38" spans="2:10">
      <c r="I38" s="49" t="s">
        <v>348</v>
      </c>
      <c r="J38" s="50">
        <f>J34+J34*J35</f>
        <v>15000306.278399998</v>
      </c>
    </row>
    <row r="39" spans="2:10">
      <c r="I39" s="49" t="s">
        <v>319</v>
      </c>
      <c r="J39" s="50">
        <f>J38/J6</f>
        <v>34091.605178181817</v>
      </c>
    </row>
    <row r="40" spans="2:10">
      <c r="I40" s="49" t="s">
        <v>317</v>
      </c>
      <c r="J40" s="53">
        <f>ABS(J7/J38-1)</f>
        <v>0.56000898398295995</v>
      </c>
    </row>
    <row r="41" spans="2:10">
      <c r="I41" s="49" t="s">
        <v>352</v>
      </c>
      <c r="J41" s="53">
        <f>J38/J7-1</f>
        <v>1.2727736785454544</v>
      </c>
    </row>
    <row r="44" spans="2:10">
      <c r="B44" s="43" t="s">
        <v>302</v>
      </c>
    </row>
    <row r="45" spans="2:10">
      <c r="B45" t="s">
        <v>290</v>
      </c>
    </row>
    <row r="46" spans="2:10">
      <c r="B46" t="s">
        <v>291</v>
      </c>
    </row>
    <row r="47" spans="2:10">
      <c r="B47" t="s">
        <v>292</v>
      </c>
    </row>
    <row r="48" spans="2:10">
      <c r="B48" t="s">
        <v>293</v>
      </c>
    </row>
    <row r="49" spans="2:2">
      <c r="B49" t="s">
        <v>294</v>
      </c>
    </row>
    <row r="50" spans="2:2">
      <c r="B50" t="s">
        <v>295</v>
      </c>
    </row>
    <row r="51" spans="2:2">
      <c r="B51" t="s">
        <v>296</v>
      </c>
    </row>
    <row r="52" spans="2:2">
      <c r="B52" t="s">
        <v>297</v>
      </c>
    </row>
    <row r="53" spans="2:2">
      <c r="B53" t="s">
        <v>298</v>
      </c>
    </row>
  </sheetData>
  <mergeCells count="2">
    <mergeCell ref="B14:D14"/>
    <mergeCell ref="B16:D16"/>
  </mergeCells>
  <pageMargins left="0.7" right="0.7" top="0.75" bottom="0.75" header="0.3" footer="0.3"/>
  <ignoredErrors>
    <ignoredError sqref="J24 J26" formula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7C7D-0118-43C7-809D-E96FE0B7992F}">
  <dimension ref="B1:U209"/>
  <sheetViews>
    <sheetView topLeftCell="A231" workbookViewId="0">
      <selection activeCell="N261" sqref="N261"/>
    </sheetView>
  </sheetViews>
  <sheetFormatPr defaultColWidth="8.77734375" defaultRowHeight="14.4"/>
  <cols>
    <col min="3" max="3" width="18.109375" customWidth="1"/>
    <col min="4" max="4" width="15.109375" bestFit="1" customWidth="1"/>
    <col min="5" max="6" width="10.109375" bestFit="1" customWidth="1"/>
    <col min="7" max="7" width="9" bestFit="1" customWidth="1"/>
    <col min="8" max="8" width="9.109375" bestFit="1" customWidth="1"/>
    <col min="11" max="11" width="17.109375" customWidth="1"/>
    <col min="12" max="13" width="13.77734375" customWidth="1"/>
    <col min="14" max="14" width="11.33203125" customWidth="1"/>
    <col min="15" max="15" width="14.44140625" customWidth="1"/>
  </cols>
  <sheetData>
    <row r="1" spans="2:15">
      <c r="J1" s="306" t="s">
        <v>608</v>
      </c>
      <c r="K1" s="306"/>
      <c r="L1" s="306"/>
      <c r="M1" s="306"/>
      <c r="N1" s="306"/>
      <c r="O1" s="306"/>
    </row>
    <row r="2" spans="2:15">
      <c r="C2" s="56"/>
      <c r="D2" s="56">
        <v>2023</v>
      </c>
      <c r="E2" s="56">
        <v>2022</v>
      </c>
      <c r="F2" s="56">
        <v>2021</v>
      </c>
      <c r="G2" s="56">
        <v>2020</v>
      </c>
      <c r="H2" s="56">
        <v>2019</v>
      </c>
    </row>
    <row r="3" spans="2:15" ht="48" customHeight="1">
      <c r="C3" s="44" t="s">
        <v>612</v>
      </c>
      <c r="D3" s="46">
        <v>1635</v>
      </c>
      <c r="E3" s="46">
        <v>832.1</v>
      </c>
      <c r="F3" s="46">
        <v>634.9</v>
      </c>
      <c r="G3" s="46">
        <v>379</v>
      </c>
      <c r="H3" s="46">
        <v>360.3</v>
      </c>
      <c r="J3" s="141" t="s">
        <v>151</v>
      </c>
      <c r="K3" s="141" t="s">
        <v>609</v>
      </c>
      <c r="L3" s="141" t="s">
        <v>607</v>
      </c>
      <c r="M3" s="141" t="s">
        <v>610</v>
      </c>
      <c r="N3" s="141" t="s">
        <v>611</v>
      </c>
      <c r="O3" s="141" t="s">
        <v>605</v>
      </c>
    </row>
    <row r="4" spans="2:15" ht="43.2">
      <c r="C4" s="44" t="s">
        <v>613</v>
      </c>
      <c r="D4" s="122">
        <f>D3/D7</f>
        <v>3.5830904429006596</v>
      </c>
      <c r="E4" s="122">
        <f t="shared" ref="E4:H4" si="0">E3/E7</f>
        <v>1.80702744961779</v>
      </c>
      <c r="F4" s="122">
        <f t="shared" si="0"/>
        <v>1.490270638217966</v>
      </c>
      <c r="G4" s="122">
        <f t="shared" si="0"/>
        <v>0.91778665698026396</v>
      </c>
      <c r="H4" s="122">
        <f t="shared" si="0"/>
        <v>0.94134552580013064</v>
      </c>
      <c r="J4" s="142">
        <v>2020</v>
      </c>
      <c r="K4" s="143">
        <v>768800000000</v>
      </c>
      <c r="L4" s="142">
        <v>72.323999999999998</v>
      </c>
      <c r="M4" s="144">
        <f t="shared" ref="M4:M7" si="1">K4/L4</f>
        <v>10629943034.12422</v>
      </c>
      <c r="N4" s="144">
        <v>1280000</v>
      </c>
      <c r="O4" s="143">
        <v>1600000</v>
      </c>
    </row>
    <row r="5" spans="2:15" ht="43.2">
      <c r="C5" s="44" t="s">
        <v>605</v>
      </c>
      <c r="D5" s="46">
        <v>208400</v>
      </c>
      <c r="E5" s="46">
        <v>107303</v>
      </c>
      <c r="F5" s="46">
        <v>109233</v>
      </c>
      <c r="G5" s="46">
        <v>85883</v>
      </c>
      <c r="H5" s="46">
        <v>87113</v>
      </c>
      <c r="J5" s="142">
        <v>2021</v>
      </c>
      <c r="K5" s="143">
        <v>963000000000</v>
      </c>
      <c r="L5" s="142">
        <v>73.676000000000002</v>
      </c>
      <c r="M5" s="144">
        <f t="shared" si="1"/>
        <v>13070742168.413052</v>
      </c>
      <c r="N5" s="144">
        <v>1280000</v>
      </c>
      <c r="O5" s="143">
        <v>1660000</v>
      </c>
    </row>
    <row r="6" spans="2:15" ht="43.2">
      <c r="C6" s="44" t="s">
        <v>606</v>
      </c>
      <c r="D6" s="56">
        <v>7.8</v>
      </c>
      <c r="E6" s="140">
        <v>7.7546760109223412</v>
      </c>
      <c r="F6" s="140">
        <v>5.8123460858897955</v>
      </c>
      <c r="G6" s="140">
        <v>4.4129804501472938</v>
      </c>
      <c r="H6" s="140">
        <v>4.1360072549447269</v>
      </c>
      <c r="J6" s="142">
        <v>2022</v>
      </c>
      <c r="K6" s="143">
        <v>1320000000000</v>
      </c>
      <c r="L6" s="142">
        <v>68.349999999999994</v>
      </c>
      <c r="M6" s="144">
        <f t="shared" si="1"/>
        <v>19312362838.332115</v>
      </c>
      <c r="N6" s="144">
        <v>1340000</v>
      </c>
      <c r="O6" s="143">
        <v>687000</v>
      </c>
    </row>
    <row r="7" spans="2:15" ht="28.8">
      <c r="C7" s="146" t="s">
        <v>539</v>
      </c>
      <c r="D7" s="69">
        <v>456.31</v>
      </c>
      <c r="E7" s="69">
        <v>460.48</v>
      </c>
      <c r="F7" s="69">
        <v>426.03</v>
      </c>
      <c r="G7" s="69">
        <v>412.95</v>
      </c>
      <c r="H7" s="69">
        <v>382.75</v>
      </c>
      <c r="J7" s="142">
        <v>2023</v>
      </c>
      <c r="K7" s="143">
        <v>1600000000000</v>
      </c>
      <c r="L7" s="142">
        <v>85.81</v>
      </c>
      <c r="M7" s="144">
        <f t="shared" si="1"/>
        <v>18645845472.555645</v>
      </c>
      <c r="N7" s="144">
        <v>1560000</v>
      </c>
      <c r="O7" s="143">
        <v>1050000</v>
      </c>
    </row>
    <row r="14" spans="2:15">
      <c r="H14" s="10"/>
    </row>
    <row r="15" spans="2:15">
      <c r="B15" s="75"/>
      <c r="C15" s="75"/>
      <c r="D15" s="75"/>
      <c r="E15" s="75"/>
      <c r="F15" s="75"/>
      <c r="G15" s="75"/>
      <c r="H15" s="75"/>
      <c r="I15" s="75"/>
    </row>
    <row r="16" spans="2:15">
      <c r="B16" s="75"/>
      <c r="C16" s="75"/>
      <c r="D16" s="75"/>
      <c r="E16" s="75"/>
      <c r="F16" s="75"/>
      <c r="G16" s="75"/>
      <c r="H16" s="75"/>
      <c r="I16" s="75"/>
    </row>
    <row r="17" spans="2:9">
      <c r="B17" s="75"/>
      <c r="C17" s="75"/>
      <c r="D17" s="75"/>
      <c r="E17" s="75"/>
      <c r="F17" s="75"/>
      <c r="G17" s="75"/>
      <c r="H17" s="75"/>
      <c r="I17" s="75"/>
    </row>
    <row r="18" spans="2:9" ht="65.55" customHeight="1">
      <c r="B18" s="75"/>
      <c r="C18" s="75"/>
      <c r="D18" s="75"/>
      <c r="E18" s="75"/>
      <c r="F18" s="75"/>
      <c r="G18" s="75"/>
      <c r="H18" s="75"/>
      <c r="I18" s="75"/>
    </row>
    <row r="99" spans="12:18">
      <c r="L99" s="54"/>
      <c r="M99" s="54"/>
      <c r="N99" s="54"/>
      <c r="O99" s="54"/>
    </row>
    <row r="100" spans="12:18" ht="14.55" customHeight="1">
      <c r="L100" s="54"/>
      <c r="M100" s="54"/>
      <c r="N100" s="54"/>
      <c r="O100" s="54"/>
      <c r="P100" s="54"/>
      <c r="Q100" s="54"/>
      <c r="R100" s="54"/>
    </row>
    <row r="101" spans="12:18">
      <c r="L101" s="54"/>
      <c r="M101" s="54"/>
      <c r="N101" s="54"/>
      <c r="O101" s="54"/>
      <c r="P101" s="54"/>
      <c r="Q101" s="54"/>
      <c r="R101" s="54"/>
    </row>
    <row r="102" spans="12:18">
      <c r="L102" s="54"/>
      <c r="M102" s="54"/>
      <c r="N102" s="54"/>
      <c r="O102" s="54"/>
      <c r="P102" s="54"/>
      <c r="Q102" s="54"/>
      <c r="R102" s="54"/>
    </row>
    <row r="103" spans="12:18">
      <c r="L103" s="54"/>
      <c r="M103" s="54"/>
      <c r="N103" s="54"/>
      <c r="O103" s="54"/>
      <c r="P103" s="54"/>
      <c r="Q103" s="54"/>
      <c r="R103" s="54"/>
    </row>
    <row r="104" spans="12:18">
      <c r="L104" s="10"/>
      <c r="P104" s="54"/>
      <c r="Q104" s="54"/>
      <c r="R104" s="54"/>
    </row>
    <row r="107" spans="12:18">
      <c r="L107" s="139"/>
    </row>
    <row r="108" spans="12:18">
      <c r="L108" s="10"/>
    </row>
    <row r="117" spans="12:18">
      <c r="L117" s="145"/>
      <c r="M117" s="54"/>
      <c r="N117" s="54"/>
      <c r="O117" s="54"/>
    </row>
    <row r="118" spans="12:18" ht="14.55" customHeight="1">
      <c r="L118" s="54"/>
      <c r="M118" s="54"/>
      <c r="N118" s="54"/>
      <c r="O118" s="54"/>
      <c r="P118" s="54"/>
      <c r="Q118" s="54"/>
      <c r="R118" s="54"/>
    </row>
    <row r="119" spans="12:18">
      <c r="L119" s="54"/>
      <c r="M119" s="54"/>
      <c r="N119" s="54"/>
      <c r="O119" s="54"/>
      <c r="P119" s="54"/>
      <c r="Q119" s="54"/>
      <c r="R119" s="54"/>
    </row>
    <row r="120" spans="12:18">
      <c r="L120" s="54"/>
      <c r="M120" s="54"/>
      <c r="N120" s="54"/>
      <c r="O120" s="54"/>
      <c r="P120" s="54"/>
      <c r="Q120" s="54"/>
      <c r="R120" s="54"/>
    </row>
    <row r="121" spans="12:18">
      <c r="L121" s="54"/>
      <c r="M121" s="54"/>
      <c r="N121" s="54"/>
      <c r="O121" s="54"/>
      <c r="P121" s="54"/>
      <c r="Q121" s="54"/>
      <c r="R121" s="54"/>
    </row>
    <row r="122" spans="12:18">
      <c r="P122" s="54"/>
      <c r="Q122" s="54"/>
      <c r="R122" s="54"/>
    </row>
    <row r="184" spans="15:21">
      <c r="O184" s="5"/>
    </row>
    <row r="185" spans="15:21">
      <c r="O185" s="5"/>
      <c r="P185" s="5"/>
      <c r="Q185" s="5"/>
      <c r="R185" s="5"/>
      <c r="S185" s="5"/>
      <c r="T185" s="5"/>
      <c r="U185" s="5"/>
    </row>
    <row r="186" spans="15:21">
      <c r="O186" s="5"/>
      <c r="P186" s="5"/>
      <c r="Q186" s="5"/>
      <c r="R186" s="5"/>
      <c r="S186" s="5"/>
      <c r="T186" s="5"/>
      <c r="U186" s="5"/>
    </row>
    <row r="187" spans="15:21">
      <c r="O187" s="5"/>
      <c r="P187" s="5"/>
      <c r="Q187" s="5"/>
      <c r="R187" s="5"/>
      <c r="S187" s="5"/>
      <c r="T187" s="5"/>
      <c r="U187" s="5"/>
    </row>
    <row r="188" spans="15:21">
      <c r="O188" s="5"/>
      <c r="P188" s="5"/>
      <c r="Q188" s="5"/>
      <c r="R188" s="5"/>
      <c r="S188" s="5"/>
      <c r="T188" s="5"/>
      <c r="U188" s="5"/>
    </row>
    <row r="189" spans="15:21">
      <c r="O189" s="5"/>
      <c r="P189" s="5"/>
      <c r="Q189" s="5"/>
      <c r="R189" s="5"/>
      <c r="S189" s="5"/>
      <c r="T189" s="5"/>
      <c r="U189" s="5"/>
    </row>
    <row r="190" spans="15:21">
      <c r="O190" s="5"/>
      <c r="P190" s="5"/>
      <c r="Q190" s="5"/>
      <c r="R190" s="5"/>
      <c r="S190" s="5"/>
      <c r="T190" s="5"/>
      <c r="U190" s="5"/>
    </row>
    <row r="191" spans="15:21">
      <c r="O191" s="5"/>
      <c r="P191" s="5"/>
      <c r="Q191" s="5"/>
      <c r="R191" s="5"/>
      <c r="S191" s="5"/>
      <c r="T191" s="5"/>
      <c r="U191" s="5"/>
    </row>
    <row r="192" spans="15:21">
      <c r="O192" s="5"/>
      <c r="P192" s="5"/>
      <c r="Q192" s="5"/>
      <c r="R192" s="5"/>
      <c r="S192" s="5"/>
      <c r="T192" s="5"/>
      <c r="U192" s="5"/>
    </row>
    <row r="193" spans="15:21">
      <c r="O193" s="5"/>
      <c r="P193" s="5"/>
      <c r="Q193" s="5"/>
      <c r="R193" s="5"/>
      <c r="S193" s="5"/>
      <c r="T193" s="5"/>
      <c r="U193" s="5"/>
    </row>
    <row r="194" spans="15:21">
      <c r="O194" s="5"/>
      <c r="P194" s="5"/>
      <c r="Q194" s="5"/>
      <c r="R194" s="5"/>
      <c r="S194" s="5"/>
      <c r="T194" s="5"/>
      <c r="U194" s="5"/>
    </row>
    <row r="195" spans="15:21">
      <c r="O195" s="5"/>
      <c r="P195" s="5"/>
      <c r="Q195" s="5"/>
      <c r="R195" s="5"/>
      <c r="S195" s="5"/>
      <c r="T195" s="5"/>
      <c r="U195" s="5"/>
    </row>
    <row r="196" spans="15:21">
      <c r="O196" s="5"/>
      <c r="P196" s="5"/>
      <c r="Q196" s="5"/>
      <c r="R196" s="5"/>
      <c r="S196" s="5"/>
      <c r="T196" s="5"/>
      <c r="U196" s="5"/>
    </row>
    <row r="197" spans="15:21">
      <c r="O197" s="5"/>
      <c r="P197" s="5"/>
      <c r="Q197" s="5"/>
      <c r="R197" s="5"/>
      <c r="S197" s="5"/>
      <c r="T197" s="5"/>
      <c r="U197" s="5"/>
    </row>
    <row r="198" spans="15:21">
      <c r="P198" s="5"/>
      <c r="Q198" s="5"/>
      <c r="R198" s="5"/>
      <c r="S198" s="5"/>
      <c r="T198" s="5"/>
      <c r="U198" s="5"/>
    </row>
    <row r="199" spans="15:21">
      <c r="O199" s="5"/>
    </row>
    <row r="200" spans="15:21">
      <c r="O200" s="5"/>
      <c r="P200" s="5"/>
      <c r="Q200" s="5"/>
      <c r="R200" s="5"/>
      <c r="S200" s="5"/>
      <c r="T200" s="5"/>
      <c r="U200" s="5"/>
    </row>
    <row r="201" spans="15:21">
      <c r="O201" s="5"/>
      <c r="P201" s="5"/>
      <c r="Q201" s="5"/>
      <c r="R201" s="5"/>
      <c r="S201" s="5"/>
      <c r="T201" s="5"/>
      <c r="U201" s="5"/>
    </row>
    <row r="202" spans="15:21">
      <c r="O202" s="5"/>
      <c r="P202" s="5"/>
      <c r="Q202" s="5"/>
      <c r="R202" s="5"/>
      <c r="S202" s="5"/>
      <c r="T202" s="5"/>
      <c r="U202" s="5"/>
    </row>
    <row r="203" spans="15:21">
      <c r="O203" s="5"/>
      <c r="P203" s="5"/>
      <c r="Q203" s="5"/>
      <c r="R203" s="5"/>
      <c r="S203" s="5"/>
      <c r="T203" s="5"/>
      <c r="U203" s="5"/>
    </row>
    <row r="204" spans="15:21">
      <c r="O204" s="5"/>
      <c r="P204" s="5"/>
      <c r="Q204" s="5"/>
      <c r="R204" s="5"/>
      <c r="S204" s="5"/>
      <c r="T204" s="5"/>
      <c r="U204" s="5"/>
    </row>
    <row r="205" spans="15:21">
      <c r="O205" s="5"/>
      <c r="P205" s="5"/>
      <c r="Q205" s="5"/>
      <c r="R205" s="5"/>
      <c r="S205" s="5"/>
      <c r="T205" s="5"/>
      <c r="U205" s="5"/>
    </row>
    <row r="206" spans="15:21">
      <c r="O206" s="5"/>
      <c r="P206" s="5"/>
      <c r="Q206" s="5"/>
      <c r="R206" s="5"/>
      <c r="S206" s="5"/>
      <c r="T206" s="5"/>
      <c r="U206" s="5"/>
    </row>
    <row r="207" spans="15:21">
      <c r="O207" s="5"/>
      <c r="P207" s="5"/>
      <c r="Q207" s="5"/>
      <c r="R207" s="5"/>
      <c r="S207" s="5"/>
      <c r="T207" s="5"/>
      <c r="U207" s="5"/>
    </row>
    <row r="208" spans="15:21">
      <c r="O208" s="5"/>
      <c r="P208" s="5"/>
      <c r="Q208" s="5"/>
      <c r="R208" s="5"/>
      <c r="S208" s="5"/>
      <c r="T208" s="5"/>
      <c r="U208" s="5"/>
    </row>
    <row r="209" spans="16:21">
      <c r="P209" s="5"/>
      <c r="Q209" s="5"/>
      <c r="R209" s="5"/>
      <c r="S209" s="5"/>
      <c r="T209" s="5"/>
      <c r="U209" s="5"/>
    </row>
  </sheetData>
  <mergeCells count="1">
    <mergeCell ref="J1:O1"/>
  </mergeCells>
  <pageMargins left="0.7" right="0.7" top="0.75" bottom="0.75" header="0.3" footer="0.3"/>
  <pageSetup paperSize="9" orientation="portrait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3C9483-3FD5-4F9E-AC5C-9D0DC39F4D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20</vt:i4>
      </vt:variant>
    </vt:vector>
  </HeadingPairs>
  <TitlesOfParts>
    <vt:vector size="20" baseType="lpstr">
      <vt:lpstr>Market_Size</vt:lpstr>
      <vt:lpstr>Fin_model</vt:lpstr>
      <vt:lpstr>Sales_By_Brands</vt:lpstr>
      <vt:lpstr>Sales_by_models</vt:lpstr>
      <vt:lpstr>SAM_Segmentation</vt:lpstr>
      <vt:lpstr>SOM (доля рынка по сегментам)</vt:lpstr>
      <vt:lpstr>SOM (баллы MG по Benchmark)</vt:lpstr>
      <vt:lpstr>Competition_Benchmark</vt:lpstr>
      <vt:lpstr>SOM_forecast</vt:lpstr>
      <vt:lpstr>MG_products</vt:lpstr>
      <vt:lpstr>MG_Globl_Sales</vt:lpstr>
      <vt:lpstr>Registration 22-24</vt:lpstr>
      <vt:lpstr>Profitability FRW</vt:lpstr>
      <vt:lpstr>kolesa.kz</vt:lpstr>
      <vt:lpstr>OTTC</vt:lpstr>
      <vt:lpstr>Auto_Park</vt:lpstr>
      <vt:lpstr>Population</vt:lpstr>
      <vt:lpstr>Economy</vt:lpstr>
      <vt:lpstr>Car_Expenses</vt:lpstr>
      <vt:lpstr>Loans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Ammar Muhammad</dc:creator>
  <cp:lastModifiedBy>Ammar Muhammad</cp:lastModifiedBy>
  <cp:lastPrinted>2024-05-10T21:06:19Z</cp:lastPrinted>
  <dcterms:created xsi:type="dcterms:W3CDTF">2015-06-05T18:19:34Z</dcterms:created>
  <dcterms:modified xsi:type="dcterms:W3CDTF">2024-05-17T14:38:49Z</dcterms:modified>
</cp:coreProperties>
</file>